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27.03-01.04" sheetId="1" r:id="rId4"/>
    <sheet state="hidden" name="Расписание 1-3 сентября" sheetId="2" r:id="rId5"/>
    <sheet state="hidden" name="05-09 сентября" sheetId="3" r:id="rId6"/>
    <sheet state="hidden" name="12-16 сентября" sheetId="4" r:id="rId7"/>
    <sheet state="hidden" name="19-23 сентября" sheetId="5" r:id="rId8"/>
    <sheet state="hidden" name="26-30 сентября" sheetId="6" r:id="rId9"/>
    <sheet state="hidden" name="03-07 октября" sheetId="7" r:id="rId10"/>
    <sheet state="hidden" name="24-29 окт. Проектная школа" sheetId="8" r:id="rId11"/>
    <sheet state="hidden" name="17-21 октября" sheetId="9" r:id="rId12"/>
    <sheet state="hidden" name="14-18 ноября" sheetId="10" r:id="rId13"/>
    <sheet state="hidden" name="7-12 нояб." sheetId="11" r:id="rId14"/>
    <sheet state="hidden" name="10-14 октября" sheetId="12" r:id="rId15"/>
    <sheet state="hidden" name="21-25 ноября" sheetId="13" r:id="rId16"/>
    <sheet state="hidden" name="28.11-02.12" sheetId="14" r:id="rId17"/>
    <sheet state="hidden" name="05.12-09.12" sheetId="15" r:id="rId18"/>
    <sheet state="hidden" name="12.12-16.12" sheetId="16" r:id="rId19"/>
    <sheet state="hidden" name="9-13 января" sheetId="17" r:id="rId20"/>
    <sheet state="hidden" name="16-23 января" sheetId="18" r:id="rId21"/>
    <sheet state="hidden" name="23-27 января" sheetId="19" r:id="rId22"/>
    <sheet state="hidden" name="30.01-04 февраля" sheetId="20" r:id="rId23"/>
    <sheet state="hidden" name="6-11 февраля" sheetId="21" r:id="rId24"/>
    <sheet state="hidden" name="Сессия" sheetId="22" r:id="rId25"/>
    <sheet state="hidden" name="27.02-03.03" sheetId="23" r:id="rId26"/>
    <sheet state="hidden" name="06-11 марта" sheetId="24" r:id="rId27"/>
    <sheet state="hidden" name="13-18 февраля" sheetId="25" r:id="rId28"/>
    <sheet state="hidden" name="20-25 марта" sheetId="26" r:id="rId29"/>
    <sheet state="hidden" name="03.04-08.04" sheetId="27" r:id="rId30"/>
    <sheet state="hidden" name="17.04-22.04" sheetId="28" r:id="rId31"/>
    <sheet state="hidden" name="24.04-28.04" sheetId="29" r:id="rId32"/>
    <sheet state="hidden" name="02.05 - 05.05" sheetId="30" r:id="rId33"/>
    <sheet state="hidden" name="10.05-13.05" sheetId="31" r:id="rId34"/>
    <sheet state="hidden" name="15.05-20.05" sheetId="32" r:id="rId35"/>
    <sheet state="visible" name="09.06 Расписание конференции ЛП" sheetId="33" r:id="rId36"/>
    <sheet state="visible" name="29.05-16.06 ЛП" sheetId="34" r:id="rId37"/>
    <sheet state="hidden" name="Списки на экскурсии" sheetId="35" r:id="rId38"/>
    <sheet state="hidden" name="17.05-27.05 СЕССИЯ" sheetId="36" r:id="rId39"/>
    <sheet state="visible" name="Контакты учителей" sheetId="37" r:id="rId40"/>
    <sheet state="visible" name="Достижения" sheetId="38" r:id="rId41"/>
    <sheet state="visible" name="Контакты учеников" sheetId="39" r:id="rId42"/>
    <sheet state="visible" name="Мероприятия" sheetId="40" r:id="rId43"/>
    <sheet state="visible" name="Ссылки" sheetId="41" r:id="rId44"/>
    <sheet state="hidden" name="19.12-23.12" sheetId="42" r:id="rId45"/>
    <sheet state="visible" name="Группы по английскому" sheetId="43" r:id="rId46"/>
    <sheet state="visible" name="Расписание постоянное" sheetId="44" r:id="rId47"/>
    <sheet state="hidden" name="Программа 01.09" sheetId="45" r:id="rId48"/>
    <sheet state="hidden" name="Лист17" sheetId="46" r:id="rId49"/>
    <sheet state="hidden" name="мероприятия 2122 года (копия)" sheetId="47" r:id="rId50"/>
    <sheet state="hidden" name="конференция 1.09.2022" sheetId="48" r:id="rId51"/>
    <sheet state="visible" name="Выпускники" sheetId="49" r:id="rId52"/>
    <sheet state="visible" name="Группы инфо" sheetId="50" r:id="rId53"/>
    <sheet state="hidden" name="29 окт_конференция по проектной" sheetId="51" r:id="rId54"/>
  </sheets>
  <definedNames>
    <definedName hidden="1" localSheetId="38" name="_xlnm._FilterDatabase">'Контакты учеников'!$A$1:$Y$214</definedName>
    <definedName hidden="1" localSheetId="45" name="_xlnm._FilterDatabase">'Лист17'!$A$1:$Z$3</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G6">
      <text>
        <t xml:space="preserve">Идентификатор: 564 598 9286 пароль: 1313</t>
      </text>
    </comment>
    <comment authorId="0" ref="G25">
      <text>
        <t xml:space="preserve">Пароль 5</t>
      </text>
    </comment>
    <comment authorId="0" ref="G35">
      <text>
        <t xml:space="preserve">Пароль 1</t>
      </text>
    </comment>
    <comment authorId="0" ref="G37">
      <text>
        <t xml:space="preserve">Код доступа: amb0Sd</t>
      </text>
    </comment>
  </commentList>
</comments>
</file>

<file path=xl/comments2.xml><?xml version="1.0" encoding="utf-8"?>
<comments xmlns:r="http://schemas.openxmlformats.org/officeDocument/2006/relationships" xmlns="http://schemas.openxmlformats.org/spreadsheetml/2006/main">
  <authors>
    <author/>
  </authors>
  <commentList>
    <comment authorId="0" ref="N23">
      <text>
        <t xml:space="preserve">Значение изменено респондентом.</t>
      </text>
    </comment>
  </commentList>
</comments>
</file>

<file path=xl/comments3.xml><?xml version="1.0" encoding="utf-8"?>
<comments xmlns:r="http://schemas.openxmlformats.org/officeDocument/2006/relationships" xmlns="http://schemas.openxmlformats.org/spreadsheetml/2006/main">
  <authors>
    <author/>
  </authors>
  <commentList>
    <comment authorId="0" ref="C21">
      <text>
        <t xml:space="preserve">В Локальных актах: Документ об утверждении сроков каникул</t>
      </text>
    </comment>
  </commentList>
</comments>
</file>

<file path=xl/sharedStrings.xml><?xml version="1.0" encoding="utf-8"?>
<sst xmlns="http://schemas.openxmlformats.org/spreadsheetml/2006/main" count="26051" uniqueCount="15850">
  <si>
    <t>Начало урока / конец урока</t>
  </si>
  <si>
    <t>5С</t>
  </si>
  <si>
    <t>6С и Т</t>
  </si>
  <si>
    <t>7С и 7Т</t>
  </si>
  <si>
    <t>8С</t>
  </si>
  <si>
    <t>9С</t>
  </si>
  <si>
    <t>10С</t>
  </si>
  <si>
    <t>11С</t>
  </si>
  <si>
    <t>Внешние</t>
  </si>
  <si>
    <t>График питания в столовой</t>
  </si>
  <si>
    <t>Не занятые Силаэдром аудитории</t>
  </si>
  <si>
    <t>1 минута</t>
  </si>
  <si>
    <t>9.00</t>
  </si>
  <si>
    <t>9.40</t>
  </si>
  <si>
    <t>ДИАЛОГИ О ВАЖНОМ (Харитонов) АЗ</t>
  </si>
  <si>
    <r>
      <rPr>
        <rFont val="Arial"/>
        <color theme="1"/>
        <sz val="10.0"/>
      </rPr>
      <t xml:space="preserve">ДИАЛОГИ О ВАЖНОМ (Дронзик) </t>
    </r>
    <r>
      <rPr>
        <rFont val="Arial"/>
        <b/>
        <color theme="1"/>
        <sz val="10.0"/>
      </rPr>
      <t>АЗ / олинфо 202</t>
    </r>
  </si>
  <si>
    <r>
      <rPr>
        <rFont val="Arial"/>
        <color theme="1"/>
        <sz val="10.0"/>
      </rPr>
      <t xml:space="preserve">ДИАЛОГИ О ВАЖНОМ (Репнев) </t>
    </r>
    <r>
      <rPr>
        <rFont val="Arial"/>
        <b/>
        <color theme="1"/>
        <sz val="10.0"/>
      </rPr>
      <t>АЗ</t>
    </r>
  </si>
  <si>
    <r>
      <rPr>
        <rFont val="Arial"/>
        <color theme="1"/>
        <sz val="10.0"/>
      </rPr>
      <t>ДИАЛОГИ О ВАЖНОМ (Краснова ЕИ)А</t>
    </r>
    <r>
      <rPr>
        <rFont val="Arial"/>
        <b/>
        <color theme="1"/>
        <sz val="10.0"/>
      </rPr>
      <t>З</t>
    </r>
  </si>
  <si>
    <r>
      <rPr>
        <rFont val="Arial"/>
        <color theme="1"/>
        <sz val="10.0"/>
      </rPr>
      <t xml:space="preserve">ДИАЛОГИ О ВАЖНОМ (Белоусова) </t>
    </r>
    <r>
      <rPr>
        <rFont val="Arial"/>
        <b/>
        <color theme="1"/>
        <sz val="10.0"/>
      </rPr>
      <t>АЗ</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</si>
  <si>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</si>
  <si>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</si>
  <si>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t>9.45</t>
  </si>
  <si>
    <t>10.25</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</si>
  <si>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</si>
  <si>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</si>
  <si>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t>Хор (Краснова и Никулова) КЗ / олинфо 202</t>
  </si>
  <si>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</si>
  <si>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</si>
  <si>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</si>
  <si>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</si>
  <si>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</si>
  <si>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</si>
  <si>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t>ЕГЭ Инфо Старунова 408 / Биология ЕГЭ Носкова 206</t>
  </si>
  <si>
    <t>10.45</t>
  </si>
  <si>
    <t>11.25</t>
  </si>
  <si>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</si>
  <si>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</si>
  <si>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</si>
  <si>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</si>
  <si>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</si>
  <si>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</si>
  <si>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</si>
  <si>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t>Сватовство Гусара ПОКАЗ АЗ</t>
  </si>
  <si>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</si>
  <si>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</si>
  <si>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</si>
  <si>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t xml:space="preserve"> / Биология ЕГЭ Носкова 206</t>
  </si>
  <si>
    <t>Завтрак 10.25-10.45 5С-6СТ и Интеллект</t>
  </si>
  <si>
    <t>11.45</t>
  </si>
  <si>
    <t>12.25</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</si>
  <si>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</si>
  <si>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</si>
  <si>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</si>
  <si>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</si>
  <si>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</si>
  <si>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</si>
  <si>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</si>
  <si>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t>Завтрак 11.25-12.25 7СТ -11С</t>
  </si>
  <si>
    <t>12.30</t>
  </si>
  <si>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</si>
  <si>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</si>
  <si>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</si>
  <si>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</si>
  <si>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</si>
  <si>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t>Англ (Шевелев) 409</t>
  </si>
  <si>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</si>
  <si>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</si>
  <si>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</si>
  <si>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</si>
  <si>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</si>
  <si>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t xml:space="preserve">Завтрак Таможенный           12:00 - 12:20
</t>
  </si>
  <si>
    <t>13.50</t>
  </si>
  <si>
    <t>14.30</t>
  </si>
  <si>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</si>
  <si>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</si>
  <si>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</si>
  <si>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</si>
  <si>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</si>
  <si>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</si>
  <si>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</si>
  <si>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</si>
  <si>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</si>
  <si>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</si>
  <si>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</si>
  <si>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Обед Таможенный 13.45-14.00</t>
  </si>
  <si>
    <t>14.35</t>
  </si>
  <si>
    <t>15.15</t>
  </si>
  <si>
    <r>
      <rPr>
        <rFont val="Arial"/>
        <color theme="1"/>
      </rPr>
      <t xml:space="preserve">Анлийский клуб (Пипейкина) </t>
    </r>
    <r>
      <rPr>
        <rFont val="Arial"/>
        <b/>
        <color theme="1"/>
      </rPr>
      <t>КЗ</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</si>
  <si>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</si>
  <si>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</si>
  <si>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</si>
  <si>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</si>
  <si>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</si>
  <si>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</si>
  <si>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</si>
  <si>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</si>
  <si>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</si>
  <si>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Обед
8С-11С 13.55-14.15 5С-7СТ 14.15-14.35</t>
  </si>
  <si>
    <t>15.20</t>
  </si>
  <si>
    <t>16.00</t>
  </si>
  <si>
    <r>
      <rPr>
        <rFont val="Arial"/>
        <color theme="1"/>
      </rPr>
      <t xml:space="preserve">Театр (Обидина) </t>
    </r>
    <r>
      <rPr>
        <rFont val="Arial"/>
        <b/>
        <color theme="1"/>
      </rPr>
      <t>КЗ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</si>
  <si>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</si>
  <si>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</si>
  <si>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</si>
  <si>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</si>
  <si>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</si>
  <si>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</si>
  <si>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</si>
  <si>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t>Инд.проект Дронзик 210</t>
  </si>
  <si>
    <t>16.45</t>
  </si>
  <si>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</si>
  <si>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</si>
  <si>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</si>
  <si>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</si>
  <si>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</si>
  <si>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</si>
  <si>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</si>
  <si>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t>Исторические танцы (Пипейкина) 504 / Англ ОГЭ (Слоневская) 404</t>
  </si>
  <si>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</si>
  <si>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</si>
  <si>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t>16.50</t>
  </si>
  <si>
    <t>17.30</t>
  </si>
  <si>
    <t>КРУЖКИ: Практическая электроника (BEAM-роботы) 5-7кл (Рогацкина) 410, Волейбол 6-9кл (Ларченко) СЗ, Каллиграфия 5-7кл (Хуснутдинов) 401, Исторические танцы (Пипейкина) 504</t>
  </si>
  <si>
    <r>
      <rPr>
        <rFont val="Arial"/>
        <color theme="1"/>
        <sz val="10.0"/>
      </rPr>
      <t xml:space="preserve">Театр Клинкова </t>
    </r>
    <r>
      <rPr>
        <rFont val="Arial"/>
        <b/>
        <color theme="1"/>
        <sz val="10.0"/>
      </rPr>
      <t>АЗ (с нового года)</t>
    </r>
  </si>
  <si>
    <t>17.35</t>
  </si>
  <si>
    <t>18.15</t>
  </si>
  <si>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</si>
  <si>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201</t>
    </r>
  </si>
  <si>
    <r>
      <rPr>
        <rFont val="Arial"/>
        <color theme="1"/>
        <sz val="10.0"/>
      </rPr>
      <t xml:space="preserve">Общество (Белоус)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</si>
  <si>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</si>
  <si>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</si>
  <si>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</si>
  <si>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</si>
  <si>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t>Диагностика МЦКО РУС. 406 и 408 явиться в 8.45!!! Телефоны и вещи оставляем перед кабинетом (Куницын, Харитонов)</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</si>
  <si>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</si>
  <si>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</si>
  <si>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</si>
  <si>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КЗ</t>
    </r>
  </si>
  <si>
    <r>
      <rPr>
        <rFont val="Arial"/>
        <color theme="1"/>
        <sz val="10.0"/>
      </rPr>
      <t xml:space="preserve">Биология (Носкова)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</si>
  <si>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</si>
  <si>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</si>
  <si>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</si>
  <si>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</si>
  <si>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</si>
  <si>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</si>
  <si>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</si>
  <si>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</si>
  <si>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</si>
  <si>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</si>
  <si>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</si>
  <si>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</si>
  <si>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rPr>
      <t xml:space="preserve">Матпрак (Молькова) </t>
    </r>
    <r>
      <rPr>
        <rFont val="Arial"/>
        <b/>
        <color theme="1"/>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</si>
  <si>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</si>
  <si>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</si>
  <si>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</si>
  <si>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</si>
  <si>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</si>
  <si>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</si>
  <si>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</si>
  <si>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</si>
  <si>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t>Русский (Хуснутдинов)  409</t>
  </si>
  <si>
    <t>Матпрак (Молькова) 501</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</si>
  <si>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</si>
  <si>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</si>
  <si>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</si>
  <si>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</si>
  <si>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</si>
  <si>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</si>
  <si>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</si>
  <si>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</si>
  <si>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</si>
  <si>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</si>
  <si>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</si>
  <si>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501</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</si>
  <si>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</si>
  <si>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</si>
  <si>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</si>
  <si>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</si>
  <si>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</si>
  <si>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</si>
  <si>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</si>
  <si>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</si>
  <si>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</si>
  <si>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</si>
  <si>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</si>
  <si>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</si>
  <si>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</si>
  <si>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</si>
  <si>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</si>
  <si>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</si>
  <si>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</si>
  <si>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</si>
  <si>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</si>
  <si>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</si>
  <si>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</si>
  <si>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</si>
  <si>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</si>
  <si>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</si>
  <si>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</si>
  <si>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</si>
  <si>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</si>
  <si>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</si>
  <si>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</si>
  <si>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</si>
  <si>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</si>
  <si>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</si>
  <si>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t>Кружки : Хоровая студия (Краснова) КЗ</t>
  </si>
  <si>
    <t>Допматпрак (Попович) 209</t>
  </si>
  <si>
    <t>Кружки : Хоровая студия (Краснова) КЗ, 3D моделирование 7-9 (Легошин) 410</t>
  </si>
  <si>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</si>
  <si>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</si>
  <si>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t>Физра (Ларченко) СЗ</t>
  </si>
  <si>
    <r>
      <rPr>
        <rFont val="Roboto, RobotoDraft, Helvetica, Arial, sans-serif"/>
        <color rgb="FF000000"/>
      </rPr>
      <t xml:space="preserve">Литература (Белоус) </t>
    </r>
    <r>
      <rPr>
        <rFont val="Roboto, RobotoDraft, Helvetica, Arial, sans-serif"/>
        <b/>
        <color rgb="FF000000"/>
      </rPr>
      <t>409</t>
    </r>
  </si>
  <si>
    <t>Кружки :  3D моделирование (Легошин) 410</t>
  </si>
  <si>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</si>
  <si>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t>Кружки : Хоровая студия (Краснова) КЗ, 3D моделирование (Легошин) 410</t>
  </si>
  <si>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</si>
  <si>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</si>
  <si>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</si>
  <si>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</si>
  <si>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</si>
  <si>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t xml:space="preserve"> </t>
  </si>
  <si>
    <r>
      <rPr>
        <rFont val="Arial"/>
        <color theme="1"/>
        <sz val="10.0"/>
      </rPr>
      <t xml:space="preserve">Русский (Хуснутдинов)  </t>
    </r>
    <r>
      <rPr>
        <rFont val="Arial"/>
        <b/>
        <color theme="1"/>
        <sz val="10.0"/>
      </rPr>
      <t xml:space="preserve">209  </t>
    </r>
  </si>
  <si>
    <t>Диагностика МЦКО ФИЗ (Борисов, Козлов, Копаев, Холодов, Царёв) явиться в 8.45!!! в 406 каб</t>
  </si>
  <si>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</si>
  <si>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</si>
  <si>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</si>
  <si>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</si>
  <si>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</si>
  <si>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</si>
  <si>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</si>
  <si>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t>Биология (Белоусова) 406</t>
  </si>
  <si>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</si>
  <si>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</si>
  <si>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</si>
  <si>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</si>
  <si>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</si>
  <si>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</si>
  <si>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</si>
  <si>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</si>
  <si>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</si>
  <si>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</si>
  <si>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</si>
  <si>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</si>
  <si>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</si>
  <si>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</si>
  <si>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</si>
  <si>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</si>
  <si>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</si>
  <si>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</si>
  <si>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</si>
  <si>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</si>
  <si>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</si>
  <si>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</si>
  <si>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</si>
  <si>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</si>
  <si>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</si>
  <si>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</si>
  <si>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</si>
  <si>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</si>
  <si>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</si>
  <si>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</si>
  <si>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</si>
  <si>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</si>
  <si>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</si>
  <si>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</si>
  <si>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</si>
  <si>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</si>
  <si>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</si>
  <si>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</si>
  <si>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</si>
  <si>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</si>
  <si>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</si>
  <si>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</si>
  <si>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</si>
  <si>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</si>
  <si>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t>Общество (Куницын) 503</t>
  </si>
  <si>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</si>
  <si>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</si>
  <si>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</si>
  <si>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</si>
  <si>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</si>
  <si>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</si>
  <si>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t>Игорь Котляр 408</t>
  </si>
  <si>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</si>
  <si>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</si>
  <si>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</si>
  <si>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</si>
  <si>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</si>
  <si>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</si>
  <si>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</si>
  <si>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Математический анализ (Попович)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</si>
  <si>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</si>
  <si>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t>Доп.матпрак</t>
  </si>
  <si>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</si>
  <si>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</si>
  <si>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t>КРУЖКИ : Культура Эпохи Возрождения 6-8кл (Хуснутдинов) 209 Олимпиадная робототехника 6-9 кл (Сенин, Кадыкова) 410</t>
  </si>
  <si>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</si>
  <si>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</si>
  <si>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</si>
  <si>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</si>
  <si>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t xml:space="preserve">Диагностика МЦКО посл.день!! (Александров С, Кушнарёв, Новикова, Попова, Рубин, Свиридова, Сухарев, Удачина, Агеев, Покорская, Саначев, Ставропольцев, Шиляев) явиться в 8.45 в 406!!! </t>
  </si>
  <si>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</si>
  <si>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</si>
  <si>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</si>
  <si>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</si>
  <si>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</si>
  <si>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</si>
  <si>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</si>
  <si>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</si>
  <si>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</si>
  <si>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</si>
  <si>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t>Информатика (Старунова) 403</t>
  </si>
  <si>
    <t>Информатика (Аларкон) 408</t>
  </si>
  <si>
    <r>
      <t>Матем (трес) Шерашова 4</t>
    </r>
    <r>
      <rPr>
        <rFont val="Arial"/>
        <b/>
        <color theme="1"/>
        <sz val="10.0"/>
      </rPr>
      <t>01</t>
    </r>
  </si>
  <si>
    <r>
      <t xml:space="preserve">Матпрак (кватро) Исмаилов, Панюнин </t>
    </r>
    <r>
      <rPr>
        <rFont val="Arial"/>
        <b/>
        <color theme="1"/>
        <sz val="10.0"/>
      </rPr>
      <t>202</t>
    </r>
  </si>
  <si>
    <t>Химия (Караванова) 409</t>
  </si>
  <si>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</si>
  <si>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</si>
  <si>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</si>
  <si>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t>Доп. История (Куницын) КЗ</t>
  </si>
  <si>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</si>
  <si>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</si>
  <si>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</si>
  <si>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</si>
  <si>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</si>
  <si>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</si>
  <si>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</si>
  <si>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406</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</si>
  <si>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</si>
  <si>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</si>
  <si>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</si>
  <si>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</si>
  <si>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</si>
  <si>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</si>
  <si>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</si>
  <si>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</si>
  <si>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</si>
  <si>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406</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</si>
  <si>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</si>
  <si>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</si>
  <si>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</si>
  <si>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</si>
  <si>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</si>
  <si>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</si>
  <si>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</si>
  <si>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</si>
  <si>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</si>
  <si>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</si>
  <si>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</si>
  <si>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</si>
  <si>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</si>
  <si>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</si>
  <si>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</si>
  <si>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</si>
  <si>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t>Робо(Рогацкина) 410</t>
  </si>
  <si>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</si>
  <si>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</si>
  <si>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</si>
  <si>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</si>
  <si>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</si>
  <si>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</si>
  <si>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</si>
  <si>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</si>
  <si>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</si>
  <si>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</si>
  <si>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</si>
  <si>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</si>
  <si>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</si>
  <si>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</si>
  <si>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</si>
  <si>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</si>
  <si>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</si>
  <si>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</si>
  <si>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</si>
  <si>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</si>
  <si>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</si>
  <si>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</si>
  <si>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</si>
  <si>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t>Робототехника (Рогацкина) 410</t>
  </si>
  <si>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</si>
  <si>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</si>
  <si>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</si>
  <si>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</si>
  <si>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</si>
  <si>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</si>
  <si>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</si>
  <si>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</si>
  <si>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t>Олимп.геом (Решeтников, Сайгак) - начинающие</t>
  </si>
  <si>
    <r>
      <rPr>
        <rFont val="Arial"/>
        <color theme="1"/>
        <sz val="10.0"/>
      </rPr>
      <t xml:space="preserve">Подготовка к ОГЭ по биологии + проекты Белоусова </t>
    </r>
    <r>
      <rPr>
        <rFont val="Arial"/>
        <b/>
        <color theme="1"/>
        <sz val="10.0"/>
      </rPr>
      <t>210</t>
    </r>
  </si>
  <si>
    <t>Олимп.геометрия ( Сайгак) - начинающие 201.   Музыкальный кружок Лео и Ко</t>
  </si>
  <si>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</si>
  <si>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</si>
  <si>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</si>
  <si>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</si>
  <si>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</si>
  <si>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</si>
  <si>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</si>
  <si>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</si>
  <si>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</si>
  <si>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</si>
  <si>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</si>
  <si>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</si>
  <si>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</si>
  <si>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</si>
  <si>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</si>
  <si>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</si>
  <si>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</si>
  <si>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</si>
  <si>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</si>
  <si>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</si>
  <si>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</si>
  <si>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</si>
  <si>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</si>
  <si>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</si>
  <si>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</si>
  <si>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</si>
  <si>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</si>
  <si>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</si>
  <si>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</si>
  <si>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</si>
  <si>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</si>
  <si>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</si>
  <si>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</si>
  <si>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</si>
  <si>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</si>
  <si>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</si>
  <si>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</si>
  <si>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</si>
  <si>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</si>
  <si>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</si>
  <si>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</si>
  <si>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</si>
  <si>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</si>
  <si>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</si>
  <si>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</si>
  <si>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</si>
  <si>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</si>
  <si>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</si>
  <si>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</si>
  <si>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</si>
  <si>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</si>
  <si>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</si>
  <si>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</si>
  <si>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</si>
  <si>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Roboto, RobotoDraft, Helvetica, Arial, sans-serif"/>
        <color rgb="FF000000"/>
      </rPr>
      <t xml:space="preserve">Общество (Куницын)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</si>
  <si>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</si>
  <si>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</si>
  <si>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</si>
  <si>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</si>
  <si>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</si>
  <si>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</si>
  <si>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</si>
  <si>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</si>
  <si>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</si>
  <si>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</si>
  <si>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</si>
  <si>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</si>
  <si>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</si>
  <si>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</si>
  <si>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</si>
  <si>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</si>
  <si>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</si>
  <si>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</si>
  <si>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</si>
  <si>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</si>
  <si>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</si>
  <si>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406</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</si>
  <si>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</si>
  <si>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</si>
  <si>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</si>
  <si>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</si>
  <si>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t>Физика ЕГЭ Репнев 402</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</si>
  <si>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</si>
  <si>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</si>
  <si>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Геометрия (Абрамов) </t>
    </r>
    <r>
      <rPr>
        <rFont val="Arial"/>
        <b/>
        <color theme="1"/>
        <sz val="10.0"/>
      </rPr>
      <t>209</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</si>
  <si>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</si>
  <si>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</si>
  <si>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</si>
  <si>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В 16.00 Сватовство Гусара ПОКАЗ для родителей и желающих посмотреть второй состав 8С АЗ</t>
  </si>
  <si>
    <t>ТРИЗ (5-6 класс) 402, ХОР (Краснова, Никулова) КЗ, CTF (Джамбек) 406, Ол. геометрия для продолжающих (Попович) 202, Экономика для начинающих (Кирюшин) 210, Го (Решетников) 201, Олимпиадная история (Куницын) 503, Проекты (Слоневская) zoom, Гиревой спорт 9-11 кл (Хуснутдинов) СЗ</t>
  </si>
  <si>
    <t>11.00 Олимп инфо (Подворный) ДИСТАНТ</t>
  </si>
  <si>
    <t>10.30 Олимп. экономика - продолжающие (Попович) 202</t>
  </si>
  <si>
    <t>11.00 Мастер-класс по танго 504 (Пипейкина)</t>
  </si>
  <si>
    <t>Формулы:</t>
  </si>
  <si>
    <t>Кабинеты Силаэдра</t>
  </si>
  <si>
    <t>СЗ,КЗ,201,202,206,209,210,401,402,403,404,405,406,408,409,410,АЗ</t>
  </si>
  <si>
    <t>Формула для проверки кабинетов</t>
  </si>
  <si>
    <t>Время</t>
  </si>
  <si>
    <t xml:space="preserve">
Начало урока / конец урока</t>
  </si>
  <si>
    <r>
      <rPr>
        <rFont val="Arial"/>
        <color theme="1"/>
        <sz val="10.0"/>
      </rPr>
      <t xml:space="preserve">ДИАЛОГИ О ВАЖНОМ (Харитонов) </t>
    </r>
    <r>
      <rPr>
        <rFont val="Arial"/>
        <b/>
        <color theme="1"/>
        <sz val="10.0"/>
      </rPr>
      <t>201</t>
    </r>
  </si>
  <si>
    <r>
      <rPr>
        <rFont val="Arial"/>
        <color theme="1"/>
        <sz val="10.0"/>
      </rPr>
      <t xml:space="preserve">ДИАЛОГИ О ВАЖНОМ (Дронзик) </t>
    </r>
    <r>
      <rPr>
        <rFont val="Arial"/>
        <b/>
        <color theme="1"/>
        <sz val="10.0"/>
      </rPr>
      <t>210</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</si>
  <si>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</si>
  <si>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</si>
  <si>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</si>
  <si>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</si>
  <si>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</si>
  <si>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t>Понедельник</t>
  </si>
  <si>
    <t xml:space="preserve">Англ (Алехина) </t>
  </si>
  <si>
    <t>Англ (Шевелев)</t>
  </si>
  <si>
    <t>Математика (Дронзик)</t>
  </si>
  <si>
    <t>Матпрак (Исмаилов)</t>
  </si>
  <si>
    <t>Геометрия (Абрамов)</t>
  </si>
  <si>
    <t>Общага (Белоус)</t>
  </si>
  <si>
    <t>Физика</t>
  </si>
  <si>
    <r>
      <rPr>
        <rFont val="Arial"/>
        <color theme="1"/>
        <sz val="10.0"/>
      </rPr>
      <t xml:space="preserve">Физра (Ларченко) </t>
    </r>
    <r>
      <rPr>
        <rFont val="Arial"/>
        <b/>
        <color theme="1"/>
        <sz val="10.0"/>
      </rPr>
      <t>СЗ</t>
    </r>
  </si>
  <si>
    <t>Геом. (Заводов)</t>
  </si>
  <si>
    <r>
      <rPr>
        <rFont val="Arial"/>
        <color theme="1"/>
        <sz val="10.0"/>
      </rPr>
      <t xml:space="preserve">Алгебра (Шерашова) </t>
    </r>
    <r>
      <rPr>
        <rFont val="Arial"/>
        <b/>
        <color theme="1"/>
        <sz val="10.0"/>
      </rPr>
      <t>401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</si>
  <si>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</si>
  <si>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</si>
  <si>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Англ (Алехина)</t>
  </si>
  <si>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</si>
  <si>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</si>
  <si>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</si>
  <si>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</si>
  <si>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театр </t>
    </r>
    <r>
      <rPr>
        <rFont val="Arial"/>
        <b/>
        <color theme="1"/>
        <sz val="10.0"/>
      </rPr>
      <t>АЗ</t>
    </r>
  </si>
  <si>
    <t xml:space="preserve">Инфо (Старунова) </t>
  </si>
  <si>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</si>
  <si>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</si>
  <si>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t xml:space="preserve">Русский (Хуснутдинов)        </t>
  </si>
  <si>
    <t xml:space="preserve">Литература (Белоус)                </t>
  </si>
  <si>
    <t>Математика (Заводов)</t>
  </si>
  <si>
    <t>Инфо (Старунова)</t>
  </si>
  <si>
    <r>
      <rPr>
        <rFont val="Arial"/>
        <color theme="1"/>
        <sz val="10.0"/>
      </rPr>
      <t xml:space="preserve">театр </t>
    </r>
    <r>
      <rPr>
        <rFont val="Arial"/>
        <b/>
        <color theme="1"/>
        <sz val="10.0"/>
      </rPr>
      <t>АЗ</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</si>
  <si>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</si>
  <si>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</si>
  <si>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Робо (Рогацкина) </t>
    </r>
    <r>
      <rPr>
        <rFont val="Arial"/>
        <b/>
        <color theme="1"/>
        <sz val="10.0"/>
      </rPr>
      <t>410</t>
    </r>
  </si>
  <si>
    <r>
      <rPr>
        <rFont val="Arial"/>
        <color theme="1"/>
        <sz val="10.0"/>
      </rPr>
      <t xml:space="preserve">Матпрак (Исмаилов)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</si>
  <si>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</si>
  <si>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Физра (Ларченко) </t>
    </r>
    <r>
      <rPr>
        <rFont val="Arial"/>
        <b/>
        <color theme="1"/>
        <sz val="10.0"/>
      </rPr>
      <t>СЗ</t>
    </r>
  </si>
  <si>
    <t>театр АЗ</t>
  </si>
  <si>
    <t>Алгебра (Абрамов)</t>
  </si>
  <si>
    <t>Матпрак (Решетников ИА)</t>
  </si>
  <si>
    <t>Психология (Шерашова)</t>
  </si>
  <si>
    <t>ЕГЭ Инфо Старунова</t>
  </si>
  <si>
    <r>
      <rPr>
        <rFont val="Arial"/>
        <color theme="1"/>
        <sz val="10.0"/>
      </rPr>
      <t xml:space="preserve">Робо (Рогацкина) </t>
    </r>
    <r>
      <rPr>
        <rFont val="Arial"/>
        <b/>
        <color theme="1"/>
        <sz val="10.0"/>
      </rPr>
      <t>410</t>
    </r>
  </si>
  <si>
    <r>
      <rPr>
        <rFont val="Arial"/>
        <color theme="1"/>
        <sz val="10.0"/>
      </rPr>
      <t xml:space="preserve">Матпрак (Исмаилов) </t>
    </r>
    <r>
      <rPr>
        <rFont val="Arial"/>
        <b/>
        <color theme="1"/>
        <sz val="10.0"/>
      </rPr>
      <t>202</t>
    </r>
  </si>
  <si>
    <r>
      <rPr>
        <rFont val="Arial"/>
        <color theme="1"/>
        <sz val="10.0"/>
      </rPr>
      <t xml:space="preserve">Физра (Ларченко) </t>
    </r>
    <r>
      <rPr>
        <rFont val="Arial"/>
        <b/>
        <color theme="1"/>
        <sz val="10.0"/>
      </rPr>
      <t>СЗ</t>
    </r>
  </si>
  <si>
    <r>
      <rPr>
        <rFont val="Arial"/>
        <color theme="1"/>
        <sz val="10.0"/>
      </rPr>
      <t xml:space="preserve">Матпрак (Исмаилов) </t>
    </r>
    <r>
      <rPr>
        <rFont val="Arial"/>
        <b/>
        <color theme="1"/>
        <sz val="10.0"/>
      </rPr>
      <t>202</t>
    </r>
  </si>
  <si>
    <r>
      <rPr>
        <rFont val="Arial"/>
        <color theme="1"/>
        <sz val="10.0"/>
      </rPr>
      <t xml:space="preserve">Робо (Рогацкина) </t>
    </r>
    <r>
      <rPr>
        <rFont val="Arial"/>
        <b/>
        <color theme="1"/>
        <sz val="10.0"/>
      </rPr>
      <t>410</t>
    </r>
  </si>
  <si>
    <t xml:space="preserve">Введение в науку (Караванова)        </t>
  </si>
  <si>
    <r>
      <rPr>
        <rFont val="Arial"/>
        <color theme="1"/>
        <sz val="10.0"/>
      </rPr>
      <t xml:space="preserve">Физра (Ларченко) </t>
    </r>
    <r>
      <rPr>
        <rFont val="Arial"/>
        <b/>
        <color theme="1"/>
        <sz val="10.0"/>
      </rPr>
      <t>СЗ</t>
    </r>
  </si>
  <si>
    <t>театр АЗ (театральная группа)</t>
  </si>
  <si>
    <t xml:space="preserve">театр АЗ </t>
  </si>
  <si>
    <r>
      <rPr>
        <rFont val="Arial"/>
        <color theme="1"/>
        <sz val="10.0"/>
      </rPr>
      <t xml:space="preserve">Театр </t>
    </r>
    <r>
      <rPr>
        <rFont val="Arial"/>
        <b/>
        <color theme="1"/>
        <sz val="10.0"/>
      </rPr>
      <t>АЗ</t>
    </r>
  </si>
  <si>
    <r>
      <rPr>
        <rFont val="Arial"/>
        <color theme="1"/>
        <sz val="10.0"/>
      </rPr>
      <t xml:space="preserve">Матпрак (Исмаилов)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</si>
  <si>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</si>
  <si>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Физра (Ларченко) </t>
    </r>
    <r>
      <rPr>
        <rFont val="Arial"/>
        <b/>
        <color theme="1"/>
        <sz val="10.0"/>
      </rPr>
      <t>СЗ</t>
    </r>
  </si>
  <si>
    <t>театр АЗ  (театральная группа)</t>
  </si>
  <si>
    <r>
      <rPr>
        <rFont val="Arial"/>
        <color theme="1"/>
        <sz val="10.0"/>
      </rPr>
      <t xml:space="preserve">Экономика (АЛ Попович), Технология (практика работы с инструментами) (Титов, Рогацкина) </t>
    </r>
    <r>
      <rPr>
        <rFont val="Arial"/>
        <b/>
        <color theme="1"/>
        <sz val="10.0"/>
      </rPr>
      <t>410</t>
    </r>
    <r>
      <rPr>
        <rFont val="Arial"/>
        <color theme="1"/>
        <sz val="10.0"/>
      </rPr>
      <t xml:space="preserve">, волейбол (Ларченко) </t>
    </r>
    <r>
      <rPr>
        <rFont val="Arial"/>
        <b/>
        <color theme="1"/>
        <sz val="10.0"/>
      </rPr>
      <t xml:space="preserve">СЗ, </t>
    </r>
    <r>
      <rPr>
        <rFont val="Arial"/>
        <color theme="1"/>
        <sz val="10.0"/>
      </rPr>
      <t>Проекты (Куницын), 2 КУЛЬТУРА СРЕДНЕВЕКОВЬЯ И ВОЗРОЖДЕНИЯ АС</t>
    </r>
  </si>
  <si>
    <t>Вторник</t>
  </si>
  <si>
    <t>Биология (Носкова)</t>
  </si>
  <si>
    <t xml:space="preserve">Общага (Белоус)        </t>
  </si>
  <si>
    <r>
      <rPr>
        <rFont val="Arial"/>
        <color theme="1"/>
        <sz val="10.0"/>
      </rPr>
      <t xml:space="preserve">Алгебра (Шерашова) </t>
    </r>
    <r>
      <rPr>
        <rFont val="Arial"/>
        <b/>
        <color theme="1"/>
        <sz val="10.0"/>
      </rPr>
      <t>401</t>
    </r>
  </si>
  <si>
    <r>
      <rPr>
        <rFont val="Arial"/>
        <color theme="1"/>
        <sz val="10.0"/>
      </rPr>
      <t xml:space="preserve">Хор (Краснова и Никулова) </t>
    </r>
    <r>
      <rPr>
        <rFont val="Arial"/>
        <b/>
        <color theme="1"/>
        <sz val="10.0"/>
      </rPr>
      <t>КЗ</t>
    </r>
  </si>
  <si>
    <t xml:space="preserve">Литра (Хуснутдинов)        </t>
  </si>
  <si>
    <t>Русский (Харитонов)</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</si>
  <si>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</si>
  <si>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</si>
  <si>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 xml:space="preserve">Биология (Носкова)        </t>
  </si>
  <si>
    <r>
      <rPr>
        <rFont val="Arial"/>
        <color theme="1"/>
        <sz val="10.0"/>
      </rPr>
      <t xml:space="preserve">Алгебра (Шерашова) </t>
    </r>
    <r>
      <rPr>
        <rFont val="Arial"/>
        <b/>
        <color theme="1"/>
        <sz val="10.0"/>
      </rPr>
      <t>401</t>
    </r>
  </si>
  <si>
    <r>
      <rPr>
        <rFont val="Arial"/>
        <color theme="1"/>
        <sz val="10.0"/>
      </rPr>
      <t xml:space="preserve">Хор (Краснова и Никулова) </t>
    </r>
    <r>
      <rPr>
        <rFont val="Arial"/>
        <b/>
        <color theme="1"/>
        <sz val="10.0"/>
      </rPr>
      <t>КЗ</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</si>
  <si>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</si>
  <si>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</si>
  <si>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 xml:space="preserve">История (Белоус)        </t>
  </si>
  <si>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</si>
  <si>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</si>
  <si>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t xml:space="preserve">История (Куницын)                </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</si>
  <si>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</si>
  <si>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</si>
  <si>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</si>
  <si>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</si>
  <si>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</si>
  <si>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</si>
  <si>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</si>
  <si>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</si>
  <si>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t>История (Куницын)</t>
  </si>
  <si>
    <r>
      <rPr>
        <rFont val="Arial"/>
        <color theme="1"/>
        <sz val="10.0"/>
      </rPr>
      <t xml:space="preserve">Геом. (Шерашова) </t>
    </r>
    <r>
      <rPr>
        <rFont val="Arial"/>
        <b/>
        <color theme="1"/>
        <sz val="10.0"/>
      </rPr>
      <t>401</t>
    </r>
  </si>
  <si>
    <t>Информатика (Климов)</t>
  </si>
  <si>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</si>
  <si>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</si>
  <si>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t>Общага (Куницын)</t>
  </si>
  <si>
    <r>
      <rPr>
        <rFont val="Arial"/>
        <color theme="1"/>
        <sz val="10.0"/>
      </rPr>
      <t xml:space="preserve">Геом. (Шерашова) </t>
    </r>
    <r>
      <rPr>
        <rFont val="Arial"/>
        <b/>
        <color theme="1"/>
        <sz val="10.0"/>
      </rPr>
      <t>401</t>
    </r>
  </si>
  <si>
    <r>
      <rPr>
        <rFont val="Arial"/>
        <color theme="1"/>
        <sz val="10.0"/>
      </rPr>
      <t xml:space="preserve">Хор (Краснова и Никулова) </t>
    </r>
    <r>
      <rPr>
        <rFont val="Arial"/>
        <b/>
        <color theme="1"/>
        <sz val="10.0"/>
      </rPr>
      <t>КЗ</t>
    </r>
  </si>
  <si>
    <r>
      <rPr>
        <rFont val="Arial"/>
        <color theme="1"/>
        <sz val="10.0"/>
      </rPr>
      <t xml:space="preserve">Алгебра (Шерашова) </t>
    </r>
    <r>
      <rPr>
        <rFont val="Arial"/>
        <b/>
        <color theme="1"/>
        <sz val="10.0"/>
      </rPr>
      <t>401</t>
    </r>
  </si>
  <si>
    <t xml:space="preserve">Общага (Куницын)    </t>
  </si>
  <si>
    <r>
      <rPr>
        <rFont val="Arial"/>
        <color theme="1"/>
        <sz val="10.0"/>
      </rPr>
      <t xml:space="preserve">Хор (Краснова и Никулова) </t>
    </r>
    <r>
      <rPr>
        <rFont val="Arial"/>
        <b/>
        <color theme="1"/>
        <sz val="10.0"/>
      </rPr>
      <t>КЗ</t>
    </r>
  </si>
  <si>
    <r>
      <rPr>
        <rFont val="Arial"/>
        <color theme="1"/>
        <sz val="10.0"/>
      </rPr>
      <t xml:space="preserve">Алгебра (Шерашова) </t>
    </r>
    <r>
      <rPr>
        <rFont val="Arial"/>
        <b/>
        <color theme="1"/>
        <sz val="10.0"/>
      </rPr>
      <t>401</t>
    </r>
  </si>
  <si>
    <t>ОЛИМП ФИЗИКА 6-7 класс / ГО (Решетников)</t>
  </si>
  <si>
    <t>ОЛИМП ФИЗИКА 8 класс</t>
  </si>
  <si>
    <t xml:space="preserve">Общага (Куницын)                </t>
  </si>
  <si>
    <t>Литература (Белоус)</t>
  </si>
  <si>
    <t>Среда</t>
  </si>
  <si>
    <t>Литература (Решетников)</t>
  </si>
  <si>
    <t>Информатика (Старунова)</t>
  </si>
  <si>
    <t>Доп. Матпрак (Попович)</t>
  </si>
  <si>
    <t xml:space="preserve">Общага (Куницын)   </t>
  </si>
  <si>
    <t>География (Колечкин)</t>
  </si>
  <si>
    <t xml:space="preserve">География (Колечкин)                </t>
  </si>
  <si>
    <t xml:space="preserve">Литература (Решетников)        </t>
  </si>
  <si>
    <r>
      <rPr>
        <rFont val="Arial"/>
        <color theme="1"/>
        <sz val="10.0"/>
      </rPr>
      <t xml:space="preserve">Алгебра и стат.(Шерашова) </t>
    </r>
    <r>
      <rPr>
        <rFont val="Arial"/>
        <b/>
        <color theme="1"/>
        <sz val="10.0"/>
      </rPr>
      <t>401</t>
    </r>
  </si>
  <si>
    <t>Математика (Абрамов)</t>
  </si>
  <si>
    <r>
      <rPr>
        <rFont val="Arial"/>
        <color theme="1"/>
        <sz val="10.0"/>
      </rPr>
      <t xml:space="preserve">Алгебра и стат.(Шерашова) </t>
    </r>
    <r>
      <rPr>
        <rFont val="Arial"/>
        <b/>
        <color theme="1"/>
        <sz val="10.0"/>
      </rPr>
      <t>401</t>
    </r>
  </si>
  <si>
    <t>Биология (Белоусова)</t>
  </si>
  <si>
    <r>
      <rPr>
        <rFont val="Arial"/>
        <color theme="1"/>
        <sz val="10.0"/>
      </rPr>
      <t xml:space="preserve">Алгебра (Шерашова) </t>
    </r>
    <r>
      <rPr>
        <rFont val="Arial"/>
        <b/>
        <color theme="1"/>
        <sz val="10.0"/>
      </rPr>
      <t>401</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</si>
  <si>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</si>
  <si>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t>
    </r>
  </si>
  <si>
    <t>ОДНКР (Белоус)</t>
  </si>
  <si>
    <t>Подготовка к ОГЭ по биологии (Белоусова)</t>
  </si>
  <si>
    <r>
      <rPr>
        <rFont val="Arial"/>
        <color theme="1"/>
        <sz val="10.0"/>
      </rPr>
      <t xml:space="preserve">Алгебра (Шерашова) </t>
    </r>
    <r>
      <rPr>
        <rFont val="Arial"/>
        <b/>
        <color theme="1"/>
        <sz val="10.0"/>
      </rPr>
      <t>401</t>
    </r>
  </si>
  <si>
    <r>
      <rPr>
        <rFont val="Arial"/>
        <color theme="1"/>
        <sz val="10.0"/>
      </rPr>
      <t xml:space="preserve">Алгебра (Шерашова) </t>
    </r>
    <r>
      <rPr>
        <rFont val="Arial"/>
        <b/>
        <color theme="1"/>
        <sz val="10.0"/>
      </rPr>
      <t>401</t>
    </r>
  </si>
  <si>
    <t>Торжественная линейка на улице у флагштока (начало в 8.45, приходим в 8.30)</t>
  </si>
  <si>
    <t>8.45</t>
  </si>
  <si>
    <t>ОРГ часть и собрание в АЗ</t>
  </si>
  <si>
    <r>
      <rPr>
        <rFont val="Arial"/>
        <color theme="1"/>
        <sz val="10.0"/>
      </rPr>
      <t xml:space="preserve">Классный час (Харитонов ОС) </t>
    </r>
    <r>
      <rPr>
        <rFont val="Arial"/>
        <b/>
        <color theme="5"/>
        <sz val="10.0"/>
      </rPr>
      <t>201</t>
    </r>
  </si>
  <si>
    <r>
      <rPr>
        <rFont val="Arial"/>
        <color theme="1"/>
        <sz val="10.0"/>
      </rPr>
      <t xml:space="preserve">Классный час (Дронзик АБ) </t>
    </r>
    <r>
      <rPr>
        <rFont val="Arial"/>
        <b/>
        <color theme="5"/>
        <sz val="10.0"/>
      </rPr>
      <t>210</t>
    </r>
  </si>
  <si>
    <r>
      <rPr>
        <rFont val="Arial"/>
        <color theme="1"/>
        <sz val="10.0"/>
      </rPr>
      <t xml:space="preserve">Классный час (Репнев АГ) </t>
    </r>
    <r>
      <rPr>
        <rFont val="Arial"/>
        <b/>
        <color rgb="FFEA4335"/>
        <sz val="10.0"/>
      </rPr>
      <t>АЗ</t>
    </r>
  </si>
  <si>
    <r>
      <rPr>
        <rFont val="Arial"/>
        <color theme="1"/>
        <sz val="10.0"/>
      </rPr>
      <t xml:space="preserve">Классный час (Краснова ЕИ) </t>
    </r>
    <r>
      <rPr>
        <rFont val="Arial"/>
        <b/>
        <color theme="5"/>
        <sz val="10.0"/>
      </rPr>
      <t>209</t>
    </r>
  </si>
  <si>
    <r>
      <rPr>
        <rFont val="Arial"/>
        <color theme="1"/>
        <sz val="10.0"/>
      </rPr>
      <t xml:space="preserve">Классный час (Белоусова ИН) </t>
    </r>
    <r>
      <rPr>
        <rFont val="Arial"/>
        <b/>
        <color theme="5"/>
        <sz val="10.0"/>
      </rPr>
      <t>206</t>
    </r>
  </si>
  <si>
    <r>
      <rPr>
        <rFont val="Arial"/>
        <color theme="1"/>
        <sz val="10.0"/>
      </rPr>
      <t xml:space="preserve">Классный час (Шерашова АВ) </t>
    </r>
    <r>
      <rPr>
        <rFont val="Arial"/>
        <b/>
        <color theme="5"/>
        <sz val="10.0"/>
      </rPr>
      <t>401</t>
    </r>
  </si>
  <si>
    <r>
      <rPr>
        <rFont val="Arial"/>
        <color theme="1"/>
        <sz val="10.0"/>
      </rPr>
      <t xml:space="preserve">Классный час (Белоус КВ) </t>
    </r>
    <r>
      <rPr>
        <rFont val="Arial"/>
        <b/>
        <color theme="5"/>
        <sz val="10.0"/>
      </rPr>
      <t>503</t>
    </r>
  </si>
  <si>
    <t>Квест и ко (Репнев АГ, Харитонов ОС) 402</t>
  </si>
  <si>
    <r>
      <rPr>
        <rFont val="Arial"/>
        <color theme="1"/>
        <sz val="10.0"/>
      </rPr>
      <t xml:space="preserve">Робототехника (Рогацкина) </t>
    </r>
    <r>
      <rPr>
        <rFont val="Arial"/>
        <b/>
        <color theme="5"/>
        <sz val="10.0"/>
      </rPr>
      <t>410</t>
    </r>
  </si>
  <si>
    <r>
      <rPr>
        <rFont val="Arial"/>
        <color theme="1"/>
      </rPr>
      <t xml:space="preserve">Информатика (Старунова) </t>
    </r>
    <r>
      <rPr>
        <rFont val="Arial"/>
        <b/>
        <color rgb="FFFF0000"/>
      </rPr>
      <t>408</t>
    </r>
  </si>
  <si>
    <r>
      <rPr>
        <rFont val="Arial"/>
        <color theme="1"/>
        <sz val="10.0"/>
      </rPr>
      <t xml:space="preserve">Математика (Шерашова) </t>
    </r>
    <r>
      <rPr>
        <rFont val="Arial"/>
        <b/>
        <color theme="5"/>
        <sz val="10.0"/>
      </rPr>
      <t>401</t>
    </r>
  </si>
  <si>
    <r>
      <rPr>
        <rFont val="Arial"/>
        <color theme="1"/>
        <sz val="10.0"/>
      </rPr>
      <t xml:space="preserve">Матпрак (Исмаилов) </t>
    </r>
    <r>
      <rPr>
        <rFont val="Arial"/>
        <b/>
        <color theme="5"/>
        <sz val="10.0"/>
      </rPr>
      <t>202</t>
    </r>
  </si>
  <si>
    <r>
      <rPr>
        <rFont val="Arial"/>
        <color theme="1"/>
        <sz val="10.0"/>
      </rPr>
      <t xml:space="preserve">Литература(Решетников) </t>
    </r>
    <r>
      <rPr>
        <rFont val="Arial"/>
        <b/>
        <color rgb="FFEA4335"/>
        <sz val="10.0"/>
      </rPr>
      <t>409</t>
    </r>
  </si>
  <si>
    <r>
      <rPr>
        <rFont val="Arial"/>
        <color theme="1"/>
        <sz val="10.0"/>
      </rPr>
      <t xml:space="preserve">Англ (Домбровская) </t>
    </r>
    <r>
      <rPr>
        <rFont val="Arial"/>
        <b/>
        <color theme="5"/>
        <sz val="10.0"/>
      </rPr>
      <t>405</t>
    </r>
  </si>
  <si>
    <r>
      <rPr>
        <rFont val="Arial"/>
        <color theme="1"/>
        <sz val="10.0"/>
      </rPr>
      <t xml:space="preserve">Биология (Белоусова) </t>
    </r>
    <r>
      <rPr>
        <rFont val="Arial"/>
        <b/>
        <color rgb="FFFF0000"/>
        <sz val="10.0"/>
      </rPr>
      <t>206</t>
    </r>
  </si>
  <si>
    <r>
      <rPr>
        <rFont val="Arial"/>
        <color theme="1"/>
        <sz val="10.0"/>
      </rPr>
      <t xml:space="preserve">История (Куницын) </t>
    </r>
    <r>
      <rPr>
        <rFont val="Arial"/>
        <b/>
        <color theme="5"/>
        <sz val="10.0"/>
      </rPr>
      <t>503</t>
    </r>
  </si>
  <si>
    <r>
      <rPr>
        <rFont val="Arial"/>
        <color theme="1"/>
        <sz val="10.0"/>
      </rPr>
      <t xml:space="preserve">Русский (Харитонов) </t>
    </r>
    <r>
      <rPr>
        <rFont val="Arial"/>
        <b/>
        <color theme="5"/>
        <sz val="10.0"/>
      </rPr>
      <t>201</t>
    </r>
  </si>
  <si>
    <r>
      <rPr>
        <rFont val="Arial"/>
        <color theme="1"/>
        <sz val="10.0"/>
      </rPr>
      <t xml:space="preserve">Литература (Белоус) </t>
    </r>
    <r>
      <rPr>
        <rFont val="Arial"/>
        <b/>
        <color rgb="FFFF0000"/>
        <sz val="10.0"/>
      </rPr>
      <t>210</t>
    </r>
  </si>
  <si>
    <r>
      <rPr>
        <rFont val="Arial"/>
        <color theme="1"/>
        <sz val="10.0"/>
      </rPr>
      <t xml:space="preserve">Математика. (Заводов) </t>
    </r>
    <r>
      <rPr>
        <rFont val="Arial"/>
        <b/>
        <color theme="5"/>
        <sz val="10.0"/>
      </rPr>
      <t>209</t>
    </r>
  </si>
  <si>
    <r>
      <rPr>
        <rFont val="Arial"/>
        <color theme="1"/>
        <sz val="10.0"/>
      </rPr>
      <t xml:space="preserve">Хор (Краснова ЕИ) </t>
    </r>
    <r>
      <rPr>
        <rFont val="Arial"/>
        <b/>
        <color theme="5"/>
        <sz val="10.0"/>
      </rPr>
      <t>АЗ</t>
    </r>
  </si>
  <si>
    <r>
      <rPr>
        <rFont val="Arial"/>
        <color theme="1"/>
      </rPr>
      <t xml:space="preserve">Информатика (Старунова) </t>
    </r>
    <r>
      <rPr>
        <rFont val="Arial"/>
        <b/>
        <color theme="5"/>
      </rPr>
      <t>408</t>
    </r>
  </si>
  <si>
    <r>
      <rPr>
        <rFont val="Arial"/>
        <color theme="1"/>
        <sz val="10.0"/>
      </rPr>
      <t xml:space="preserve">Робототехника (Рогацкина) </t>
    </r>
    <r>
      <rPr>
        <rFont val="Arial"/>
        <b/>
        <color theme="5"/>
        <sz val="10.0"/>
      </rPr>
      <t>410</t>
    </r>
  </si>
  <si>
    <r>
      <rPr>
        <rFont val="Arial"/>
        <color theme="1"/>
        <sz val="10.0"/>
      </rPr>
      <t xml:space="preserve">Матпрак (Исмаилов) </t>
    </r>
    <r>
      <rPr>
        <rFont val="Arial"/>
        <b/>
        <color theme="5"/>
        <sz val="10.0"/>
      </rPr>
      <t>202</t>
    </r>
  </si>
  <si>
    <r>
      <rPr>
        <rFont val="Arial"/>
        <color theme="1"/>
        <sz val="10.0"/>
      </rPr>
      <t xml:space="preserve">Математика (Шерашова) </t>
    </r>
    <r>
      <rPr>
        <rFont val="Arial"/>
        <b/>
        <color theme="5"/>
        <sz val="10.0"/>
      </rPr>
      <t>401</t>
    </r>
  </si>
  <si>
    <r>
      <rPr>
        <rFont val="Arial"/>
        <color theme="1"/>
        <sz val="10.0"/>
      </rPr>
      <t xml:space="preserve">Литература(Решетников) </t>
    </r>
    <r>
      <rPr>
        <rFont val="Arial"/>
        <b/>
        <color theme="5"/>
        <sz val="10.0"/>
      </rPr>
      <t>409</t>
    </r>
  </si>
  <si>
    <r>
      <rPr>
        <rFont val="Arial"/>
        <color theme="1"/>
        <sz val="10.0"/>
      </rPr>
      <t xml:space="preserve">Англ (Домбровская) </t>
    </r>
    <r>
      <rPr>
        <rFont val="Arial"/>
        <b/>
        <color theme="5"/>
        <sz val="10.0"/>
      </rPr>
      <t>405</t>
    </r>
  </si>
  <si>
    <r>
      <rPr>
        <rFont val="Arial"/>
        <color theme="1"/>
        <sz val="10.0"/>
      </rPr>
      <t xml:space="preserve">История (Куницын) </t>
    </r>
    <r>
      <rPr>
        <rFont val="Arial"/>
        <b/>
        <color theme="5"/>
        <sz val="10.0"/>
      </rPr>
      <t>503</t>
    </r>
  </si>
  <si>
    <r>
      <rPr>
        <rFont val="Arial"/>
        <color theme="1"/>
        <sz val="10.0"/>
      </rPr>
      <t xml:space="preserve">Биология (Белоусова) </t>
    </r>
    <r>
      <rPr>
        <rFont val="Arial"/>
        <b/>
        <color theme="5"/>
        <sz val="10.0"/>
      </rPr>
      <t>206</t>
    </r>
  </si>
  <si>
    <r>
      <rPr>
        <rFont val="Arial"/>
        <color theme="1"/>
        <sz val="10.0"/>
      </rPr>
      <t xml:space="preserve">Литература (Белоус)  </t>
    </r>
    <r>
      <rPr>
        <rFont val="Arial"/>
        <b/>
        <color theme="5"/>
        <sz val="10.0"/>
      </rPr>
      <t>210</t>
    </r>
  </si>
  <si>
    <r>
      <rPr>
        <rFont val="Arial"/>
        <color theme="1"/>
        <sz val="10.0"/>
      </rPr>
      <t xml:space="preserve">Русский (Харитонов) </t>
    </r>
    <r>
      <rPr>
        <rFont val="Arial"/>
        <b/>
        <color theme="5"/>
        <sz val="10.0"/>
      </rPr>
      <t>201</t>
    </r>
  </si>
  <si>
    <r>
      <rPr>
        <rFont val="Arial"/>
        <color theme="1"/>
        <sz val="10.0"/>
      </rPr>
      <t xml:space="preserve">Хор (Краснова ЕИ) </t>
    </r>
    <r>
      <rPr>
        <rFont val="Arial"/>
        <b/>
        <color theme="5"/>
        <sz val="10.0"/>
      </rPr>
      <t>АЗ</t>
    </r>
  </si>
  <si>
    <r>
      <rPr>
        <rFont val="Arial"/>
        <color theme="1"/>
        <sz val="10.0"/>
      </rPr>
      <t xml:space="preserve">Математика. (Заводов) </t>
    </r>
    <r>
      <rPr>
        <rFont val="Arial"/>
        <b/>
        <color theme="5"/>
        <sz val="10.0"/>
      </rPr>
      <t>209</t>
    </r>
  </si>
  <si>
    <t>13.15</t>
  </si>
  <si>
    <t>13.55</t>
  </si>
  <si>
    <t>Пятница</t>
  </si>
  <si>
    <t>Информатика (Клейменов)</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</si>
  <si>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</si>
  <si>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</si>
  <si>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 xml:space="preserve">Русский (Харитонов)        </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</si>
  <si>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</si>
  <si>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</si>
  <si>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Право (Куницын)</t>
  </si>
  <si>
    <r>
      <rPr>
        <rFont val="Arial"/>
        <color theme="1"/>
        <sz val="10.0"/>
      </rPr>
      <t xml:space="preserve">театр </t>
    </r>
    <r>
      <rPr>
        <rFont val="Arial"/>
        <b/>
        <color theme="1"/>
        <sz val="10.0"/>
      </rPr>
      <t>АЗ</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</si>
  <si>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</si>
  <si>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</si>
  <si>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</si>
  <si>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</si>
  <si>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t>Информатика (Аларкон)</t>
  </si>
  <si>
    <t>Англ (Домбровская)</t>
  </si>
  <si>
    <t>Экономика (Куницын)</t>
  </si>
  <si>
    <t>Физика ЕГЭ</t>
  </si>
  <si>
    <r>
      <rPr>
        <rFont val="Arial"/>
        <color theme="1"/>
        <sz val="10.0"/>
      </rPr>
      <t xml:space="preserve">Английский ЕГЭ Слоневская </t>
    </r>
    <r>
      <rPr>
        <rFont val="Arial"/>
        <b/>
        <color theme="1"/>
        <sz val="10.0"/>
      </rPr>
      <t>404</t>
    </r>
  </si>
  <si>
    <t>Литра (Харитонов)</t>
  </si>
  <si>
    <r>
      <rPr>
        <rFont val="Arial"/>
        <color theme="1"/>
        <sz val="10.0"/>
      </rPr>
      <t xml:space="preserve">Англ (Домбровская) </t>
    </r>
    <r>
      <rPr>
        <rFont val="Arial"/>
        <b/>
        <color theme="1"/>
        <sz val="10.0"/>
      </rPr>
      <t>405</t>
    </r>
  </si>
  <si>
    <t xml:space="preserve">Хор (Краснова и Никулова) КЗ        </t>
  </si>
  <si>
    <r>
      <rPr>
        <rFont val="Arial"/>
        <color theme="1"/>
        <sz val="10.0"/>
      </rPr>
      <t xml:space="preserve">Английский ЕГЭ Слоневская </t>
    </r>
    <r>
      <rPr>
        <rFont val="Arial"/>
        <b/>
        <color theme="1"/>
        <sz val="10.0"/>
      </rPr>
      <t>404</t>
    </r>
  </si>
  <si>
    <t xml:space="preserve">Олимп инфо (Подворный) </t>
  </si>
  <si>
    <r>
      <rPr>
        <rFont val="Arial"/>
        <color theme="1"/>
        <sz val="10.0"/>
      </rPr>
      <t xml:space="preserve">Хор (Краснова и Никулова) </t>
    </r>
    <r>
      <rPr>
        <rFont val="Arial"/>
        <b/>
        <color theme="1"/>
        <sz val="10.0"/>
      </rPr>
      <t>КЗ</t>
    </r>
  </si>
  <si>
    <r>
      <rPr>
        <rFont val="Arial"/>
        <color theme="1"/>
        <sz val="10.0"/>
      </rPr>
      <t xml:space="preserve">ТРИЗ (5-6 класс). ХОР (Краснова, Никулова), Цирковая Студия (Ларченко), CTF (Филатов), Экономика для начинающих (Кирюшин), Го (Решетников), проекты по робототехнике (Рогацкина), Мир в XVIII-XIX веках (Куницын), Проекты (Слоневская) </t>
    </r>
    <r>
      <rPr>
        <rFont val="Arial"/>
        <b/>
        <color theme="1"/>
        <sz val="10.0"/>
      </rPr>
      <t>zoom, 2 ПЯТНИЧНЫЕ ГИРИ С АЛЬФРЕДОМ</t>
    </r>
  </si>
  <si>
    <t>ДИСТУРЫ (олимпинфо, Подворный)</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</si>
  <si>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</si>
  <si>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</si>
  <si>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</si>
  <si>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t>театр 504</t>
  </si>
  <si>
    <t>Информатика (Клейменов, Старунова) АЗ</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</si>
  <si>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</si>
  <si>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</si>
  <si>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</si>
  <si>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</si>
  <si>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</si>
  <si>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</si>
  <si>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</si>
  <si>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</si>
  <si>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</si>
  <si>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</si>
  <si>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</si>
  <si>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</si>
  <si>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</si>
  <si>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</si>
  <si>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</si>
  <si>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t>
    </r>
    <r>
      <rPr>
        <rFont val="Arial"/>
        <b/>
        <color theme="1"/>
        <sz val="10.0"/>
      </rPr>
      <t>504</t>
    </r>
  </si>
  <si>
    <r>
      <rPr>
        <rFont val="Arial"/>
        <color theme="1"/>
      </rPr>
      <t xml:space="preserve">Литература (Решетников) </t>
    </r>
    <r>
      <rPr>
        <rFont val="Arial"/>
        <b/>
        <color theme="1"/>
      </rPr>
      <t>202</t>
    </r>
  </si>
  <si>
    <r>
      <rPr>
        <rFont val="Arial"/>
        <color theme="1"/>
        <sz val="10.0"/>
      </rPr>
      <t xml:space="preserve">Англ (Алехина) </t>
    </r>
    <r>
      <rPr>
        <rFont val="Arial"/>
        <b/>
        <color rgb="FFFF0000"/>
        <sz val="10.0"/>
      </rPr>
      <t>209</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</si>
  <si>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</si>
  <si>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</si>
  <si>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</si>
  <si>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Информатика (Клейменов) </t>
    </r>
    <r>
      <rPr>
        <rFont val="Arial"/>
        <b/>
        <color theme="1"/>
        <sz val="10.0"/>
      </rPr>
      <t>АЗ</t>
    </r>
  </si>
  <si>
    <r>
      <rPr>
        <rFont val="Arial"/>
        <color theme="1"/>
        <sz val="10.0"/>
      </rPr>
      <t xml:space="preserve">Физика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</si>
  <si>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</si>
  <si>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</si>
  <si>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</si>
  <si>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</si>
  <si>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Англ (Алехина) </t>
    </r>
    <r>
      <rPr>
        <rFont val="Arial"/>
        <b/>
        <color rgb="FFFF0000"/>
        <sz val="10.0"/>
      </rPr>
      <t>209</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</si>
  <si>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</si>
  <si>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</si>
  <si>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</si>
  <si>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Информатика (Клейменов ) </t>
    </r>
    <r>
      <rPr>
        <rFont val="Arial"/>
        <b/>
        <color theme="1"/>
        <sz val="10.0"/>
      </rPr>
      <t>АЗ</t>
    </r>
  </si>
  <si>
    <r>
      <rPr>
        <rFont val="Arial"/>
        <color theme="1"/>
      </rPr>
      <t xml:space="preserve">Матпрак (Решетников ИА) </t>
    </r>
    <r>
      <rPr>
        <rFont val="Arial"/>
        <b/>
        <color theme="1"/>
      </rPr>
      <t>401</t>
    </r>
  </si>
  <si>
    <r>
      <rPr>
        <rFont val="Arial"/>
        <color theme="1"/>
        <sz val="10.0"/>
      </rPr>
      <t xml:space="preserve">Общество (Куницын) </t>
    </r>
    <r>
      <rPr>
        <rFont val="Arial"/>
        <b/>
        <color theme="1"/>
        <sz val="10.0"/>
      </rPr>
      <t>503</t>
    </r>
  </si>
  <si>
    <r>
      <rPr>
        <rFont val="Arial"/>
        <color theme="1"/>
        <sz val="10.0"/>
      </rPr>
      <t xml:space="preserve">Физика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</si>
  <si>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</si>
  <si>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</si>
  <si>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</si>
  <si>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</si>
  <si>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</si>
  <si>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</si>
  <si>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</si>
  <si>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</si>
  <si>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</si>
  <si>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theme="1"/>
      </rPr>
      <t xml:space="preserve">Матпрак (Решетников ИА) </t>
    </r>
    <r>
      <rPr>
        <rFont val="Arial"/>
        <b/>
        <color theme="1"/>
      </rPr>
      <t>401</t>
    </r>
  </si>
  <si>
    <r>
      <rPr>
        <rFont val="Arial"/>
        <color theme="1"/>
        <sz val="10.0"/>
      </rPr>
      <t xml:space="preserve">Общество (Куницын) </t>
    </r>
    <r>
      <rPr>
        <rFont val="Arial"/>
        <b/>
        <color theme="1"/>
        <sz val="10.0"/>
      </rPr>
      <t>503</t>
    </r>
  </si>
  <si>
    <r>
      <rPr>
        <rFont val="Arial"/>
        <color theme="1"/>
        <sz val="10.0"/>
      </rPr>
      <t xml:space="preserve">Физика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</si>
  <si>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</si>
  <si>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</si>
  <si>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</si>
  <si>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</si>
  <si>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</si>
  <si>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t>
    </r>
    <r>
      <rPr>
        <rFont val="Arial"/>
        <b/>
        <color theme="1"/>
        <sz val="10.0"/>
      </rPr>
      <t>АЗ</t>
    </r>
  </si>
  <si>
    <r>
      <rPr>
        <rFont val="Arial"/>
        <color theme="1"/>
        <sz val="10.0"/>
      </rPr>
      <t xml:space="preserve">Матпрак (Исмаилов, Латыпова) </t>
    </r>
    <r>
      <rPr>
        <rFont val="Arial"/>
        <b/>
        <color theme="1"/>
        <sz val="10.0"/>
      </rPr>
      <t>501</t>
    </r>
  </si>
  <si>
    <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</si>
  <si>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</si>
  <si>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rgb="FFFF0000"/>
        <sz val="10.0"/>
      </rPr>
      <t xml:space="preserve">Экономика (Куницын) </t>
    </r>
    <r>
      <rPr>
        <rFont val="Arial"/>
        <b/>
        <color rgb="FFFF0000"/>
        <sz val="10.0"/>
      </rPr>
      <t>503</t>
    </r>
  </si>
  <si>
    <r>
      <rPr>
        <rFont val="Arial"/>
        <color theme="1"/>
        <sz val="10.0"/>
      </rPr>
      <t xml:space="preserve">Физика ЕГЭ </t>
    </r>
    <r>
      <rPr>
        <rFont val="Arial"/>
        <b/>
        <color theme="1"/>
        <sz val="10.0"/>
      </rPr>
      <t>402</t>
    </r>
    <r>
      <rPr>
        <rFont val="Arial"/>
        <color theme="1"/>
        <sz val="10.0"/>
      </rPr>
      <t xml:space="preserve">/ Биология ЕГЭ </t>
    </r>
    <r>
      <rPr>
        <rFont val="Arial"/>
        <b/>
        <color theme="1"/>
        <sz val="10.0"/>
      </rPr>
      <t>401</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</si>
  <si>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</si>
  <si>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</si>
  <si>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</si>
  <si>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</si>
  <si>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t>Хор (Краснова и Нику</t>
    </r>
    <r>
      <rPr>
        <rFont val="Arial"/>
        <b/>
        <color theme="1"/>
        <sz val="10.0"/>
      </rPr>
      <t xml:space="preserve">лова) АЗ  </t>
    </r>
  </si>
  <si>
    <t>Геометрия (Абрамов) 209</t>
  </si>
  <si>
    <r>
      <rPr>
        <rFont val="Arial"/>
        <color theme="1"/>
        <sz val="10.0"/>
      </rPr>
      <t xml:space="preserve">Матпрак (Исмаилов, Латыпова) </t>
    </r>
    <r>
      <rPr>
        <rFont val="Arial"/>
        <b/>
        <color theme="1"/>
        <sz val="10.0"/>
      </rPr>
      <t>501</t>
    </r>
  </si>
  <si>
    <r>
      <rPr>
        <rFont val="Arial"/>
        <color theme="1"/>
        <sz val="10.0"/>
      </rPr>
      <t xml:space="preserve">Театр  (Обидина) </t>
    </r>
    <r>
      <rPr>
        <rFont val="Arial"/>
        <b/>
        <color theme="1"/>
        <sz val="10.0"/>
      </rPr>
      <t>504</t>
    </r>
  </si>
  <si>
    <r>
      <rPr>
        <rFont val="Arial"/>
        <color rgb="FFFFFFFF"/>
        <sz val="10.0"/>
      </rPr>
      <t xml:space="preserve">Доп. Матпрак (Попович) </t>
    </r>
    <r>
      <rPr>
        <rFont val="Arial"/>
        <b/>
        <color rgb="FFFFFFFF"/>
        <sz val="10.0"/>
      </rPr>
      <t>202</t>
    </r>
  </si>
  <si>
    <r>
      <rPr>
        <rFont val="Arial"/>
        <color theme="1"/>
        <sz val="10.0"/>
      </rPr>
      <t xml:space="preserve">Театр  (Обидина) </t>
    </r>
    <r>
      <rPr>
        <rFont val="Arial"/>
        <b/>
        <color theme="1"/>
        <sz val="10.0"/>
      </rPr>
      <t>504</t>
    </r>
  </si>
  <si>
    <r>
      <rPr>
        <rFont val="Arial"/>
        <color theme="1"/>
        <sz val="10.0"/>
      </rPr>
      <t xml:space="preserve">Физика ЕГЭ </t>
    </r>
    <r>
      <rPr>
        <rFont val="Arial"/>
        <b/>
        <color theme="1"/>
        <sz val="10.0"/>
      </rPr>
      <t>402</t>
    </r>
    <r>
      <rPr>
        <rFont val="Arial"/>
        <color theme="1"/>
        <sz val="10.0"/>
      </rPr>
      <t xml:space="preserve">/ Биология ЕГЭ </t>
    </r>
    <r>
      <rPr>
        <rFont val="Arial"/>
        <b/>
        <color theme="1"/>
        <sz val="10.0"/>
      </rPr>
      <t>401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</si>
  <si>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</si>
  <si>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</si>
  <si>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rgb="FFFFFFFF"/>
        <sz val="10.0"/>
      </rPr>
      <t xml:space="preserve">Олимп инфо (Подворный)  до 17.00 </t>
    </r>
    <r>
      <rPr>
        <rFont val="Arial"/>
        <b/>
        <color rgb="FFFFFFFF"/>
        <sz val="10.0"/>
      </rPr>
      <t>408</t>
    </r>
  </si>
  <si>
    <r>
      <rPr>
        <rFont val="Arial"/>
        <color theme="1"/>
        <sz val="10.0"/>
      </rPr>
      <t xml:space="preserve">Биология (Носкова)  </t>
    </r>
    <r>
      <rPr>
        <rFont val="Arial"/>
        <b/>
        <color theme="1"/>
        <sz val="10.0"/>
      </rPr>
      <t>401</t>
    </r>
  </si>
  <si>
    <r>
      <t>Хор (Краснова и Нику</t>
    </r>
    <r>
      <rPr>
        <rFont val="Arial"/>
        <b/>
        <color theme="1"/>
        <sz val="10.0"/>
      </rPr>
      <t xml:space="preserve">лова) АЗ  </t>
    </r>
  </si>
  <si>
    <r>
      <rPr>
        <rFont val="Arial"/>
        <color theme="1"/>
        <sz val="10.0"/>
      </rPr>
      <t xml:space="preserve">Матпрак (Исмаилов, Латыпова) </t>
    </r>
    <r>
      <rPr>
        <rFont val="Arial"/>
        <b/>
        <color theme="1"/>
        <sz val="10.0"/>
      </rPr>
      <t>501</t>
    </r>
  </si>
  <si>
    <r>
      <rPr>
        <rFont val="Arial"/>
        <color theme="1"/>
        <sz val="10.0"/>
      </rPr>
      <t xml:space="preserve">Театр  (Обидина) </t>
    </r>
    <r>
      <rPr>
        <rFont val="Arial"/>
        <b/>
        <color theme="1"/>
        <sz val="10.0"/>
      </rPr>
      <t>504</t>
    </r>
  </si>
  <si>
    <r>
      <rPr>
        <rFont val="Arial"/>
        <color rgb="FFFFFFFF"/>
        <sz val="10.0"/>
      </rPr>
      <t xml:space="preserve">Доп. Матпрак (Попович) </t>
    </r>
    <r>
      <rPr>
        <rFont val="Arial"/>
        <b/>
        <color rgb="FFFFFFFF"/>
        <sz val="10.0"/>
      </rPr>
      <t>202</t>
    </r>
  </si>
  <si>
    <r>
      <rPr>
        <rFont val="Arial"/>
        <color theme="1"/>
        <sz val="10.0"/>
      </rPr>
      <t xml:space="preserve">Театр  (Обидина) </t>
    </r>
    <r>
      <rPr>
        <rFont val="Arial"/>
        <b/>
        <color theme="1"/>
        <sz val="10.0"/>
      </rPr>
      <t>504</t>
    </r>
  </si>
  <si>
    <r>
      <rPr>
        <rFont val="Arial"/>
        <color theme="1"/>
        <sz val="36.0"/>
      </rPr>
      <t xml:space="preserve">11:00 Лекция и мастеркласс по применению машинного обучения в промышленности. На мастер-класс нужен ноутбук с камерой и интернетом </t>
    </r>
    <r>
      <rPr>
        <rFont val="Arial"/>
        <color rgb="FFCC0000"/>
        <sz val="36.0"/>
      </rPr>
      <t>АЗ</t>
    </r>
  </si>
  <si>
    <t>Все кабинеты</t>
  </si>
  <si>
    <t>СЗ,КЗ,201,202,206,209,210,301,302,304,305,307,308,401,402,403,404,405,406,408,409,410,АЗ,503,504,506</t>
  </si>
  <si>
    <t>Занято Таможенным вне 3 этажа</t>
  </si>
  <si>
    <r>
      <t xml:space="preserve">ДИАЛОГИ О ВАЖНОМ (Старунова) </t>
    </r>
    <r>
      <rPr>
        <rFont val="Arial"/>
        <b/>
        <color theme="1"/>
        <sz val="10.0"/>
      </rPr>
      <t>201</t>
    </r>
  </si>
  <si>
    <r>
      <t xml:space="preserve">ДИАЛОГИ О ВАЖНОМ (Дронзик) </t>
    </r>
    <r>
      <rPr>
        <rFont val="Arial"/>
        <b/>
        <color theme="1"/>
        <sz val="10.0"/>
      </rPr>
      <t>210 / олинфо 202</t>
    </r>
  </si>
  <si>
    <r>
      <t xml:space="preserve">ДИАЛОГИ О ВАЖНОМ (Репнев) </t>
    </r>
    <r>
      <rPr>
        <rFont val="Arial"/>
        <b/>
        <color theme="1"/>
        <sz val="10.0"/>
      </rPr>
      <t>АЗ / олинфо 202</t>
    </r>
  </si>
  <si>
    <r>
      <rPr>
        <rFont val="Arial"/>
        <color theme="1"/>
        <sz val="10.0"/>
      </rPr>
      <t xml:space="preserve">ДИАЛОГИ О ВАЖНОМ (Краснова ЕИ) </t>
    </r>
    <r>
      <rPr>
        <rFont val="Arial"/>
        <b/>
        <color theme="1"/>
        <sz val="10.0"/>
      </rPr>
      <t>402</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</si>
  <si>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</si>
  <si>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</si>
  <si>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</si>
  <si>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</si>
  <si>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404</t>
    </r>
  </si>
  <si>
    <t>Хор (Краснова и Никулова) АЗ / олинфо 202</t>
  </si>
  <si>
    <r>
      <rPr>
        <rFont val="Arial"/>
        <color theme="1"/>
        <sz val="10.0"/>
      </rPr>
      <t xml:space="preserve">Геометрия (Абрамов) </t>
    </r>
    <r>
      <rPr>
        <rFont val="Arial"/>
        <b/>
        <color theme="1"/>
        <sz val="10.0"/>
      </rPr>
      <t>210</t>
    </r>
  </si>
  <si>
    <r>
      <t xml:space="preserve">Общество (Белоус) </t>
    </r>
    <r>
      <rPr>
        <rFont val="Roboto, RobotoDraft, Helvetica, Arial, sans-serif"/>
        <b/>
        <color rgb="FF000000"/>
      </rPr>
      <t>503 / олинфо 202</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</si>
  <si>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</si>
  <si>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</si>
  <si>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</si>
  <si>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</si>
  <si>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</si>
  <si>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</si>
  <si>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Решетников)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</si>
  <si>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</si>
  <si>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404</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</si>
  <si>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</si>
  <si>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</si>
  <si>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</si>
  <si>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</si>
  <si>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</si>
  <si>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</si>
  <si>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</si>
  <si>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</si>
  <si>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t>Завтрак 10.25-10.45 5-7С и Интеллект</t>
  </si>
  <si>
    <r>
      <rPr>
        <rFont val="Arial"/>
        <color theme="1"/>
        <sz val="10.0"/>
      </rPr>
      <t xml:space="preserve">Робо (Рогацкина) </t>
    </r>
    <r>
      <rPr>
        <rFont val="Arial"/>
        <b/>
        <color theme="1"/>
        <sz val="10.0"/>
      </rPr>
      <t>410</t>
    </r>
  </si>
  <si>
    <r>
      <rPr>
        <rFont val="Arial"/>
        <color theme="1"/>
        <sz val="10.0"/>
      </rPr>
      <t xml:space="preserve">Матпрак (Митев, Решетников)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</si>
  <si>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</si>
  <si>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</si>
  <si>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</si>
  <si>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</si>
  <si>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</si>
  <si>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</si>
  <si>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</si>
  <si>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</si>
  <si>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</si>
  <si>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</si>
  <si>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t>Завтрак 11.25-12.25 7Т-11</t>
  </si>
  <si>
    <r>
      <rPr>
        <rFont val="Arial"/>
        <color theme="1"/>
        <sz val="10.0"/>
      </rPr>
      <t xml:space="preserve">Матпрак (Митев, Решетников)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</si>
  <si>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</si>
  <si>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</si>
  <si>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</si>
  <si>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</si>
  <si>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</si>
  <si>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</si>
  <si>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</si>
  <si>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</si>
  <si>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</si>
  <si>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</si>
  <si>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</si>
  <si>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Решетников)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</si>
  <si>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</si>
  <si>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</si>
  <si>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</si>
  <si>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</si>
  <si>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</si>
  <si>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401</t>
    </r>
  </si>
  <si>
    <r>
      <rPr>
        <rFont val="Arial"/>
        <color theme="1"/>
        <sz val="10.0"/>
      </rPr>
      <t xml:space="preserve">Алгебра (Абрамов) </t>
    </r>
    <r>
      <rPr>
        <rFont val="Arial"/>
        <b/>
        <color theme="1"/>
        <sz val="10.0"/>
      </rPr>
      <t>209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</si>
  <si>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</si>
  <si>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</si>
  <si>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</si>
  <si>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</si>
  <si>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</si>
  <si>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</si>
  <si>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</si>
  <si>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</si>
  <si>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401</t>
    </r>
  </si>
  <si>
    <r>
      <rPr>
        <rFont val="Arial"/>
        <color theme="1"/>
        <sz val="10.0"/>
      </rPr>
      <t xml:space="preserve">Алгебра (Абрамов) </t>
    </r>
    <r>
      <rPr>
        <rFont val="Arial"/>
        <b/>
        <color theme="1"/>
        <sz val="10.0"/>
      </rPr>
      <t>209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</si>
  <si>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</si>
  <si>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</si>
  <si>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</si>
  <si>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</si>
  <si>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</si>
  <si>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</si>
  <si>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</si>
  <si>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</si>
  <si>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</si>
  <si>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(Решетников ИА, Латыпова) </t>
    </r>
    <r>
      <rPr>
        <rFont val="Arial"/>
        <b/>
        <color theme="1"/>
        <sz val="10.0"/>
      </rPr>
      <t>202</t>
    </r>
  </si>
  <si>
    <r>
      <rPr>
        <rFont val="Arial"/>
        <color theme="1"/>
        <sz val="10.0"/>
      </rPr>
      <t xml:space="preserve">Инд.проект Дронзик </t>
    </r>
    <r>
      <rPr>
        <rFont val="Arial"/>
        <b/>
        <color theme="1"/>
        <sz val="10.0"/>
      </rPr>
      <t>210</t>
    </r>
  </si>
  <si>
    <r>
      <rPr>
        <rFont val="Arial"/>
        <color theme="1"/>
        <sz val="10.0"/>
      </rPr>
      <t xml:space="preserve">Русский (Хуснутдинов)  </t>
    </r>
    <r>
      <rPr>
        <rFont val="Arial"/>
        <b/>
        <color theme="1"/>
        <sz val="10.0"/>
      </rPr>
      <t>401</t>
    </r>
    <r>
      <rPr>
        <rFont val="Arial"/>
        <color theme="1"/>
        <sz val="10.0"/>
      </rPr>
      <t xml:space="preserve">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</si>
  <si>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</si>
  <si>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</si>
  <si>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</si>
  <si>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</si>
  <si>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(Решетников ИА, Латыпова) </t>
    </r>
    <r>
      <rPr>
        <rFont val="Arial"/>
        <b/>
        <color theme="1"/>
        <sz val="10.0"/>
      </rPr>
      <t>202</t>
    </r>
  </si>
  <si>
    <r>
      <rPr>
        <rFont val="Arial"/>
        <color theme="1"/>
        <sz val="10.0"/>
      </rPr>
      <t xml:space="preserve">Математика (Дронзик) </t>
    </r>
    <r>
      <rPr>
        <rFont val="Arial"/>
        <b/>
        <color theme="1"/>
        <sz val="10.0"/>
      </rPr>
      <t>210</t>
    </r>
  </si>
  <si>
    <t>Биология (Носкова) 408</t>
  </si>
  <si>
    <r>
      <rPr>
        <rFont val="Arial"/>
        <color theme="1"/>
        <sz val="10.0"/>
      </rPr>
      <t xml:space="preserve">Общество (Белоус)  </t>
    </r>
    <r>
      <rPr>
        <rFont val="Arial"/>
        <b/>
        <color theme="1"/>
        <sz val="10.0"/>
      </rPr>
      <t>406</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</si>
  <si>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</si>
  <si>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</si>
  <si>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</si>
  <si>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501</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</si>
  <si>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</si>
  <si>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</si>
  <si>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</si>
  <si>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206,409,СЗ</t>
  </si>
  <si>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</si>
  <si>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</si>
  <si>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t xml:space="preserve">Биология (Носкова)  408 </t>
  </si>
  <si>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</si>
  <si>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</si>
  <si>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</si>
  <si>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501</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</si>
  <si>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</si>
  <si>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</si>
  <si>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</si>
  <si>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 xml:space="preserve">406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</si>
  <si>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</si>
  <si>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</si>
  <si>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</si>
  <si>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</si>
  <si>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</si>
  <si>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</si>
  <si>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</si>
  <si>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</si>
  <si>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 xml:space="preserve">406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</si>
  <si>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</si>
  <si>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</si>
  <si>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</si>
  <si>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</si>
  <si>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</si>
  <si>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</si>
  <si>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</si>
  <si>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</si>
  <si>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Хор (Краснова и Никулова) А</t>
    </r>
    <r>
      <rPr>
        <rFont val="Arial"/>
        <b/>
        <color theme="1"/>
        <sz val="10.0"/>
      </rPr>
      <t>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</si>
  <si>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</si>
  <si>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</si>
  <si>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t>Русский (Харитонов) 201</t>
  </si>
  <si>
    <t xml:space="preserve">История (Белоус)   409     </t>
  </si>
  <si>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</si>
  <si>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</si>
  <si>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</si>
  <si>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 xml:space="preserve">503           </t>
    </r>
  </si>
  <si>
    <r>
      <rPr>
        <rFont val="Arial"/>
        <color theme="1"/>
        <sz val="10.0"/>
      </rPr>
      <t xml:space="preserve">Геом. (Шерашова) </t>
    </r>
    <r>
      <rPr>
        <rFont val="Arial"/>
        <b/>
        <color theme="1"/>
        <sz val="10.0"/>
      </rPr>
      <t>401</t>
    </r>
  </si>
  <si>
    <t>Информатика (Климов) 406</t>
  </si>
  <si>
    <t>СЗ</t>
  </si>
  <si>
    <r>
      <rPr>
        <rFont val="Arial"/>
        <color theme="1"/>
        <sz val="10.0"/>
      </rPr>
      <t>Хор (Краснова и Никулова) А</t>
    </r>
    <r>
      <rPr>
        <rFont val="Arial"/>
        <b/>
        <color theme="1"/>
        <sz val="10.0"/>
      </rPr>
      <t>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</si>
  <si>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</si>
  <si>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</si>
  <si>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t>История (Белоус)        409</t>
  </si>
  <si>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</si>
  <si>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</si>
  <si>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</si>
  <si>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</si>
  <si>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Геом. (Шерашова) </t>
    </r>
    <r>
      <rPr>
        <rFont val="Arial"/>
        <b/>
        <color theme="1"/>
        <sz val="10.0"/>
      </rPr>
      <t>401</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</si>
  <si>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</si>
  <si>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</si>
  <si>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Хор (Краснова и Никулова) А</t>
    </r>
    <r>
      <rPr>
        <rFont val="Arial"/>
        <b/>
        <color theme="1"/>
        <sz val="10.0"/>
      </rPr>
      <t>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</si>
  <si>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</si>
  <si>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</si>
  <si>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</si>
  <si>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</si>
  <si>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</si>
  <si>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Хор (Краснова и Никулова) А</t>
    </r>
    <r>
      <rPr>
        <rFont val="Arial"/>
        <b/>
        <color theme="1"/>
        <sz val="10.0"/>
      </rPr>
      <t>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</si>
  <si>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</si>
  <si>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</si>
  <si>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503</t>
    </r>
  </si>
  <si>
    <t>Допматпрак 202</t>
  </si>
  <si>
    <r>
      <rPr>
        <rFont val="Arial"/>
        <color theme="1"/>
        <sz val="10.0"/>
      </rPr>
      <t xml:space="preserve">ОЛИМП ФИЗИКА 8С </t>
    </r>
    <r>
      <rPr>
        <rFont val="Arial"/>
        <b/>
        <color theme="1"/>
        <sz val="10.0"/>
      </rPr>
      <t xml:space="preserve">402 </t>
    </r>
    <r>
      <rPr>
        <rFont val="Arial"/>
        <color theme="1"/>
        <sz val="10.0"/>
      </rPr>
      <t>/ хор А</t>
    </r>
    <r>
      <rPr>
        <rFont val="Arial"/>
        <b/>
        <color theme="1"/>
        <sz val="10.0"/>
      </rPr>
      <t>З</t>
    </r>
  </si>
  <si>
    <r>
      <rPr>
        <rFont val="Roboto, RobotoDraft, Helvetica, Arial, sans-serif"/>
        <color rgb="FF000000"/>
      </rPr>
      <t xml:space="preserve">Общество (Куницын) </t>
    </r>
    <r>
      <rPr>
        <rFont val="Roboto, RobotoDraft, Helvetica, Arial, sans-serif"/>
        <b/>
        <color rgb="FF000000"/>
      </rPr>
      <t>503</t>
    </r>
  </si>
  <si>
    <t>Литература (Белоус) 409</t>
  </si>
  <si>
    <r>
      <rPr>
        <rFont val="Arial"/>
        <color theme="1"/>
        <sz val="10.0"/>
      </rPr>
      <t xml:space="preserve">ОЛИМП ФИЗИКА 8С </t>
    </r>
    <r>
      <rPr>
        <rFont val="Arial"/>
        <b/>
        <color theme="1"/>
        <sz val="10.0"/>
      </rPr>
      <t xml:space="preserve">402 </t>
    </r>
    <r>
      <rPr>
        <rFont val="Arial"/>
        <color theme="1"/>
        <sz val="10.0"/>
      </rPr>
      <t>/ хор А</t>
    </r>
    <r>
      <rPr>
        <rFont val="Arial"/>
        <b/>
        <color theme="1"/>
        <sz val="10.0"/>
      </rPr>
      <t>З</t>
    </r>
  </si>
  <si>
    <r>
      <rPr>
        <rFont val="Arial"/>
        <color theme="1"/>
      </rPr>
      <t xml:space="preserve">Хор (Краснова и Никулова) </t>
    </r>
    <r>
      <rPr>
        <rFont val="Arial"/>
        <b/>
        <color theme="1"/>
      </rPr>
      <t>АЗ</t>
    </r>
  </si>
  <si>
    <t>Физра (Ларченко) СЗ / хор АЗ</t>
  </si>
  <si>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</si>
  <si>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</si>
  <si>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Математика (Дронзик) 21</t>
    </r>
    <r>
      <rPr>
        <rFont val="Arial"/>
        <b/>
        <color theme="1"/>
        <sz val="10.0"/>
      </rPr>
      <t>0</t>
    </r>
  </si>
  <si>
    <r>
      <rPr>
        <rFont val="Arial"/>
        <color theme="1"/>
        <sz val="10.0"/>
      </rPr>
      <t xml:space="preserve">Русский (Хуснутдинов) </t>
    </r>
    <r>
      <rPr>
        <rFont val="Arial"/>
        <b/>
        <color theme="1"/>
        <sz val="10.0"/>
      </rPr>
      <t xml:space="preserve">209       </t>
    </r>
  </si>
  <si>
    <r>
      <rPr>
        <rFont val="Arial"/>
        <color theme="1"/>
        <sz val="10.0"/>
      </rPr>
      <t xml:space="preserve">География (Колечкин) </t>
    </r>
    <r>
      <rPr>
        <rFont val="Arial"/>
        <b/>
        <color theme="1"/>
        <sz val="10.0"/>
      </rPr>
      <t>АЗ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</si>
  <si>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</si>
  <si>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</si>
  <si>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t>Математика (Дронзик) 210</t>
  </si>
  <si>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</si>
  <si>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</si>
  <si>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</si>
  <si>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t>Алгебра (Абрамов) 501</t>
  </si>
  <si>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</si>
  <si>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</si>
  <si>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</si>
  <si>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</si>
  <si>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</si>
  <si>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sz val="10.0"/>
      </rPr>
      <t xml:space="preserve">Литература (Решетников) </t>
    </r>
    <r>
      <rPr>
        <rFont val="Arial"/>
        <b/>
        <color theme="1"/>
        <sz val="10.0"/>
      </rPr>
      <t>202</t>
    </r>
  </si>
  <si>
    <t>Геометрия (Абрамов) 501</t>
  </si>
  <si>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</si>
  <si>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</si>
  <si>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</si>
  <si>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</si>
  <si>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 406</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</si>
  <si>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</si>
  <si>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</si>
  <si>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</si>
  <si>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</si>
  <si>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(Шерашова) </t>
    </r>
    <r>
      <rPr>
        <rFont val="Arial"/>
        <b/>
        <color theme="1"/>
        <sz val="10.0"/>
      </rPr>
      <t>401</t>
    </r>
  </si>
  <si>
    <t>Биология (Белоусова) через неделю соц и мат 405</t>
  </si>
  <si>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</si>
  <si>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</si>
  <si>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t>Русский (Хуснутдинов)  406</t>
  </si>
  <si>
    <r>
      <rPr>
        <rFont val="Arial"/>
        <color theme="1"/>
        <sz val="10.0"/>
      </rPr>
      <t xml:space="preserve">История (Белоус) </t>
    </r>
    <r>
      <rPr>
        <rFont val="Arial"/>
        <b/>
        <color theme="1"/>
        <sz val="10.0"/>
      </rPr>
      <t xml:space="preserve">402      </t>
    </r>
  </si>
  <si>
    <r>
      <rPr>
        <rFont val="Arial"/>
        <color theme="1"/>
        <sz val="10.0"/>
      </rPr>
      <t xml:space="preserve">Литература (Решетников) </t>
    </r>
    <r>
      <rPr>
        <rFont val="Arial"/>
        <b/>
        <color theme="1"/>
        <sz val="10.0"/>
      </rPr>
      <t>202</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</si>
  <si>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</si>
  <si>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</si>
  <si>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</si>
  <si>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</si>
  <si>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</si>
  <si>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История (Белоус) </t>
    </r>
    <r>
      <rPr>
        <rFont val="Arial"/>
        <b/>
        <color theme="1"/>
        <sz val="10.0"/>
      </rPr>
      <t xml:space="preserve">402    </t>
    </r>
  </si>
  <si>
    <t>Русский (Хуснутдинов) 406</t>
  </si>
  <si>
    <r>
      <rPr>
        <rFont val="Arial"/>
        <color theme="1"/>
        <sz val="10.0"/>
      </rPr>
      <t xml:space="preserve">Литература (Решетников) </t>
    </r>
    <r>
      <rPr>
        <rFont val="Arial"/>
        <b/>
        <color theme="1"/>
        <sz val="10.0"/>
      </rPr>
      <t>202</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</si>
  <si>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</si>
  <si>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</si>
  <si>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</si>
  <si>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</si>
  <si>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История (Белоус) </t>
    </r>
    <r>
      <rPr>
        <rFont val="Arial"/>
        <b/>
        <color theme="1"/>
        <sz val="10.0"/>
      </rPr>
      <t xml:space="preserve">402      </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</si>
  <si>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</si>
  <si>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</si>
  <si>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</si>
  <si>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</si>
  <si>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</si>
  <si>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</si>
  <si>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</si>
  <si>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(Белоусова) + проекты Белоусова </t>
    </r>
    <r>
      <rPr>
        <rFont val="Arial"/>
        <b/>
        <color theme="1"/>
        <sz val="10.0"/>
      </rPr>
      <t>210</t>
    </r>
  </si>
  <si>
    <t xml:space="preserve">  </t>
  </si>
  <si>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</si>
  <si>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</si>
  <si>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</si>
  <si>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</si>
  <si>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</si>
  <si>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t>Алгебра (Уно) Шерашова 401</t>
  </si>
  <si>
    <t>Матпрак (Дос) Исмаилов, Панюнин 202</t>
  </si>
  <si>
    <t>Информатика (Клейменов) 406</t>
  </si>
  <si>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</si>
  <si>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</si>
  <si>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t xml:space="preserve">Информатика (Аларкон 408)        </t>
  </si>
  <si>
    <r>
      <rPr>
        <rFont val="Arial"/>
        <color theme="1"/>
      </rPr>
      <t xml:space="preserve">Доп. История (Куницын) </t>
    </r>
    <r>
      <rPr>
        <rFont val="Arial"/>
        <b/>
        <color theme="1"/>
      </rPr>
      <t>503</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</si>
  <si>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</si>
  <si>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</si>
  <si>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</si>
  <si>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</si>
  <si>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color theme="1"/>
        <sz val="10.0"/>
      </rPr>
      <t>405</t>
    </r>
  </si>
  <si>
    <r>
      <rPr>
        <rFont val="Arial"/>
        <color theme="1"/>
        <sz val="10.0"/>
      </rPr>
      <t xml:space="preserve">Англ (Слоневская) </t>
    </r>
    <r>
      <rPr>
        <rFont val="Arial"/>
        <color theme="1"/>
        <sz val="10.0"/>
      </rPr>
      <t>404</t>
    </r>
  </si>
  <si>
    <r>
      <rPr>
        <rFont val="Arial"/>
        <color theme="1"/>
      </rPr>
      <t xml:space="preserve">Доп. История (Куницын) </t>
    </r>
    <r>
      <rPr>
        <rFont val="Arial"/>
        <b/>
        <color theme="1"/>
      </rPr>
      <t>503</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</si>
  <si>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</si>
  <si>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</si>
  <si>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t>Физика (Репнев) 402</t>
  </si>
  <si>
    <r>
      <rPr>
        <rFont val="Arial"/>
        <color theme="1"/>
        <sz val="10.0"/>
      </rPr>
      <t xml:space="preserve">Математика (Дронзик) </t>
    </r>
    <r>
      <rPr>
        <rFont val="Arial"/>
        <b/>
        <color theme="1"/>
        <sz val="10.0"/>
      </rPr>
      <t>210</t>
    </r>
  </si>
  <si>
    <t>Матпрак (Уно) Исмаилов, Панюнин 202</t>
  </si>
  <si>
    <t>Алгебра (Дос) Шерашова 401</t>
  </si>
  <si>
    <t>Биология (Белоусова) 409</t>
  </si>
  <si>
    <t>Информатика (Клейменов 201/ Аларкон 408)</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</si>
  <si>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</si>
  <si>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</si>
  <si>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</si>
  <si>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</si>
  <si>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Математика (Дронзик) </t>
    </r>
    <r>
      <rPr>
        <rFont val="Arial"/>
        <b/>
        <color theme="1"/>
        <sz val="10.0"/>
      </rPr>
      <t>210</t>
    </r>
  </si>
  <si>
    <t xml:space="preserve">Информатика (Клейменов 201 / Аларкон 408) </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</si>
  <si>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</si>
  <si>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</si>
  <si>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</si>
  <si>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</si>
  <si>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</si>
  <si>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</si>
  <si>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Информатика (Аларкон </t>
    </r>
    <r>
      <rPr>
        <rFont val="Arial"/>
        <b/>
        <color theme="1"/>
        <sz val="10.0"/>
      </rPr>
      <t>408</t>
    </r>
    <r>
      <rPr>
        <rFont val="Arial"/>
        <color theme="1"/>
        <sz val="10.0"/>
      </rPr>
      <t>)</t>
    </r>
  </si>
  <si>
    <t>Алгебра (Трес) Шерашова 401</t>
  </si>
  <si>
    <t>Матпрак (Куатро) Исмаилов, Панюнин 202</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</si>
  <si>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</si>
  <si>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</si>
  <si>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</si>
  <si>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</si>
  <si>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</si>
  <si>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ОБЖ (Старунов) </t>
    </r>
    <r>
      <rPr>
        <rFont val="Arial"/>
        <b/>
        <color theme="1"/>
        <sz val="10.0"/>
      </rPr>
      <t>206</t>
    </r>
  </si>
  <si>
    <r>
      <rPr>
        <rFont val="Arial"/>
        <color theme="1"/>
        <sz val="10.0"/>
      </rPr>
      <t xml:space="preserve">ОБЖ (Старунов) </t>
    </r>
    <r>
      <rPr>
        <rFont val="Arial"/>
        <b/>
        <color theme="1"/>
        <sz val="10.0"/>
      </rPr>
      <t>206</t>
    </r>
  </si>
  <si>
    <r>
      <rPr>
        <rFont val="Arial"/>
        <color theme="1"/>
        <sz val="10.0"/>
      </rPr>
      <t xml:space="preserve">Информатика (Аларкон </t>
    </r>
    <r>
      <rPr>
        <rFont val="Arial"/>
        <b/>
        <color theme="1"/>
        <sz val="10.0"/>
      </rPr>
      <t>408</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</si>
  <si>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</si>
  <si>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</si>
  <si>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</si>
  <si>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</si>
  <si>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</si>
  <si>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t xml:space="preserve">Короткий день! Необходимо покинуть здание школы сразу после урока, для работы избирательного участка </t>
  </si>
  <si>
    <t>Выездной день! У всех классов мероприятия ВНЕ школы (см.вкладку мероприятия и чат класса)</t>
  </si>
  <si>
    <t>СЗ,КЗ,201,202,206,209,210,401,402,403,404,405,406,408,409,410,АЗ,501,503</t>
  </si>
  <si>
    <t>6С и Т
(1 и 2 группы)</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</si>
  <si>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</si>
  <si>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</si>
  <si>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t xml:space="preserve">ДИАЛОГИ О ВАЖНОМ (Репнев) </t>
    </r>
    <r>
      <rPr>
        <rFont val="Arial"/>
        <b/>
        <color theme="1"/>
        <sz val="10.0"/>
      </rPr>
      <t>АЗ / олинфо 202</t>
    </r>
  </si>
  <si>
    <r>
      <rPr>
        <rFont val="Arial"/>
        <color theme="1"/>
        <sz val="10.0"/>
      </rPr>
      <t xml:space="preserve">ДИАЛОГИ О ВАЖНОМ (Краснова ЕИ) </t>
    </r>
    <r>
      <rPr>
        <rFont val="Arial"/>
        <b/>
        <color theme="1"/>
        <sz val="10.0"/>
      </rPr>
      <t>402</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</si>
  <si>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</si>
  <si>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</si>
  <si>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</si>
  <si>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</si>
  <si>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404</t>
    </r>
  </si>
  <si>
    <r>
      <rPr>
        <rFont val="Arial"/>
        <color theme="1"/>
        <sz val="10.0"/>
      </rPr>
      <t xml:space="preserve">Геометрия (Абрамов) </t>
    </r>
    <r>
      <rPr>
        <rFont val="Arial"/>
        <b/>
        <color theme="1"/>
        <sz val="10.0"/>
      </rPr>
      <t>210</t>
    </r>
  </si>
  <si>
    <r>
      <t xml:space="preserve">Общество (Белоус) </t>
    </r>
    <r>
      <rPr>
        <rFont val="Roboto, RobotoDraft, Helvetica, Arial, sans-serif"/>
        <b/>
        <color rgb="FF000000"/>
      </rPr>
      <t>503 / олинфо 202</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</si>
  <si>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</si>
  <si>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</si>
  <si>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</si>
  <si>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</si>
  <si>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</si>
  <si>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</si>
  <si>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Решетников)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</si>
  <si>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</si>
  <si>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</si>
  <si>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</si>
  <si>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</si>
  <si>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</si>
  <si>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</si>
  <si>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</si>
  <si>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</si>
  <si>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</si>
  <si>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</si>
  <si>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Решетников)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</si>
  <si>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</si>
  <si>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</si>
  <si>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</si>
  <si>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</si>
  <si>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</si>
  <si>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</si>
  <si>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</si>
  <si>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</si>
  <si>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t>Инфо (Старунова)  408</t>
  </si>
  <si>
    <t>Театр АЗ</t>
  </si>
  <si>
    <r>
      <rPr>
        <rFont val="Arial"/>
        <color theme="1"/>
        <sz val="10.0"/>
      </rPr>
      <t xml:space="preserve">Математика (Заводов) </t>
    </r>
    <r>
      <rPr>
        <rFont val="Arial"/>
        <b/>
        <color theme="1"/>
        <sz val="10.0"/>
      </rPr>
      <t>209</t>
    </r>
  </si>
  <si>
    <r>
      <rPr>
        <rFont val="Arial"/>
        <color theme="1"/>
        <sz val="10.0"/>
      </rPr>
      <t xml:space="preserve">Матпрак (Митев, Решетников)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</si>
  <si>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</si>
  <si>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</si>
  <si>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</si>
  <si>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</si>
  <si>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</si>
  <si>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</si>
  <si>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</si>
  <si>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</si>
  <si>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</si>
  <si>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t>Инфо (Старунова) 408</t>
  </si>
  <si>
    <r>
      <rPr>
        <rFont val="Arial"/>
        <color theme="1"/>
        <sz val="10.0"/>
      </rPr>
      <t xml:space="preserve">Математика (Заводов) </t>
    </r>
    <r>
      <rPr>
        <rFont val="Arial"/>
        <b/>
        <color theme="1"/>
        <sz val="10.0"/>
      </rPr>
      <t>209</t>
    </r>
  </si>
  <si>
    <r>
      <rPr>
        <rFont val="Arial"/>
        <color theme="1"/>
        <sz val="10.0"/>
      </rPr>
      <t xml:space="preserve">Матпрак (Митев, Решетников)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</si>
  <si>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</si>
  <si>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</si>
  <si>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</si>
  <si>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</si>
  <si>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</si>
  <si>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</si>
  <si>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</si>
  <si>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</si>
  <si>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</si>
  <si>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</si>
  <si>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ШЕКСПИРОВСКИЙ ТЕАТР. ИГРОВОЙ МАСТЕР-КЛАСС (504)</t>
  </si>
  <si>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</si>
  <si>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</si>
  <si>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</si>
  <si>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</si>
  <si>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</si>
  <si>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</si>
  <si>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</si>
  <si>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</si>
  <si>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</si>
  <si>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406,АЗ</t>
  </si>
  <si>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</si>
  <si>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</si>
  <si>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</si>
  <si>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</si>
  <si>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</si>
  <si>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t xml:space="preserve">Матпрак (Решетников ИА,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</si>
  <si>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</si>
  <si>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sz val="10.0"/>
      </rPr>
      <t xml:space="preserve">Инд.проект Дронзик </t>
    </r>
    <r>
      <rPr>
        <rFont val="Arial"/>
        <b/>
        <color theme="1"/>
        <sz val="10.0"/>
      </rPr>
      <t>210</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</si>
  <si>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</si>
  <si>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</si>
  <si>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</si>
  <si>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</si>
  <si>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</si>
  <si>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</si>
  <si>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t xml:space="preserve">Матпрак (Решетников ИА, Латыпова) </t>
    </r>
    <r>
      <rPr>
        <rFont val="Arial"/>
        <b/>
        <color theme="1"/>
        <sz val="10.0"/>
      </rPr>
      <t>202</t>
    </r>
  </si>
  <si>
    <r>
      <rPr>
        <rFont val="Arial"/>
        <color theme="1"/>
        <sz val="10.0"/>
      </rPr>
      <t xml:space="preserve">Исторические танцы (Пипейкина) </t>
    </r>
    <r>
      <rPr>
        <rFont val="Arial"/>
        <b/>
        <color theme="1"/>
        <sz val="10.0"/>
      </rPr>
      <t>504</t>
    </r>
  </si>
  <si>
    <t>Практическая электроника (BEAM-роботы) (Рогацкина) 410</t>
  </si>
  <si>
    <t>волейбол (Ларченко) СЗ, Исторические танцы (Пипейкина) 504</t>
  </si>
  <si>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</si>
  <si>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</si>
  <si>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</si>
  <si>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</si>
  <si>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</si>
  <si>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</si>
  <si>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</si>
  <si>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501</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</si>
  <si>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</si>
  <si>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</si>
  <si>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</si>
  <si>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206,504,СЗ</t>
  </si>
  <si>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</si>
  <si>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</si>
  <si>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</si>
  <si>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</si>
  <si>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</si>
  <si>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</si>
  <si>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</si>
  <si>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</si>
  <si>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</si>
  <si>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</si>
  <si>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 xml:space="preserve">406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</si>
  <si>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</si>
  <si>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</si>
  <si>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</si>
  <si>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</si>
  <si>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</si>
  <si>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</si>
  <si>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</si>
  <si>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</si>
  <si>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406</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</si>
  <si>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</si>
  <si>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</si>
  <si>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</si>
  <si>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</si>
  <si>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</si>
  <si>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</si>
  <si>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</si>
  <si>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</si>
  <si>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</si>
  <si>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</si>
  <si>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</si>
  <si>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</si>
  <si>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</si>
  <si>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</si>
  <si>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</si>
  <si>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</si>
  <si>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 xml:space="preserve">503           </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</si>
  <si>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</si>
  <si>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</si>
  <si>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t>504,СЗ</t>
  </si>
  <si>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</si>
  <si>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</si>
  <si>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</si>
  <si>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</si>
  <si>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</si>
  <si>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</si>
  <si>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</si>
  <si>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</si>
  <si>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</si>
  <si>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</si>
  <si>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</si>
  <si>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</si>
  <si>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</si>
  <si>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</si>
  <si>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</si>
  <si>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</si>
  <si>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</si>
  <si>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</si>
  <si>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</si>
  <si>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</si>
  <si>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</si>
  <si>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</si>
  <si>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</si>
  <si>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</si>
  <si>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</si>
  <si>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</si>
  <si>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</si>
  <si>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</si>
  <si>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</si>
  <si>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</si>
  <si>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Информатика (Климов) </t>
    </r>
    <r>
      <rPr>
        <rFont val="Arial"/>
        <b/>
        <color theme="1"/>
        <sz val="10.0"/>
      </rPr>
      <t>406</t>
    </r>
  </si>
  <si>
    <t>ИЗО (Алёна Белoусова)</t>
  </si>
  <si>
    <r>
      <rPr>
        <rFont val="Arial"/>
        <color theme="1"/>
        <sz val="10.0"/>
      </rPr>
      <t xml:space="preserve">Допматпрак (по желанию) (Попович) </t>
    </r>
    <r>
      <rPr>
        <rFont val="Arial"/>
        <b/>
        <color theme="1"/>
        <sz val="10.0"/>
      </rPr>
      <t>202</t>
    </r>
  </si>
  <si>
    <r>
      <t xml:space="preserve">ИЗО (Алёна Белoусова),  3D-моделирование (Егор Легошин) </t>
    </r>
    <r>
      <rPr>
        <rFont val="Arial"/>
        <b/>
        <color theme="1"/>
        <sz val="10.0"/>
      </rPr>
      <t>410</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</si>
  <si>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</si>
  <si>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503</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</si>
  <si>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</si>
  <si>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 xml:space="preserve">Допматпрак (по желанию) (Попович) </t>
    </r>
    <r>
      <rPr>
        <rFont val="Arial"/>
        <b/>
        <color theme="1"/>
        <sz val="1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</si>
  <si>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</si>
  <si>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Хор (Краснова и Никулова) </t>
    </r>
    <r>
      <rPr>
        <rFont val="Arial"/>
        <b/>
        <color theme="1"/>
      </rPr>
      <t>КЗ</t>
    </r>
  </si>
  <si>
    <r>
      <rPr>
        <rFont val="Arial"/>
        <color theme="1"/>
      </rPr>
      <t xml:space="preserve">Физра (Ларченко) СЗ / хор </t>
    </r>
    <r>
      <rPr>
        <rFont val="Arial"/>
        <b/>
        <color theme="1"/>
      </rPr>
      <t>КЗ</t>
    </r>
  </si>
  <si>
    <r>
      <rPr>
        <rFont val="Arial"/>
        <color theme="1"/>
        <sz val="10.0"/>
      </rPr>
      <t xml:space="preserve">Русский (Харитонов) </t>
    </r>
    <r>
      <rPr>
        <rFont val="Arial"/>
        <b/>
        <color theme="1"/>
        <sz val="10.0"/>
      </rPr>
      <t>201</t>
    </r>
  </si>
  <si>
    <r>
      <t xml:space="preserve">Информатика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</si>
  <si>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</si>
  <si>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</si>
  <si>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Arial"/>
        <color theme="1"/>
        <sz val="10.0"/>
      </rPr>
      <t xml:space="preserve">География (Колечкин) </t>
    </r>
    <r>
      <rPr>
        <rFont val="Arial"/>
        <b/>
        <color theme="1"/>
        <sz val="10.0"/>
      </rPr>
      <t>АЗ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</si>
  <si>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</si>
  <si>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</si>
  <si>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</si>
  <si>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t xml:space="preserve">Информатика (Решетников) </t>
    </r>
    <r>
      <rPr>
        <rFont val="Arial"/>
        <b/>
        <color theme="1"/>
        <sz val="10.0"/>
      </rPr>
      <t>202</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</si>
  <si>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</si>
  <si>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</si>
  <si>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</si>
  <si>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Алкебра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</si>
  <si>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</si>
  <si>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</si>
  <si>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</si>
  <si>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</si>
  <si>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</si>
  <si>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</si>
  <si>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</si>
  <si>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</si>
  <si>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</si>
  <si>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</si>
  <si>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</si>
  <si>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</si>
  <si>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</si>
  <si>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</si>
  <si>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</si>
  <si>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</si>
  <si>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</si>
  <si>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Алкебра (Абрамов) </t>
    </r>
    <r>
      <rPr>
        <rFont val="Arial"/>
        <b/>
        <color theme="1"/>
        <sz val="10.0"/>
      </rPr>
      <t>501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</si>
  <si>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</si>
  <si>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</si>
  <si>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</si>
  <si>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</si>
  <si>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</si>
  <si>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</si>
  <si>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</si>
  <si>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</si>
  <si>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</si>
  <si>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</si>
  <si>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</si>
  <si>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</si>
  <si>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</si>
  <si>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</si>
  <si>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</si>
  <si>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</si>
  <si>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</si>
  <si>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</si>
  <si>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</si>
  <si>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</si>
  <si>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</si>
  <si>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</si>
  <si>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</si>
  <si>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</si>
  <si>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</si>
  <si>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</si>
  <si>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</si>
  <si>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</si>
  <si>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</si>
  <si>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</si>
  <si>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</si>
  <si>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</si>
  <si>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</si>
  <si>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</si>
  <si>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</si>
  <si>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</si>
  <si>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</si>
  <si>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</si>
  <si>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</si>
  <si>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</si>
  <si>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</si>
  <si>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rPr>
      <t xml:space="preserve">Олимпиадная робототехника (Кадыкова, Сенин) </t>
    </r>
    <r>
      <rPr>
        <rFont val="Arial"/>
        <b/>
        <color theme="1"/>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</si>
  <si>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</si>
  <si>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</si>
  <si>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</si>
  <si>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</si>
  <si>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</si>
  <si>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</si>
  <si>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</si>
  <si>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rPr>
      <t xml:space="preserve">Олимпиадная робототехника (Кадыкова, Сенин) </t>
    </r>
    <r>
      <rPr>
        <rFont val="Arial"/>
        <b/>
        <color theme="1"/>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</si>
  <si>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</si>
  <si>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</si>
  <si>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</si>
  <si>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</si>
  <si>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rPr>
      <t xml:space="preserve">Олимпиадная робототехника (Кадыкова, Сенин) </t>
    </r>
    <r>
      <rPr>
        <rFont val="Arial"/>
        <b/>
        <color theme="1"/>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</si>
  <si>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</si>
  <si>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1 гр (Дронзик) </t>
    </r>
    <r>
      <rPr>
        <rFont val="Arial"/>
        <b/>
        <color theme="1"/>
        <sz val="10.0"/>
      </rPr>
      <t>210</t>
    </r>
  </si>
  <si>
    <r>
      <rPr>
        <rFont val="Arial"/>
        <color theme="1"/>
        <sz val="10.0"/>
      </rPr>
      <t xml:space="preserve">Информатика 2 гр (Старунова) </t>
    </r>
    <r>
      <rPr>
        <rFont val="Arial"/>
        <b/>
        <color theme="1"/>
        <sz val="10.0"/>
      </rPr>
      <t>408</t>
    </r>
  </si>
  <si>
    <r>
      <rPr>
        <rFont val="Arial"/>
        <color theme="1"/>
        <sz val="10.0"/>
      </rPr>
      <t>Матем (Уно) Шерашова 4</t>
    </r>
    <r>
      <rPr>
        <rFont val="Arial"/>
        <b/>
        <color theme="1"/>
        <sz val="10.0"/>
      </rPr>
      <t>01</t>
    </r>
  </si>
  <si>
    <r>
      <rPr>
        <rFont val="Arial"/>
        <color theme="1"/>
        <sz val="10.0"/>
      </rPr>
      <t xml:space="preserve">Матпрак (Дос)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</si>
  <si>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</si>
  <si>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</si>
  <si>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</si>
  <si>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t xml:space="preserve">Информатика (Воронцов </t>
    </r>
    <r>
      <rPr>
        <rFont val="Arial"/>
        <b/>
        <color theme="1"/>
      </rPr>
      <t>406</t>
    </r>
    <r>
      <rPr>
        <rFont val="Arial"/>
        <b val="0"/>
        <color theme="1"/>
      </rPr>
      <t xml:space="preserve"> / Аларкон</t>
    </r>
    <r>
      <rPr>
        <rFont val="Arial"/>
        <b/>
        <color theme="1"/>
      </rPr>
      <t xml:space="preserve"> 402</t>
    </r>
    <r>
      <rPr>
        <rFont val="Arial"/>
        <color theme="1"/>
      </rPr>
      <t xml:space="preserve">)        </t>
    </r>
  </si>
  <si>
    <r>
      <rPr>
        <rFont val="Arial"/>
        <color theme="1"/>
      </rPr>
      <t xml:space="preserve">Доп. История (Куницын) </t>
    </r>
    <r>
      <rPr>
        <rFont val="Arial"/>
        <b/>
        <color theme="1"/>
      </rPr>
      <t>503</t>
    </r>
  </si>
  <si>
    <r>
      <t xml:space="preserve">МатПрак (Заводов, Решетников)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</si>
  <si>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</si>
  <si>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1 гр (Дронзик) </t>
    </r>
    <r>
      <rPr>
        <rFont val="Arial"/>
        <b/>
        <color theme="1"/>
        <sz val="10.0"/>
      </rPr>
      <t>210</t>
    </r>
  </si>
  <si>
    <r>
      <rPr>
        <rFont val="Arial"/>
        <color theme="1"/>
        <sz val="10.0"/>
      </rPr>
      <t xml:space="preserve">Информатика 2 гр (Старунова) </t>
    </r>
    <r>
      <rPr>
        <rFont val="Arial"/>
        <b/>
        <color theme="1"/>
        <sz val="10.0"/>
      </rPr>
      <t>408</t>
    </r>
  </si>
  <si>
    <r>
      <rPr>
        <rFont val="Arial"/>
        <color theme="1"/>
        <sz val="10.0"/>
      </rPr>
      <t>Матем (Уно) Шерашова 4</t>
    </r>
    <r>
      <rPr>
        <rFont val="Arial"/>
        <b/>
        <color theme="1"/>
        <sz val="10.0"/>
      </rPr>
      <t>01</t>
    </r>
  </si>
  <si>
    <r>
      <rPr>
        <rFont val="Arial"/>
        <color theme="1"/>
        <sz val="10.0"/>
      </rPr>
      <t xml:space="preserve">Матпрак (Дос)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</si>
  <si>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</si>
  <si>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</si>
  <si>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</si>
  <si>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t xml:space="preserve">Информатика (Воронцов </t>
    </r>
    <r>
      <rPr>
        <rFont val="Arial"/>
        <b/>
        <color theme="1"/>
      </rPr>
      <t>406</t>
    </r>
    <r>
      <rPr>
        <rFont val="Arial"/>
        <b/>
        <color theme="1"/>
      </rPr>
      <t>/ Аларкон 402</t>
    </r>
    <r>
      <rPr>
        <rFont val="Arial"/>
        <b/>
        <color theme="1"/>
      </rPr>
      <t xml:space="preserve">) </t>
    </r>
  </si>
  <si>
    <r>
      <rPr>
        <rFont val="Arial"/>
        <color theme="1"/>
      </rPr>
      <t xml:space="preserve">Доп. История (Куницын) </t>
    </r>
    <r>
      <rPr>
        <rFont val="Arial"/>
        <b/>
        <color theme="1"/>
      </rPr>
      <t>503</t>
    </r>
  </si>
  <si>
    <r>
      <t xml:space="preserve">МатПрак (Заводов, Решетников)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</si>
  <si>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</si>
  <si>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1 гр (Старунова) </t>
    </r>
    <r>
      <rPr>
        <rFont val="Arial"/>
        <b/>
        <color theme="1"/>
        <sz val="10.0"/>
      </rPr>
      <t>408</t>
    </r>
  </si>
  <si>
    <r>
      <rPr>
        <rFont val="Arial"/>
        <color theme="1"/>
        <sz val="10.0"/>
      </rPr>
      <t xml:space="preserve">Математика 2 гр (Дронзик) </t>
    </r>
    <r>
      <rPr>
        <rFont val="Arial"/>
        <b/>
        <color theme="1"/>
        <sz val="10.0"/>
      </rPr>
      <t>210</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</si>
  <si>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</si>
  <si>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</si>
  <si>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Биология (Белоусова) </t>
    </r>
    <r>
      <rPr>
        <rFont val="Arial"/>
        <b/>
        <color theme="1"/>
        <sz val="10.0"/>
      </rPr>
      <t>409</t>
    </r>
  </si>
  <si>
    <r>
      <t xml:space="preserve">Информатика (Клейменов 201/ Аларкон </t>
    </r>
    <r>
      <rPr>
        <rFont val="Arial"/>
        <b/>
        <color theme="1"/>
        <sz val="10.0"/>
      </rPr>
      <t>402</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</si>
  <si>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</si>
  <si>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</si>
  <si>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</si>
  <si>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</si>
  <si>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1 гр (Старунова) </t>
    </r>
    <r>
      <rPr>
        <rFont val="Arial"/>
        <b/>
        <color theme="1"/>
        <sz val="10.0"/>
      </rPr>
      <t>408</t>
    </r>
  </si>
  <si>
    <r>
      <rPr>
        <rFont val="Arial"/>
        <color theme="1"/>
        <sz val="10.0"/>
      </rPr>
      <t xml:space="preserve">Математика 2 гр (Дронзик) </t>
    </r>
    <r>
      <rPr>
        <rFont val="Arial"/>
        <b/>
        <color theme="1"/>
        <sz val="10.0"/>
      </rPr>
      <t>210</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</si>
  <si>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</si>
  <si>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</si>
  <si>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Биология (Белоусова) </t>
    </r>
    <r>
      <rPr>
        <rFont val="Arial"/>
        <b/>
        <color theme="1"/>
        <sz val="10.0"/>
      </rPr>
      <t>409</t>
    </r>
  </si>
  <si>
    <r>
      <t xml:space="preserve">Информатика (Клейменов 201 / Аларкон </t>
    </r>
    <r>
      <rPr>
        <rFont val="Arial"/>
        <b/>
        <color theme="1"/>
        <sz val="10.0"/>
      </rPr>
      <t>402</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</si>
  <si>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</si>
  <si>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</si>
  <si>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</si>
  <si>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</si>
  <si>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 1 гр (Рогацкина) </t>
    </r>
    <r>
      <rPr>
        <rFont val="Arial"/>
        <b/>
        <color theme="1"/>
        <sz val="10.0"/>
      </rPr>
      <t>410</t>
    </r>
  </si>
  <si>
    <r>
      <rPr>
        <rFont val="Arial"/>
        <color theme="1"/>
        <sz val="10.0"/>
      </rPr>
      <t xml:space="preserve">Физика 2 гр (Репнев) </t>
    </r>
    <r>
      <rPr>
        <rFont val="Arial"/>
        <b/>
        <color theme="1"/>
        <sz val="10.0"/>
      </rPr>
      <t>402</t>
    </r>
  </si>
  <si>
    <r>
      <rPr>
        <rFont val="Arial"/>
        <color theme="1"/>
        <sz val="10.0"/>
      </rPr>
      <t xml:space="preserve">Информатика (Аларкон, Старунова) </t>
    </r>
    <r>
      <rPr>
        <rFont val="Arial"/>
        <b/>
        <color theme="1"/>
        <sz val="10.0"/>
      </rPr>
      <t>408</t>
    </r>
  </si>
  <si>
    <r>
      <rPr>
        <rFont val="Arial"/>
        <color theme="1"/>
        <sz val="10.0"/>
      </rPr>
      <t xml:space="preserve">Матем (Трес) Шерашова </t>
    </r>
    <r>
      <rPr>
        <rFont val="Arial"/>
        <b/>
        <color theme="1"/>
        <sz val="10.0"/>
      </rPr>
      <t>401</t>
    </r>
  </si>
  <si>
    <r>
      <rPr>
        <rFont val="Arial"/>
        <color theme="1"/>
        <sz val="10.0"/>
      </rPr>
      <t xml:space="preserve">Матпрак (Куатро) Исмаилов, Панюнин </t>
    </r>
    <r>
      <rPr>
        <rFont val="Arial"/>
        <b/>
        <color theme="1"/>
        <sz val="10.0"/>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</si>
  <si>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</si>
  <si>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</si>
  <si>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</si>
  <si>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</si>
  <si>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</si>
  <si>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</si>
  <si>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t>406, КЗ, СЗ</t>
  </si>
  <si>
    <r>
      <rPr>
        <rFont val="Arial"/>
        <color theme="1"/>
        <sz val="10.0"/>
      </rPr>
      <t xml:space="preserve">Математика (Дронзик) </t>
    </r>
    <r>
      <rPr>
        <rFont val="Arial"/>
        <b/>
        <color theme="1"/>
        <sz val="10.0"/>
      </rPr>
      <t>210</t>
    </r>
  </si>
  <si>
    <r>
      <rPr>
        <rFont val="Arial"/>
        <color theme="1"/>
        <sz val="10.0"/>
      </rPr>
      <t xml:space="preserve">Робо 1 гр (Рогацкина) </t>
    </r>
    <r>
      <rPr>
        <rFont val="Arial"/>
        <b/>
        <color theme="1"/>
        <sz val="10.0"/>
      </rPr>
      <t>410</t>
    </r>
  </si>
  <si>
    <r>
      <rPr>
        <rFont val="Arial"/>
        <color theme="1"/>
        <sz val="10.0"/>
      </rPr>
      <t xml:space="preserve">Физика 2 гр (Репнев) </t>
    </r>
    <r>
      <rPr>
        <rFont val="Arial"/>
        <b/>
        <color theme="1"/>
        <sz val="10.0"/>
      </rPr>
      <t>402</t>
    </r>
  </si>
  <si>
    <r>
      <rPr>
        <rFont val="Arial"/>
        <color theme="1"/>
        <sz val="10.0"/>
      </rPr>
      <t xml:space="preserve">Информатика (Аларкон, Старунова) </t>
    </r>
    <r>
      <rPr>
        <rFont val="Arial"/>
        <b/>
        <color theme="1"/>
        <sz val="10.0"/>
      </rPr>
      <t>408</t>
    </r>
  </si>
  <si>
    <r>
      <rPr>
        <rFont val="Arial"/>
        <color theme="1"/>
        <sz val="10.0"/>
      </rPr>
      <t xml:space="preserve">Матем (Трес) Шерашова </t>
    </r>
    <r>
      <rPr>
        <rFont val="Arial"/>
        <b/>
        <color theme="1"/>
        <sz val="10.0"/>
      </rPr>
      <t>401</t>
    </r>
  </si>
  <si>
    <r>
      <rPr>
        <rFont val="Arial"/>
        <color theme="1"/>
        <sz val="10.0"/>
      </rPr>
      <t xml:space="preserve">Матпрак (Куатро) Исмаилов, Панюнин </t>
    </r>
    <r>
      <rPr>
        <rFont val="Arial"/>
        <b/>
        <color theme="1"/>
        <sz val="10.0"/>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</si>
  <si>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</si>
  <si>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</si>
  <si>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</si>
  <si>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</si>
  <si>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</si>
  <si>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</si>
  <si>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</si>
  <si>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1 гр (Репнев) </t>
    </r>
    <r>
      <rPr>
        <rFont val="Arial"/>
        <b/>
        <color theme="1"/>
        <sz val="10.0"/>
      </rPr>
      <t>402</t>
    </r>
  </si>
  <si>
    <r>
      <rPr>
        <rFont val="Arial"/>
        <color theme="1"/>
        <sz val="10.0"/>
      </rPr>
      <t xml:space="preserve">Робототехника 2 гр (Рогацкина) </t>
    </r>
    <r>
      <rPr>
        <rFont val="Arial"/>
        <b/>
        <color theme="1"/>
        <sz val="10.0"/>
      </rPr>
      <t>410</t>
    </r>
  </si>
  <si>
    <r>
      <rPr>
        <rFont val="Arial"/>
        <color theme="1"/>
        <sz val="10.0"/>
      </rPr>
      <t xml:space="preserve">Биология (Белоусова) </t>
    </r>
    <r>
      <rPr>
        <rFont val="Arial"/>
        <b/>
        <color theme="1"/>
        <sz val="10.0"/>
      </rPr>
      <t>409</t>
    </r>
  </si>
  <si>
    <r>
      <rPr>
        <rFont val="Arial"/>
        <color theme="1"/>
        <sz val="10.0"/>
      </rPr>
      <t xml:space="preserve">Матпрак (Трес) Исмаилов, Панюнин </t>
    </r>
    <r>
      <rPr>
        <rFont val="Arial"/>
        <b/>
        <color theme="1"/>
        <sz val="10.0"/>
      </rPr>
      <t>202</t>
    </r>
  </si>
  <si>
    <r>
      <rPr>
        <rFont val="Arial"/>
        <color theme="1"/>
        <sz val="10.0"/>
      </rPr>
      <t xml:space="preserve">Матем (Куатро)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</si>
  <si>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</si>
  <si>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</si>
  <si>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</si>
  <si>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</si>
  <si>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Roboto, RobotoDraft, Helvetica, Arial, sans-serif"/>
        <color rgb="FF000000"/>
      </rPr>
      <t xml:space="preserve">История (Белоус) </t>
    </r>
    <r>
      <rPr>
        <rFont val="Roboto, RobotoDraft, Helvetica, Arial, sans-serif"/>
        <b/>
        <color rgb="FF000000"/>
      </rPr>
      <t>503</t>
    </r>
  </si>
  <si>
    <t>406, КЗ</t>
  </si>
  <si>
    <r>
      <rPr>
        <rFont val="Arial"/>
        <color theme="1"/>
        <sz val="10.0"/>
      </rPr>
      <t xml:space="preserve">Литра (Харитонов)  </t>
    </r>
    <r>
      <rPr>
        <rFont val="Arial"/>
        <b/>
        <color theme="1"/>
        <sz val="10.0"/>
      </rPr>
      <t>201</t>
    </r>
  </si>
  <si>
    <r>
      <rPr>
        <rFont val="Arial"/>
        <color theme="1"/>
        <sz val="10.0"/>
      </rPr>
      <t xml:space="preserve">Физика 1 гр (Репнев) </t>
    </r>
    <r>
      <rPr>
        <rFont val="Arial"/>
        <b/>
        <color theme="1"/>
        <sz val="10.0"/>
      </rPr>
      <t>402</t>
    </r>
  </si>
  <si>
    <r>
      <rPr>
        <rFont val="Arial"/>
        <color theme="1"/>
        <sz val="10.0"/>
      </rPr>
      <t xml:space="preserve">Робототехника 2 гр (Рогацкина) </t>
    </r>
    <r>
      <rPr>
        <rFont val="Arial"/>
        <b/>
        <color theme="1"/>
        <sz val="10.0"/>
      </rPr>
      <t>410</t>
    </r>
  </si>
  <si>
    <r>
      <rPr>
        <rFont val="Arial"/>
        <color theme="1"/>
        <sz val="10.0"/>
      </rPr>
      <t xml:space="preserve">Биология (Белоусова) </t>
    </r>
    <r>
      <rPr>
        <rFont val="Arial"/>
        <b/>
        <color theme="1"/>
        <sz val="10.0"/>
      </rPr>
      <t>409</t>
    </r>
  </si>
  <si>
    <r>
      <rPr>
        <rFont val="Arial"/>
        <color theme="1"/>
        <sz val="10.0"/>
      </rPr>
      <t xml:space="preserve">Матпрак (Трес) Исмаилов, Панюнин </t>
    </r>
    <r>
      <rPr>
        <rFont val="Arial"/>
        <b/>
        <color theme="1"/>
        <sz val="10.0"/>
      </rPr>
      <t>202</t>
    </r>
  </si>
  <si>
    <r>
      <rPr>
        <rFont val="Arial"/>
        <color theme="1"/>
        <sz val="10.0"/>
      </rPr>
      <t xml:space="preserve">Матем (Куатро)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</si>
  <si>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</si>
  <si>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rgb="FFFFFFFF"/>
        <sz val="10.0"/>
      </rPr>
      <t xml:space="preserve">Доп. Матпрак по желанию (Попович) </t>
    </r>
    <r>
      <rPr>
        <rFont val="Arial"/>
        <b/>
        <color rgb="FFFFFFFF"/>
        <sz val="10.0"/>
      </rPr>
      <t>210</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</si>
  <si>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</si>
  <si>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</si>
  <si>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</si>
  <si>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xml:space="preserve">/ олимп.геом (Решeтников, Сайгак) - начинающие </t>
    </r>
    <r>
      <rPr>
        <rFont val="Arial"/>
        <b/>
        <color theme="1"/>
        <sz val="10.0"/>
      </rPr>
      <t>202</t>
    </r>
  </si>
  <si>
    <r>
      <rPr>
        <rFont val="Arial"/>
        <color theme="1"/>
        <sz val="10.0"/>
      </rPr>
      <t xml:space="preserve">Олимп. экономика - продолжающие (Попович) </t>
    </r>
    <r>
      <rPr>
        <rFont val="Arial"/>
        <b/>
        <color theme="1"/>
        <sz val="10.0"/>
      </rPr>
      <t>209</t>
    </r>
  </si>
  <si>
    <r>
      <rPr>
        <rFont val="Arial"/>
        <color theme="1"/>
        <sz val="10.0"/>
      </rPr>
      <t xml:space="preserve">Олимп.геометрия (Решетников, Сайгак) - начинающие </t>
    </r>
    <r>
      <rPr>
        <rFont val="Arial"/>
        <b/>
        <color theme="1"/>
        <sz val="10.0"/>
      </rPr>
      <t>202</t>
    </r>
    <r>
      <rPr>
        <rFont val="Arial"/>
        <color theme="1"/>
        <sz val="10.0"/>
      </rPr>
      <t xml:space="preserve">,  Музыкальный кружок Лео и Ко (они ищут клавишника!)  </t>
    </r>
    <r>
      <rPr>
        <rFont val="Arial"/>
        <b/>
        <color theme="1"/>
        <sz val="10.0"/>
      </rPr>
      <t>АЗ</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</si>
  <si>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</si>
  <si>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СЗ / олимп.геом (Решeтников, Сайгак) - начинающие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</si>
  <si>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</si>
  <si>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</si>
  <si>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t xml:space="preserve">Литература 1 гр (Решетников) </t>
    </r>
    <r>
      <rPr>
        <rFont val="Arial"/>
        <b/>
        <color theme="1"/>
        <sz val="10.0"/>
      </rPr>
      <t>202</t>
    </r>
  </si>
  <si>
    <t>театр 2 гр. АЗ (Обидина, Носкова)</t>
  </si>
  <si>
    <r>
      <t xml:space="preserve">Биология (Белоусова </t>
    </r>
    <r>
      <rPr>
        <rFont val="Arial"/>
        <b/>
        <color theme="1"/>
        <sz val="10.0"/>
      </rPr>
      <t>408</t>
    </r>
    <r>
      <rPr>
        <rFont val="Arial"/>
        <color theme="1"/>
        <sz val="10.0"/>
      </rPr>
      <t>)</t>
    </r>
  </si>
  <si>
    <r>
      <rPr>
        <rFont val="Arial"/>
        <color theme="1"/>
        <sz val="10.0"/>
      </rPr>
      <t xml:space="preserve">Информатика (Клейменов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</si>
  <si>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</si>
  <si>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</si>
  <si>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</si>
  <si>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</si>
  <si>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</si>
  <si>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</si>
  <si>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</si>
  <si>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t xml:space="preserve">Литература 1 гр (Решетников) </t>
    </r>
    <r>
      <rPr>
        <rFont val="Arial"/>
        <b/>
        <color theme="1"/>
        <sz val="10.0"/>
      </rPr>
      <t>202</t>
    </r>
  </si>
  <si>
    <r>
      <t xml:space="preserve">Биология (Белоусова </t>
    </r>
    <r>
      <rPr>
        <rFont val="Arial"/>
        <b/>
        <color theme="1"/>
        <sz val="10.0"/>
      </rPr>
      <t>408</t>
    </r>
    <r>
      <rPr>
        <rFont val="Arial"/>
        <color theme="1"/>
        <sz val="10.0"/>
      </rPr>
      <t>)</t>
    </r>
  </si>
  <si>
    <r>
      <rPr>
        <rFont val="Arial"/>
        <color theme="1"/>
        <sz val="10.0"/>
      </rPr>
      <t xml:space="preserve">Информатика (Клейменов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</si>
  <si>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</si>
  <si>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</si>
  <si>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</si>
  <si>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</si>
  <si>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</si>
  <si>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</si>
  <si>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</si>
  <si>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t xml:space="preserve">Театр 1 гр. (Обидина, Носкова) </t>
    </r>
    <r>
      <rPr>
        <rFont val="Arial"/>
        <b/>
        <color theme="1"/>
        <sz val="10.0"/>
      </rPr>
      <t>АЗ</t>
    </r>
  </si>
  <si>
    <r>
      <t xml:space="preserve">Литература 2 гр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</si>
  <si>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</si>
  <si>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</si>
  <si>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</si>
  <si>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</si>
  <si>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Информатика (Клейменов </t>
    </r>
    <r>
      <rPr>
        <rFont val="Arial"/>
        <b/>
        <color theme="1"/>
        <sz val="10.0"/>
      </rPr>
      <t xml:space="preserve">406 </t>
    </r>
    <r>
      <rPr>
        <rFont val="Arial"/>
        <color theme="1"/>
        <sz val="10.0"/>
      </rPr>
      <t xml:space="preserve">/ Аларкон </t>
    </r>
    <r>
      <rPr>
        <rFont val="Arial"/>
        <b/>
        <color theme="1"/>
        <sz val="10.0"/>
      </rPr>
      <t>401</t>
    </r>
    <r>
      <rPr>
        <rFont val="Arial"/>
        <color theme="1"/>
        <sz val="10.0"/>
      </rPr>
      <t>)</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</si>
  <si>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</si>
  <si>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</si>
  <si>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</si>
  <si>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</si>
  <si>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t xml:space="preserve">Литература 2 гр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</si>
  <si>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</si>
  <si>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</si>
  <si>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</si>
  <si>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</si>
  <si>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Информатика (Клейменов </t>
    </r>
    <r>
      <rPr>
        <rFont val="Arial"/>
        <b/>
        <color theme="1"/>
        <sz val="10.0"/>
      </rPr>
      <t xml:space="preserve">406 </t>
    </r>
    <r>
      <rPr>
        <rFont val="Arial"/>
        <color theme="1"/>
        <sz val="10.0"/>
      </rPr>
      <t xml:space="preserve">/ Аларкон </t>
    </r>
    <r>
      <rPr>
        <rFont val="Arial"/>
        <b/>
        <color theme="1"/>
        <sz val="10.0"/>
      </rPr>
      <t>401</t>
    </r>
    <r>
      <rPr>
        <rFont val="Arial"/>
        <color theme="1"/>
        <sz val="10.0"/>
      </rPr>
      <t>)</t>
    </r>
  </si>
  <si>
    <r>
      <rPr>
        <rFont val="Arial"/>
        <color theme="1"/>
      </rPr>
      <t xml:space="preserve">Матпрак (Решетников ИА)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</si>
  <si>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</si>
  <si>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</si>
  <si>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</si>
  <si>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</si>
  <si>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</si>
  <si>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</si>
  <si>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</si>
  <si>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</si>
  <si>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</si>
  <si>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</si>
  <si>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 xml:space="preserve">406   </t>
    </r>
  </si>
  <si>
    <r>
      <rPr>
        <rFont val="Arial"/>
        <color theme="1"/>
      </rPr>
      <t xml:space="preserve">Матпрак (Решетников ИА) </t>
    </r>
    <r>
      <rPr>
        <rFont val="Arial"/>
        <b/>
        <color theme="1"/>
      </rPr>
      <t>409</t>
    </r>
  </si>
  <si>
    <r>
      <rPr>
        <rFont val="Roboto, RobotoDraft, Helvetica, Arial, sans-serif"/>
        <color rgb="FF000000"/>
      </rPr>
      <t xml:space="preserve">История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</si>
  <si>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</si>
  <si>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</si>
  <si>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</si>
  <si>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</si>
  <si>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</si>
  <si>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</si>
  <si>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</si>
  <si>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</si>
  <si>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</si>
  <si>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</si>
  <si>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t xml:space="preserve">Инфо (Воронцов 406/Аларкон 408) </t>
  </si>
  <si>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</si>
  <si>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401</t>
    </r>
  </si>
  <si>
    <r>
      <rPr>
        <rFont val="Arial"/>
        <color theme="1"/>
        <sz val="10.0"/>
      </rPr>
      <t xml:space="preserve">Хор (Краснова и Никулова) </t>
    </r>
    <r>
      <rPr>
        <rFont val="Arial"/>
        <b/>
        <color theme="1"/>
        <sz val="10.0"/>
      </rPr>
      <t>КЗ</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</si>
  <si>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</si>
  <si>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</si>
  <si>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</si>
  <si>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</si>
  <si>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</si>
  <si>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</si>
  <si>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</si>
  <si>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</si>
  <si>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Матпрак (Решетников ИА) </t>
    </r>
    <r>
      <rPr>
        <rFont val="Arial"/>
        <b/>
        <color theme="1"/>
        <sz val="10.0"/>
      </rPr>
      <t>409</t>
    </r>
  </si>
  <si>
    <r>
      <rPr>
        <rFont val="Arial"/>
        <color theme="1"/>
        <sz val="10.0"/>
      </rPr>
      <t xml:space="preserve">Театр (Обидина) </t>
    </r>
    <r>
      <rPr>
        <rFont val="Arial"/>
        <b/>
        <color theme="1"/>
        <sz val="10.0"/>
      </rPr>
      <t>АЗ</t>
    </r>
  </si>
  <si>
    <r>
      <rPr>
        <rFont val="Arial"/>
        <color theme="1"/>
        <sz val="10.0"/>
      </rPr>
      <t xml:space="preserve">Физика ЕГЭ Репнев 402/ Биология ЕГЭ Носкова </t>
    </r>
    <r>
      <rPr>
        <rFont val="Arial"/>
        <b/>
        <color theme="1"/>
        <sz val="10.0"/>
      </rPr>
      <t>401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</si>
  <si>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</si>
  <si>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</si>
  <si>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t>хор у группы олинфо АЗ</t>
  </si>
  <si>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</si>
  <si>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</si>
  <si>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</si>
  <si>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</si>
  <si>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</si>
  <si>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Матпрак (Решетников ИА) </t>
    </r>
    <r>
      <rPr>
        <rFont val="Arial"/>
        <b/>
        <color theme="1"/>
        <sz val="10.0"/>
      </rPr>
      <t>409</t>
    </r>
  </si>
  <si>
    <r>
      <rPr>
        <rFont val="Arial"/>
        <color theme="1"/>
        <sz val="10.0"/>
      </rPr>
      <t xml:space="preserve">Театр (Обидина) </t>
    </r>
    <r>
      <rPr>
        <rFont val="Arial"/>
        <b/>
        <color theme="1"/>
        <sz val="10.0"/>
      </rPr>
      <t>АЗ</t>
    </r>
  </si>
  <si>
    <r>
      <rPr>
        <rFont val="Arial"/>
        <b/>
        <color rgb="FFEA4335"/>
        <sz val="12.0"/>
      </rPr>
      <t>Цирка не будет сегодня</t>
    </r>
    <r>
      <rPr>
        <rFont val="Arial"/>
        <b/>
        <color theme="1"/>
        <sz val="12.0"/>
      </rPr>
      <t>, ТРИЗ (5-6 класс) 402, ХОР (Краснова, Никулова) КЗ, CTF (Джамбек) 406, Ол. геометрия для продолжающих (ИА Решетников) 202, Экономика для начинающих (Попович, Кирюшин) 210, Го (Решетников) 201, Мир в XVIII-XIX веках (Куницын) 503, Проекты (Слоневская) zoom, Гиревой спорт 9-11 кл (Хуснутдинов) СЗ</t>
    </r>
  </si>
  <si>
    <t>11.00 Олимп инфо (Подворный) 406 каб.</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</si>
  <si>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</si>
  <si>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</si>
  <si>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 / олимпинфо 202</t>
    </r>
  </si>
  <si>
    <r>
      <rPr>
        <rFont val="Arial"/>
        <color theme="1"/>
        <sz val="10.0"/>
      </rPr>
      <t xml:space="preserve">ДИАЛОГИ О ВАЖНОМ (Краснова ЕИ) </t>
    </r>
    <r>
      <rPr>
        <rFont val="Arial"/>
        <b/>
        <color theme="1"/>
        <sz val="10.0"/>
      </rPr>
      <t>209</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</si>
  <si>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</si>
  <si>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</si>
  <si>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</si>
  <si>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</si>
  <si>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404</t>
    </r>
  </si>
  <si>
    <r>
      <rPr>
        <rFont val="Arial"/>
        <color theme="1"/>
        <sz val="10.0"/>
      </rPr>
      <t xml:space="preserve">Хор (Краснова и Никулова) </t>
    </r>
    <r>
      <rPr>
        <rFont val="Arial"/>
        <b/>
        <color theme="1"/>
        <sz val="10.0"/>
      </rPr>
      <t xml:space="preserve">КЗ </t>
    </r>
    <r>
      <rPr>
        <rFont val="Arial"/>
        <color theme="1"/>
        <sz val="10.0"/>
      </rPr>
      <t xml:space="preserve">/ олинфо </t>
    </r>
    <r>
      <rPr>
        <rFont val="Arial"/>
        <b/>
        <color theme="1"/>
        <sz val="10.0"/>
      </rPr>
      <t>202</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</si>
  <si>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</si>
  <si>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 / олимпинфо 202</t>
    </r>
  </si>
  <si>
    <r>
      <rPr>
        <rFont val="Arial"/>
        <color theme="1"/>
        <sz val="10.0"/>
      </rPr>
      <t xml:space="preserve">Физика (Репнев) </t>
    </r>
    <r>
      <rPr>
        <rFont val="Arial"/>
        <b/>
        <color theme="1"/>
        <sz val="10.0"/>
      </rPr>
      <t>402</t>
    </r>
  </si>
  <si>
    <r>
      <rPr>
        <rFont val="Arial"/>
        <color theme="1"/>
        <sz val="10.0"/>
      </rPr>
      <t xml:space="preserve">Матпрак (Решетников ИА) </t>
    </r>
    <r>
      <rPr>
        <rFont val="Arial"/>
        <b/>
        <color theme="1"/>
        <sz val="10.0"/>
      </rPr>
      <t>201</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</si>
  <si>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</si>
  <si>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</si>
  <si>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</si>
  <si>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</si>
  <si>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Решетников)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</si>
  <si>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</si>
  <si>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404</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</si>
  <si>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</si>
  <si>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</si>
  <si>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</si>
  <si>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</si>
  <si>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Исторические танцы (Пипейкина) </t>
    </r>
    <r>
      <rPr>
        <rFont val="Arial"/>
        <b/>
        <color theme="1"/>
        <sz val="10.0"/>
      </rPr>
      <t>504</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</si>
  <si>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</si>
  <si>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</si>
  <si>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</si>
  <si>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</si>
  <si>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Решетников)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</si>
  <si>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</si>
  <si>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</si>
  <si>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</si>
  <si>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</si>
  <si>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</si>
  <si>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</si>
  <si>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</si>
  <si>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</si>
  <si>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</si>
  <si>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</si>
  <si>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Решетников)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</si>
  <si>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</si>
  <si>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</si>
  <si>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</si>
  <si>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</si>
  <si>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</si>
  <si>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</si>
  <si>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</si>
  <si>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</si>
  <si>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</si>
  <si>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</si>
  <si>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</si>
  <si>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Решетников)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</si>
  <si>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</si>
  <si>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</si>
  <si>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</si>
  <si>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КЗ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</si>
  <si>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</si>
  <si>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</si>
  <si>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</si>
  <si>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</si>
  <si>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</si>
  <si>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</si>
  <si>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</si>
  <si>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</si>
  <si>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</si>
  <si>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КЗ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</si>
  <si>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</si>
  <si>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</si>
  <si>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</si>
  <si>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</si>
  <si>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</si>
  <si>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</si>
  <si>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</si>
  <si>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</si>
  <si>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</si>
  <si>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Математика (Заводов) </t>
    </r>
    <r>
      <rPr>
        <rFont val="Arial"/>
        <b/>
        <color theme="1"/>
        <sz val="10.0"/>
      </rPr>
      <t>209</t>
    </r>
  </si>
  <si>
    <r>
      <rPr>
        <rFont val="Arial"/>
        <color theme="1"/>
        <sz val="10.0"/>
      </rPr>
      <t xml:space="preserve">Матпрак (Решетников ИА,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</si>
  <si>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</si>
  <si>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sz val="10.0"/>
      </rPr>
      <t xml:space="preserve">Инд.проект Дронзик </t>
    </r>
    <r>
      <rPr>
        <rFont val="Arial"/>
        <b/>
        <color theme="1"/>
        <sz val="10.0"/>
      </rPr>
      <t>210</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</si>
  <si>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</si>
  <si>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</si>
  <si>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</si>
  <si>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Математика (Заводов) </t>
    </r>
    <r>
      <rPr>
        <rFont val="Arial"/>
        <b/>
        <color theme="1"/>
        <sz val="10.0"/>
      </rPr>
      <t>209</t>
    </r>
  </si>
  <si>
    <r>
      <rPr>
        <rFont val="Arial"/>
        <color theme="1"/>
        <sz val="10.0"/>
      </rPr>
      <t xml:space="preserve">Матпрак (Решетников ИА, Латыпова) </t>
    </r>
    <r>
      <rPr>
        <rFont val="Arial"/>
        <b/>
        <color theme="1"/>
        <sz val="10.0"/>
      </rPr>
      <t>202</t>
    </r>
  </si>
  <si>
    <r>
      <rPr>
        <rFont val="Arial"/>
        <color theme="1"/>
        <sz val="10.0"/>
      </rPr>
      <t xml:space="preserve">Исторические танцы (Пипейкина) </t>
    </r>
    <r>
      <rPr>
        <rFont val="Arial"/>
        <b/>
        <color theme="1"/>
        <sz val="10.0"/>
      </rPr>
      <t>504</t>
    </r>
  </si>
  <si>
    <t>КРУЖКИ: Практическая электроника (BEAM-роботы) 5-7кл (Рогацкина) 410 , Каллиграфия 5-7кл (Хуснутдинов) 401, Исторические танцы (Пипейкина) 504</t>
  </si>
  <si>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</si>
  <si>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</si>
  <si>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</si>
  <si>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</si>
  <si>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</si>
  <si>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</si>
  <si>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</si>
  <si>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501</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</si>
  <si>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</si>
  <si>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</si>
  <si>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</si>
  <si>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</si>
  <si>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</si>
  <si>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</si>
  <si>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</si>
  <si>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</si>
  <si>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</si>
  <si>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</si>
  <si>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</si>
  <si>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</si>
  <si>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</si>
  <si>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202</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</si>
  <si>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</si>
  <si>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</si>
  <si>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</si>
  <si>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</si>
  <si>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</si>
  <si>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</si>
  <si>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</si>
  <si>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ДИАГНОСТИКА по математике 10.45-11.25 (УстиновН.Н., Заводов) 209</t>
  </si>
  <si>
    <r>
      <rPr>
        <rFont val="Arial"/>
        <color theme="1"/>
        <sz val="10.0"/>
      </rPr>
      <t xml:space="preserve">История (Белоус)   </t>
    </r>
    <r>
      <rPr>
        <rFont val="Arial"/>
        <b/>
        <color theme="1"/>
        <sz val="10.0"/>
      </rPr>
      <t>202</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</si>
  <si>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</si>
  <si>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</si>
  <si>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</si>
  <si>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</si>
  <si>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</si>
  <si>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</si>
  <si>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</si>
  <si>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</si>
  <si>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</si>
  <si>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</si>
  <si>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</si>
  <si>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</si>
  <si>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</si>
  <si>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</si>
  <si>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</si>
  <si>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</si>
  <si>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 xml:space="preserve">503           </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</si>
  <si>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</si>
  <si>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</si>
  <si>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</si>
  <si>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</si>
  <si>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</si>
  <si>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</si>
  <si>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</si>
  <si>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</si>
  <si>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</si>
  <si>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</si>
  <si>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</si>
  <si>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</si>
  <si>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</si>
  <si>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206</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</si>
  <si>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</si>
  <si>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</si>
  <si>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</si>
  <si>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</si>
  <si>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</si>
  <si>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</si>
  <si>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</si>
  <si>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503</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</si>
  <si>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</si>
  <si>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206</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</si>
  <si>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</si>
  <si>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</si>
  <si>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</si>
  <si>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</si>
  <si>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</si>
  <si>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</si>
  <si>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</si>
  <si>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</si>
  <si>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Информатика (Климов) </t>
    </r>
    <r>
      <rPr>
        <rFont val="Arial"/>
        <b/>
        <color theme="1"/>
        <sz val="10.0"/>
      </rPr>
      <t>406</t>
    </r>
  </si>
  <si>
    <t>Кружки : Хоровая студия (Краснова) КЗ,  ИЗО (Белоусова) 501</t>
  </si>
  <si>
    <r>
      <rPr>
        <rFont val="Arial"/>
        <color theme="1"/>
        <sz val="10.0"/>
      </rPr>
      <t xml:space="preserve">Допматпрак (по желанию) (Попович) </t>
    </r>
    <r>
      <rPr>
        <rFont val="Arial"/>
        <b/>
        <color theme="1"/>
        <sz val="1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</si>
  <si>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</si>
  <si>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503</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</si>
  <si>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</si>
  <si>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 xml:space="preserve">Допматпрак (по желанию) (Попович) </t>
    </r>
    <r>
      <rPr>
        <rFont val="Arial"/>
        <b/>
        <color theme="1"/>
        <sz val="10.0"/>
      </rPr>
      <t>202</t>
    </r>
  </si>
  <si>
    <t>Кружки : 3D моделирование (Легошин) 410, ИЗО (Белоусова) 501</t>
  </si>
  <si>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</si>
  <si>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</si>
  <si>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color theme="1"/>
        <sz val="10.0"/>
      </rPr>
      <t xml:space="preserve">Волейбол 10-11 (Ларченко) </t>
    </r>
    <r>
      <rPr>
        <rFont val="Arial"/>
        <b/>
        <color theme="1"/>
        <sz val="10.0"/>
      </rPr>
      <t>СЗ</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</si>
  <si>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</si>
  <si>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</si>
  <si>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</si>
  <si>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</si>
  <si>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</si>
  <si>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</si>
  <si>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</si>
  <si>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Русский (Хуснутдинов)  </t>
    </r>
    <r>
      <rPr>
        <rFont val="Arial"/>
        <b/>
        <color theme="1"/>
        <sz val="10.0"/>
      </rPr>
      <t xml:space="preserve">209  </t>
    </r>
  </si>
  <si>
    <r>
      <rPr>
        <rFont val="Arial"/>
        <color theme="1"/>
        <sz val="10.0"/>
      </rPr>
      <t xml:space="preserve">Алкебра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</si>
  <si>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</si>
  <si>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</si>
  <si>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</si>
  <si>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t xml:space="preserve">Опыты над шестиклассниками (Репнев АГ) КЗ </t>
  </si>
  <si>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</si>
  <si>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</si>
  <si>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Русский (Хуснутдинов)  </t>
    </r>
    <r>
      <rPr>
        <rFont val="Arial"/>
        <b/>
        <color theme="1"/>
        <sz val="10.0"/>
      </rPr>
      <t>210</t>
    </r>
  </si>
  <si>
    <r>
      <rPr>
        <rFont val="Arial"/>
        <color theme="1"/>
        <sz val="10.0"/>
      </rPr>
      <t xml:space="preserve">Геометрия (Абрамов) </t>
    </r>
    <r>
      <rPr>
        <rFont val="Arial"/>
        <b/>
        <color theme="1"/>
        <sz val="10.0"/>
      </rPr>
      <t>501</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</si>
  <si>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</si>
  <si>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</si>
  <si>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</si>
  <si>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</si>
  <si>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КЗ</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</si>
  <si>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</si>
  <si>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</si>
  <si>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</si>
  <si>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</si>
  <si>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Алкебра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</si>
  <si>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</si>
  <si>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</si>
  <si>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</si>
  <si>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t>Информатика (Старунова) 408</t>
  </si>
  <si>
    <t>Русский (Хуснутдинов)   КЗ</t>
  </si>
  <si>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</si>
  <si>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</si>
  <si>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</si>
  <si>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Физика (Репнев АГ) </t>
    </r>
    <r>
      <rPr>
        <rFont val="Arial"/>
        <b/>
        <color theme="1"/>
      </rPr>
      <t>209</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</si>
  <si>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</si>
  <si>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</si>
  <si>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</si>
  <si>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</si>
  <si>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406</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</si>
  <si>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</si>
  <si>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</si>
  <si>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КЗ</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</si>
  <si>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</si>
  <si>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</si>
  <si>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</si>
  <si>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</si>
  <si>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</si>
  <si>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t>Доп. Матпрак (Попович) 401</t>
  </si>
  <si>
    <r>
      <rPr>
        <rFont val="Arial"/>
        <color theme="1"/>
        <sz val="10.0"/>
      </rPr>
      <t xml:space="preserve">Информатика (Старунова) </t>
    </r>
    <r>
      <rPr>
        <rFont val="Arial"/>
        <b/>
        <color theme="1"/>
        <sz val="10.0"/>
      </rPr>
      <t>406</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</si>
  <si>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</si>
  <si>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</si>
  <si>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КЗ</t>
    </r>
  </si>
  <si>
    <r>
      <rPr>
        <rFont val="Arial"/>
        <color rgb="FFFFFFFF"/>
        <sz val="10.0"/>
      </rPr>
      <t xml:space="preserve">Доп. Матпрак (Попович) </t>
    </r>
    <r>
      <rPr>
        <rFont val="Arial"/>
        <b/>
        <color rgb="FFFFFFFF"/>
        <sz val="10.0"/>
      </rPr>
      <t>202</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</si>
  <si>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</si>
  <si>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</si>
  <si>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</si>
  <si>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Roboto, RobotoDraft, Helvetica, Arial, sans-serif"/>
        <color rgb="FF000000"/>
      </rPr>
      <t xml:space="preserve">Доп. Матпрак (Попович) </t>
    </r>
    <r>
      <rPr>
        <rFont val="Roboto, RobotoDraft, Helvetica, Arial, sans-serif"/>
        <b/>
        <color rgb="FF000000"/>
      </rPr>
      <t>202</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</si>
  <si>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</si>
  <si>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</si>
  <si>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</si>
  <si>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</si>
  <si>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</si>
  <si>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Русский (Харитонов) </t>
    </r>
    <r>
      <rPr>
        <rFont val="Arial"/>
        <b/>
        <color theme="1"/>
        <sz val="10.0"/>
      </rPr>
      <t>201</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</si>
  <si>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</si>
  <si>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</si>
  <si>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</si>
  <si>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</si>
  <si>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</si>
  <si>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Матем (Уно) Шерашова 4</t>
    </r>
    <r>
      <rPr>
        <rFont val="Arial"/>
        <b/>
        <color theme="1"/>
        <sz val="10.0"/>
      </rPr>
      <t>01</t>
    </r>
  </si>
  <si>
    <r>
      <rPr>
        <rFont val="Arial"/>
        <color theme="1"/>
        <sz val="10.0"/>
      </rPr>
      <t xml:space="preserve">Матпрак (Дос)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</si>
  <si>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</si>
  <si>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</si>
  <si>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</si>
  <si>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403</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</si>
  <si>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503</t>
    </r>
  </si>
  <si>
    <r>
      <t xml:space="preserve">МатПрак (Заводов, Решетников)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</si>
  <si>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</si>
  <si>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</si>
  <si>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</si>
  <si>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Матем (Уно) Шерашова 4</t>
    </r>
    <r>
      <rPr>
        <rFont val="Arial"/>
        <b/>
        <color theme="1"/>
        <sz val="10.0"/>
      </rPr>
      <t>01</t>
    </r>
  </si>
  <si>
    <r>
      <rPr>
        <rFont val="Arial"/>
        <color theme="1"/>
        <sz val="10.0"/>
      </rPr>
      <t xml:space="preserve">Матпрак (Дос)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</si>
  <si>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</si>
  <si>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</si>
  <si>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403</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</si>
  <si>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503</t>
    </r>
  </si>
  <si>
    <r>
      <t xml:space="preserve">МатПрак (Заводов, Решетников)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</si>
  <si>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</si>
  <si>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</si>
  <si>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</si>
  <si>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</si>
  <si>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</si>
  <si>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t>Физика Репнев 402</t>
  </si>
  <si>
    <r>
      <rPr>
        <rFont val="Arial"/>
        <color theme="1"/>
      </rPr>
      <t xml:space="preserve">Информатика ( Аларкон </t>
    </r>
    <r>
      <rPr>
        <rFont val="Arial"/>
        <b/>
        <color theme="1"/>
      </rPr>
      <t>409</t>
    </r>
    <r>
      <rPr>
        <rFont val="Arial"/>
        <color theme="1"/>
      </rPr>
      <t xml:space="preserve">)/ Воронцов </t>
    </r>
    <r>
      <rPr>
        <rFont val="Arial"/>
        <b/>
        <color theme="1"/>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</si>
  <si>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</si>
  <si>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</si>
  <si>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</si>
  <si>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</si>
  <si>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</si>
  <si>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</si>
  <si>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</si>
  <si>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</si>
  <si>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rPr>
      <t xml:space="preserve">Информатика ( Аларкон 409)/ Воронцов </t>
    </r>
    <r>
      <rPr>
        <rFont val="Arial"/>
        <b/>
        <color theme="1"/>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</si>
  <si>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</si>
  <si>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</si>
  <si>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</si>
  <si>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</si>
  <si>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</si>
  <si>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</si>
  <si>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Информатика (Аларкон, Старунова) </t>
    </r>
    <r>
      <rPr>
        <rFont val="Arial"/>
        <b/>
        <color theme="1"/>
        <sz val="10.0"/>
      </rPr>
      <t>408</t>
    </r>
  </si>
  <si>
    <r>
      <rPr>
        <rFont val="Arial"/>
        <color theme="1"/>
        <sz val="10.0"/>
      </rPr>
      <t xml:space="preserve">Матпрак (Трес) Исмаилов, Панюнин </t>
    </r>
    <r>
      <rPr>
        <rFont val="Arial"/>
        <b/>
        <color theme="1"/>
        <sz val="10.0"/>
      </rPr>
      <t>202</t>
    </r>
  </si>
  <si>
    <r>
      <rPr>
        <rFont val="Arial"/>
        <color theme="1"/>
        <sz val="10.0"/>
      </rPr>
      <t xml:space="preserve">Матем (Кватро) Шерашова </t>
    </r>
    <r>
      <rPr>
        <rFont val="Arial"/>
        <b/>
        <color theme="1"/>
        <sz val="10.0"/>
      </rPr>
      <t>401</t>
    </r>
  </si>
  <si>
    <r>
      <rPr>
        <rFont val="Arial"/>
        <color theme="1"/>
        <sz val="10.0"/>
      </rPr>
      <t xml:space="preserve">Англ (Слоневская) </t>
    </r>
    <r>
      <rPr>
        <rFont val="Arial"/>
        <b/>
        <color theme="1"/>
        <sz val="10.0"/>
      </rPr>
      <t>405</t>
    </r>
  </si>
  <si>
    <t>ДИАГНОСТИКА Рус.Яз (Белоус, Устинов) 409</t>
  </si>
  <si>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</si>
  <si>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</si>
  <si>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</si>
  <si>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</si>
  <si>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</si>
  <si>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Информатика (Аларкон, Старунова) </t>
    </r>
    <r>
      <rPr>
        <rFont val="Arial"/>
        <b/>
        <color theme="1"/>
        <sz val="10.0"/>
      </rPr>
      <t>408</t>
    </r>
  </si>
  <si>
    <r>
      <rPr>
        <rFont val="Arial"/>
        <color theme="1"/>
        <sz val="10.0"/>
      </rPr>
      <t xml:space="preserve">Матпрак (Трес) Исмаилов, Панюнин </t>
    </r>
    <r>
      <rPr>
        <rFont val="Arial"/>
        <b/>
        <color theme="1"/>
        <sz val="10.0"/>
      </rPr>
      <t>202</t>
    </r>
  </si>
  <si>
    <r>
      <rPr>
        <rFont val="Arial"/>
        <color theme="1"/>
        <sz val="10.0"/>
      </rPr>
      <t xml:space="preserve">Матем (Кватро) Шерашова </t>
    </r>
    <r>
      <rPr>
        <rFont val="Arial"/>
        <b/>
        <color theme="1"/>
        <sz val="10.0"/>
      </rPr>
      <t>401</t>
    </r>
  </si>
  <si>
    <t>Англ (Слоневская) 405</t>
  </si>
  <si>
    <t>Самоподготовка 409</t>
  </si>
  <si>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</si>
  <si>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</si>
  <si>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</si>
  <si>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</si>
  <si>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</si>
  <si>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</si>
  <si>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(Трес) Шерашова </t>
    </r>
    <r>
      <rPr>
        <rFont val="Arial"/>
        <b/>
        <color theme="1"/>
        <sz val="10.0"/>
      </rPr>
      <t>401</t>
    </r>
  </si>
  <si>
    <r>
      <rPr>
        <rFont val="Arial"/>
        <color theme="1"/>
        <sz val="10.0"/>
      </rPr>
      <t xml:space="preserve">Матпрак (Кватро) Исмаилов, Панюнин </t>
    </r>
    <r>
      <rPr>
        <rFont val="Arial"/>
        <b/>
        <color theme="1"/>
        <sz val="10.0"/>
      </rPr>
      <t>202</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</si>
  <si>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</si>
  <si>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409</t>
    </r>
  </si>
  <si>
    <r>
      <rPr>
        <rFont val="Arial"/>
        <color theme="1"/>
        <sz val="10.0"/>
      </rPr>
      <t xml:space="preserve">Англ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</si>
  <si>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</si>
  <si>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</si>
  <si>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</si>
  <si>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</si>
  <si>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</si>
  <si>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(Трес) Шерашова </t>
    </r>
    <r>
      <rPr>
        <rFont val="Arial"/>
        <b/>
        <color theme="1"/>
        <sz val="10.0"/>
      </rPr>
      <t>401</t>
    </r>
  </si>
  <si>
    <r>
      <rPr>
        <rFont val="Arial"/>
        <color theme="1"/>
        <sz val="10.0"/>
      </rPr>
      <t xml:space="preserve">Матпрак (Кватро) Исмаилов, Панюнин </t>
    </r>
    <r>
      <rPr>
        <rFont val="Arial"/>
        <b/>
        <color theme="1"/>
        <sz val="10.0"/>
      </rPr>
      <t>202</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</si>
  <si>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</si>
  <si>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409</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</si>
  <si>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</si>
  <si>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</si>
  <si>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</si>
  <si>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</si>
  <si>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Олимп. экономика - продолжающие (Попович) </t>
    </r>
    <r>
      <rPr>
        <rFont val="Arial"/>
        <b/>
        <color theme="1"/>
        <sz val="10.0"/>
      </rPr>
      <t>202</t>
    </r>
  </si>
  <si>
    <r>
      <rPr>
        <rFont val="Arial"/>
        <b/>
        <color theme="1"/>
        <sz val="11.0"/>
      </rPr>
      <t xml:space="preserve">Олимп.геометрия (Решетников, Сайгак) - начинающие </t>
    </r>
    <r>
      <rPr>
        <rFont val="Arial"/>
        <b/>
        <color theme="1"/>
        <sz val="11.0"/>
      </rPr>
      <t>201</t>
    </r>
    <r>
      <rPr>
        <rFont val="Arial"/>
        <b/>
        <color theme="1"/>
        <sz val="11.0"/>
      </rPr>
      <t>.   Музыкальный кружок Лео и Ко</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</si>
  <si>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</si>
  <si>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</si>
  <si>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</si>
  <si>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</si>
  <si>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</si>
  <si>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 xml:space="preserve">, Старунова </t>
    </r>
    <r>
      <rPr>
        <rFont val="Arial"/>
        <b/>
        <color theme="1"/>
        <sz val="10.0"/>
      </rPr>
      <t>408</t>
    </r>
    <r>
      <rPr>
        <rFont val="Arial"/>
        <color theme="1"/>
        <sz val="10.0"/>
      </rPr>
      <t>)</t>
    </r>
  </si>
  <si>
    <t>группа Аларкона к 1му уроку</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</si>
  <si>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</si>
  <si>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</si>
  <si>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</si>
  <si>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</si>
  <si>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</si>
  <si>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</si>
  <si>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</si>
  <si>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</si>
  <si>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 xml:space="preserve">, Старунова </t>
    </r>
    <r>
      <rPr>
        <rFont val="Arial"/>
        <b/>
        <color theme="1"/>
        <sz val="10.0"/>
      </rPr>
      <t>408</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</si>
  <si>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</si>
  <si>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</si>
  <si>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</si>
  <si>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</si>
  <si>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</si>
  <si>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</si>
  <si>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</si>
  <si>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</si>
  <si>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</si>
  <si>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</si>
  <si>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</si>
  <si>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</si>
  <si>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</si>
  <si>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(Воронцов </t>
    </r>
    <r>
      <rPr>
        <rFont val="Arial"/>
        <b/>
        <color theme="1"/>
      </rPr>
      <t xml:space="preserve">406 </t>
    </r>
    <r>
      <rPr>
        <rFont val="Arial"/>
        <color theme="1"/>
      </rPr>
      <t xml:space="preserve">/ Аларкон </t>
    </r>
    <r>
      <rPr>
        <rFont val="Arial"/>
        <b/>
        <color theme="1"/>
      </rPr>
      <t>401</t>
    </r>
    <r>
      <rPr>
        <rFont val="Arial"/>
        <color theme="1"/>
      </rPr>
      <t>)</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</si>
  <si>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</si>
  <si>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</si>
  <si>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</si>
  <si>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</si>
  <si>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</si>
  <si>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</si>
  <si>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</si>
  <si>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</si>
  <si>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</si>
  <si>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(Воронцов </t>
    </r>
    <r>
      <rPr>
        <rFont val="Arial"/>
        <b/>
        <color theme="1"/>
      </rPr>
      <t xml:space="preserve">406 </t>
    </r>
    <r>
      <rPr>
        <rFont val="Arial"/>
        <color theme="1"/>
      </rPr>
      <t xml:space="preserve">/ Аларкон </t>
    </r>
    <r>
      <rPr>
        <rFont val="Arial"/>
        <b/>
        <color theme="1"/>
      </rPr>
      <t>401</t>
    </r>
    <r>
      <rPr>
        <rFont val="Arial"/>
        <color theme="1"/>
      </rPr>
      <t>)</t>
    </r>
  </si>
  <si>
    <r>
      <rPr>
        <rFont val="Arial"/>
        <color theme="1"/>
      </rPr>
      <t xml:space="preserve">Матпрак (Решетников ИА)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</si>
  <si>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</si>
  <si>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</si>
  <si>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</si>
  <si>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</si>
  <si>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</si>
  <si>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</si>
  <si>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</si>
  <si>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</si>
  <si>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</si>
  <si>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</si>
  <si>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 xml:space="preserve">406     </t>
    </r>
  </si>
  <si>
    <r>
      <rPr>
        <rFont val="Arial"/>
        <color theme="1"/>
      </rPr>
      <t xml:space="preserve">Матпрак (Решетников ИА) </t>
    </r>
    <r>
      <rPr>
        <rFont val="Arial"/>
        <b/>
        <color theme="1"/>
      </rPr>
      <t>409</t>
    </r>
  </si>
  <si>
    <r>
      <rPr>
        <rFont val="Arial"/>
        <color theme="1"/>
        <sz val="10.0"/>
      </rPr>
      <t xml:space="preserve">Физика (Репнев) </t>
    </r>
    <r>
      <rPr>
        <rFont val="Arial"/>
        <b/>
        <color theme="1"/>
        <sz val="10.0"/>
      </rPr>
      <t>402</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</si>
  <si>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</si>
  <si>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</si>
  <si>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</si>
  <si>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</si>
  <si>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</si>
  <si>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</si>
  <si>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</si>
  <si>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</si>
  <si>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</si>
  <si>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404</t>
    </r>
    <r>
      <rPr>
        <rFont val="Arial"/>
        <color theme="1"/>
      </rPr>
      <t xml:space="preserve">) / (Воронцов </t>
    </r>
    <r>
      <rPr>
        <rFont val="Arial"/>
        <b/>
        <color theme="1"/>
      </rPr>
      <t xml:space="preserve">408 )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</si>
  <si>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</si>
  <si>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401</t>
    </r>
  </si>
  <si>
    <r>
      <rPr>
        <rFont val="Arial"/>
        <color theme="1"/>
        <sz val="10.0"/>
      </rPr>
      <t xml:space="preserve">Хор (Краснова и Никулова) </t>
    </r>
    <r>
      <rPr>
        <rFont val="Arial"/>
        <b/>
        <color theme="1"/>
        <sz val="10.0"/>
      </rPr>
      <t>КЗ</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</si>
  <si>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</si>
  <si>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</si>
  <si>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</si>
  <si>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</si>
  <si>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</si>
  <si>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</si>
  <si>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t>Мастеркласс Леонида Кутсар АЗ</t>
  </si>
  <si>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</si>
  <si>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</si>
  <si>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Матпрак (Решетников ИА) </t>
    </r>
    <r>
      <rPr>
        <rFont val="Arial"/>
        <b/>
        <color theme="1"/>
        <sz val="10.0"/>
      </rPr>
      <t>409</t>
    </r>
  </si>
  <si>
    <r>
      <rPr>
        <rFont val="Arial"/>
        <color theme="1"/>
        <sz val="10.0"/>
      </rPr>
      <t xml:space="preserve">Физика ЕГЭ Репнев 402/ Биология ЕГЭ Носкова </t>
    </r>
    <r>
      <rPr>
        <rFont val="Arial"/>
        <b/>
        <color theme="1"/>
        <sz val="10.0"/>
      </rPr>
      <t>401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</si>
  <si>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</si>
  <si>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</si>
  <si>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t>хор у группы олинфо КЗ</t>
  </si>
  <si>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</si>
  <si>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</si>
  <si>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</si>
  <si>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</si>
  <si>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</si>
  <si>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Матпрак (Решетников ИА) </t>
    </r>
    <r>
      <rPr>
        <rFont val="Arial"/>
        <b/>
        <color theme="1"/>
        <sz val="10.0"/>
      </rPr>
      <t>409</t>
    </r>
  </si>
  <si>
    <t>ТРИЗ (5-6 класс) 402, ХОР (Краснова, Никулова) КЗ, Цирковая Студия (Ларченко) СЗ, CTF (Джамбек) 406, Ол. геометрия для продолжающих (ИА Решетников) 202, Экономика для начинающих (Попович, Кирюшин) 210, Го (Решетников) 201, Проекты по робототехнике (Сенин, Кадыкова, Саргин) 410, Мир в XVIII-XIX веках (Куницын) 503, Проекты (Слоневская) zoom, Гиревой спорт 9-11 кл (Хуснутдинов) СЗ</t>
  </si>
  <si>
    <t>11.00</t>
  </si>
  <si>
    <t>Матигры (Заводов, Митев) 210</t>
  </si>
  <si>
    <t>11.00 Олимп инфо (Подворный) 202 каб.</t>
  </si>
  <si>
    <r>
      <t xml:space="preserve">ДИАЛОГИ О ВАЖНОМ (Харитонов) </t>
    </r>
    <r>
      <rPr>
        <rFont val="Arial"/>
        <b/>
        <color theme="1"/>
        <sz val="10.0"/>
      </rPr>
      <t>КЗ</t>
    </r>
  </si>
  <si>
    <r>
      <t xml:space="preserve">ДИАЛОГИ О ВАЖНОМ (Дронзик) </t>
    </r>
    <r>
      <rPr>
        <rFont val="Arial"/>
        <b/>
        <color theme="1"/>
        <sz val="10.0"/>
      </rPr>
      <t>КЗ</t>
    </r>
    <r>
      <rPr>
        <rFont val="Arial"/>
        <color theme="1"/>
        <sz val="10.0"/>
      </rPr>
      <t xml:space="preserve"> </t>
    </r>
    <r>
      <rPr>
        <rFont val="Arial"/>
        <b/>
        <color theme="1"/>
        <sz val="10.0"/>
      </rPr>
      <t>/ олинфо 202</t>
    </r>
  </si>
  <si>
    <r>
      <t xml:space="preserve">ДИАЛОГИ О ВАЖНОМ (Репнев) </t>
    </r>
    <r>
      <rPr>
        <rFont val="Arial"/>
        <b/>
        <color theme="1"/>
        <sz val="10.0"/>
      </rPr>
      <t>АЗ / олинфо 202</t>
    </r>
  </si>
  <si>
    <r>
      <t xml:space="preserve">ДИАЛОГИ О ВАЖНОМ (Краснова ЕИ) </t>
    </r>
    <r>
      <rPr>
        <rFont val="Arial"/>
        <b/>
        <color theme="1"/>
        <sz val="10.0"/>
      </rPr>
      <t>402</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</si>
  <si>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</si>
  <si>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</si>
  <si>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</si>
  <si>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</si>
  <si>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404</t>
    </r>
  </si>
  <si>
    <r>
      <rPr>
        <rFont val="Arial"/>
        <color theme="1"/>
        <sz val="10.0"/>
      </rPr>
      <t xml:space="preserve">Геометрия (Абрамов) </t>
    </r>
    <r>
      <rPr>
        <rFont val="Arial"/>
        <b/>
        <color theme="1"/>
        <sz val="10.0"/>
      </rPr>
      <t>210</t>
    </r>
  </si>
  <si>
    <r>
      <t xml:space="preserve">Общество (Белоус) </t>
    </r>
    <r>
      <rPr>
        <rFont val="Roboto, RobotoDraft, Helvetica, Arial, sans-serif"/>
        <b/>
        <color rgb="FF000000"/>
      </rPr>
      <t>503 / олинфо 202</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</si>
  <si>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</si>
  <si>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</si>
  <si>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</si>
  <si>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</si>
  <si>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406</t>
    </r>
  </si>
  <si>
    <r>
      <rPr>
        <rFont val="Arial"/>
        <color theme="1"/>
        <sz val="10.0"/>
      </rPr>
      <t xml:space="preserve">Робо (Рогацкина) </t>
    </r>
    <r>
      <rPr>
        <rFont val="Arial"/>
        <b/>
        <color theme="1"/>
        <sz val="10.0"/>
      </rPr>
      <t>410</t>
    </r>
  </si>
  <si>
    <r>
      <rPr>
        <rFont val="Arial"/>
        <color theme="1"/>
        <sz val="10.0"/>
      </rPr>
      <t xml:space="preserve">Матпрак (Митев, Решетников)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</si>
  <si>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</si>
  <si>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</si>
  <si>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</si>
  <si>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</si>
  <si>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</si>
  <si>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</si>
  <si>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</si>
  <si>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</si>
  <si>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t>ЕГЭ Инфо Старунова 406</t>
  </si>
  <si>
    <r>
      <rPr>
        <rFont val="Arial"/>
        <color theme="1"/>
        <sz val="10.0"/>
      </rPr>
      <t xml:space="preserve">Робо (Рогацкина) </t>
    </r>
    <r>
      <rPr>
        <rFont val="Arial"/>
        <b/>
        <color theme="1"/>
        <sz val="10.0"/>
      </rPr>
      <t>410</t>
    </r>
  </si>
  <si>
    <r>
      <rPr>
        <rFont val="Arial"/>
        <color theme="1"/>
        <sz val="10.0"/>
      </rPr>
      <t xml:space="preserve">Матпрак (Митев, Решетников)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</si>
  <si>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</si>
  <si>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</si>
  <si>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</si>
  <si>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</si>
  <si>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</si>
  <si>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</si>
  <si>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</si>
  <si>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</si>
  <si>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</si>
  <si>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</si>
  <si>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Решетников)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</si>
  <si>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</si>
  <si>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</si>
  <si>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</si>
  <si>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</si>
  <si>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</si>
  <si>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</si>
  <si>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</si>
  <si>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</si>
  <si>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</si>
  <si>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</si>
  <si>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</si>
  <si>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Решетников)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</si>
  <si>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</si>
  <si>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</si>
  <si>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</si>
  <si>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</si>
  <si>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</si>
  <si>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</si>
  <si>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</si>
  <si>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</si>
  <si>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</si>
  <si>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</si>
  <si>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</si>
  <si>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</si>
  <si>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</si>
  <si>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</si>
  <si>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</si>
  <si>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</si>
  <si>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</si>
  <si>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</si>
  <si>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</si>
  <si>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</si>
  <si>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</si>
  <si>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</si>
  <si>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</si>
  <si>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ДИАГНОСТИКА РУС.ЯЗ 15.20 (телефоны отключить, портфели при входе, с собой только ручки- пенал) </t>
    </r>
    <r>
      <rPr>
        <rFont val="Arial"/>
        <b/>
        <color theme="1"/>
        <sz val="10.0"/>
      </rPr>
      <t>401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</si>
  <si>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</si>
  <si>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</si>
  <si>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</si>
  <si>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(Решетников ИА,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</si>
  <si>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</si>
  <si>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sz val="10.0"/>
      </rPr>
      <t xml:space="preserve">Инд.проект Дронзик </t>
    </r>
    <r>
      <rPr>
        <rFont val="Arial"/>
        <b/>
        <color theme="1"/>
        <sz val="10.0"/>
      </rPr>
      <t>210</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</si>
  <si>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</si>
  <si>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</si>
  <si>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</si>
  <si>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</si>
  <si>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</si>
  <si>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(Решетников ИА, Латыпова) </t>
    </r>
    <r>
      <rPr>
        <rFont val="Arial"/>
        <b/>
        <color theme="1"/>
        <sz val="10.0"/>
      </rPr>
      <t>202</t>
    </r>
  </si>
  <si>
    <r>
      <rPr>
        <rFont val="Arial"/>
        <color theme="1"/>
        <sz val="10.0"/>
      </rPr>
      <t xml:space="preserve">Исторические танцы (Пипейкина) </t>
    </r>
    <r>
      <rPr>
        <rFont val="Arial"/>
        <b/>
        <color theme="1"/>
        <sz val="10.0"/>
      </rPr>
      <t>504</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</si>
  <si>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</si>
  <si>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</si>
  <si>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</si>
  <si>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202</t>
    </r>
  </si>
  <si>
    <r>
      <rPr>
        <rFont val="Arial"/>
        <color theme="1"/>
        <sz val="10.0"/>
      </rPr>
      <t xml:space="preserve">Общество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</si>
  <si>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</si>
  <si>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</si>
  <si>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</si>
  <si>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501</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</si>
  <si>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</si>
  <si>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</si>
  <si>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</si>
  <si>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</si>
  <si>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409</t>
    </r>
  </si>
  <si>
    <r>
      <rPr>
        <rFont val="Arial"/>
        <color theme="1"/>
        <sz val="10.0"/>
      </rPr>
      <t xml:space="preserve">Биология (Носкова)  </t>
    </r>
    <r>
      <rPr>
        <rFont val="Arial"/>
        <b/>
        <color theme="1"/>
        <sz val="10.0"/>
      </rPr>
      <t>202</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</si>
  <si>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</si>
  <si>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</si>
  <si>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</si>
  <si>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</si>
  <si>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</si>
  <si>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</si>
  <si>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</si>
  <si>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 xml:space="preserve">409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</si>
  <si>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</si>
  <si>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</si>
  <si>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</si>
  <si>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</si>
  <si>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</si>
  <si>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</si>
  <si>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</si>
  <si>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</si>
  <si>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409</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</si>
  <si>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</si>
  <si>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</si>
  <si>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</si>
  <si>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</si>
  <si>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</si>
  <si>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</si>
  <si>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</si>
  <si>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Диагностика МЦКО по математике 406,408 11.45-12.50 (телефоны выключить, с собой только ручка,линейка, листок) (наблюдатели Заводов, Харитонов)</t>
  </si>
  <si>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</si>
  <si>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</si>
  <si>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</si>
  <si>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</si>
  <si>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</si>
  <si>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</si>
  <si>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</si>
  <si>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</si>
  <si>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 xml:space="preserve">503           </t>
    </r>
  </si>
  <si>
    <r>
      <rPr>
        <rFont val="Arial"/>
        <color theme="1"/>
        <sz val="10.0"/>
      </rPr>
      <t xml:space="preserve">Геом. (Шерашова) </t>
    </r>
    <r>
      <rPr>
        <rFont val="Arial"/>
        <b/>
        <color theme="1"/>
        <sz val="10.0"/>
      </rPr>
      <t>401</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</si>
  <si>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</si>
  <si>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</si>
  <si>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</si>
  <si>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</si>
  <si>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</si>
  <si>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</si>
  <si>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</si>
  <si>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</si>
  <si>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</si>
  <si>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</si>
  <si>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202 в ЗУМе</t>
    </r>
  </si>
  <si>
    <r>
      <rPr>
        <rFont val="Arial"/>
        <color theme="1"/>
      </rPr>
      <t xml:space="preserve">Биология (Носкова) </t>
    </r>
    <r>
      <rPr>
        <rFont val="Arial"/>
        <b/>
        <color theme="1"/>
      </rPr>
      <t>206</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</si>
  <si>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</si>
  <si>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</si>
  <si>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</si>
  <si>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</si>
  <si>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t>ДИАГНОСТИКА ПО МАТЕМАТИКЕ КЗ (телефоны отключить, портфели при входе, с собой только ручки- пенал)</t>
  </si>
  <si>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</si>
  <si>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</si>
  <si>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503</t>
    </r>
  </si>
  <si>
    <r>
      <rPr>
        <rFont val="Arial"/>
        <color theme="1"/>
        <sz val="10.0"/>
      </rPr>
      <t xml:space="preserve">Информатика (Климов) </t>
    </r>
    <r>
      <rPr>
        <rFont val="Arial"/>
        <b/>
        <color theme="1"/>
        <sz val="10.0"/>
      </rPr>
      <t>202 в ЗУМе</t>
    </r>
  </si>
  <si>
    <t>Биология (Носкова) 206</t>
  </si>
  <si>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</si>
  <si>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</si>
  <si>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</si>
  <si>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</si>
  <si>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</si>
  <si>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</si>
  <si>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</si>
  <si>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Информатика (Климов) </t>
    </r>
    <r>
      <rPr>
        <rFont val="Arial"/>
        <b/>
        <color theme="1"/>
        <sz val="10.0"/>
      </rPr>
      <t>202 в ЗУМе</t>
    </r>
  </si>
  <si>
    <t xml:space="preserve">Кружки : Хоровая студия (Краснова) КЗ,   ИЗО (Белоусова) 501                                        
                                        </t>
  </si>
  <si>
    <r>
      <rPr>
        <rFont val="Arial"/>
        <color theme="1"/>
        <sz val="10.0"/>
      </rPr>
      <t xml:space="preserve">Допматпрак (по желанию) (Попович) </t>
    </r>
    <r>
      <rPr>
        <rFont val="Arial"/>
        <b/>
        <color theme="1"/>
        <sz val="10.0"/>
      </rPr>
      <t>202</t>
    </r>
  </si>
  <si>
    <t>Кружки : Хоровая студия (Краснова) КЗ, 3D моделирование 7-9 (Легошин) 410,  ИЗО (Белоусова) 501</t>
  </si>
  <si>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</si>
  <si>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503</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</si>
  <si>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</si>
  <si>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 xml:space="preserve">Допматпрак (по желанию) (Попович) </t>
    </r>
    <r>
      <rPr>
        <rFont val="Arial"/>
        <b/>
        <color theme="1"/>
        <sz val="1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</si>
  <si>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</si>
  <si>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t>Кружки : Хоровая студия (Краснова) КЗ,  3D моделирование (Легошин) 410</t>
  </si>
  <si>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</si>
  <si>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</si>
  <si>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</si>
  <si>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</si>
  <si>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</si>
  <si>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</si>
  <si>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Arial"/>
        <color theme="1"/>
        <sz val="10.0"/>
      </rPr>
      <t xml:space="preserve">География (Колечкин) </t>
    </r>
    <r>
      <rPr>
        <rFont val="Arial"/>
        <b/>
        <color theme="1"/>
        <sz val="10.0"/>
      </rPr>
      <t>АЗ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</si>
  <si>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</si>
  <si>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</si>
  <si>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</si>
  <si>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</si>
  <si>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</si>
  <si>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</si>
  <si>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</si>
  <si>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</si>
  <si>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</si>
  <si>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</si>
  <si>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</si>
  <si>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</si>
  <si>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</si>
  <si>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</si>
  <si>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</si>
  <si>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</si>
  <si>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</si>
  <si>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</si>
  <si>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</si>
  <si>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</si>
  <si>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</si>
  <si>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</si>
  <si>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</si>
  <si>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</si>
  <si>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</si>
  <si>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</si>
  <si>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</si>
  <si>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</si>
  <si>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</si>
  <si>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</si>
  <si>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</si>
  <si>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</si>
  <si>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</si>
  <si>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</si>
  <si>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</si>
  <si>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</si>
  <si>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</si>
  <si>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</si>
  <si>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</si>
  <si>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</si>
  <si>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</si>
  <si>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</si>
  <si>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</si>
  <si>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</si>
  <si>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</si>
  <si>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</si>
  <si>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</si>
  <si>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</si>
  <si>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</si>
  <si>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</si>
  <si>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rgb="FFFFFFFF"/>
        <sz val="10.0"/>
      </rPr>
      <t xml:space="preserve">Доп. Матпрак по желанию (Попович) </t>
    </r>
    <r>
      <rPr>
        <rFont val="Arial"/>
        <b/>
        <color rgb="FFFFFFFF"/>
        <sz val="10.0"/>
      </rPr>
      <t>405</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</si>
  <si>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</si>
  <si>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</si>
  <si>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</si>
  <si>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</si>
  <si>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</si>
  <si>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</si>
  <si>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</si>
  <si>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</si>
  <si>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</si>
  <si>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</si>
  <si>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</si>
  <si>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</si>
  <si>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Саргин)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</si>
  <si>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</si>
  <si>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</si>
  <si>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</si>
  <si>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</si>
  <si>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Саргин)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</si>
  <si>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</si>
  <si>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</si>
  <si>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</si>
  <si>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</si>
  <si>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</si>
  <si>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</si>
  <si>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Информатика (Аларкон) </t>
    </r>
    <r>
      <rPr>
        <rFont val="Arial"/>
        <b/>
        <color theme="1"/>
        <sz val="10.0"/>
      </rPr>
      <t>403</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</si>
  <si>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</si>
  <si>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</si>
  <si>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</si>
  <si>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</si>
  <si>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</si>
  <si>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403</t>
    </r>
    <r>
      <rPr>
        <rFont val="Arial"/>
        <color theme="1"/>
      </rPr>
      <t xml:space="preserve">) / (Воронцов  </t>
    </r>
    <r>
      <rPr>
        <rFont val="Arial"/>
        <b/>
        <color theme="1"/>
      </rPr>
      <t xml:space="preserve">402)     </t>
    </r>
  </si>
  <si>
    <r>
      <t xml:space="preserve">МатПрак (Заводов, Решетников)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</si>
  <si>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</si>
  <si>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</si>
  <si>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</si>
  <si>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t>Информатика (Аларкон) 403</t>
  </si>
  <si>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</si>
  <si>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</si>
  <si>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</si>
  <si>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</si>
  <si>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403</t>
    </r>
    <r>
      <rPr>
        <rFont val="Arial"/>
        <color theme="1"/>
      </rPr>
      <t xml:space="preserve">) / (Воронцов  </t>
    </r>
    <r>
      <rPr>
        <rFont val="Arial"/>
        <b/>
        <color theme="1"/>
      </rPr>
      <t xml:space="preserve">402)     </t>
    </r>
  </si>
  <si>
    <r>
      <t xml:space="preserve">МатПрак (Заводов, Решетников)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</si>
  <si>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</si>
  <si>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</si>
  <si>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</si>
  <si>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</si>
  <si>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</si>
  <si>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</si>
  <si>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</si>
  <si>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</si>
  <si>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</si>
  <si>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</si>
  <si>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</si>
  <si>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</si>
  <si>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</si>
  <si>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</si>
  <si>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</si>
  <si>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</si>
  <si>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</si>
  <si>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</si>
  <si>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</si>
  <si>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</si>
  <si>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</si>
  <si>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</si>
  <si>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</si>
  <si>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</si>
  <si>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</si>
  <si>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</si>
  <si>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</si>
  <si>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</si>
  <si>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</si>
  <si>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</si>
  <si>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</si>
  <si>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</si>
  <si>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</si>
  <si>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</si>
  <si>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</si>
  <si>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</si>
  <si>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</si>
  <si>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</si>
  <si>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</si>
  <si>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</si>
  <si>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</si>
  <si>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</si>
  <si>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</si>
  <si>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</si>
  <si>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</si>
  <si>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</si>
  <si>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</si>
  <si>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</si>
  <si>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</si>
  <si>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</si>
  <si>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</si>
  <si>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</si>
  <si>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</si>
  <si>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</si>
  <si>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</si>
  <si>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</si>
  <si>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</si>
  <si>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</si>
  <si>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</si>
  <si>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</si>
  <si>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</si>
  <si>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</si>
  <si>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</si>
  <si>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</si>
  <si>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</si>
  <si>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</si>
  <si>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Олимп. экономика - продолжающие (Попович) </t>
    </r>
    <r>
      <rPr>
        <rFont val="Arial"/>
        <b/>
        <color theme="1"/>
        <sz val="10.0"/>
      </rPr>
      <t>202</t>
    </r>
  </si>
  <si>
    <r>
      <rPr>
        <rFont val="Arial"/>
        <b/>
        <color theme="1"/>
        <sz val="11.0"/>
      </rPr>
      <t xml:space="preserve">Олимп.геометрия (Решетников, Сайгак) - начинающие </t>
    </r>
    <r>
      <rPr>
        <rFont val="Arial"/>
        <b/>
        <color theme="1"/>
        <sz val="11.0"/>
      </rPr>
      <t>201</t>
    </r>
    <r>
      <rPr>
        <rFont val="Arial"/>
        <b/>
        <color theme="1"/>
        <sz val="11.0"/>
      </rPr>
      <t>.   Музыкальный кружок Лео и Ко</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</si>
  <si>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</si>
  <si>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</si>
  <si>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</si>
  <si>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</si>
  <si>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</si>
  <si>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</si>
  <si>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</si>
  <si>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</si>
  <si>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</si>
  <si>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</si>
  <si>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</si>
  <si>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</si>
  <si>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</si>
  <si>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</si>
  <si>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</si>
  <si>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</si>
  <si>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</si>
  <si>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</si>
  <si>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</si>
  <si>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</si>
  <si>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</si>
  <si>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</si>
  <si>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</si>
  <si>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</si>
  <si>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</si>
  <si>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</si>
  <si>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</si>
  <si>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</si>
  <si>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</si>
  <si>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</si>
  <si>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</si>
  <si>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</si>
  <si>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</si>
  <si>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</si>
  <si>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</si>
  <si>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</si>
  <si>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</si>
  <si>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</si>
  <si>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</si>
  <si>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</si>
  <si>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</si>
  <si>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</si>
  <si>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(Волкова МВ)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</si>
  <si>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</si>
  <si>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</si>
  <si>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</si>
  <si>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</si>
  <si>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</si>
  <si>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</si>
  <si>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</si>
  <si>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</si>
  <si>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</si>
  <si>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</si>
  <si>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408</t>
    </r>
  </si>
  <si>
    <r>
      <rPr>
        <rFont val="Arial"/>
        <color theme="1"/>
      </rPr>
      <t xml:space="preserve">Матпрак (Волкова МВ)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</si>
  <si>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</si>
  <si>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</si>
  <si>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</si>
  <si>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</si>
  <si>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</si>
  <si>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</si>
  <si>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</si>
  <si>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</si>
  <si>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</si>
  <si>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</si>
  <si>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408</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</si>
  <si>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  </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</si>
  <si>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</si>
  <si>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404</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</si>
  <si>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</si>
  <si>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</si>
  <si>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</si>
  <si>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</si>
  <si>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</si>
  <si>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</si>
  <si>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</si>
  <si>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Матпрак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</si>
  <si>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</si>
  <si>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</si>
  <si>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Театр (Обидина) </t>
    </r>
    <r>
      <rPr>
        <rFont val="Arial"/>
        <b/>
        <color theme="1"/>
        <sz val="10.0"/>
      </rPr>
      <t>АЗ</t>
    </r>
  </si>
  <si>
    <t>Физика ЕГЭ Репнев 402/ Биология ЕГЭ Носкова 404</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</si>
  <si>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</si>
  <si>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</si>
  <si>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</si>
  <si>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</si>
  <si>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</si>
  <si>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</si>
  <si>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</si>
  <si>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Театр (Обидина) </t>
    </r>
    <r>
      <rPr>
        <rFont val="Arial"/>
        <b/>
        <color theme="1"/>
        <sz val="10.0"/>
      </rPr>
      <t>АЗ</t>
    </r>
  </si>
  <si>
    <t>11.00 Олимп инфо ДИСТАНТ (Подворный) 202 каб.</t>
  </si>
  <si>
    <r>
      <t xml:space="preserve">ДИАЛОГИ О ВАЖНОМ (Краснова) </t>
    </r>
    <r>
      <rPr>
        <rFont val="Arial"/>
        <b/>
        <color theme="1"/>
        <sz val="10.0"/>
      </rPr>
      <t>АЗ</t>
    </r>
  </si>
  <si>
    <r>
      <t xml:space="preserve">ДИАЛОГИ О ВАЖНОМ (Дронзик) </t>
    </r>
    <r>
      <rPr>
        <rFont val="Arial"/>
        <b/>
        <color theme="1"/>
        <sz val="10.0"/>
      </rPr>
      <t>210</t>
    </r>
  </si>
  <si>
    <r>
      <rPr>
        <rFont val="Arial"/>
        <color theme="1"/>
        <sz val="10.0"/>
      </rPr>
      <t xml:space="preserve">ДИАЛОГИ О ВАЖНОМ (Репнев) </t>
    </r>
    <r>
      <rPr>
        <rFont val="Arial"/>
        <b/>
        <color theme="1"/>
        <sz val="10.0"/>
      </rPr>
      <t xml:space="preserve">КЗ </t>
    </r>
  </si>
  <si>
    <r>
      <rPr>
        <rFont val="Arial"/>
        <color theme="1"/>
        <sz val="10.0"/>
      </rPr>
      <t xml:space="preserve">ДИАЛОГИ О ВАЖНОМ (Краснова ЕИ) </t>
    </r>
    <r>
      <rPr>
        <rFont val="Arial"/>
        <b/>
        <color theme="1"/>
        <sz val="10.0"/>
      </rPr>
      <t>АЗ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</si>
  <si>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</si>
  <si>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</si>
  <si>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</si>
  <si>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</si>
  <si>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404</t>
    </r>
  </si>
  <si>
    <t xml:space="preserve">Хор (Краснова и Никулова) КЗ </t>
  </si>
  <si>
    <r>
      <rPr>
        <rFont val="Arial"/>
        <color theme="1"/>
        <sz val="10.0"/>
      </rPr>
      <t xml:space="preserve">Геометрия (Абрамов) </t>
    </r>
    <r>
      <rPr>
        <rFont val="Arial"/>
        <b/>
        <color theme="1"/>
        <sz val="10.0"/>
      </rPr>
      <t>210</t>
    </r>
  </si>
  <si>
    <r>
      <t xml:space="preserve">Общество (Белоус) </t>
    </r>
    <r>
      <rPr>
        <rFont val="Roboto, RobotoDraft, Helvetica, Arial, sans-serif"/>
        <b/>
        <color rgb="FF000000"/>
      </rPr>
      <t>503 / олинфо 202</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</si>
  <si>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</si>
  <si>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</si>
  <si>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</si>
  <si>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</si>
  <si>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</si>
  <si>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</si>
  <si>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Даугелло)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</si>
  <si>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</si>
  <si>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</si>
  <si>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</si>
  <si>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</si>
  <si>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</si>
  <si>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</si>
  <si>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</si>
  <si>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</si>
  <si>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</si>
  <si>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</si>
  <si>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t>Матпрак (Митев, Даугелло) 202</t>
  </si>
  <si>
    <r>
      <t xml:space="preserve">Матпрак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</si>
  <si>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</si>
  <si>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</si>
  <si>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</si>
  <si>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</si>
  <si>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</si>
  <si>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</si>
  <si>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</si>
  <si>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</si>
  <si>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</si>
  <si>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Робо (Рогацкина) </t>
    </r>
    <r>
      <rPr>
        <rFont val="Arial"/>
        <b/>
        <color theme="1"/>
        <sz val="10.0"/>
      </rPr>
      <t>410</t>
    </r>
  </si>
  <si>
    <r>
      <t xml:space="preserve">Матпрак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</si>
  <si>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</si>
  <si>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</si>
  <si>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</si>
  <si>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</si>
  <si>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</si>
  <si>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</si>
  <si>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</si>
  <si>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</si>
  <si>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</si>
  <si>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t>Матпрак (Попович, Даугелло) 202</t>
  </si>
  <si>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</si>
  <si>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</si>
  <si>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t xml:space="preserve">Матпрак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</si>
  <si>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</si>
  <si>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</si>
  <si>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</si>
  <si>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</si>
  <si>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</si>
  <si>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</si>
  <si>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</si>
  <si>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</si>
  <si>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</si>
  <si>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</si>
  <si>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t xml:space="preserve">Матпрак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</si>
  <si>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</si>
  <si>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</si>
  <si>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</si>
  <si>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</si>
  <si>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</si>
  <si>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</si>
  <si>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</si>
  <si>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</si>
  <si>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</si>
  <si>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</si>
  <si>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</si>
  <si>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</si>
  <si>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</si>
  <si>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</si>
  <si>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</si>
  <si>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</si>
  <si>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sz val="10.0"/>
      </rPr>
      <t xml:space="preserve">Инд.проект Дронзик </t>
    </r>
    <r>
      <rPr>
        <rFont val="Arial"/>
        <b/>
        <color theme="1"/>
        <sz val="10.0"/>
      </rPr>
      <t>210</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</si>
  <si>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</si>
  <si>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</si>
  <si>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</si>
  <si>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</si>
  <si>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</si>
  <si>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</si>
  <si>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t xml:space="preserve">Матпрак (Латыпова) </t>
    </r>
    <r>
      <rPr>
        <rFont val="Arial"/>
        <b/>
        <color theme="1"/>
        <sz val="10.0"/>
      </rPr>
      <t>202</t>
    </r>
  </si>
  <si>
    <r>
      <rPr>
        <rFont val="Arial"/>
        <b/>
        <color theme="1"/>
        <sz val="12.0"/>
      </rPr>
      <t xml:space="preserve">Исторические танцы (Пипейкина) </t>
    </r>
    <r>
      <rPr>
        <rFont val="Arial"/>
        <b/>
        <color theme="1"/>
        <sz val="12.0"/>
      </rPr>
      <t>504</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</si>
  <si>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</si>
  <si>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</si>
  <si>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</si>
  <si>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</si>
  <si>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</si>
  <si>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</si>
  <si>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</si>
  <si>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</si>
  <si>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501</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</si>
  <si>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</si>
  <si>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</si>
  <si>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</si>
  <si>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</si>
  <si>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</si>
  <si>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</si>
  <si>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</si>
  <si>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</si>
  <si>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</si>
  <si>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</si>
  <si>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</si>
  <si>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</si>
  <si>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</si>
  <si>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История (Белоус)  409</t>
  </si>
  <si>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</si>
  <si>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</si>
  <si>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</si>
  <si>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</si>
  <si>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</si>
  <si>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</si>
  <si>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</si>
  <si>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</si>
  <si>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t>История (Белоус)   409</t>
  </si>
  <si>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</si>
  <si>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</si>
  <si>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</si>
  <si>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</si>
  <si>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</si>
  <si>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</si>
  <si>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</si>
  <si>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</si>
  <si>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</si>
  <si>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</si>
  <si>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</si>
  <si>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</si>
  <si>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</si>
  <si>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</si>
  <si>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t>ДИАГНОСТИКА РУС.ЯЗ в 13.00 в 406 и 408 (телефоны отключаем, рюкзаки при входе, с собой ручка, карандаш, черновик) Наблюдатели Домбровская, Слоневская</t>
  </si>
  <si>
    <r>
      <rPr>
        <rFont val="Roboto, RobotoDraft, Helvetica, Arial, sans-serif"/>
        <color rgb="FF000000"/>
      </rPr>
      <t xml:space="preserve">История (Куницын) </t>
    </r>
    <r>
      <rPr>
        <rFont val="Roboto, RobotoDraft, Helvetica, Arial, sans-serif"/>
        <b/>
        <color rgb="FF000000"/>
      </rPr>
      <t xml:space="preserve">503           </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</si>
  <si>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</si>
  <si>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</si>
  <si>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</si>
  <si>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</si>
  <si>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</si>
  <si>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</si>
  <si>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</si>
  <si>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</si>
  <si>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</si>
  <si>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Геом. (Шерашова) </t>
    </r>
    <r>
      <rPr>
        <rFont val="Arial"/>
        <b/>
        <color theme="1"/>
        <sz val="10.0"/>
      </rPr>
      <t>401</t>
    </r>
  </si>
  <si>
    <t>Информатика (Климов) 405</t>
  </si>
  <si>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</si>
  <si>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</si>
  <si>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</si>
  <si>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</si>
  <si>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</si>
  <si>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</si>
  <si>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</si>
  <si>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</si>
  <si>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503</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</si>
  <si>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</si>
  <si>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</si>
  <si>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</si>
  <si>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</si>
  <si>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</si>
  <si>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</si>
  <si>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</si>
  <si>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</si>
  <si>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</si>
  <si>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Допматпрак (по желанию) (Попович) </t>
    </r>
    <r>
      <rPr>
        <rFont val="Arial"/>
        <b/>
        <color theme="1"/>
        <sz val="1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</si>
  <si>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</si>
  <si>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503</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</si>
  <si>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</si>
  <si>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 xml:space="preserve">Допматпрак (по желанию) (Попович) </t>
    </r>
    <r>
      <rPr>
        <rFont val="Arial"/>
        <b/>
        <color theme="1"/>
        <sz val="1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</si>
  <si>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</si>
  <si>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</si>
  <si>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</si>
  <si>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t>Подписав акцинация от гриппа</t>
  </si>
  <si>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</si>
  <si>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</si>
  <si>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</si>
  <si>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</si>
  <si>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Arial"/>
        <color theme="1"/>
        <sz val="10.0"/>
      </rPr>
      <t xml:space="preserve">География (Колечкин) </t>
    </r>
    <r>
      <rPr>
        <rFont val="Arial"/>
        <b/>
        <color theme="1"/>
        <sz val="10.0"/>
      </rPr>
      <t>АЗ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</si>
  <si>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</si>
  <si>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</si>
  <si>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</si>
  <si>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</si>
  <si>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</si>
  <si>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</si>
  <si>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</si>
  <si>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</si>
  <si>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</si>
  <si>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</si>
  <si>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</si>
  <si>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</si>
  <si>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</si>
  <si>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</si>
  <si>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</si>
  <si>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</si>
  <si>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</si>
  <si>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</si>
  <si>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</si>
  <si>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</si>
  <si>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</si>
  <si>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</si>
  <si>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</si>
  <si>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</si>
  <si>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</si>
  <si>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</si>
  <si>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</si>
  <si>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</si>
  <si>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</si>
  <si>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</si>
  <si>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</si>
  <si>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</si>
  <si>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</si>
  <si>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</si>
  <si>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</si>
  <si>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</si>
  <si>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</si>
  <si>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</si>
  <si>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</si>
  <si>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</si>
  <si>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</si>
  <si>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</si>
  <si>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</si>
  <si>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</si>
  <si>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</si>
  <si>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</si>
  <si>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</si>
  <si>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</si>
  <si>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</si>
  <si>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</si>
  <si>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</si>
  <si>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</si>
  <si>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</si>
  <si>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</si>
  <si>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</si>
  <si>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</si>
  <si>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</si>
  <si>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</si>
  <si>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</si>
  <si>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</si>
  <si>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</si>
  <si>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</si>
  <si>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Саргин)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</si>
  <si>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</si>
  <si>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</si>
  <si>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</si>
  <si>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</si>
  <si>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 желанию (Попович) </t>
    </r>
    <r>
      <rPr>
        <rFont val="Arial"/>
        <b/>
        <color rgb="FFFFFFFF"/>
        <sz val="10.0"/>
      </rPr>
      <t>202</t>
    </r>
  </si>
  <si>
    <r>
      <rPr>
        <rFont val="Arial"/>
        <color theme="1"/>
        <sz val="10.0"/>
      </rPr>
      <t xml:space="preserve">Олимпиадная робототехника (Кадыкова, Сенин, Саргин)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</si>
  <si>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</si>
  <si>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</si>
  <si>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</si>
  <si>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</si>
  <si>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</si>
  <si>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t xml:space="preserve">Информатика (Старунова) </t>
    </r>
    <r>
      <rPr>
        <rFont val="Arial"/>
        <b/>
        <color theme="1"/>
        <sz val="10.0"/>
      </rPr>
      <t>403</t>
    </r>
  </si>
  <si>
    <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</si>
  <si>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</si>
  <si>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</si>
  <si>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</si>
  <si>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</si>
  <si>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</si>
  <si>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</si>
  <si>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503</t>
    </r>
  </si>
  <si>
    <r>
      <t xml:space="preserve">МатПрак (Заводов, ???)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</si>
  <si>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</si>
  <si>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</si>
  <si>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 xml:space="preserve">Информатика (Старунова) </t>
    </r>
    <r>
      <rPr>
        <rFont val="Arial"/>
        <b/>
        <color theme="1"/>
        <sz val="10.0"/>
      </rPr>
      <t>403</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</si>
  <si>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</si>
  <si>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</si>
  <si>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</si>
  <si>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</si>
  <si>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</si>
  <si>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503</t>
    </r>
  </si>
  <si>
    <r>
      <t xml:space="preserve">МатПрак (Заводов, ???) </t>
    </r>
    <r>
      <rPr>
        <rFont val="Arial"/>
        <b/>
        <color theme="1"/>
        <sz val="10.0"/>
      </rPr>
      <t>209</t>
    </r>
  </si>
  <si>
    <r>
      <rPr>
        <rFont val="Arial"/>
        <color theme="1"/>
        <sz val="10.0"/>
      </rPr>
      <t xml:space="preserve">Физра (Ларченко) </t>
    </r>
    <r>
      <rPr>
        <rFont val="Arial"/>
        <b/>
        <color theme="1"/>
        <sz val="10.0"/>
      </rPr>
      <t>СЗ</t>
    </r>
  </si>
  <si>
    <r>
      <t xml:space="preserve">Информатика (Старунова) </t>
    </r>
    <r>
      <rPr>
        <rFont val="Arial"/>
        <b/>
        <color theme="1"/>
        <sz val="10.0"/>
      </rPr>
      <t>403</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</si>
  <si>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</si>
  <si>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</si>
  <si>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rPr>
        <rFont val="Arial"/>
        <color theme="1"/>
        <sz val="10.0"/>
      </rPr>
      <t xml:space="preserve">Матпрак (трес) Исмаилов, Панюнин </t>
    </r>
    <r>
      <rPr>
        <rFont val="Arial"/>
        <b/>
        <color theme="1"/>
        <sz val="10.0"/>
      </rPr>
      <t>202</t>
    </r>
  </si>
  <si>
    <r>
      <t xml:space="preserve">Матем (кватро) Шерашова </t>
    </r>
    <r>
      <rPr>
        <rFont val="Arial"/>
        <b/>
        <color theme="1"/>
        <sz val="10.0"/>
      </rPr>
      <t>401</t>
    </r>
  </si>
  <si>
    <r>
      <t xml:space="preserve">Информатика (Воронцов </t>
    </r>
    <r>
      <rPr>
        <rFont val="Arial"/>
        <b/>
        <color theme="1"/>
      </rPr>
      <t>402</t>
    </r>
    <r>
      <rPr>
        <rFont val="Arial"/>
        <color theme="1"/>
      </rPr>
      <t>/ Аларкон 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</si>
  <si>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</si>
  <si>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</si>
  <si>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</si>
  <si>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</si>
  <si>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t xml:space="preserve">Информатика (Старунова) </t>
    </r>
    <r>
      <rPr>
        <rFont val="Arial"/>
        <b/>
        <color theme="1"/>
        <sz val="10.0"/>
      </rPr>
      <t>403</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</si>
  <si>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</si>
  <si>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</si>
  <si>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</si>
  <si>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</si>
  <si>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t xml:space="preserve">Информатика (Воронцов </t>
    </r>
    <r>
      <rPr>
        <rFont val="Arial"/>
        <b/>
        <color theme="1"/>
      </rPr>
      <t xml:space="preserve">402 </t>
    </r>
    <r>
      <rPr>
        <rFont val="Arial"/>
        <color theme="1"/>
      </rPr>
      <t>/ Аларкон 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</si>
  <si>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</si>
  <si>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</si>
  <si>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</si>
  <si>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</si>
  <si>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</si>
  <si>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</si>
  <si>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</si>
  <si>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</si>
  <si>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</si>
  <si>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</si>
  <si>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</si>
  <si>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</si>
  <si>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</si>
  <si>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</si>
  <si>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</si>
  <si>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ОБЖ (Старунов)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</si>
  <si>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</si>
  <si>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</si>
  <si>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</si>
  <si>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</si>
  <si>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</si>
  <si>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</si>
  <si>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</si>
  <si>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</si>
  <si>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</si>
  <si>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</si>
  <si>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</si>
  <si>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</si>
  <si>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</si>
  <si>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</si>
  <si>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</si>
  <si>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</si>
  <si>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</si>
  <si>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</si>
  <si>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</si>
  <si>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</si>
  <si>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</si>
  <si>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</si>
  <si>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</si>
  <si>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</si>
  <si>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</si>
  <si>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</si>
  <si>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</si>
  <si>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</si>
  <si>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</si>
  <si>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rPr>
      <t xml:space="preserve">ОБЖ (Старунов) </t>
    </r>
    <r>
      <rPr>
        <rFont val="Arial"/>
        <b/>
        <color theme="1"/>
      </rPr>
      <t>210</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</si>
  <si>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</si>
  <si>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</si>
  <si>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</si>
  <si>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</si>
  <si>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Олимп. экономика - продолжающие (Попович) </t>
    </r>
    <r>
      <rPr>
        <rFont val="Arial"/>
        <b/>
        <color theme="1"/>
        <sz val="10.0"/>
      </rPr>
      <t>202</t>
    </r>
  </si>
  <si>
    <t>Олимп.геометрия (Сайгак) - начинающие 201.   Музыкальный кружок Лео и Ко</t>
  </si>
  <si>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</si>
  <si>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</si>
  <si>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</si>
  <si>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</si>
  <si>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</si>
  <si>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</si>
  <si>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</si>
  <si>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</si>
  <si>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</si>
  <si>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</si>
  <si>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</si>
  <si>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</si>
  <si>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</si>
  <si>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</si>
  <si>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</si>
  <si>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</si>
  <si>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</si>
  <si>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</si>
  <si>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</si>
  <si>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</si>
  <si>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</si>
  <si>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</si>
  <si>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Литература (Решетников) </t>
    </r>
    <r>
      <rPr>
        <rFont val="Arial"/>
        <b/>
        <color theme="1"/>
        <sz val="10.0"/>
      </rPr>
      <t>КЗ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</si>
  <si>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</si>
  <si>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</si>
  <si>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</si>
  <si>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</si>
  <si>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</si>
  <si>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</si>
  <si>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</si>
  <si>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</si>
  <si>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</si>
  <si>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Литература (Решетников) </t>
    </r>
    <r>
      <rPr>
        <rFont val="Arial"/>
        <b/>
        <color theme="1"/>
        <sz val="10.0"/>
      </rPr>
      <t>КЗ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</si>
  <si>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</si>
  <si>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</si>
  <si>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</si>
  <si>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</si>
  <si>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</si>
  <si>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</si>
  <si>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</si>
  <si>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</si>
  <si>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</si>
  <si>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</si>
  <si>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</si>
  <si>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</si>
  <si>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</si>
  <si>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t>Диагностика РУС.ЯЗ КЗ  (телефоны отключаем, рюкзаки при входе, с собой ручка, карандаш, черновик)</t>
  </si>
  <si>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</si>
  <si>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</si>
  <si>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</si>
  <si>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</si>
  <si>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</si>
  <si>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</si>
  <si>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</si>
  <si>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</si>
  <si>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</si>
  <si>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</si>
  <si>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</si>
  <si>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</si>
  <si>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</si>
  <si>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</si>
  <si>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</si>
  <si>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</si>
  <si>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404</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</si>
  <si>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</si>
  <si>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</si>
  <si>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</si>
  <si>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</si>
  <si>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</si>
  <si>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</si>
  <si>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(Старунов) </t>
    </r>
    <r>
      <rPr>
        <rFont val="Arial"/>
        <b/>
        <color theme="1"/>
        <sz val="10.0"/>
      </rPr>
      <t>206</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</si>
  <si>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</si>
  <si>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</si>
  <si>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</si>
  <si>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 xml:space="preserve"> )</t>
    </r>
    <r>
      <rPr>
        <rFont val="Arial"/>
        <b/>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</si>
  <si>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</si>
  <si>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</si>
  <si>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</si>
  <si>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</si>
  <si>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</si>
  <si>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СММ (Старунов) </t>
    </r>
    <r>
      <rPr>
        <rFont val="Arial"/>
        <b/>
        <color theme="1"/>
        <sz val="10.0"/>
      </rPr>
      <t>206</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</si>
  <si>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</si>
  <si>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</si>
  <si>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</si>
  <si>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t>ТРИЗ (5-6 класс) 402, ХОР (Краснова, Никулова) КЗ, CTF (Джамбек) 406, Ол. геометрия для продолжающих (Сайгак А.) 202, Экономика для начинающих (Попович, Кирюшин) 210, Го (Решетников) 201, Проекты по робототехнике (Сенин, Кадыкова, Саргин) 410, Олимпиадная история (Куницын) 503, Проекты (Слоневская) zoom, Гиревой спорт 9-11 кл (Хуснутдинов) СЗ</t>
  </si>
  <si>
    <r>
      <rPr>
        <rFont val="Arial"/>
        <color theme="1"/>
        <sz val="10.0"/>
      </rPr>
      <t xml:space="preserve">ОБЖ (Старунов) </t>
    </r>
    <r>
      <rPr>
        <rFont val="Arial"/>
        <b/>
        <color theme="1"/>
        <sz val="10.0"/>
      </rPr>
      <t>206</t>
    </r>
  </si>
  <si>
    <t>Детективный КВИЗ в АЗ (Репнев)</t>
  </si>
  <si>
    <t>6СТ</t>
  </si>
  <si>
    <t>7СТ</t>
  </si>
  <si>
    <t>11С + учителя</t>
  </si>
  <si>
    <t>09:00-10:25</t>
  </si>
  <si>
    <t>ОРГСОБРАНИЕ (АЗ)</t>
  </si>
  <si>
    <t>Завтрак 10.25-10.45</t>
  </si>
  <si>
    <t>10:45 - 11:25</t>
  </si>
  <si>
    <t xml:space="preserve">КВЕСТ "КАК РАБОТАТЬ НАД ПРОЕКТОМ В КОМАНДЕ": опыт успехов и ошибок </t>
  </si>
  <si>
    <t>кабинеты</t>
  </si>
  <si>
    <t>КЗ</t>
  </si>
  <si>
    <t>АЗ</t>
  </si>
  <si>
    <t>11:25-11:45</t>
  </si>
  <si>
    <t>Завтрак 11.25-11.45 / перерыв</t>
  </si>
  <si>
    <t>11:45 - 13:10</t>
  </si>
  <si>
    <t>ОБЕД в процессе проектов по расписанию 13.10-13.50</t>
  </si>
  <si>
    <t>13:00 - 16:00</t>
  </si>
  <si>
    <t>ПРОЕКТЫ</t>
  </si>
  <si>
    <t>АА Заводов 209, СВ Слоневская + НС Домбровская 404, 405, АБ Дронзик 210, ЕХ Аларкон 408 + (ИЕ Воронцов+ОА Старунова) 409, АЛ Попович 105, АГ Репнев 402, АВ Шерашова 401, ПА Носкова 206, АЭ Исмаилов 202, Рогацкина 410,  ОС Харитонов 201 +АА Куницын 403 + НА Решетников 201</t>
  </si>
  <si>
    <t>14:00 - 15:30</t>
  </si>
  <si>
    <t>09:00-13:10</t>
  </si>
  <si>
    <t xml:space="preserve">ПРОЕКТЫ АА Заводов 209, СВ Слоневская + НС Домбровская 404, 405, АБ Дронзик 210, ЕХ Аларкон 408 + (ИЕ Воронцов+ОА Старунова) 409, АЛ Попович 105, АГ Репнев 402, АВ Шерашова 401, ПА Носкова 206, АЭ Исмаилов 202, Рогацкина 410,  ОС Харитонов 201 +АА Куницын 403 + НА Решетников 201                                                                                                        </t>
  </si>
  <si>
    <t>Диагностика ВШ РУС. 11.00 в 201 каб. (Харитонов)</t>
  </si>
  <si>
    <t>Диагностика ВШ Анг. 11.00 АЗ (Хуснутдинов)</t>
  </si>
  <si>
    <t>Диагностика МЦКО МАТ 11.00 в 406 и 408 (Белоус)</t>
  </si>
  <si>
    <t xml:space="preserve">ЗАВТРАК и ОБЕД по ОБЫЧНОМУ расписанию в процессе проектов выходим и снова идём на проекты (5-7С кл  10.25-10.45, 7Т-11 кл 11.25-11.45 ,  5-7 кл 13.10-13.30, 8-11 кл 13.30-13.50) </t>
  </si>
  <si>
    <t>13:50 - 15:15</t>
  </si>
  <si>
    <t>Экскурсия в музей кочевых культур (ОС Харитонов, Старунова, Хуснутдинов)</t>
  </si>
  <si>
    <t>ВСЕ ДОМОЙ ПИСАТЬ ШКОЛЬНЫЙ ЭТАП ВсОШ по ИНФОРМАТИКЕ</t>
  </si>
  <si>
    <t>13:30 выход из школы -  Экскурсия в Царицино (ЕИ Краснова, ИВ Никулова)</t>
  </si>
  <si>
    <t>мелоди-баттл (КЗ)</t>
  </si>
  <si>
    <t>с 15.30 занимают АЗ и 503, 504 под спектакль "День Победы среди войны" с 16.15</t>
  </si>
  <si>
    <t>9:20 - 10:25</t>
  </si>
  <si>
    <t>"Путешествие во времени" (ИС Колечкин) АЗ</t>
  </si>
  <si>
    <t>10:45- 11:45</t>
  </si>
  <si>
    <t>"Страшное путешествие Лопе де Агирре" (ИС Колечкин) АЗ</t>
  </si>
  <si>
    <t>ЗАВТРАК ПО ОБЫЧНОМУ РАСПИСАНИЮ  10.25-10.45,  11.25-11.45</t>
  </si>
  <si>
    <t>11:55 - 12:55</t>
  </si>
  <si>
    <t>12:55 - 13:10</t>
  </si>
  <si>
    <t>13:10 - 13:50</t>
  </si>
  <si>
    <t>13:50 - 16:00</t>
  </si>
  <si>
    <t>Консультация по матпраку (Митев Роман) 202</t>
  </si>
  <si>
    <t>Экскурсия в Курчатовский дом ученых. 
Дронзик А.Б., Хуснутдинов А.С., Харитонов О.С. 
Выход из школы в 13:30</t>
  </si>
  <si>
    <t>Интерактивная литература (РЕ Власов) КЗ</t>
  </si>
  <si>
    <t>16.00 - 18.00 Театр</t>
  </si>
  <si>
    <t>09:00-13:30</t>
  </si>
  <si>
    <t>проекты</t>
  </si>
  <si>
    <r>
      <rPr>
        <rFont val="arial"/>
        <color theme="1"/>
        <sz val="11.0"/>
      </rPr>
      <t xml:space="preserve">11.45 -12.25 Звёзды и планеты </t>
    </r>
    <r>
      <rPr>
        <rFont val="arial"/>
        <b/>
        <color theme="1"/>
        <sz val="11.0"/>
      </rPr>
      <t xml:space="preserve">503 </t>
    </r>
    <r>
      <rPr>
        <rFont val="arial"/>
        <color theme="1"/>
        <sz val="11.0"/>
      </rPr>
      <t xml:space="preserve"> (лектор Иван Старостин. отв. Хуснутдинов)</t>
    </r>
  </si>
  <si>
    <r>
      <rPr>
        <rFont val="arial"/>
        <color theme="1"/>
        <sz val="11.0"/>
      </rPr>
      <t xml:space="preserve">12.30 -13.10 Звёзды и планеты </t>
    </r>
    <r>
      <rPr>
        <rFont val="arial"/>
        <b/>
        <color theme="1"/>
        <sz val="11.0"/>
      </rPr>
      <t xml:space="preserve">503  </t>
    </r>
    <r>
      <rPr>
        <rFont val="arial"/>
        <color theme="1"/>
        <sz val="11.0"/>
      </rPr>
      <t>(лектор Иван Старостин. отв. Хуснутдинов) по желанию идут на лекцию, остальные занимаются проектами</t>
    </r>
  </si>
  <si>
    <r>
      <t xml:space="preserve">12.00 Репетиция "Верескового меда"  Обидина И.Л., Носкова П.А. 
</t>
    </r>
    <r>
      <rPr>
        <rFont val="arial"/>
        <b/>
        <color theme="1"/>
        <sz val="12.0"/>
      </rPr>
      <t>АЗ</t>
    </r>
    <r>
      <rPr>
        <rFont val="arial"/>
        <color theme="1"/>
        <sz val="12.0"/>
      </rPr>
      <t xml:space="preserve"> 15 человек из списка Ирины Леонидовны</t>
    </r>
  </si>
  <si>
    <t>13...- 13:50</t>
  </si>
  <si>
    <t>Экскурсия в Пушкинский музей (начало в 16:00) (перед этим - прогулочка и напоминание о правилах поведения на экскурсиях) (Харитонов, Хуснутдинов)</t>
  </si>
  <si>
    <t>Кинопоказ 402 (Репнев АГ) по желанию смотрим кино или идём на курс сторителлинга в АЗ</t>
  </si>
  <si>
    <t xml:space="preserve">МАСТЕР-КЛАСС по СТОРИТЕЛЛИНГУ (Ксения Зорина) АЗ. Участники: Гарри, Амина, Георгий Саенко, Денис, Афанасий, Маша Ревская, Маша Довганик, Илья Свирский, Толик, Глеб Елушов, Вася Щербаков, Вова, Лиля Орлова, Левковцев Георгий, Лебедев Михаил. Остальные могут быть зрителями. </t>
  </si>
  <si>
    <t xml:space="preserve">ПРОЕКТЫ </t>
  </si>
  <si>
    <t>Проекты</t>
  </si>
  <si>
    <t>ПРОЕКТЫ АА Заводов 209, СВ Слоневская + НС Домбровская 404, 405, АБ Дронзик 210, ЕХ Аларкон 408 + (ИЕ Воронцов+ОА Старунова) 409, АЛ Попович 105, АГ Репнев 402, АВ Шерашова 401, ПА Носкова 206, АЭ Исмаилов 202, Рогацкина 410,  ОС Харитонов 201 +АА Куницын 403 + НА Решетников 201</t>
  </si>
  <si>
    <t>10.00 диагностика СТарград ИНФО пробник ГИА необходимы свои ноуты и интернет !!!  501</t>
  </si>
  <si>
    <t>УЧИТЕЛЯ Обучение в 11.00 (отв. Завальный) 503</t>
  </si>
  <si>
    <r>
      <rPr>
        <rFont val="arial"/>
        <color theme="1"/>
        <sz val="12.0"/>
      </rPr>
      <t xml:space="preserve">12:30-14:30 Репетиция спектакля у Парфенова, Осипенко, Тягунова. Обидина ИЛ </t>
    </r>
    <r>
      <rPr>
        <rFont val="arial"/>
        <b/>
        <color theme="1"/>
        <sz val="12.0"/>
      </rPr>
      <t>АЗ</t>
    </r>
  </si>
  <si>
    <t>13:50 - 14:30</t>
  </si>
  <si>
    <t>ХОР КЗ(ЕИ Краснова, ИВ Никулова)</t>
  </si>
  <si>
    <t>Сириус больше Луны? (Ускова Александра) (402)</t>
  </si>
  <si>
    <t>Мехмат МГУ - рассказ и интервью (Татьяна Зайцева) (406) с 13.50</t>
  </si>
  <si>
    <t>14:35 - 15:15</t>
  </si>
  <si>
    <r>
      <rPr>
        <rFont val="arial"/>
        <color theme="1"/>
      </rPr>
      <t xml:space="preserve">ХОР КЗ (ЕИ Краснова, ИВ Никулова) / Репетиция "Верескового меда"  Обидина И.Л., Носкова П.А. 
</t>
    </r>
    <r>
      <rPr>
        <rFont val="arial"/>
        <b/>
        <color theme="1"/>
      </rPr>
      <t>АЗ</t>
    </r>
    <r>
      <rPr>
        <rFont val="arial"/>
        <color theme="1"/>
      </rPr>
      <t xml:space="preserve"> 15 человек из списка Ирины Леонидовны</t>
    </r>
  </si>
  <si>
    <t>9:20 - 13:30</t>
  </si>
  <si>
    <r>
      <rPr>
        <rFont val="arial"/>
        <color rgb="FF000000"/>
        <sz val="36.0"/>
      </rPr>
      <t xml:space="preserve">КОНФЕРЕНЦИЯ 
</t>
    </r>
    <r>
      <rPr>
        <rFont val="arial"/>
        <color rgb="FF000000"/>
        <sz val="18.0"/>
      </rPr>
      <t>КЗ (Репнев, Исмаилов), 
АЗ (Попович, Заводов),
406 (Харитонов, Слоневская, Домбровская)</t>
    </r>
    <r>
      <rPr>
        <rFont val="arial"/>
        <color rgb="FF000000"/>
        <sz val="36.0"/>
      </rPr>
      <t xml:space="preserve"> </t>
    </r>
  </si>
  <si>
    <t>б</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</si>
  <si>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</si>
  <si>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</si>
  <si>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</si>
  <si>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</si>
  <si>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</si>
  <si>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</si>
  <si>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</si>
  <si>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</si>
  <si>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</si>
  <si>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</si>
  <si>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</si>
  <si>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</si>
  <si>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</si>
  <si>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</si>
  <si>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</si>
  <si>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</si>
  <si>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</si>
  <si>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</si>
  <si>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</si>
  <si>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</si>
  <si>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</si>
  <si>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</si>
  <si>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</si>
  <si>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</si>
  <si>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</si>
  <si>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</si>
  <si>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</si>
  <si>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</si>
  <si>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</si>
  <si>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</si>
  <si>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409</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</si>
  <si>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</si>
  <si>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</si>
  <si>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</si>
  <si>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</si>
  <si>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</si>
  <si>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</si>
  <si>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</si>
  <si>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</si>
  <si>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</si>
  <si>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</si>
  <si>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</si>
  <si>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t>Англ (Алехина) 409</t>
  </si>
  <si>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</si>
  <si>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</si>
  <si>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</si>
  <si>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</si>
  <si>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</si>
  <si>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</si>
  <si>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</si>
  <si>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</si>
  <si>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</si>
  <si>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</si>
  <si>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</si>
  <si>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</si>
  <si>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</si>
  <si>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</si>
  <si>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</si>
  <si>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</si>
  <si>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</si>
  <si>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</si>
  <si>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</si>
  <si>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</si>
  <si>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</si>
  <si>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</si>
  <si>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</si>
  <si>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</si>
  <si>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</si>
  <si>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</si>
  <si>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</si>
  <si>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</si>
  <si>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</si>
  <si>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</si>
  <si>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</si>
  <si>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</si>
  <si>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</si>
  <si>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</si>
  <si>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</si>
  <si>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</si>
  <si>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</si>
  <si>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sz val="10.0"/>
      </rPr>
      <t xml:space="preserve">Инд.проект Дронзик </t>
    </r>
    <r>
      <rPr>
        <rFont val="Arial"/>
        <b/>
        <color theme="1"/>
        <sz val="10.0"/>
      </rPr>
      <t>210</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</si>
  <si>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</si>
  <si>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</si>
  <si>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</si>
  <si>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</si>
  <si>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</si>
  <si>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</si>
  <si>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</si>
  <si>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</si>
  <si>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</si>
  <si>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Диагностика МЦКО Функц.Гр. в  9.00 в 406 и 408 каб. НЕ ОПАЗДЫВАТЬ! Прийти за 15 минут. Портфели оставляем в углу, телефоны в портфелях отключены. С собой пенал и черновик. </t>
    </r>
    <r>
      <rPr>
        <rFont val="Arial"/>
        <b/>
        <color theme="1"/>
        <sz val="10.0"/>
      </rPr>
      <t>в 11.00 приходят и пишут в 406 (Харламова, Шулаков, Ютяев, Яковлев</t>
    </r>
    <r>
      <rPr>
        <rFont val="Arial"/>
        <color theme="1"/>
        <sz val="10.0"/>
      </rPr>
      <t>)</t>
    </r>
  </si>
  <si>
    <r>
      <rPr>
        <rFont val="Arial"/>
        <color theme="1"/>
      </rPr>
      <t xml:space="preserve">Биология (Носкова) </t>
    </r>
    <r>
      <rPr>
        <rFont val="Arial"/>
        <b/>
        <color theme="1"/>
      </rPr>
      <t>206</t>
    </r>
  </si>
  <si>
    <r>
      <rPr>
        <rFont val="Arial"/>
        <color theme="1"/>
        <sz val="10.0"/>
      </rPr>
      <t xml:space="preserve">Общество (Белоус)  </t>
    </r>
    <r>
      <rPr>
        <rFont val="Arial"/>
        <b/>
        <color theme="1"/>
        <sz val="10.0"/>
      </rPr>
      <t>202</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</si>
  <si>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</si>
  <si>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</si>
  <si>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</si>
  <si>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501</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</si>
  <si>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</si>
  <si>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</si>
  <si>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</si>
  <si>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202</t>
    </r>
  </si>
  <si>
    <r>
      <rPr>
        <rFont val="Arial"/>
        <color theme="1"/>
        <sz val="10.0"/>
      </rPr>
      <t xml:space="preserve">Биология (Носкова)  </t>
    </r>
    <r>
      <rPr>
        <rFont val="Arial"/>
        <b/>
        <color theme="1"/>
        <sz val="10.0"/>
      </rPr>
      <t>206</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</si>
  <si>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</si>
  <si>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</si>
  <si>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</si>
  <si>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</si>
  <si>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</si>
  <si>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</si>
  <si>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</si>
  <si>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 xml:space="preserve">408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</si>
  <si>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</si>
  <si>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</si>
  <si>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</si>
  <si>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</si>
  <si>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</si>
  <si>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</si>
  <si>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</si>
  <si>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</si>
  <si>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408</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</si>
  <si>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</si>
  <si>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</si>
  <si>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</si>
  <si>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</si>
  <si>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</si>
  <si>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</si>
  <si>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</si>
  <si>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</si>
  <si>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</si>
  <si>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</si>
  <si>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</si>
  <si>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</si>
  <si>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</si>
  <si>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</si>
  <si>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</si>
  <si>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</si>
  <si>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 xml:space="preserve">503           </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</si>
  <si>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</si>
  <si>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</si>
  <si>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</si>
  <si>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</si>
  <si>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</si>
  <si>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</si>
  <si>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</si>
  <si>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</si>
  <si>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</si>
  <si>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</si>
  <si>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</si>
  <si>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</si>
  <si>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</si>
  <si>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</si>
  <si>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</si>
  <si>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</si>
  <si>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</si>
  <si>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</si>
  <si>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</si>
  <si>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</si>
  <si>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</si>
  <si>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503</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</si>
  <si>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</si>
  <si>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</si>
  <si>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Самоподготовка с АЛ
</t>
    </r>
    <r>
      <rPr>
        <rFont val="Arial"/>
        <b/>
        <color theme="1"/>
        <sz val="10.0"/>
      </rPr>
      <t>501</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</si>
  <si>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</si>
  <si>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</si>
  <si>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</si>
  <si>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</si>
  <si>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</si>
  <si>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</si>
  <si>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Информатика (Климов) </t>
    </r>
    <r>
      <rPr>
        <rFont val="Arial"/>
        <b/>
        <color theme="1"/>
        <sz val="10.0"/>
      </rPr>
      <t>406</t>
    </r>
  </si>
  <si>
    <r>
      <rPr>
        <rFont val="Arial"/>
        <color theme="1"/>
        <sz val="10.0"/>
      </rPr>
      <t xml:space="preserve">Допматпрак (по желанию) (Попович) </t>
    </r>
    <r>
      <rPr>
        <rFont val="Arial"/>
        <b/>
        <color theme="1"/>
        <sz val="1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</si>
  <si>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</si>
  <si>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503</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</si>
  <si>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</si>
  <si>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 xml:space="preserve">Допматпрак (по желанию) (Попович) </t>
    </r>
    <r>
      <rPr>
        <rFont val="Arial"/>
        <b/>
        <color theme="1"/>
        <sz val="10.0"/>
      </rPr>
      <t>202</t>
    </r>
  </si>
  <si>
    <t>Кружки :  3D моделирование (Легошин) 410, ИЗО (Белоусова) 501</t>
  </si>
  <si>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</si>
  <si>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</si>
  <si>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</si>
  <si>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</si>
  <si>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Школьный этап по математике, необходимо принести свой КОМП, знать свой логин и пароль (Старунова ОА) </t>
    </r>
    <r>
      <rPr>
        <rFont val="Arial"/>
        <b/>
        <color theme="1"/>
        <sz val="10.0"/>
      </rPr>
      <t>202</t>
    </r>
  </si>
  <si>
    <t>Школьный этап по математике, необходимо  принести свой КОМП, знать свой логин и пароль (Шерашова) КЗ</t>
  </si>
  <si>
    <r>
      <rPr>
        <rFont val="Arial"/>
        <color theme="1"/>
        <sz val="10.0"/>
      </rPr>
      <t xml:space="preserve">Русский (Хуснутдинов)  </t>
    </r>
    <r>
      <rPr>
        <rFont val="Arial"/>
        <b/>
        <color theme="1"/>
        <sz val="10.0"/>
      </rPr>
      <t xml:space="preserve">209  </t>
    </r>
  </si>
  <si>
    <r>
      <rPr>
        <rFont val="Arial"/>
        <color theme="1"/>
        <sz val="10.0"/>
      </rPr>
      <t xml:space="preserve">География (Колечкин) </t>
    </r>
    <r>
      <rPr>
        <rFont val="Arial"/>
        <b/>
        <color theme="1"/>
        <sz val="10.0"/>
      </rPr>
      <t>АЗ</t>
    </r>
  </si>
  <si>
    <t>Школьный этап по математике, необходимо прнести свой КОМП, знать свой логин и пароль  (Белоус) 503</t>
  </si>
  <si>
    <r>
      <rPr>
        <rFont val="Arial"/>
        <color theme="1"/>
      </rPr>
      <t xml:space="preserve">География (Колечкин)   </t>
    </r>
    <r>
      <rPr>
        <rFont val="Arial"/>
        <b/>
        <color theme="1"/>
      </rPr>
      <t xml:space="preserve">409             </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</si>
  <si>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</si>
  <si>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</si>
  <si>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</si>
  <si>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</si>
  <si>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</si>
  <si>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</si>
  <si>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</si>
  <si>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</si>
  <si>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</si>
  <si>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209</t>
    </r>
  </si>
  <si>
    <r>
      <rPr>
        <rFont val="Arial"/>
        <color theme="1"/>
      </rPr>
      <t xml:space="preserve">Литература (Белоус) </t>
    </r>
    <r>
      <rPr>
        <rFont val="Arial"/>
        <b/>
        <color theme="1"/>
      </rPr>
      <t>210</t>
    </r>
  </si>
  <si>
    <r>
      <rPr>
        <rFont val="Arial"/>
        <color theme="1"/>
        <sz val="10.0"/>
      </rPr>
      <t xml:space="preserve">Математика (Дронзик) </t>
    </r>
    <r>
      <rPr>
        <rFont val="Arial"/>
        <b/>
        <color theme="1"/>
        <sz val="10.0"/>
      </rPr>
      <t>210</t>
    </r>
  </si>
  <si>
    <t>Информатика (Старунова) 405</t>
  </si>
  <si>
    <r>
      <rPr>
        <rFont val="Arial"/>
        <color theme="1"/>
        <sz val="10.0"/>
      </rPr>
      <t xml:space="preserve">Русский (Хуснутдинов)   </t>
    </r>
    <r>
      <rPr>
        <rFont val="Arial"/>
        <b/>
        <color theme="1"/>
        <sz val="10.0"/>
      </rPr>
      <t>406</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</si>
  <si>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</si>
  <si>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</si>
  <si>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</si>
  <si>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</si>
  <si>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t>Школьный этап по математике, необходимо принести свой КОМП, знать свой логин и пароль(Абрамов) 501</t>
  </si>
  <si>
    <t>Школьный этап по математике, необходимо принести свой КОМП, знать свой логин и пароль (Шерашова) 401</t>
  </si>
  <si>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</si>
  <si>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</si>
  <si>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</si>
  <si>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</si>
  <si>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</si>
  <si>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</si>
  <si>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</si>
  <si>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t>Диагностика МЦКО РусЯз. в  13.00 в 406 и 408 каб. НЕ ОПАЗДЫВАТЬ! Прийти за 15 минут. Портфели оставляем в углу, телефоны в портфелях отключены. С собой пенал и черновик.</t>
  </si>
  <si>
    <r>
      <rPr>
        <rFont val="Arial"/>
        <color theme="1"/>
        <sz val="10.0"/>
      </rPr>
      <t xml:space="preserve">Информатика (Старунова) </t>
    </r>
    <r>
      <rPr>
        <rFont val="Arial"/>
        <b/>
        <color theme="1"/>
        <sz val="10.0"/>
      </rPr>
      <t>405</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</si>
  <si>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</si>
  <si>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</si>
  <si>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</si>
  <si>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</si>
  <si>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</si>
  <si>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t>Школьный этап по математике (Заводов), , знать свой логин и пароль, принести свой комп 209</t>
  </si>
  <si>
    <r>
      <rPr>
        <rFont val="Arial"/>
        <color theme="1"/>
        <sz val="10.0"/>
      </rPr>
      <t xml:space="preserve">ТЕАТР </t>
    </r>
    <r>
      <rPr>
        <rFont val="Arial"/>
        <b/>
        <color theme="1"/>
        <sz val="10.0"/>
      </rPr>
      <t>АЗ (Клинкова)</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</si>
  <si>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</si>
  <si>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</si>
  <si>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</si>
  <si>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</si>
  <si>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</si>
  <si>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</si>
  <si>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</si>
  <si>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</si>
  <si>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</si>
  <si>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t>Диагноситка ВШД МАТ (телефоны отключить, с собой пенал и черновик) КЗ (Устинов)</t>
  </si>
  <si>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</si>
  <si>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</si>
  <si>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</si>
  <si>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</si>
  <si>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</si>
  <si>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</si>
  <si>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</si>
  <si>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</si>
  <si>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</si>
  <si>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</si>
  <si>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</si>
  <si>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</si>
  <si>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</si>
  <si>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</si>
  <si>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</si>
  <si>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</si>
  <si>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</si>
  <si>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</si>
  <si>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</si>
  <si>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</si>
  <si>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</si>
  <si>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</si>
  <si>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</si>
  <si>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</si>
  <si>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</si>
  <si>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</si>
  <si>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</si>
  <si>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</si>
  <si>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</si>
  <si>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</si>
  <si>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</si>
  <si>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</si>
  <si>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</si>
  <si>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</si>
  <si>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</si>
  <si>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</si>
  <si>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</si>
  <si>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</si>
  <si>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</si>
  <si>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</si>
  <si>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</si>
  <si>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</si>
  <si>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</si>
  <si>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</si>
  <si>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</si>
  <si>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</si>
  <si>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</si>
  <si>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</si>
  <si>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</si>
  <si>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</si>
  <si>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</si>
  <si>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</si>
  <si>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</si>
  <si>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</si>
  <si>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</si>
  <si>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</si>
  <si>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</si>
  <si>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</si>
  <si>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</si>
  <si>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</si>
  <si>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</si>
  <si>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</si>
  <si>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</si>
  <si>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</si>
  <si>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</si>
  <si>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</si>
  <si>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</si>
  <si>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</si>
  <si>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</si>
  <si>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</si>
  <si>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</si>
  <si>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</si>
  <si>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</si>
  <si>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</si>
  <si>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</si>
  <si>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</si>
  <si>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</si>
  <si>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</si>
  <si>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</si>
  <si>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</si>
  <si>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</si>
  <si>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</si>
  <si>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</si>
  <si>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</si>
  <si>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</si>
  <si>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</si>
  <si>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</si>
  <si>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t>Диагностика ВнутШколДиаг РУС (Телефоны отключить, с собой пенал и черновик) Устинов 210</t>
  </si>
  <si>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</si>
  <si>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</si>
  <si>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</si>
  <si>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</si>
  <si>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Олимп. экономика - продолжающие (Попович) </t>
    </r>
    <r>
      <rPr>
        <rFont val="Arial"/>
        <b/>
        <color theme="1"/>
        <sz val="10.0"/>
      </rPr>
      <t>202</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</si>
  <si>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</si>
  <si>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</si>
  <si>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</si>
  <si>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</si>
  <si>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</si>
  <si>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</si>
  <si>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</si>
  <si>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</si>
  <si>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</si>
  <si>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</si>
  <si>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</si>
  <si>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</si>
  <si>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</si>
  <si>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</si>
  <si>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</si>
  <si>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</si>
  <si>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</si>
  <si>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</si>
  <si>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</si>
  <si>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</si>
  <si>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</si>
  <si>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</si>
  <si>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</si>
  <si>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</si>
  <si>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</si>
  <si>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</si>
  <si>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</si>
  <si>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</si>
  <si>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</si>
  <si>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</si>
  <si>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</si>
  <si>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</si>
  <si>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</si>
  <si>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</si>
  <si>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</si>
  <si>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</si>
  <si>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</si>
  <si>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</si>
  <si>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</si>
  <si>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</si>
  <si>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</si>
  <si>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</si>
  <si>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</si>
  <si>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</si>
  <si>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</si>
  <si>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</si>
  <si>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</si>
  <si>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</si>
  <si>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</si>
  <si>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</si>
  <si>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</si>
  <si>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</si>
  <si>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</si>
  <si>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</si>
  <si>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</si>
  <si>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</si>
  <si>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</si>
  <si>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</si>
  <si>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</si>
  <si>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</si>
  <si>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</si>
  <si>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</si>
  <si>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</si>
  <si>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</si>
  <si>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</si>
  <si>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</si>
  <si>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</si>
  <si>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</si>
  <si>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404</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</si>
  <si>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</si>
  <si>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</si>
  <si>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</si>
  <si>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</si>
  <si>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</si>
  <si>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</si>
  <si>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</si>
  <si>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</si>
  <si>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</si>
  <si>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</si>
  <si>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</si>
  <si>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Театр (Обидина) </t>
    </r>
    <r>
      <rPr>
        <rFont val="Arial"/>
        <b/>
        <color theme="1"/>
        <sz val="10.0"/>
      </rPr>
      <t>504</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</si>
  <si>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</si>
  <si>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</si>
  <si>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t>Русский (Хуснутдинов) 201</t>
  </si>
  <si>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</si>
  <si>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</si>
  <si>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(Никулова) </t>
    </r>
    <r>
      <rPr>
        <rFont val="Arial"/>
        <b/>
        <color theme="1"/>
        <sz val="10.0"/>
      </rPr>
      <t>КЗ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</si>
  <si>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</si>
  <si>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</si>
  <si>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</si>
  <si>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t>Театр (Обидина) 504</t>
  </si>
  <si>
    <t>ТРИЗ (5-6 класс) 402, ХОР (Краснова, Никулова) КЗ, CTF (Джамбек) 406, Ол. геометрия для продолжающих (Сайгак) 202, Экономика для начинающих (Кирюшин) 209, Го (Решетников) 201, Олимпиадная история (Куницын) 503, Проекты (Слоневская) zoom, Гиревой спорт 9-11 кл (Хуснутдинов) СЗ</t>
  </si>
  <si>
    <r>
      <rPr>
        <rFont val="Arial"/>
        <color theme="1"/>
        <sz val="10.0"/>
      </rPr>
      <t xml:space="preserve">ОБЖ (Носкова) </t>
    </r>
    <r>
      <rPr>
        <rFont val="Arial"/>
        <b/>
        <color theme="1"/>
        <sz val="10.0"/>
      </rPr>
      <t>210</t>
    </r>
  </si>
  <si>
    <t>10.00 Олимп инфо 409</t>
  </si>
  <si>
    <t>13.30 Матигра (Заводов, Митев) 209</t>
  </si>
  <si>
    <r>
      <t xml:space="preserve">ДИАЛОГИ О ВАЖНОМ (Краснова) </t>
    </r>
    <r>
      <rPr>
        <rFont val="Arial"/>
        <b/>
        <color theme="1"/>
        <sz val="10.0"/>
      </rPr>
      <t>КЗ</t>
    </r>
  </si>
  <si>
    <r>
      <t xml:space="preserve">ДИАЛОГИ О ВАЖНОМ и рассказ про Калининград (классные руководители)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</si>
  <si>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</si>
  <si>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404</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</si>
  <si>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</si>
  <si>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</si>
  <si>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</si>
  <si>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</si>
  <si>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</si>
  <si>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</si>
  <si>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</si>
  <si>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</si>
  <si>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</si>
  <si>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</si>
  <si>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</si>
  <si>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</si>
  <si>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</si>
  <si>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</si>
  <si>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</si>
  <si>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</si>
  <si>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</si>
  <si>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</si>
  <si>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</si>
  <si>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</si>
  <si>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</si>
  <si>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</si>
  <si>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</si>
  <si>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</si>
  <si>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</si>
  <si>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</si>
  <si>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</si>
  <si>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</si>
  <si>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</si>
  <si>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</si>
  <si>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</si>
  <si>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</si>
  <si>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</si>
  <si>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</si>
  <si>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</si>
  <si>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</si>
  <si>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</si>
  <si>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</si>
  <si>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</si>
  <si>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</si>
  <si>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</si>
  <si>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</si>
  <si>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</si>
  <si>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</si>
  <si>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</si>
  <si>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</si>
  <si>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</si>
  <si>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</si>
  <si>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</si>
  <si>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</si>
  <si>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</si>
  <si>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</si>
  <si>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</si>
  <si>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</si>
  <si>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</si>
  <si>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</si>
  <si>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</si>
  <si>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</si>
  <si>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</si>
  <si>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</si>
  <si>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</si>
  <si>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</si>
  <si>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</si>
  <si>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</si>
  <si>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</si>
  <si>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</si>
  <si>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</si>
  <si>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</si>
  <si>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</si>
  <si>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</si>
  <si>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</si>
  <si>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</si>
  <si>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</si>
  <si>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</si>
  <si>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</si>
  <si>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</si>
  <si>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</si>
  <si>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</si>
  <si>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</si>
  <si>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</si>
  <si>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</si>
  <si>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Исторические танцы (Пипейкина) </t>
    </r>
    <r>
      <rPr>
        <rFont val="Arial"/>
        <b/>
        <color theme="1"/>
        <sz val="10.0"/>
      </rPr>
      <t>504</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</si>
  <si>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</si>
  <si>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</si>
  <si>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</si>
  <si>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t>Диагностика МЦКO АНГ 406, 408 в 9.00, и в 11.00 в 408 приходят (Харламова, Шулаков, Ютяев, Яковлев)</t>
  </si>
  <si>
    <r>
      <rPr>
        <rFont val="Arial"/>
        <color theme="1"/>
      </rPr>
      <t>Биология (Носкова) 2</t>
    </r>
    <r>
      <rPr>
        <rFont val="Arial"/>
        <b/>
        <color theme="1"/>
      </rPr>
      <t>10</t>
    </r>
  </si>
  <si>
    <r>
      <rPr>
        <rFont val="Arial"/>
        <color theme="1"/>
        <sz val="10.0"/>
      </rPr>
      <t xml:space="preserve">Общество (Белоус) </t>
    </r>
    <r>
      <rPr>
        <rFont val="Arial"/>
        <b/>
        <color theme="1"/>
        <sz val="10.0"/>
      </rPr>
      <t xml:space="preserve"> 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</si>
  <si>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</si>
  <si>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</si>
  <si>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</si>
  <si>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</si>
  <si>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</si>
  <si>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</si>
  <si>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</si>
  <si>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</si>
  <si>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КЗ</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</si>
  <si>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</si>
  <si>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</si>
  <si>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</si>
  <si>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</si>
  <si>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</si>
  <si>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</si>
  <si>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</si>
  <si>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</si>
  <si>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</si>
  <si>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</si>
  <si>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</si>
  <si>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</si>
  <si>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</si>
  <si>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</si>
  <si>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</si>
  <si>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</si>
  <si>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</si>
  <si>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</si>
  <si>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</si>
  <si>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</si>
  <si>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</si>
  <si>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</si>
  <si>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</si>
  <si>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</si>
  <si>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</si>
  <si>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</si>
  <si>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</si>
  <si>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</si>
  <si>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</si>
  <si>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</si>
  <si>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</si>
  <si>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</si>
  <si>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</si>
  <si>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</si>
  <si>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</si>
  <si>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</si>
  <si>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</si>
  <si>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</si>
  <si>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</si>
  <si>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</si>
  <si>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</si>
  <si>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</si>
  <si>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</si>
  <si>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</si>
  <si>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</si>
  <si>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</si>
  <si>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</si>
  <si>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</si>
  <si>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</si>
  <si>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</si>
  <si>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</si>
  <si>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</si>
  <si>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</si>
  <si>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</si>
  <si>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</si>
  <si>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</si>
  <si>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</si>
  <si>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</si>
  <si>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</si>
  <si>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</si>
  <si>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</si>
  <si>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</si>
  <si>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</si>
  <si>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</si>
  <si>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</si>
  <si>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</si>
  <si>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</si>
  <si>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t>ДопМатпрак (Попович) 202</t>
  </si>
  <si>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</si>
  <si>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</si>
  <si>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</si>
  <si>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</si>
  <si>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</si>
  <si>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</si>
  <si>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</si>
  <si>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</si>
  <si>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t>СОЦ-ПСИХ Анкетирование 406 (приходят только те кому полных 13 лет и у кого даны согласия, остальные ко второму уроку)</t>
  </si>
  <si>
    <r>
      <rPr>
        <rFont val="Arial"/>
        <color theme="1"/>
        <sz val="10.0"/>
      </rPr>
      <t xml:space="preserve">Русский (Хуснутдинов)  </t>
    </r>
    <r>
      <rPr>
        <rFont val="Arial"/>
        <b/>
        <color theme="1"/>
        <sz val="10.0"/>
      </rPr>
      <t xml:space="preserve">209  </t>
    </r>
  </si>
  <si>
    <r>
      <rPr>
        <rFont val="Arial"/>
        <color theme="1"/>
        <sz val="10.0"/>
      </rPr>
      <t xml:space="preserve">География (Колечкин) </t>
    </r>
    <r>
      <rPr>
        <rFont val="Arial"/>
        <b/>
        <color theme="1"/>
        <sz val="10.0"/>
      </rPr>
      <t>Конференц-Зал!</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</si>
  <si>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</si>
  <si>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</si>
  <si>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</si>
  <si>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</si>
  <si>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</si>
  <si>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</si>
  <si>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</si>
  <si>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</si>
  <si>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</si>
  <si>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Математика (Дронзик) </t>
    </r>
    <r>
      <rPr>
        <rFont val="Arial"/>
        <b/>
        <color theme="1"/>
        <sz val="10.0"/>
      </rPr>
      <t>210</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</si>
  <si>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</si>
  <si>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</si>
  <si>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sz val="10.0"/>
      </rPr>
      <t xml:space="preserve">Русский (Харитонов)  </t>
    </r>
    <r>
      <rPr>
        <rFont val="Arial"/>
        <b/>
        <color theme="1"/>
        <sz val="10.0"/>
      </rPr>
      <t>201</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</si>
  <si>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</si>
  <si>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</si>
  <si>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</si>
  <si>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</si>
  <si>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</si>
  <si>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</si>
  <si>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</si>
  <si>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</si>
  <si>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</si>
  <si>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</si>
  <si>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</si>
  <si>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</si>
  <si>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</si>
  <si>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</si>
  <si>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</si>
  <si>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</si>
  <si>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</si>
  <si>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</si>
  <si>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</si>
  <si>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</si>
  <si>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sz val="10.0"/>
      </rPr>
      <t xml:space="preserve">Русский (Харитонов)  </t>
    </r>
    <r>
      <rPr>
        <rFont val="Arial"/>
        <b/>
        <color theme="1"/>
        <sz val="10.0"/>
      </rPr>
      <t>201</t>
    </r>
  </si>
  <si>
    <t>Александр Леонидович рассказывает интересное 202</t>
  </si>
  <si>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</si>
  <si>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</si>
  <si>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</si>
  <si>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</si>
  <si>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</si>
  <si>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</si>
  <si>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</si>
  <si>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</si>
  <si>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</si>
  <si>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</si>
  <si>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</si>
  <si>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</si>
  <si>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</si>
  <si>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</si>
  <si>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</si>
  <si>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</si>
  <si>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</si>
  <si>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</si>
  <si>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</si>
  <si>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rgb="FFFFFFFF"/>
        <sz val="10.0"/>
      </rPr>
      <t xml:space="preserve">Доп. Матпрак (Попович) </t>
    </r>
    <r>
      <rPr>
        <rFont val="Arial"/>
        <b/>
        <color rgb="FFFFFFFF"/>
        <sz val="10.0"/>
      </rPr>
      <t>202</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</si>
  <si>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</si>
  <si>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</si>
  <si>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</si>
  <si>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</si>
  <si>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</si>
  <si>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</si>
  <si>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</si>
  <si>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</si>
  <si>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</si>
  <si>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</si>
  <si>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</si>
  <si>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</si>
  <si>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</si>
  <si>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</si>
  <si>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</si>
  <si>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</si>
  <si>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</si>
  <si>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</si>
  <si>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</si>
  <si>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</si>
  <si>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</si>
  <si>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</si>
  <si>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</si>
  <si>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</si>
  <si>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</si>
  <si>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</si>
  <si>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</si>
  <si>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</si>
  <si>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</si>
  <si>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</si>
  <si>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</si>
  <si>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</si>
  <si>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</si>
  <si>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</si>
  <si>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</si>
  <si>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</si>
  <si>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</si>
  <si>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</si>
  <si>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</si>
  <si>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</si>
  <si>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</si>
  <si>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</si>
  <si>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</si>
  <si>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</si>
  <si>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</si>
  <si>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</si>
  <si>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</si>
  <si>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</si>
  <si>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</si>
  <si>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</si>
  <si>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</si>
  <si>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</si>
  <si>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</si>
  <si>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</si>
  <si>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</si>
  <si>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</si>
  <si>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</si>
  <si>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</si>
  <si>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</si>
  <si>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</si>
  <si>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</si>
  <si>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</si>
  <si>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</si>
  <si>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</si>
  <si>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</si>
  <si>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</si>
  <si>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</si>
  <si>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</si>
  <si>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</si>
  <si>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</si>
  <si>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</si>
  <si>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</si>
  <si>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</si>
  <si>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</si>
  <si>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</si>
  <si>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</si>
  <si>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</si>
  <si>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</si>
  <si>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</si>
  <si>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</si>
  <si>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</si>
  <si>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</si>
  <si>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</si>
  <si>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t>Информатика (Воронцов, Старунова) 409</t>
  </si>
  <si>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</si>
  <si>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</si>
  <si>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</si>
  <si>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</si>
  <si>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</si>
  <si>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</si>
  <si>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</si>
  <si>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</si>
  <si>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</si>
  <si>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</si>
  <si>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t>Информатика (Воронцов, Старунова) 410</t>
  </si>
  <si>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</si>
  <si>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</si>
  <si>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</si>
  <si>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</si>
  <si>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</si>
  <si>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</si>
  <si>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</si>
  <si>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</si>
  <si>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</si>
  <si>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</si>
  <si>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Информатика (Старунова) </t>
    </r>
    <r>
      <rPr>
        <rFont val="Arial"/>
        <b/>
        <color theme="1"/>
        <sz val="10.0"/>
      </rPr>
      <t>408 (группа 1)</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</si>
  <si>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</si>
  <si>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</si>
  <si>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Биология (Белоусова)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</si>
  <si>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</si>
  <si>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</si>
  <si>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</si>
  <si>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</si>
  <si>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</si>
  <si>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</si>
  <si>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</si>
  <si>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Информатика (Старунова) </t>
    </r>
    <r>
      <rPr>
        <rFont val="Arial"/>
        <b/>
        <color theme="1"/>
        <sz val="10.0"/>
      </rPr>
      <t>408 (группа 1)</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</si>
  <si>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</si>
  <si>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Биология (Белоусова)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</si>
  <si>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</si>
  <si>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</si>
  <si>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</si>
  <si>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</si>
  <si>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</si>
  <si>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</si>
  <si>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</si>
  <si>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</si>
  <si>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</si>
  <si>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</si>
  <si>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</si>
  <si>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</si>
  <si>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</si>
  <si>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</si>
  <si>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</si>
  <si>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</si>
  <si>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</si>
  <si>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</si>
  <si>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</si>
  <si>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</si>
  <si>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</si>
  <si>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</si>
  <si>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</si>
  <si>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</si>
  <si>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</si>
  <si>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</si>
  <si>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</si>
  <si>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</si>
  <si>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</si>
  <si>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</si>
  <si>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</si>
  <si>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</si>
  <si>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</si>
  <si>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</si>
  <si>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</si>
  <si>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</si>
  <si>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</si>
  <si>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t>Театр Занимательной науки (Харитонов, Хуснутдинов, Старунова)</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</si>
  <si>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</si>
  <si>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</si>
  <si>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</si>
  <si>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</si>
  <si>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</si>
  <si>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</si>
  <si>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</si>
  <si>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</si>
  <si>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 (Воронцов 201)</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</si>
  <si>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</si>
  <si>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404</t>
    </r>
  </si>
  <si>
    <r>
      <rPr>
        <rFont val="Arial"/>
        <color theme="1"/>
        <sz val="10.0"/>
      </rPr>
      <t xml:space="preserve">Хор (Краснова и Никулова) </t>
    </r>
    <r>
      <rPr>
        <rFont val="Arial"/>
        <b/>
        <color theme="1"/>
        <sz val="10.0"/>
      </rPr>
      <t>КЗ</t>
    </r>
  </si>
  <si>
    <r>
      <rPr>
        <rFont val="Arial"/>
        <color theme="1"/>
        <sz val="10.0"/>
      </rPr>
      <t xml:space="preserve">Англ (Домбровская ) </t>
    </r>
    <r>
      <rPr>
        <rFont val="Arial"/>
        <b/>
        <color theme="1"/>
        <sz val="10.0"/>
      </rPr>
      <t>210</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</si>
  <si>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</si>
  <si>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</si>
  <si>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</si>
  <si>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</si>
  <si>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</si>
  <si>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rPr>
      <t xml:space="preserve">Информатика (Аларкон </t>
    </r>
    <r>
      <rPr>
        <rFont val="Arial"/>
        <b/>
        <color theme="1"/>
      </rPr>
      <t>401</t>
    </r>
    <r>
      <rPr>
        <rFont val="Arial"/>
        <color theme="1"/>
      </rPr>
      <t>) / (Воронцов 201)</t>
    </r>
    <r>
      <rPr>
        <rFont val="Arial"/>
        <b/>
        <color theme="1"/>
      </rPr>
      <t xml:space="preserve">     </t>
    </r>
  </si>
  <si>
    <r>
      <rPr>
        <rFont val="Arial"/>
        <color theme="1"/>
        <sz val="10.0"/>
      </rPr>
      <t xml:space="preserve">Театр (Обидина) </t>
    </r>
    <r>
      <rPr>
        <rFont val="Arial"/>
        <b/>
        <color theme="1"/>
        <sz val="10.0"/>
      </rPr>
      <t>АЗ</t>
    </r>
  </si>
  <si>
    <t>Биология (Носкова)  210</t>
  </si>
  <si>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</si>
  <si>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</si>
  <si>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</si>
  <si>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</si>
  <si>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</si>
  <si>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</si>
  <si>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</si>
  <si>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ТРИЗ (5-6 класс) 402, ХОР (Краснова, Никулова) КЗ, CTF (Джамбек) 406, Ол. геометрия для продолжающих (Сайгак) 202,   Олимпиадная история (Куницын) 503, Проекты (Слоневская) zoom, Гиревой спорт 9-11 кл (Хуснутдинов) СЗ</t>
  </si>
  <si>
    <r>
      <rPr>
        <rFont val="Arial"/>
        <color theme="1"/>
        <sz val="10.0"/>
      </rPr>
      <t xml:space="preserve">ОБЖ (Носкова) </t>
    </r>
    <r>
      <rPr>
        <rFont val="Arial"/>
        <b/>
        <color theme="1"/>
        <sz val="10.0"/>
      </rPr>
      <t>210</t>
    </r>
  </si>
  <si>
    <t>Матигры в 10.45 (Заводов, Митев)</t>
  </si>
  <si>
    <r>
      <rPr>
        <rFont val="Arial"/>
        <b/>
        <color theme="1"/>
        <sz val="12.0"/>
      </rPr>
      <t xml:space="preserve">Олимп. экономика - продолжающие (Попович) </t>
    </r>
    <r>
      <rPr>
        <rFont val="Arial"/>
        <b/>
        <color theme="1"/>
        <sz val="12.0"/>
      </rPr>
      <t>202</t>
    </r>
  </si>
  <si>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</si>
  <si>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</si>
  <si>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</si>
  <si>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</si>
  <si>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</si>
  <si>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</si>
  <si>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</si>
  <si>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</si>
  <si>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</si>
  <si>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</si>
  <si>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</si>
  <si>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</si>
  <si>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</si>
  <si>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</si>
  <si>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</si>
  <si>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</si>
  <si>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rPr>
      <t xml:space="preserve">Анлийский клуб (Пипейкина) </t>
    </r>
    <r>
      <rPr>
        <rFont val="Arial"/>
        <b/>
        <color theme="1"/>
      </rPr>
      <t>202</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</si>
  <si>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</si>
  <si>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</si>
  <si>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</si>
  <si>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</si>
  <si>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</si>
  <si>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</si>
  <si>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</si>
  <si>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</si>
  <si>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</si>
  <si>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</si>
  <si>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t>Анлийский клуб (Пипейкина) 202</t>
  </si>
  <si>
    <r>
      <rPr>
        <rFont val="Arial"/>
        <color theme="1"/>
        <sz val="10.0"/>
      </rPr>
      <t xml:space="preserve">Матпрак (Попович)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</si>
  <si>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</si>
  <si>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</si>
  <si>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</si>
  <si>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</si>
  <si>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</si>
  <si>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</si>
  <si>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</si>
  <si>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</si>
  <si>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</si>
  <si>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rPr>
      <t xml:space="preserve">Анлийский клуб (Пипейкина) </t>
    </r>
    <r>
      <rPr>
        <rFont val="Arial"/>
        <b/>
        <color theme="1"/>
      </rPr>
      <t>202</t>
    </r>
  </si>
  <si>
    <r>
      <rPr>
        <rFont val="Arial"/>
        <color theme="1"/>
        <sz val="10.0"/>
      </rPr>
      <t xml:space="preserve">Робо (Рогацкина) </t>
    </r>
    <r>
      <rPr>
        <rFont val="Arial"/>
        <b/>
        <color theme="1"/>
        <sz val="10.0"/>
      </rPr>
      <t>410</t>
    </r>
  </si>
  <si>
    <r>
      <rPr>
        <rFont val="Arial"/>
        <color theme="1"/>
        <sz val="10.0"/>
      </rPr>
      <t xml:space="preserve">Матпрак (Попович) </t>
    </r>
    <r>
      <rPr>
        <rFont val="Arial"/>
        <b/>
        <color theme="1"/>
        <sz val="10.0"/>
      </rPr>
      <t>201</t>
    </r>
  </si>
  <si>
    <r>
      <rPr>
        <rFont val="Arial"/>
        <color theme="1"/>
        <sz val="10.0"/>
      </rPr>
      <t xml:space="preserve">Математика (Дронзик) </t>
    </r>
    <r>
      <rPr>
        <rFont val="Arial"/>
        <b/>
        <color theme="1"/>
        <sz val="10.0"/>
      </rPr>
      <t>210</t>
    </r>
  </si>
  <si>
    <t>Англ (Алехина) 403</t>
  </si>
  <si>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</si>
  <si>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</si>
  <si>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</si>
  <si>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</si>
  <si>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</si>
  <si>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</si>
  <si>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</si>
  <si>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</si>
  <si>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(Попович)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</si>
  <si>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</si>
  <si>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</si>
  <si>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</si>
  <si>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</si>
  <si>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</si>
  <si>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</si>
  <si>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</si>
  <si>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инфо (ОА) 408</t>
  </si>
  <si>
    <r>
      <rPr>
        <rFont val="Arial"/>
        <color theme="1"/>
        <sz val="10.0"/>
      </rPr>
      <t xml:space="preserve">Математика  (Дронзик) </t>
    </r>
    <r>
      <rPr>
        <rFont val="Arial"/>
        <b/>
        <color theme="1"/>
        <sz val="10.0"/>
      </rPr>
      <t>210</t>
    </r>
  </si>
  <si>
    <r>
      <rPr>
        <rFont val="Arial"/>
        <color theme="1"/>
        <sz val="10.0"/>
      </rPr>
      <t xml:space="preserve">Матпрак (Попович)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</si>
  <si>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</si>
  <si>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</si>
  <si>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</si>
  <si>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</si>
  <si>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</si>
  <si>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</si>
  <si>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</si>
  <si>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</si>
  <si>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</si>
  <si>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</si>
  <si>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</si>
  <si>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</si>
  <si>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(Молькова) </t>
    </r>
    <r>
      <rPr>
        <rFont val="Arial"/>
        <b/>
        <color theme="1"/>
        <sz val="10.0"/>
      </rPr>
      <t>202</t>
    </r>
  </si>
  <si>
    <r>
      <rPr>
        <rFont val="Arial"/>
        <color theme="1"/>
        <sz val="10.0"/>
      </rPr>
      <t xml:space="preserve">Англ ОГЭ (Слоневская) </t>
    </r>
    <r>
      <rPr>
        <rFont val="Arial"/>
        <b/>
        <color theme="1"/>
        <sz val="10.0"/>
      </rPr>
      <t>404</t>
    </r>
  </si>
  <si>
    <t>истор. танцы 504</t>
  </si>
  <si>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</si>
  <si>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</si>
  <si>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</si>
  <si>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</si>
  <si>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</si>
  <si>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</si>
  <si>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(Молькова) </t>
    </r>
    <r>
      <rPr>
        <rFont val="Arial"/>
        <b/>
        <color theme="1"/>
        <sz val="10.0"/>
      </rPr>
      <t>202</t>
    </r>
  </si>
  <si>
    <t>КРУЖКИ: Практическая электроника (BEAM-роботы) 5-7кл (Рогацкина) 410, Волейбол 6-9кл (Ларченко) СЗ, Каллиграфия 5-7кл (Хуснутдинов) 401</t>
  </si>
  <si>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</si>
  <si>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</si>
  <si>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</si>
  <si>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</si>
  <si>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</si>
  <si>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</si>
  <si>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</si>
  <si>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501</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</si>
  <si>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</si>
  <si>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</si>
  <si>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</si>
  <si>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</si>
  <si>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</si>
  <si>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</si>
  <si>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</si>
  <si>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</si>
  <si>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</si>
  <si>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</si>
  <si>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</si>
  <si>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</si>
  <si>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</si>
  <si>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 xml:space="preserve">406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</si>
  <si>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</si>
  <si>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</si>
  <si>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</si>
  <si>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</si>
  <si>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</si>
  <si>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</si>
  <si>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</si>
  <si>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</si>
  <si>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406</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</si>
  <si>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</si>
  <si>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</si>
  <si>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</si>
  <si>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</si>
  <si>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</si>
  <si>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</si>
  <si>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</si>
  <si>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</si>
  <si>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</si>
  <si>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</si>
  <si>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</si>
  <si>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</si>
  <si>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</si>
  <si>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</si>
  <si>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</si>
  <si>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</si>
  <si>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 xml:space="preserve">503           </t>
    </r>
  </si>
  <si>
    <r>
      <rPr>
        <rFont val="Arial"/>
        <color theme="1"/>
        <sz val="10.0"/>
      </rPr>
      <t xml:space="preserve">Геом. (Шерашова) </t>
    </r>
    <r>
      <rPr>
        <rFont val="Arial"/>
        <b/>
        <color theme="1"/>
        <sz val="10.0"/>
      </rPr>
      <t>401</t>
    </r>
  </si>
  <si>
    <r>
      <rPr>
        <rFont val="Arial"/>
        <b/>
        <color theme="1"/>
        <sz val="12.0"/>
      </rPr>
      <t xml:space="preserve">СОЦ-ПСИХ Анкетирование по предоставленным согласиям  </t>
    </r>
    <r>
      <rPr>
        <rFont val="Arial"/>
        <b/>
        <color theme="1"/>
        <sz val="12.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</si>
  <si>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</si>
  <si>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</si>
  <si>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</si>
  <si>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</si>
  <si>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</si>
  <si>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</si>
  <si>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</si>
  <si>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</si>
  <si>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</si>
  <si>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</si>
  <si>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</si>
  <si>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</si>
  <si>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</si>
  <si>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</si>
  <si>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</si>
  <si>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</si>
  <si>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</si>
  <si>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</si>
  <si>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</si>
  <si>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503</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</si>
  <si>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</si>
  <si>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</si>
  <si>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</si>
  <si>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</si>
  <si>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</si>
  <si>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</si>
  <si>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</si>
  <si>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</si>
  <si>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</si>
  <si>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</si>
  <si>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Информатика (Климов) </t>
    </r>
    <r>
      <rPr>
        <rFont val="Arial"/>
        <b/>
        <color theme="1"/>
        <sz val="10.0"/>
      </rPr>
      <t>406</t>
    </r>
  </si>
  <si>
    <r>
      <rPr>
        <rFont val="Arial"/>
        <color rgb="FFFFFFFF"/>
        <sz val="10.0"/>
      </rPr>
      <t xml:space="preserve">Доп. Матпрак (по желанию) (Попович) </t>
    </r>
    <r>
      <rPr>
        <rFont val="Arial"/>
        <b/>
        <color rgb="FFFFFFFF"/>
        <sz val="1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</si>
  <si>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</si>
  <si>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503</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</si>
  <si>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</si>
  <si>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</si>
  <si>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</si>
  <si>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</si>
  <si>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</si>
  <si>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</si>
  <si>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</si>
  <si>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</si>
  <si>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Arial"/>
        <color theme="1"/>
        <sz val="10.0"/>
      </rPr>
      <t xml:space="preserve">География (Колечкин) </t>
    </r>
    <r>
      <rPr>
        <rFont val="Arial"/>
        <b/>
        <color theme="1"/>
        <sz val="10.0"/>
      </rPr>
      <t>АЗ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</si>
  <si>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</si>
  <si>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</si>
  <si>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</si>
  <si>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</si>
  <si>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</si>
  <si>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</si>
  <si>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</si>
  <si>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</si>
  <si>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</si>
  <si>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</si>
  <si>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</si>
  <si>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</si>
  <si>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</si>
  <si>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</si>
  <si>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</si>
  <si>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</si>
  <si>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</si>
  <si>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</si>
  <si>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</si>
  <si>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</si>
  <si>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</si>
  <si>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</si>
  <si>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</si>
  <si>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</si>
  <si>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</si>
  <si>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</si>
  <si>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</si>
  <si>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</si>
  <si>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</si>
  <si>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</si>
  <si>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</si>
  <si>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</si>
  <si>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</si>
  <si>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</si>
  <si>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</si>
  <si>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</si>
  <si>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</si>
  <si>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</si>
  <si>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</si>
  <si>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</si>
  <si>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</si>
  <si>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</si>
  <si>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</si>
  <si>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</si>
  <si>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</si>
  <si>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</si>
  <si>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</si>
  <si>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</si>
  <si>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</si>
  <si>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</si>
  <si>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</si>
  <si>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rgb="FFFFFFFF"/>
        <sz val="10.0"/>
      </rPr>
      <t xml:space="preserve">Доп. Матпрак по желанию (Попович) </t>
    </r>
    <r>
      <rPr>
        <rFont val="Arial"/>
        <b/>
        <color rgb="FFFFFFFF"/>
        <sz val="10.0"/>
      </rPr>
      <t>405</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</si>
  <si>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</si>
  <si>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</si>
  <si>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</si>
  <si>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</si>
  <si>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</si>
  <si>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</si>
  <si>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</si>
  <si>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</si>
  <si>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</si>
  <si>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</si>
  <si>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</si>
  <si>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</si>
  <si>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</si>
  <si>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</si>
  <si>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</si>
  <si>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</si>
  <si>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</si>
  <si>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</si>
  <si>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</si>
  <si>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</si>
  <si>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</si>
  <si>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</si>
  <si>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</si>
  <si>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</si>
  <si>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t xml:space="preserve">Астрономия (Дронзик) </t>
    </r>
    <r>
      <rPr>
        <rFont val="Arial"/>
        <b/>
        <color theme="1"/>
        <sz val="10.0"/>
      </rPr>
      <t>210</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</si>
  <si>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</si>
  <si>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</si>
  <si>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rPr>
        <rFont val="Arial"/>
        <color theme="1"/>
        <sz val="10.0"/>
      </rPr>
      <t xml:space="preserve">Матпрак (кватро)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</si>
  <si>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</si>
  <si>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</si>
  <si>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</si>
  <si>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t xml:space="preserve">Группа Воронцова ко 2му уроку Информатика (Аларкон </t>
    </r>
    <r>
      <rPr>
        <rFont val="Arial"/>
        <b/>
        <color theme="1"/>
      </rPr>
      <t>408</t>
    </r>
    <r>
      <rPr>
        <rFont val="Arial"/>
        <color theme="1"/>
      </rPr>
      <t>)</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</si>
  <si>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</si>
  <si>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</si>
  <si>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</si>
  <si>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</si>
  <si>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</si>
  <si>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rPr>
        <rFont val="Arial"/>
        <color theme="1"/>
        <sz val="10.0"/>
      </rPr>
      <t xml:space="preserve">Матпрак (кватро)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</si>
  <si>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</si>
  <si>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</si>
  <si>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t xml:space="preserve">Астрономия(Старостин) 402/  Информатика (Аларкон </t>
    </r>
    <r>
      <rPr>
        <rFont val="Arial"/>
        <b/>
        <color theme="1"/>
      </rPr>
      <t>408</t>
    </r>
    <r>
      <rPr>
        <rFont val="Arial"/>
        <color theme="1"/>
      </rPr>
      <t>)</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</si>
  <si>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</si>
  <si>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</si>
  <si>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</si>
  <si>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</si>
  <si>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</si>
  <si>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rPr>
        <rFont val="Arial"/>
        <color theme="1"/>
        <sz val="10.0"/>
      </rPr>
      <t xml:space="preserve">Матпрак (трес) Панюнин </t>
    </r>
    <r>
      <rPr>
        <rFont val="Arial"/>
        <b/>
        <color theme="1"/>
        <sz val="10.0"/>
      </rPr>
      <t>202</t>
    </r>
  </si>
  <si>
    <r>
      <t xml:space="preserve">Матем (кватро) Шерашова </t>
    </r>
    <r>
      <rPr>
        <rFont val="Arial"/>
        <b/>
        <color theme="1"/>
        <sz val="10.0"/>
      </rPr>
      <t>401</t>
    </r>
  </si>
  <si>
    <t>СОЦ-ПСИХ ТЕСТ по предоставленным согласиям (взять компьютер) Аларкон 402</t>
  </si>
  <si>
    <t>СОЦ-ПСИХ ТЕСТ по предоставленным согласиям (взять компьютер) Харитoнов 201</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</si>
  <si>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</si>
  <si>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</si>
  <si>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</si>
  <si>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</si>
  <si>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</si>
  <si>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Биология (Белоусова) </t>
    </r>
    <r>
      <rPr>
        <rFont val="Arial"/>
        <b/>
        <color theme="1"/>
        <sz val="10.0"/>
      </rPr>
      <t>409</t>
    </r>
  </si>
  <si>
    <r>
      <rPr>
        <rFont val="Arial"/>
        <color theme="1"/>
        <sz val="10.0"/>
      </rPr>
      <t xml:space="preserve">Матпрак (трес)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</si>
  <si>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</si>
  <si>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(Харитонов (группа Воронцова) </t>
    </r>
    <r>
      <rPr>
        <rFont val="Arial"/>
        <b/>
        <color theme="1"/>
      </rPr>
      <t>201</t>
    </r>
    <r>
      <rPr>
        <rFont val="Arial"/>
        <color theme="1"/>
      </rPr>
      <t xml:space="preserve">/ Аларкон </t>
    </r>
    <r>
      <rPr>
        <rFont val="Arial"/>
        <b/>
        <color theme="1"/>
      </rPr>
      <t>402</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</si>
  <si>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</si>
  <si>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</si>
  <si>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</si>
  <si>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</si>
  <si>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</si>
  <si>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</si>
  <si>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</si>
  <si>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</si>
  <si>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</si>
  <si>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</si>
  <si>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</si>
  <si>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</si>
  <si>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</si>
  <si>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</si>
  <si>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</si>
  <si>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</si>
  <si>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</si>
  <si>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</si>
  <si>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</si>
  <si>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</si>
  <si>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</si>
  <si>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</si>
  <si>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</si>
  <si>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</si>
  <si>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</si>
  <si>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</si>
  <si>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</si>
  <si>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</si>
  <si>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</si>
  <si>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</si>
  <si>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</si>
  <si>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</si>
  <si>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</si>
  <si>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</si>
  <si>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</si>
  <si>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</si>
  <si>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</si>
  <si>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</si>
  <si>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</si>
  <si>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</si>
  <si>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</si>
  <si>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</si>
  <si>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</si>
  <si>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</si>
  <si>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</si>
  <si>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t>ДИАГНОСТИКА  МАТ (телефоны выключаем, с собой пенал) 210 Устинов Н.Н.</t>
  </si>
  <si>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</si>
  <si>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</si>
  <si>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</si>
  <si>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</si>
  <si>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Олимп. экономика - продолжающие (Попович) </t>
    </r>
    <r>
      <rPr>
        <rFont val="Arial"/>
        <b/>
        <color theme="1"/>
        <sz val="10.0"/>
      </rPr>
      <t>202</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</si>
  <si>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</si>
  <si>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</si>
  <si>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</si>
  <si>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</si>
  <si>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</si>
  <si>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</si>
  <si>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</si>
  <si>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</si>
  <si>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</si>
  <si>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</si>
  <si>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</si>
  <si>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</si>
  <si>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</si>
  <si>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</si>
  <si>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</si>
  <si>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</si>
  <si>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</si>
  <si>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</si>
  <si>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</si>
  <si>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</si>
  <si>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</si>
  <si>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</si>
  <si>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</si>
  <si>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</si>
  <si>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</si>
  <si>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</si>
  <si>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</si>
  <si>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</si>
  <si>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</si>
  <si>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</si>
  <si>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</si>
  <si>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(Хуснутдинoв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</si>
  <si>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</si>
  <si>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</si>
  <si>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</si>
  <si>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</si>
  <si>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</si>
  <si>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</si>
  <si>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</si>
  <si>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</si>
  <si>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</si>
  <si>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(Хуснутдинoв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</si>
  <si>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</si>
  <si>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</si>
  <si>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</si>
  <si>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</si>
  <si>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</si>
  <si>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</si>
  <si>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</si>
  <si>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</si>
  <si>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</si>
  <si>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</si>
  <si>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</si>
  <si>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</si>
  <si>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</si>
  <si>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</si>
  <si>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</si>
  <si>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</si>
  <si>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</si>
  <si>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</si>
  <si>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</si>
  <si>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</si>
  <si>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</si>
  <si>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</si>
  <si>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</si>
  <si>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</si>
  <si>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 Биология ЕГЭ Носкова </t>
    </r>
    <r>
      <rPr>
        <rFont val="Arial"/>
        <b/>
        <color theme="1"/>
        <sz val="10.0"/>
      </rPr>
      <t>404</t>
    </r>
  </si>
  <si>
    <r>
      <rPr>
        <rFont val="Arial"/>
        <color theme="1"/>
        <sz val="10.0"/>
      </rPr>
      <t xml:space="preserve">Хор (Краснова и Никулова) </t>
    </r>
    <r>
      <rPr>
        <rFont val="Arial"/>
        <b/>
        <color theme="1"/>
        <sz val="10.0"/>
      </rPr>
      <t>КЗ</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</si>
  <si>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</si>
  <si>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</si>
  <si>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</si>
  <si>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</si>
  <si>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</si>
  <si>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Геометрия (Абрамов) </t>
    </r>
    <r>
      <rPr>
        <rFont val="Arial"/>
        <b/>
        <color theme="1"/>
        <sz val="10.0"/>
      </rPr>
      <t>209</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</si>
  <si>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</si>
  <si>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</si>
  <si>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rPr>
      <t xml:space="preserve">Информатика (Аларкон </t>
    </r>
    <r>
      <rPr>
        <rFont val="Arial"/>
        <b/>
        <color theme="1"/>
      </rPr>
      <t>401</t>
    </r>
    <r>
      <rPr>
        <rFont val="Arial"/>
        <color theme="1"/>
      </rPr>
      <t xml:space="preserve">) </t>
    </r>
  </si>
  <si>
    <r>
      <rPr>
        <rFont val="Arial"/>
        <color theme="1"/>
        <sz val="10.0"/>
      </rPr>
      <t xml:space="preserve">Театр (Обидина) </t>
    </r>
    <r>
      <rPr>
        <rFont val="Arial"/>
        <b/>
        <color theme="1"/>
        <sz val="10.0"/>
      </rPr>
      <t>АЗ</t>
    </r>
  </si>
  <si>
    <t>Биология ЕГЭ Носкова 404</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</si>
  <si>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</si>
  <si>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</si>
  <si>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</si>
  <si>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</si>
  <si>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</si>
  <si>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sz val="10.0"/>
      </rPr>
      <t xml:space="preserve">Театр (Обидина) </t>
    </r>
    <r>
      <rPr>
        <rFont val="Arial"/>
        <b/>
        <color theme="1"/>
        <sz val="10.0"/>
      </rPr>
      <t>АЗ</t>
    </r>
  </si>
  <si>
    <t xml:space="preserve"> Ол. геометрия для продолжающих (Сайгак) 202, Экономика для начинающих (Кирюшин) 209, Го (Решетников) 201, Проекты (Слоневская) zoom, Гиревой спорт 9-11 кл (Хуснутдинов) СЗ</t>
  </si>
  <si>
    <r>
      <rPr>
        <rFont val="Arial"/>
        <b/>
        <color theme="1"/>
        <sz val="12.0"/>
      </rPr>
      <t xml:space="preserve">Олимп. экономика - продолжающие (Попович) </t>
    </r>
    <r>
      <rPr>
        <rFont val="Arial"/>
        <b/>
        <color theme="1"/>
        <sz val="12.0"/>
      </rPr>
      <t>202</t>
    </r>
  </si>
  <si>
    <r>
      <t xml:space="preserve">ДИАЛОГИ О ВАЖНОМ (Харитонов) </t>
    </r>
    <r>
      <rPr>
        <rFont val="Arial"/>
        <b/>
        <color theme="1"/>
        <sz val="10.0"/>
      </rPr>
      <t>КЗ</t>
    </r>
  </si>
  <si>
    <r>
      <t xml:space="preserve">ДИАЛОГИ О ВАЖНОМ (Дронзик) </t>
    </r>
    <r>
      <rPr>
        <rFont val="Arial"/>
        <b/>
        <color theme="1"/>
        <sz val="10.0"/>
      </rPr>
      <t>КЗ / олинфо 202</t>
    </r>
  </si>
  <si>
    <r>
      <rPr>
        <rFont val="Arial"/>
        <color theme="1"/>
        <sz val="10.0"/>
      </rPr>
      <t xml:space="preserve">ДИАЛОГИ О ВАЖНОМ (Репнев) </t>
    </r>
    <r>
      <rPr>
        <rFont val="Arial"/>
        <b/>
        <color theme="1"/>
        <sz val="10.0"/>
      </rPr>
      <t xml:space="preserve">АЗ </t>
    </r>
  </si>
  <si>
    <r>
      <t xml:space="preserve">ДИАЛОГИ О ВАЖНОМ (Краснова ЕИ) </t>
    </r>
    <r>
      <rPr>
        <rFont val="Arial"/>
        <b/>
        <color theme="1"/>
        <sz val="10.0"/>
      </rPr>
      <t>210</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</si>
  <si>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</si>
  <si>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</si>
  <si>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</si>
  <si>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</si>
  <si>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404</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</si>
  <si>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</si>
  <si>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 xml:space="preserve">503 </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</si>
  <si>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</si>
  <si>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</si>
  <si>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</si>
  <si>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</si>
  <si>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</si>
  <si>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</si>
  <si>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Решетников)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</si>
  <si>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</si>
  <si>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</si>
  <si>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</si>
  <si>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</si>
  <si>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</si>
  <si>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</si>
  <si>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</si>
  <si>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</si>
  <si>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</si>
  <si>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</si>
  <si>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Решетников)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</si>
  <si>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</si>
  <si>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</si>
  <si>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</si>
  <si>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</si>
  <si>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</si>
  <si>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</si>
  <si>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</si>
  <si>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</si>
  <si>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</si>
  <si>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Решетников)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</si>
  <si>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</si>
  <si>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</si>
  <si>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</si>
  <si>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</si>
  <si>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</si>
  <si>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</si>
  <si>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</si>
  <si>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</si>
  <si>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</si>
  <si>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</si>
  <si>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Решетников)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</si>
  <si>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</si>
  <si>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</si>
  <si>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</si>
  <si>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</si>
  <si>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</si>
  <si>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</si>
  <si>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</si>
  <si>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</si>
  <si>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</si>
  <si>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</si>
  <si>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</si>
  <si>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</si>
  <si>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</si>
  <si>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</si>
  <si>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</si>
  <si>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</si>
  <si>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</si>
  <si>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</si>
  <si>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</si>
  <si>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</si>
  <si>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</si>
  <si>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</si>
  <si>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</si>
  <si>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</si>
  <si>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</si>
  <si>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</si>
  <si>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(Решетников ИА,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</si>
  <si>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</si>
  <si>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sz val="10.0"/>
      </rPr>
      <t xml:space="preserve">Инд.проект Дронзик </t>
    </r>
    <r>
      <rPr>
        <rFont val="Arial"/>
        <b/>
        <color theme="1"/>
        <sz val="10.0"/>
      </rPr>
      <t>210</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</si>
  <si>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</si>
  <si>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</si>
  <si>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</si>
  <si>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</si>
  <si>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</si>
  <si>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</si>
  <si>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(Решетников ИА, Латыпова) </t>
    </r>
    <r>
      <rPr>
        <rFont val="Arial"/>
        <b/>
        <color theme="1"/>
        <sz val="10.0"/>
      </rPr>
      <t>202</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</si>
  <si>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</si>
  <si>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</si>
  <si>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</si>
  <si>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</si>
  <si>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</si>
  <si>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</si>
  <si>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</si>
  <si>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</si>
  <si>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501</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</si>
  <si>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</si>
  <si>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</si>
  <si>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</si>
  <si>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</si>
  <si>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КЗ</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</si>
  <si>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</si>
  <si>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</si>
  <si>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</si>
  <si>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</si>
  <si>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t>Диагностика МАТЕМ 501 (телефоны отключить, на столе только пенал и черновик) Устинов наб.</t>
  </si>
  <si>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</si>
  <si>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</si>
  <si>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</si>
  <si>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КЗ</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</si>
  <si>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</si>
  <si>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</si>
  <si>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</si>
  <si>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</si>
  <si>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</si>
  <si>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</si>
  <si>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</si>
  <si>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</si>
  <si>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КЗ</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</si>
  <si>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</si>
  <si>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</si>
  <si>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</si>
  <si>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503          </t>
    </r>
  </si>
  <si>
    <r>
      <rPr>
        <rFont val="Arial"/>
        <color theme="1"/>
        <sz val="10.0"/>
      </rPr>
      <t xml:space="preserve">Русский (Хуснутдинов)  </t>
    </r>
    <r>
      <rPr>
        <rFont val="Arial"/>
        <b/>
        <color theme="1"/>
        <sz val="10.0"/>
      </rPr>
      <t xml:space="preserve">501      </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</si>
  <si>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</si>
  <si>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</si>
  <si>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</si>
  <si>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</si>
  <si>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</si>
  <si>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</si>
  <si>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</si>
  <si>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</si>
  <si>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</si>
  <si>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</si>
  <si>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</si>
  <si>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 xml:space="preserve">503           </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</si>
  <si>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</si>
  <si>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</si>
  <si>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</si>
  <si>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</si>
  <si>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501      </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</si>
  <si>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</si>
  <si>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</si>
  <si>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</si>
  <si>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</si>
  <si>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</si>
  <si>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</si>
  <si>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</si>
  <si>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</si>
  <si>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</si>
  <si>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</si>
  <si>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</si>
  <si>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</si>
  <si>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</si>
  <si>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</si>
  <si>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</si>
  <si>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</si>
  <si>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503</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</si>
  <si>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</si>
  <si>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</si>
  <si>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 xml:space="preserve">501      </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</si>
  <si>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</si>
  <si>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</si>
  <si>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</si>
  <si>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</si>
  <si>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</si>
  <si>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</si>
  <si>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</si>
  <si>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Информатика (Климов) </t>
    </r>
    <r>
      <rPr>
        <rFont val="Arial"/>
        <b/>
        <color theme="1"/>
        <sz val="10.0"/>
      </rPr>
      <t>406</t>
    </r>
  </si>
  <si>
    <r>
      <rPr>
        <rFont val="Arial"/>
        <color theme="1"/>
        <sz val="10.0"/>
      </rPr>
      <t xml:space="preserve">Допматпрак (по желанию) (Попович) </t>
    </r>
    <r>
      <rPr>
        <rFont val="Arial"/>
        <b/>
        <color theme="1"/>
        <sz val="1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</si>
  <si>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</si>
  <si>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503</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</si>
  <si>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</si>
  <si>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 xml:space="preserve">Допматпрак (по желанию) (Попович) </t>
    </r>
    <r>
      <rPr>
        <rFont val="Arial"/>
        <b/>
        <color theme="1"/>
        <sz val="1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</si>
  <si>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</si>
  <si>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</si>
  <si>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</si>
  <si>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</si>
  <si>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</si>
  <si>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</si>
  <si>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</si>
  <si>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t xml:space="preserve">География (Колечкин) </t>
    </r>
    <r>
      <rPr>
        <rFont val="Arial"/>
        <b/>
        <color theme="1"/>
        <sz val="10.0"/>
      </rPr>
      <t>КЗ</t>
    </r>
  </si>
  <si>
    <t>Диагностика РУСЯЗ 503 (телефоны отключить, на столе только пенал и черновик) Устинов наб.</t>
  </si>
  <si>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</si>
  <si>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</si>
  <si>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</si>
  <si>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</si>
  <si>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</si>
  <si>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</si>
  <si>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</si>
  <si>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</si>
  <si>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</si>
  <si>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t>Диагностика МАТЕМ 201 (телефоны отключить, на столе только пенал и черновик) Устинов наб.</t>
  </si>
  <si>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</si>
  <si>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</si>
  <si>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</si>
  <si>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</si>
  <si>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</si>
  <si>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</si>
  <si>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</si>
  <si>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</si>
  <si>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</si>
  <si>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</si>
  <si>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</si>
  <si>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</si>
  <si>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</si>
  <si>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</si>
  <si>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</si>
  <si>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</si>
  <si>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</si>
  <si>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</si>
  <si>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</si>
  <si>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</si>
  <si>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</si>
  <si>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</si>
  <si>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</si>
  <si>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</si>
  <si>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</si>
  <si>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</si>
  <si>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</si>
  <si>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</si>
  <si>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</si>
  <si>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</si>
  <si>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</si>
  <si>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</si>
  <si>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</si>
  <si>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</si>
  <si>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</si>
  <si>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</si>
  <si>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</si>
  <si>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</si>
  <si>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</si>
  <si>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rgb="FFFFFFFF"/>
        <sz val="10.0"/>
      </rPr>
      <t xml:space="preserve">Доп. Матпрак по желанию (Попович) </t>
    </r>
    <r>
      <rPr>
        <rFont val="Arial"/>
        <b/>
        <color rgb="FFFFFFFF"/>
        <sz val="10.0"/>
      </rPr>
      <t>405</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</si>
  <si>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</si>
  <si>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</si>
  <si>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</si>
  <si>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</si>
  <si>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</si>
  <si>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</si>
  <si>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</si>
  <si>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</si>
  <si>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</si>
  <si>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</si>
  <si>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</si>
  <si>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</si>
  <si>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</si>
  <si>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</si>
  <si>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t>Диагностика РУСЯЗ 209 (телефоны отключить, на столе только пенал и черновик) Устинов наб.</t>
  </si>
  <si>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</si>
  <si>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</si>
  <si>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</si>
  <si>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</si>
  <si>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</si>
  <si>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</si>
  <si>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</si>
  <si>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</si>
  <si>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</si>
  <si>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</si>
  <si>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</si>
  <si>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</si>
  <si>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</si>
  <si>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</si>
  <si>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</si>
  <si>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</si>
  <si>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</si>
  <si>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</si>
  <si>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Решетников)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</si>
  <si>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</si>
  <si>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</si>
  <si>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</si>
  <si>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</si>
  <si>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</si>
  <si>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</si>
  <si>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</si>
  <si>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t xml:space="preserve">МатПрак (Заводов, Решетников)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</si>
  <si>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</si>
  <si>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</si>
  <si>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</si>
  <si>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</si>
  <si>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</si>
  <si>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</si>
  <si>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rgb="FF000000"/>
      </rPr>
      <t xml:space="preserve">Информатика </t>
    </r>
    <r>
      <rPr>
        <rFont val="Arial"/>
        <color rgb="FF000000"/>
      </rPr>
      <t xml:space="preserve">(Репнев </t>
    </r>
    <r>
      <rPr>
        <rFont val="Arial"/>
        <b/>
        <color rgb="FF000000"/>
      </rPr>
      <t>402</t>
    </r>
    <r>
      <rPr>
        <rFont val="Arial"/>
        <color rgb="FF000000"/>
      </rPr>
      <t xml:space="preserve">/ Аларкон </t>
    </r>
    <r>
      <rPr>
        <rFont val="Arial"/>
        <b/>
        <color rgb="FF000000"/>
      </rPr>
      <t>201</t>
    </r>
    <r>
      <rPr>
        <rFont val="Arial"/>
        <color rgb="FF0000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</si>
  <si>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</si>
  <si>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</si>
  <si>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</si>
  <si>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</si>
  <si>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</si>
  <si>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</si>
  <si>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</si>
  <si>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</si>
  <si>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</si>
  <si>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rgb="FF000000"/>
      </rPr>
      <t>Информатика (</t>
    </r>
    <r>
      <rPr>
        <rFont val="Arial"/>
        <color rgb="FF000000"/>
      </rPr>
      <t xml:space="preserve">Репнев </t>
    </r>
    <r>
      <rPr>
        <rFont val="Arial"/>
        <b/>
        <color rgb="FF000000"/>
      </rPr>
      <t>402</t>
    </r>
    <r>
      <rPr>
        <rFont val="Arial"/>
        <b/>
        <color rgb="FF000000"/>
      </rPr>
      <t xml:space="preserve"> </t>
    </r>
    <r>
      <rPr>
        <rFont val="Arial"/>
        <color rgb="FF000000"/>
      </rPr>
      <t xml:space="preserve">/ Аларкон </t>
    </r>
    <r>
      <rPr>
        <rFont val="Arial"/>
        <b/>
        <color rgb="FF000000"/>
      </rPr>
      <t>201</t>
    </r>
    <r>
      <rPr>
        <rFont val="Arial"/>
        <color rgb="FF0000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</si>
  <si>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</si>
  <si>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</si>
  <si>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</si>
  <si>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</si>
  <si>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</si>
  <si>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</si>
  <si>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</si>
  <si>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</si>
  <si>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</si>
  <si>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</si>
  <si>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</si>
  <si>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</si>
  <si>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</si>
  <si>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</si>
  <si>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</si>
  <si>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</si>
  <si>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</si>
  <si>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</si>
  <si>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</si>
  <si>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</si>
  <si>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</si>
  <si>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</si>
  <si>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</si>
  <si>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</si>
  <si>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</si>
  <si>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</si>
  <si>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</si>
  <si>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</si>
  <si>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</si>
  <si>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</si>
  <si>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</si>
  <si>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</si>
  <si>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</si>
  <si>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</si>
  <si>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</si>
  <si>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</si>
  <si>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</si>
  <si>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</si>
  <si>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</si>
  <si>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</si>
  <si>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</si>
  <si>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</si>
  <si>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</si>
  <si>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</si>
  <si>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</si>
  <si>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</si>
  <si>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</si>
  <si>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</si>
  <si>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</si>
  <si>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Олимп. экономика - продолжающие (Попович) </t>
    </r>
    <r>
      <rPr>
        <rFont val="Arial"/>
        <b/>
        <color theme="1"/>
        <sz val="10.0"/>
      </rPr>
      <t>202</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</si>
  <si>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</si>
  <si>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</si>
  <si>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</si>
  <si>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</si>
  <si>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</si>
  <si>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</si>
  <si>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</si>
  <si>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</si>
  <si>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</si>
  <si>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</si>
  <si>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</si>
  <si>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</si>
  <si>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</si>
  <si>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</si>
  <si>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</si>
  <si>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</si>
  <si>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</si>
  <si>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</si>
  <si>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</si>
  <si>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</si>
  <si>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</si>
  <si>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</si>
  <si>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</si>
  <si>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</si>
  <si>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t>Право  (Белоус) 503</t>
  </si>
  <si>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</si>
  <si>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</si>
  <si>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</si>
  <si>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</si>
  <si>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</si>
  <si>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</si>
  <si>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</si>
  <si>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</si>
  <si>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</si>
  <si>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</si>
  <si>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Литература (Харитонов) </t>
    </r>
    <r>
      <rPr>
        <rFont val="Arial"/>
        <b/>
        <color theme="1"/>
        <sz val="10.0"/>
      </rPr>
      <t>201</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</si>
  <si>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</si>
  <si>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</si>
  <si>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</si>
  <si>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</si>
  <si>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</si>
  <si>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</si>
  <si>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АЕ)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</si>
  <si>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</si>
  <si>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</si>
  <si>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</si>
  <si>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</si>
  <si>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</si>
  <si>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</si>
  <si>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</si>
  <si>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</si>
  <si>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</si>
  <si>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</si>
  <si>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</si>
  <si>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АЕ)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</si>
  <si>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</si>
  <si>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</si>
  <si>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</si>
  <si>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</si>
  <si>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</si>
  <si>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</si>
  <si>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</si>
  <si>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</si>
  <si>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</si>
  <si>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</si>
  <si>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</si>
  <si>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</si>
  <si>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</si>
  <si>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404</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</si>
  <si>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</si>
  <si>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</si>
  <si>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</si>
  <si>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</si>
  <si>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</si>
  <si>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</si>
  <si>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</si>
  <si>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</si>
  <si>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</si>
  <si>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Матпрак (Молькова АЕ) </t>
    </r>
    <r>
      <rPr>
        <rFont val="Arial"/>
        <b/>
        <color theme="1"/>
        <sz val="1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</si>
  <si>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</si>
  <si>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</si>
  <si>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</si>
  <si>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</si>
  <si>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</si>
  <si>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</si>
  <si>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</si>
  <si>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</si>
  <si>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</si>
  <si>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Матпрак (Молькова АЕ) </t>
    </r>
    <r>
      <rPr>
        <rFont val="Arial"/>
        <b/>
        <color theme="1"/>
        <sz val="10.0"/>
      </rPr>
      <t>409</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</si>
  <si>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</si>
  <si>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</si>
  <si>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10.00  Олимп инфо (Подворный и Ко) 409</t>
  </si>
  <si>
    <t>Матбой (Исмаилов) 202</t>
  </si>
  <si>
    <r>
      <rPr>
        <rFont val="Arial"/>
        <color theme="1"/>
        <sz val="10.0"/>
      </rPr>
      <t xml:space="preserve">ДИАЛОГИ О ВАЖНОМ (Дронзик) </t>
    </r>
    <r>
      <rPr>
        <rFont val="Arial"/>
        <b/>
        <color theme="1"/>
        <sz val="10.0"/>
      </rPr>
      <t>210</t>
    </r>
    <r>
      <rPr>
        <rFont val="Arial"/>
        <color theme="1"/>
        <sz val="10.0"/>
      </rPr>
      <t xml:space="preserve"> </t>
    </r>
  </si>
  <si>
    <t>ДИАЛОГИ О ВАЖНОМ (Репнев) КЗ</t>
  </si>
  <si>
    <r>
      <rPr>
        <rFont val="Arial"/>
        <color theme="1"/>
        <sz val="10.0"/>
      </rPr>
      <t xml:space="preserve">ДИАЛОГИ О ВАЖНОМ (Краснова ЕИ) </t>
    </r>
    <r>
      <rPr>
        <rFont val="Arial"/>
        <b/>
        <color theme="1"/>
        <sz val="10.0"/>
      </rPr>
      <t>402</t>
    </r>
  </si>
  <si>
    <t>ДИАЛОГИ О ВАЖНОМ (ОА) АЗ</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</si>
  <si>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</si>
  <si>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404</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</si>
  <si>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</si>
  <si>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</si>
  <si>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</si>
  <si>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t xml:space="preserve">Мастер-класс по AGILE (Вадим Богачев) </t>
    </r>
    <r>
      <rPr>
        <rFont val="Arial"/>
        <b/>
        <color theme="1"/>
        <sz val="10.0"/>
      </rPr>
      <t xml:space="preserve"> АЗ</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</si>
  <si>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</si>
  <si>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</si>
  <si>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</si>
  <si>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</si>
  <si>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</si>
  <si>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</si>
  <si>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</si>
  <si>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</si>
  <si>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</si>
  <si>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</si>
  <si>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</si>
  <si>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</si>
  <si>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</si>
  <si>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</si>
  <si>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</si>
  <si>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</si>
  <si>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</si>
  <si>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</si>
  <si>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</si>
  <si>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</si>
  <si>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</si>
  <si>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</si>
  <si>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</si>
  <si>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</si>
  <si>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</si>
  <si>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</si>
  <si>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</si>
  <si>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</si>
  <si>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</si>
  <si>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</si>
  <si>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</si>
  <si>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</si>
  <si>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</si>
  <si>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</si>
  <si>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</si>
  <si>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</si>
  <si>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</si>
  <si>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</si>
  <si>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</si>
  <si>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</si>
  <si>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</si>
  <si>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</si>
  <si>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</si>
  <si>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</si>
  <si>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</si>
  <si>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</si>
  <si>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</si>
  <si>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</si>
  <si>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</si>
  <si>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</si>
  <si>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</si>
  <si>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</si>
  <si>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</si>
  <si>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</si>
  <si>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</si>
  <si>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</si>
  <si>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</si>
  <si>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</si>
  <si>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</si>
  <si>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</si>
  <si>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</si>
  <si>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</si>
  <si>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</si>
  <si>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</si>
  <si>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</si>
  <si>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</si>
  <si>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</si>
  <si>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</si>
  <si>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</si>
  <si>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</si>
  <si>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</si>
  <si>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</si>
  <si>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</si>
  <si>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</si>
  <si>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Исторические танцы (Пипейкина) </t>
    </r>
    <r>
      <rPr>
        <rFont val="Arial"/>
        <b/>
        <color theme="1"/>
        <sz val="10.0"/>
      </rPr>
      <t>504</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</si>
  <si>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</si>
  <si>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</si>
  <si>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</si>
  <si>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</si>
  <si>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</si>
  <si>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</si>
  <si>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</si>
  <si>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</si>
  <si>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</si>
  <si>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</si>
  <si>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</si>
  <si>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</si>
  <si>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</si>
  <si>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</si>
  <si>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</si>
  <si>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t>Внутришкольная диагностика по химии 209 (Журавлёва)</t>
  </si>
  <si>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</si>
  <si>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</si>
  <si>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</si>
  <si>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</si>
  <si>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 xml:space="preserve">406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</si>
  <si>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</si>
  <si>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</si>
  <si>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</si>
  <si>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</si>
  <si>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</si>
  <si>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</si>
  <si>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</si>
  <si>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(Харитонов) </t>
    </r>
    <r>
      <rPr>
        <rFont val="Arial"/>
        <b/>
        <color theme="1"/>
        <sz val="10.0"/>
      </rPr>
      <t>209</t>
    </r>
  </si>
  <si>
    <r>
      <rPr>
        <rFont val="Arial"/>
        <color theme="1"/>
        <sz val="10.0"/>
      </rPr>
      <t xml:space="preserve">История (Белоус)   </t>
    </r>
    <r>
      <rPr>
        <rFont val="Arial"/>
        <b/>
        <color theme="1"/>
        <sz val="10.0"/>
      </rPr>
      <t>406</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</si>
  <si>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</si>
  <si>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</si>
  <si>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</si>
  <si>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</si>
  <si>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</si>
  <si>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</si>
  <si>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(Харитонов)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</si>
  <si>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</si>
  <si>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</si>
  <si>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</si>
  <si>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</si>
  <si>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</si>
  <si>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</si>
  <si>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</si>
  <si>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</si>
  <si>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</si>
  <si>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</si>
  <si>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</si>
  <si>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</si>
  <si>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</si>
  <si>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</si>
  <si>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</si>
  <si>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</si>
  <si>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</si>
  <si>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</si>
  <si>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</si>
  <si>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</si>
  <si>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210</t>
    </r>
  </si>
  <si>
    <r>
      <rPr>
        <rFont val="Arial"/>
        <color theme="1"/>
        <sz val="10.0"/>
      </rPr>
      <t xml:space="preserve">Допматпрак (Попович) </t>
    </r>
    <r>
      <rPr>
        <rFont val="Arial"/>
        <b/>
        <color theme="1"/>
        <sz val="10.0"/>
      </rPr>
      <t>405</t>
    </r>
  </si>
  <si>
    <r>
      <rPr>
        <rFont val="Arial"/>
        <b/>
        <color theme="1"/>
        <sz val="10.0"/>
      </rPr>
      <t xml:space="preserve">Делаем Силаэдрики </t>
    </r>
    <r>
      <rPr>
        <rFont val="Arial"/>
        <b/>
        <color theme="1"/>
        <sz val="10.0"/>
      </rPr>
      <t>209 (Щербаков, Жабер)</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</si>
  <si>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</si>
  <si>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</si>
  <si>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</si>
  <si>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</si>
  <si>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</si>
  <si>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</si>
  <si>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</si>
  <si>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t>Биология (Носкова) 210</t>
  </si>
  <si>
    <r>
      <rPr>
        <rFont val="Arial"/>
        <color theme="1"/>
        <sz val="10.0"/>
      </rPr>
      <t xml:space="preserve">Допматпрак (Попович) </t>
    </r>
    <r>
      <rPr>
        <rFont val="Arial"/>
        <b/>
        <color theme="1"/>
        <sz val="10.0"/>
      </rPr>
      <t>405</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</si>
  <si>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</si>
  <si>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</si>
  <si>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</si>
  <si>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</si>
  <si>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</si>
  <si>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</si>
  <si>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</si>
  <si>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</si>
  <si>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</si>
  <si>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</si>
  <si>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</si>
  <si>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</si>
  <si>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</si>
  <si>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</si>
  <si>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</si>
  <si>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</si>
  <si>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t>Внутршкольная диагностика по биологии АЗ (Журавлева)</t>
  </si>
  <si>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</si>
  <si>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</si>
  <si>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</si>
  <si>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</si>
  <si>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</si>
  <si>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</si>
  <si>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</si>
  <si>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</si>
  <si>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</si>
  <si>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</si>
  <si>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</si>
  <si>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</si>
  <si>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Рууский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</si>
  <si>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</si>
  <si>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</si>
  <si>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</si>
  <si>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</si>
  <si>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</si>
  <si>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</si>
  <si>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</si>
  <si>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</si>
  <si>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</si>
  <si>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</si>
  <si>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</si>
  <si>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</si>
  <si>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</si>
  <si>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</si>
  <si>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</si>
  <si>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</si>
  <si>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</si>
  <si>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</si>
  <si>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</si>
  <si>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</si>
  <si>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</si>
  <si>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</si>
  <si>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</si>
  <si>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</si>
  <si>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</si>
  <si>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</si>
  <si>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</si>
  <si>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</si>
  <si>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</si>
  <si>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</si>
  <si>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</si>
  <si>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</si>
  <si>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</si>
  <si>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</si>
  <si>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</si>
  <si>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</si>
  <si>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</si>
  <si>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</si>
  <si>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</si>
  <si>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</si>
  <si>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</si>
  <si>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</si>
  <si>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</si>
  <si>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</si>
  <si>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</si>
  <si>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</si>
  <si>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</si>
  <si>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</si>
  <si>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</si>
  <si>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</si>
  <si>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</si>
  <si>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</si>
  <si>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</si>
  <si>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</si>
  <si>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</si>
  <si>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</si>
  <si>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</si>
  <si>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</si>
  <si>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</si>
  <si>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</si>
  <si>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</si>
  <si>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</si>
  <si>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</si>
  <si>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</si>
  <si>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</si>
  <si>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</si>
  <si>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</si>
  <si>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</si>
  <si>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</si>
  <si>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</si>
  <si>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</si>
  <si>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</si>
  <si>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</si>
  <si>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</si>
  <si>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</si>
  <si>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</si>
  <si>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</si>
  <si>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</si>
  <si>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</si>
  <si>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</si>
  <si>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</si>
  <si>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</si>
  <si>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</si>
  <si>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</si>
  <si>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</si>
  <si>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</si>
  <si>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</si>
  <si>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</si>
  <si>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</si>
  <si>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</si>
  <si>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</si>
  <si>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</si>
  <si>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</si>
  <si>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</si>
  <si>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</si>
  <si>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</si>
  <si>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</si>
  <si>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</si>
  <si>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</si>
  <si>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</si>
  <si>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</si>
  <si>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</si>
  <si>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</si>
  <si>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</si>
  <si>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</si>
  <si>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</si>
  <si>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</si>
  <si>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</si>
  <si>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</si>
  <si>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</si>
  <si>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</si>
  <si>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</si>
  <si>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</si>
  <si>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</si>
  <si>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</si>
  <si>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</si>
  <si>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</si>
  <si>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</si>
  <si>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</si>
  <si>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</si>
  <si>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</si>
  <si>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</si>
  <si>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</si>
  <si>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</si>
  <si>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</si>
  <si>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</si>
  <si>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</si>
  <si>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</si>
  <si>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</si>
  <si>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</si>
  <si>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</si>
  <si>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</si>
  <si>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</si>
  <si>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</si>
  <si>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</si>
  <si>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</si>
  <si>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</si>
  <si>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</si>
  <si>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</si>
  <si>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</si>
  <si>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</si>
  <si>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</si>
  <si>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</si>
  <si>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</si>
  <si>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</si>
  <si>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</si>
  <si>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</si>
  <si>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</si>
  <si>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</si>
  <si>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</si>
  <si>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</si>
  <si>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</si>
  <si>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</si>
  <si>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</si>
  <si>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</si>
  <si>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</si>
  <si>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</si>
  <si>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</si>
  <si>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</si>
  <si>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</si>
  <si>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</si>
  <si>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</si>
  <si>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</si>
  <si>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</si>
  <si>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</si>
  <si>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</si>
  <si>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</si>
  <si>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</si>
  <si>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</si>
  <si>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</si>
  <si>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</si>
  <si>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</si>
  <si>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(Харитонов)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</si>
  <si>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</si>
  <si>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</si>
  <si>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</si>
  <si>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</si>
  <si>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</si>
  <si>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</si>
  <si>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</si>
  <si>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</si>
  <si>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</si>
  <si>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</si>
  <si>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(Харитонов)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</si>
  <si>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</si>
  <si>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</si>
  <si>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</si>
  <si>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</si>
  <si>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</si>
  <si>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</si>
  <si>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</si>
  <si>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</si>
  <si>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</si>
  <si>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</si>
  <si>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</si>
  <si>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</si>
  <si>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</si>
  <si>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</si>
  <si>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</si>
  <si>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</si>
  <si>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theme="1"/>
        <sz val="10.0"/>
      </rPr>
      <t xml:space="preserve">Матпрак (Исмаилов, Латыпова) </t>
    </r>
    <r>
      <rPr>
        <rFont val="Arial"/>
        <b/>
        <color theme="1"/>
        <sz val="10.0"/>
      </rPr>
      <t>501</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</si>
  <si>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</si>
  <si>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</si>
  <si>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</si>
  <si>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</si>
  <si>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</si>
  <si>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</si>
  <si>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</si>
  <si>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</si>
  <si>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</si>
  <si>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</si>
  <si>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</si>
  <si>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theme="1"/>
        <sz val="10.0"/>
      </rPr>
      <t xml:space="preserve">Матпрак (Исмаилов, Латыпова) </t>
    </r>
    <r>
      <rPr>
        <rFont val="Arial"/>
        <b/>
        <color theme="1"/>
        <sz val="10.0"/>
      </rPr>
      <t>501</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</si>
  <si>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</si>
  <si>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 xml:space="preserve"> )</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</si>
  <si>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</si>
  <si>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 Биология ЕГЭ Носкова </t>
    </r>
    <r>
      <rPr>
        <rFont val="Arial"/>
        <b/>
        <color theme="1"/>
        <sz val="10.0"/>
      </rPr>
      <t>404</t>
    </r>
  </si>
  <si>
    <r>
      <rPr>
        <rFont val="Arial"/>
        <color theme="1"/>
        <sz val="10.0"/>
      </rPr>
      <t xml:space="preserve">Хор (Краснова и Никулова) </t>
    </r>
    <r>
      <rPr>
        <rFont val="Arial"/>
        <b/>
        <color theme="1"/>
        <sz val="10.0"/>
      </rPr>
      <t>КЗ</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</si>
  <si>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</si>
  <si>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</si>
  <si>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</si>
  <si>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</si>
  <si>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</si>
  <si>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</si>
  <si>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406</t>
    </r>
  </si>
  <si>
    <r>
      <rPr>
        <rFont val="Arial"/>
        <color theme="1"/>
      </rPr>
      <t xml:space="preserve">Матпрак (Молькова) </t>
    </r>
    <r>
      <rPr>
        <rFont val="Arial"/>
        <b/>
        <color theme="1"/>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</si>
  <si>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 xml:space="preserve"> )</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</si>
  <si>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</si>
  <si>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</si>
  <si>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</si>
  <si>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</si>
  <si>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</si>
  <si>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</si>
  <si>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rPr>
      <t xml:space="preserve">Матпрак (Молькова) </t>
    </r>
    <r>
      <rPr>
        <rFont val="Arial"/>
        <b/>
        <color theme="1"/>
      </rPr>
      <t>409</t>
    </r>
  </si>
  <si>
    <r>
      <rPr>
        <rFont val="Arial"/>
        <color theme="1"/>
        <sz val="10.0"/>
      </rPr>
      <t xml:space="preserve">Театр (Обидина) </t>
    </r>
    <r>
      <rPr>
        <rFont val="Arial"/>
        <b/>
        <color theme="1"/>
        <sz val="10.0"/>
      </rPr>
      <t>АЗ</t>
    </r>
  </si>
  <si>
    <t>10.00 Олимп инфо (Подворный) ОЧНО 408</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</si>
  <si>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</si>
  <si>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</si>
  <si>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</si>
  <si>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</si>
  <si>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</si>
  <si>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</si>
  <si>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</si>
  <si>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</si>
  <si>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</si>
  <si>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</si>
  <si>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</si>
  <si>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</si>
  <si>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</si>
  <si>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</si>
  <si>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</si>
  <si>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</si>
  <si>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</si>
  <si>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</si>
  <si>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</si>
  <si>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</si>
  <si>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</si>
  <si>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</si>
  <si>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</si>
  <si>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</si>
  <si>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</si>
  <si>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</si>
  <si>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</si>
  <si>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</si>
  <si>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</si>
  <si>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</si>
  <si>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</si>
  <si>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</si>
  <si>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</si>
  <si>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</si>
  <si>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</si>
  <si>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</si>
  <si>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</si>
  <si>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</si>
  <si>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</si>
  <si>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</si>
  <si>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</si>
  <si>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</si>
  <si>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</si>
  <si>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</si>
  <si>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</si>
  <si>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</si>
  <si>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</si>
  <si>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</si>
  <si>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</si>
  <si>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</si>
  <si>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</si>
  <si>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</si>
  <si>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</si>
  <si>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</si>
  <si>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</si>
  <si>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</si>
  <si>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</si>
  <si>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</si>
  <si>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</si>
  <si>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</si>
  <si>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</si>
  <si>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</si>
  <si>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</si>
  <si>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</si>
  <si>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</si>
  <si>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</si>
  <si>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</si>
  <si>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</si>
  <si>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</si>
  <si>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</si>
  <si>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</si>
  <si>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</si>
  <si>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</si>
  <si>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</si>
  <si>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</si>
  <si>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</si>
  <si>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</si>
  <si>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</si>
  <si>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</si>
  <si>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</si>
  <si>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</si>
  <si>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</si>
  <si>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</si>
  <si>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</si>
  <si>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</si>
  <si>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</si>
  <si>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</si>
  <si>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</si>
  <si>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</si>
  <si>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</si>
  <si>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t>Англ ОГЭ (Слоневская) 404</t>
  </si>
  <si>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</si>
  <si>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</si>
  <si>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</si>
  <si>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</si>
  <si>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</si>
  <si>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</si>
  <si>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</si>
  <si>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</si>
  <si>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</si>
  <si>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</si>
  <si>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</si>
  <si>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</si>
  <si>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</si>
  <si>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</si>
  <si>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</si>
  <si>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</si>
  <si>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</si>
  <si>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</si>
  <si>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</si>
  <si>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</si>
  <si>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</si>
  <si>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 xml:space="preserve">406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</si>
  <si>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</si>
  <si>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</si>
  <si>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Русский (Харитонов) </t>
    </r>
    <r>
      <rPr>
        <rFont val="Arial"/>
        <b/>
        <color theme="1"/>
        <sz val="10.0"/>
      </rPr>
      <t>201</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</si>
  <si>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</si>
  <si>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</si>
  <si>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</si>
  <si>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</si>
  <si>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</si>
  <si>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406</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</si>
  <si>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</si>
  <si>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</si>
  <si>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Русский (Харитонов) </t>
    </r>
    <r>
      <rPr>
        <rFont val="Arial"/>
        <b/>
        <color theme="1"/>
        <sz val="10.0"/>
      </rPr>
      <t>201</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</si>
  <si>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</si>
  <si>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</si>
  <si>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</si>
  <si>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</si>
  <si>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rPr>
      <t xml:space="preserve">Биология (Носкова) </t>
    </r>
    <r>
      <rPr>
        <rFont val="Arial"/>
        <b/>
        <color theme="1"/>
      </rPr>
      <t>408</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</si>
  <si>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</si>
  <si>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</si>
  <si>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</si>
  <si>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</si>
  <si>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Хор (Краснова и Никулова) </t>
    </r>
    <r>
      <rPr>
        <rFont val="Arial"/>
        <b/>
        <color theme="1"/>
        <sz val="10.0"/>
      </rPr>
      <t>КЗ</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</si>
  <si>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</si>
  <si>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</si>
  <si>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</si>
  <si>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</si>
  <si>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</si>
  <si>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</si>
  <si>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</si>
  <si>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</si>
  <si>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</si>
  <si>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</si>
  <si>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Хор (Краснова и Никулова) </t>
    </r>
    <r>
      <rPr>
        <rFont val="Arial"/>
        <b/>
        <color theme="1"/>
        <sz val="10.0"/>
      </rPr>
      <t>КЗ</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</si>
  <si>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</si>
  <si>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</si>
  <si>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</si>
  <si>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</si>
  <si>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</si>
  <si>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</si>
  <si>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</si>
  <si>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</si>
  <si>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</si>
  <si>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</si>
  <si>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</si>
  <si>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</si>
  <si>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</si>
  <si>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</si>
  <si>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</si>
  <si>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</si>
  <si>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</si>
  <si>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</si>
  <si>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</si>
  <si>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t>Доп. Матпрак 202 (Бирюкова)</t>
  </si>
  <si>
    <r>
      <rPr>
        <rFont val="Roboto, RobotoDraft, Helvetica, Arial, sans-serif"/>
        <color rgb="FF000000"/>
      </rPr>
      <t xml:space="preserve">Литература (Белоус) </t>
    </r>
    <r>
      <rPr>
        <rFont val="Roboto, RobotoDraft, Helvetica, Arial, sans-serif"/>
        <b/>
        <color rgb="FF000000"/>
      </rPr>
      <t>409</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</si>
  <si>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</si>
  <si>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</si>
  <si>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</si>
  <si>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t>Диагностика МЦКО (Иванов, Плотников, Сомин, Яковлев) 406 каб. Журавлёва</t>
  </si>
  <si>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</si>
  <si>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</si>
  <si>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</si>
  <si>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</si>
  <si>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</si>
  <si>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</si>
  <si>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</si>
  <si>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</si>
  <si>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</si>
  <si>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</si>
  <si>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</si>
  <si>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</si>
  <si>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</si>
  <si>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</si>
  <si>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</si>
  <si>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</si>
  <si>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</si>
  <si>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</si>
  <si>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</si>
  <si>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</si>
  <si>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</si>
  <si>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</si>
  <si>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(Исмаилов)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</si>
  <si>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</si>
  <si>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</si>
  <si>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</si>
  <si>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</si>
  <si>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</si>
  <si>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</si>
  <si>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</si>
  <si>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</si>
  <si>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</si>
  <si>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</si>
  <si>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(Исмаилов)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</si>
  <si>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</si>
  <si>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</si>
  <si>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</si>
  <si>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</si>
  <si>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</si>
  <si>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</si>
  <si>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</si>
  <si>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</si>
  <si>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</si>
  <si>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</si>
  <si>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</si>
  <si>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</si>
  <si>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</si>
  <si>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</si>
  <si>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</si>
  <si>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</si>
  <si>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</si>
  <si>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</si>
  <si>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(Митев)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</si>
  <si>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</si>
  <si>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</si>
  <si>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</si>
  <si>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</si>
  <si>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</si>
  <si>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</si>
  <si>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</si>
  <si>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</si>
  <si>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</si>
  <si>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(Митев)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</si>
  <si>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</si>
  <si>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</si>
  <si>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</si>
  <si>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</si>
  <si>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</si>
  <si>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</si>
  <si>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</si>
  <si>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</si>
  <si>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</si>
  <si>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</si>
  <si>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</si>
  <si>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</si>
  <si>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</si>
  <si>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</si>
  <si>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</si>
  <si>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</si>
  <si>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</si>
  <si>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</si>
  <si>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</si>
  <si>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</si>
  <si>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</si>
  <si>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</si>
  <si>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</si>
  <si>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</si>
  <si>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</si>
  <si>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</si>
  <si>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</si>
  <si>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</si>
  <si>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403</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</si>
  <si>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</si>
  <si>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</si>
  <si>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</si>
  <si>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</si>
  <si>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</si>
  <si>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t>11.00 Диагностика РУС. МЦКО комп. (406 и 408 каб.) Портфель при входе, телефон отключить (наблюдатели Слоневкая и Дмбровская)</t>
  </si>
  <si>
    <r>
      <rPr>
        <rFont val="Arial"/>
        <color theme="1"/>
        <sz val="10.0"/>
      </rPr>
      <t xml:space="preserve">Математика (Бирюкова)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</si>
  <si>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</si>
  <si>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</si>
  <si>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</si>
  <si>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</si>
  <si>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</si>
  <si>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</si>
  <si>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</si>
  <si>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</si>
  <si>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(Бирюкова)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</si>
  <si>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</si>
  <si>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</si>
  <si>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(Журавлева)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</si>
  <si>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</si>
  <si>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</si>
  <si>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</si>
  <si>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</si>
  <si>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</si>
  <si>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</si>
  <si>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(Молькова)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</si>
  <si>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</si>
  <si>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</si>
  <si>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</si>
  <si>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(Журавлёва)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</si>
  <si>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</si>
  <si>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</si>
  <si>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</si>
  <si>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</si>
  <si>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</si>
  <si>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</si>
  <si>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(Молькова)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</si>
  <si>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</si>
  <si>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</si>
  <si>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</si>
  <si>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</si>
  <si>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</si>
  <si>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</si>
  <si>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</si>
  <si>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t>В 14.35 встречаемся на 1 этаже.ТЕАТР ЗАНИМАТЕЛЬНОЙ НАУКИ (Старунова)</t>
  </si>
  <si>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</si>
  <si>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</si>
  <si>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</si>
  <si>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</si>
  <si>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Русский (Харитонов)  </t>
    </r>
    <r>
      <rPr>
        <rFont val="Arial"/>
        <b/>
        <color theme="1"/>
        <sz val="10.0"/>
      </rPr>
      <t>201</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</si>
  <si>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</si>
  <si>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</si>
  <si>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</si>
  <si>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</si>
  <si>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</si>
  <si>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</si>
  <si>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</si>
  <si>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</si>
  <si>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</si>
  <si>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</si>
  <si>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</si>
  <si>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</si>
  <si>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</si>
  <si>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</si>
  <si>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</si>
  <si>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</si>
  <si>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</si>
  <si>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</si>
  <si>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</si>
  <si>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</si>
  <si>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</si>
  <si>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</si>
  <si>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</si>
  <si>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</si>
  <si>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</si>
  <si>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</si>
  <si>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</si>
  <si>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</si>
  <si>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</si>
  <si>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</si>
  <si>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</si>
  <si>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</si>
  <si>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</si>
  <si>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</si>
  <si>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</si>
  <si>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</si>
  <si>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</si>
  <si>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</si>
  <si>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</si>
  <si>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</si>
  <si>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</si>
  <si>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</si>
  <si>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</si>
  <si>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</si>
  <si>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</si>
  <si>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</si>
  <si>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</si>
  <si>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</si>
  <si>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</si>
  <si>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</si>
  <si>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</si>
  <si>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</si>
  <si>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</si>
  <si>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</si>
  <si>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b/>
        <color theme="1"/>
        <sz val="10.0"/>
      </rPr>
      <t xml:space="preserve">ДИАГНOСTИКА Школьная ГЕОГР (Абрамов) </t>
    </r>
    <r>
      <rPr>
        <rFont val="Arial"/>
        <b/>
        <color theme="1"/>
        <sz val="10.0"/>
      </rPr>
      <t>209</t>
    </r>
  </si>
  <si>
    <t>ДИАГНОСИКА Школьная ГЕОГР        (Обидина, Носкова) АЗ</t>
  </si>
  <si>
    <r>
      <rPr>
        <rFont val="Arial"/>
        <color theme="1"/>
        <sz val="10.0"/>
      </rPr>
      <t xml:space="preserve">Матпрак (Исмаилов, Латыпова) </t>
    </r>
    <r>
      <rPr>
        <rFont val="Arial"/>
        <b/>
        <color theme="1"/>
        <sz val="10.0"/>
      </rPr>
      <t>501</t>
    </r>
  </si>
  <si>
    <r>
      <rPr>
        <rFont val="Arial"/>
        <color theme="1"/>
        <sz val="10.0"/>
      </rPr>
      <t xml:space="preserve">Матпрак (Исмаилов, Латыпова) </t>
    </r>
    <r>
      <rPr>
        <rFont val="Arial"/>
        <b/>
        <color theme="1"/>
        <sz val="10.0"/>
      </rPr>
      <t>501</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</si>
  <si>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</si>
  <si>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</si>
  <si>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</si>
  <si>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</si>
  <si>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</si>
  <si>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</si>
  <si>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</si>
  <si>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</si>
  <si>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</si>
  <si>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</si>
  <si>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</si>
  <si>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theme="1"/>
        <sz val="10.0"/>
      </rPr>
      <t xml:space="preserve">Матпрак (Исмаилов, Латыпова) </t>
    </r>
    <r>
      <rPr>
        <rFont val="Arial"/>
        <b/>
        <color theme="1"/>
        <sz val="10.0"/>
      </rPr>
      <t>501</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</si>
  <si>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</si>
  <si>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</si>
  <si>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</si>
  <si>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404</t>
    </r>
  </si>
  <si>
    <r>
      <rPr>
        <rFont val="Arial"/>
        <color theme="1"/>
        <sz val="10.0"/>
      </rPr>
      <t xml:space="preserve">Хор (Краснова и Никулова) </t>
    </r>
    <r>
      <rPr>
        <rFont val="Arial"/>
        <b/>
        <color theme="1"/>
        <sz val="10.0"/>
      </rPr>
      <t>КЗ</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</si>
  <si>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</si>
  <si>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</si>
  <si>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</si>
  <si>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</si>
  <si>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</si>
  <si>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</si>
  <si>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rPr>
      <t xml:space="preserve">Матпрак (Молькова) </t>
    </r>
    <r>
      <rPr>
        <rFont val="Arial"/>
        <b/>
        <color theme="1"/>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</si>
  <si>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</si>
  <si>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</si>
  <si>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</si>
  <si>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</si>
  <si>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</si>
  <si>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</si>
  <si>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</si>
  <si>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rPr>
      <t xml:space="preserve">Матпрак (Молькова) </t>
    </r>
    <r>
      <rPr>
        <rFont val="Arial"/>
        <b/>
        <color theme="1"/>
      </rPr>
      <t>409</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</si>
  <si>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</si>
  <si>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</si>
  <si>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 xml:space="preserve"> ХОР (Краснова, Никулова) КЗ, CTF (Джамбек) 406, Ол. геометрия для продолжающих (Сайгак) 202, Экономика для начинающих (Кирюшин) 210, Го (Решетников) 201, Олимпиадная история (Куницын) 503, Проекты (Слоневская) zoom, Гиревой спорт 9-11 кл (Хуснутдинов) СЗ</t>
  </si>
  <si>
    <r>
      <rPr>
        <rFont val="Arial"/>
        <color theme="1"/>
        <sz val="10.0"/>
      </rPr>
      <t xml:space="preserve">ОБЖ (Носкова) </t>
    </r>
    <r>
      <rPr>
        <rFont val="Arial"/>
        <b/>
        <color theme="1"/>
        <sz val="10.0"/>
      </rPr>
      <t>409</t>
    </r>
  </si>
  <si>
    <t>10.00 Олимп инфо (Подворный) 409</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</si>
  <si>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</si>
  <si>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</si>
  <si>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</si>
  <si>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</si>
  <si>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</si>
  <si>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</si>
  <si>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</si>
  <si>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</si>
  <si>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</si>
  <si>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</si>
  <si>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</si>
  <si>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</si>
  <si>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</si>
  <si>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(Молькова)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</si>
  <si>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</si>
  <si>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Дронзик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</si>
  <si>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</si>
  <si>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</si>
  <si>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</si>
  <si>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</si>
  <si>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</si>
  <si>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</si>
  <si>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</si>
  <si>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</si>
  <si>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</si>
  <si>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(Молькова)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</si>
  <si>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</si>
  <si>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Дронзик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</si>
  <si>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</si>
  <si>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</si>
  <si>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</si>
  <si>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</si>
  <si>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</si>
  <si>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</si>
  <si>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</si>
  <si>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</si>
  <si>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</si>
  <si>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</si>
  <si>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</si>
  <si>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(Шерашова)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</si>
  <si>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</si>
  <si>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</si>
  <si>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</si>
  <si>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</si>
  <si>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</si>
  <si>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</si>
  <si>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</si>
  <si>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</si>
  <si>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</si>
  <si>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</si>
  <si>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</si>
  <si>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(Шерашова)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</si>
  <si>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</si>
  <si>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</si>
  <si>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</si>
  <si>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</si>
  <si>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</si>
  <si>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</si>
  <si>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</si>
  <si>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</si>
  <si>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</si>
  <si>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</si>
  <si>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</si>
  <si>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</si>
  <si>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</si>
  <si>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</si>
  <si>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</si>
  <si>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</si>
  <si>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</si>
  <si>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</si>
  <si>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</si>
  <si>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</si>
  <si>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</si>
  <si>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</si>
  <si>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</si>
  <si>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</si>
  <si>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</si>
  <si>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</si>
  <si>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</si>
  <si>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</si>
  <si>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(Исмаилов)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</si>
  <si>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</si>
  <si>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</si>
  <si>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</si>
  <si>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</si>
  <si>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</si>
  <si>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</si>
  <si>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</si>
  <si>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(Исмаилов)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</si>
  <si>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</si>
  <si>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</si>
  <si>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</si>
  <si>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</si>
  <si>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</si>
  <si>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</si>
  <si>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</si>
  <si>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</si>
  <si>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</si>
  <si>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(Бирюкова)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</si>
  <si>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</si>
  <si>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</si>
  <si>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</si>
  <si>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</si>
  <si>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</si>
  <si>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</si>
  <si>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</si>
  <si>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</si>
  <si>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</si>
  <si>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(Бирюкова)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</si>
  <si>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</si>
  <si>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</si>
  <si>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</si>
  <si>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</si>
  <si>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 xml:space="preserve">406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</si>
  <si>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</si>
  <si>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</si>
  <si>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</si>
  <si>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</si>
  <si>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</si>
  <si>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</si>
  <si>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</si>
  <si>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(Попович) </t>
    </r>
    <r>
      <rPr>
        <rFont val="Arial"/>
        <b/>
        <color theme="1"/>
        <sz val="10.0"/>
      </rPr>
      <t>209</t>
    </r>
  </si>
  <si>
    <r>
      <rPr>
        <rFont val="Arial"/>
        <color theme="1"/>
        <sz val="10.0"/>
      </rPr>
      <t xml:space="preserve">История (Белоус)   </t>
    </r>
    <r>
      <rPr>
        <rFont val="Arial"/>
        <b/>
        <color theme="1"/>
        <sz val="10.0"/>
      </rPr>
      <t>406</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</si>
  <si>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</si>
  <si>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</si>
  <si>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</si>
  <si>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</si>
  <si>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</si>
  <si>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</si>
  <si>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(Попович)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</si>
  <si>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</si>
  <si>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</si>
  <si>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</si>
  <si>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</si>
  <si>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</si>
  <si>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</si>
  <si>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</si>
  <si>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</si>
  <si>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</si>
  <si>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</si>
  <si>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</si>
  <si>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</si>
  <si>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</si>
  <si>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</si>
  <si>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</si>
  <si>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</si>
  <si>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</si>
  <si>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</si>
  <si>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</si>
  <si>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</si>
  <si>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</si>
  <si>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</si>
  <si>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</si>
  <si>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</si>
  <si>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</si>
  <si>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</si>
  <si>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</si>
  <si>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</si>
  <si>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</si>
  <si>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</si>
  <si>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</si>
  <si>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</si>
  <si>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</si>
  <si>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</si>
  <si>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</si>
  <si>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</si>
  <si>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</si>
  <si>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</si>
  <si>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</si>
  <si>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</si>
  <si>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</si>
  <si>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</si>
  <si>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</si>
  <si>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</si>
  <si>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</si>
  <si>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</si>
  <si>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</si>
  <si>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</si>
  <si>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</si>
  <si>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</si>
  <si>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</si>
  <si>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</si>
  <si>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t>ИТОГОВОЕ СОЧИНЕНИЕ ПО РУССКОМУ ЯЗЫКУ ( с собой паспорт и чёрную гелевую ручку!!!) 307,308</t>
  </si>
  <si>
    <r>
      <rPr>
        <rFont val="Arial"/>
        <color theme="1"/>
      </rPr>
      <t xml:space="preserve">География (Колечкин)   </t>
    </r>
    <r>
      <rPr>
        <rFont val="Arial"/>
        <b/>
        <color theme="1"/>
      </rPr>
      <t xml:space="preserve">409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</si>
  <si>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</si>
  <si>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</si>
  <si>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t>Диагностика ЛИТ. внутр.  401</t>
  </si>
  <si>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</si>
  <si>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</si>
  <si>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</si>
  <si>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</si>
  <si>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</si>
  <si>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</si>
  <si>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</si>
  <si>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</si>
  <si>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</si>
  <si>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</si>
  <si>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</si>
  <si>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</si>
  <si>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</si>
  <si>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</si>
  <si>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</si>
  <si>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</si>
  <si>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</si>
  <si>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</si>
  <si>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</si>
  <si>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</si>
  <si>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t xml:space="preserve">Русский (Хуснутдинов)   406     </t>
  </si>
  <si>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</si>
  <si>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</si>
  <si>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</si>
  <si>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</si>
  <si>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</si>
  <si>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</si>
  <si>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</si>
  <si>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rgb="FFFFFFFF"/>
        <sz val="10.0"/>
      </rPr>
      <t xml:space="preserve">Доп. Матпрак по желанию (Попович) </t>
    </r>
    <r>
      <rPr>
        <rFont val="Arial"/>
        <b/>
        <color rgb="FFFFFFFF"/>
        <sz val="10.0"/>
      </rPr>
      <t>405</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</si>
  <si>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</si>
  <si>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</si>
  <si>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</si>
  <si>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</si>
  <si>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(Волкова)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</si>
  <si>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</si>
  <si>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</si>
  <si>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</si>
  <si>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</si>
  <si>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</si>
  <si>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</si>
  <si>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</si>
  <si>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(Волкова)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</si>
  <si>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</si>
  <si>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</si>
  <si>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</si>
  <si>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</si>
  <si>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</si>
  <si>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</si>
  <si>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rgb="FFFFFFFF"/>
        <sz val="10.0"/>
      </rPr>
      <t xml:space="preserve">Доп. Матпрак по желанию (Попович) </t>
    </r>
    <r>
      <rPr>
        <rFont val="Arial"/>
        <b/>
        <color rgb="FFFFFFFF"/>
        <sz val="10.0"/>
      </rPr>
      <t>202</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</si>
  <si>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</si>
  <si>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</si>
  <si>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</si>
  <si>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</si>
  <si>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</si>
  <si>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</si>
  <si>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</si>
  <si>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</si>
  <si>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</si>
  <si>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</si>
  <si>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</si>
  <si>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</si>
  <si>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</si>
  <si>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</si>
  <si>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</si>
  <si>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</si>
  <si>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</si>
  <si>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</si>
  <si>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</si>
  <si>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</si>
  <si>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</si>
  <si>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</si>
  <si>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</si>
  <si>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</si>
  <si>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</si>
  <si>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</si>
  <si>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</si>
  <si>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</si>
  <si>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</si>
  <si>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(Попович)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</si>
  <si>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</si>
  <si>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</si>
  <si>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</si>
  <si>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</si>
  <si>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</si>
  <si>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</si>
  <si>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</si>
  <si>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</si>
  <si>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</si>
  <si>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(Попович)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</si>
  <si>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</si>
  <si>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</si>
  <si>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</si>
  <si>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</si>
  <si>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</si>
  <si>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209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</si>
  <si>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</si>
  <si>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</si>
  <si>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</si>
  <si>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t>13.00 Диагностика МАТ. МЦКО комп. (406 и 408 каб.) Портфель при входе, телефон отключить (наблюдатели Белаус и Молькова)</t>
  </si>
  <si>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</si>
  <si>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</si>
  <si>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</si>
  <si>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</si>
  <si>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</si>
  <si>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t>Информатика (Воронцов, Старунова) 209</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</si>
  <si>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</si>
  <si>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</si>
  <si>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</si>
  <si>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(Молькова) </t>
    </r>
    <r>
      <rPr>
        <rFont val="Arial"/>
        <b/>
        <color theme="1"/>
        <sz val="10.0"/>
      </rPr>
      <t>408</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</si>
  <si>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</si>
  <si>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</si>
  <si>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</si>
  <si>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</si>
  <si>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</si>
  <si>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</si>
  <si>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</si>
  <si>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</si>
  <si>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(Молькова)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</si>
  <si>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</si>
  <si>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</si>
  <si>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</si>
  <si>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</si>
  <si>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</si>
  <si>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</si>
  <si>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</si>
  <si>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</si>
  <si>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</si>
  <si>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</si>
  <si>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(Молькова)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</si>
  <si>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</si>
  <si>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</si>
  <si>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</si>
  <si>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</si>
  <si>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</si>
  <si>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</si>
  <si>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</si>
  <si>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</si>
  <si>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</si>
  <si>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</si>
  <si>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</si>
  <si>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</si>
  <si>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</si>
  <si>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</si>
  <si>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</si>
  <si>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</si>
  <si>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</si>
  <si>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</si>
  <si>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</si>
  <si>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</si>
  <si>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</si>
  <si>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</si>
  <si>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</si>
  <si>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</si>
  <si>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</si>
  <si>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</si>
  <si>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</si>
  <si>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</si>
  <si>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</si>
  <si>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</si>
  <si>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</si>
  <si>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</si>
  <si>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</si>
  <si>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</si>
  <si>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</si>
  <si>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</si>
  <si>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</si>
  <si>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</si>
  <si>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</si>
  <si>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</si>
  <si>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</si>
  <si>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</si>
  <si>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</si>
  <si>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</si>
  <si>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</si>
  <si>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</si>
  <si>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</si>
  <si>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</si>
  <si>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</si>
  <si>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</si>
  <si>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</si>
  <si>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</si>
  <si>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</si>
  <si>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</si>
  <si>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</si>
  <si>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</si>
  <si>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</si>
  <si>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</si>
  <si>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</si>
  <si>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</si>
  <si>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</si>
  <si>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</si>
  <si>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</si>
  <si>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</si>
  <si>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</si>
  <si>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</si>
  <si>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</si>
  <si>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</si>
  <si>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</si>
  <si>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</si>
  <si>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</si>
  <si>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</si>
  <si>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</si>
  <si>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</si>
  <si>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</si>
  <si>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</si>
  <si>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</si>
  <si>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</si>
  <si>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</si>
  <si>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</si>
  <si>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</si>
  <si>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</si>
  <si>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</si>
  <si>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</si>
  <si>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</si>
  <si>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</si>
  <si>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Физика ЕГЭ Репнев </t>
    </r>
    <r>
      <rPr>
        <rFont val="Arial"/>
        <b/>
        <color theme="1"/>
        <sz val="10.0"/>
      </rPr>
      <t>402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</si>
  <si>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</si>
  <si>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</si>
  <si>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</si>
  <si>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</si>
  <si>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</si>
  <si>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</si>
  <si>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</si>
  <si>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</si>
  <si>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</si>
  <si>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</si>
  <si>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ТРИЗ (5-6 класс) 402, ХОР (Краснова, Никулова) КЗ, CTF (Джамбек) 406, Ол. геометрия для продолжающих (Сайгак) 202, Экономика для начинающих (Кирюшин) 210,   Проекты (Слоневская) zoom, Гиревой спорт 9-11 кл (Хуснутдинов) СЗ</t>
  </si>
  <si>
    <r>
      <rPr>
        <rFont val="Arial"/>
        <color theme="1"/>
        <sz val="10.0"/>
      </rPr>
      <t xml:space="preserve">ОБЖ (Носкова) </t>
    </r>
    <r>
      <rPr>
        <rFont val="Arial"/>
        <b/>
        <color theme="1"/>
        <sz val="10.0"/>
      </rPr>
      <t>409</t>
    </r>
  </si>
  <si>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</si>
  <si>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</si>
  <si>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</si>
  <si>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</si>
  <si>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</si>
  <si>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</si>
  <si>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</si>
  <si>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</si>
  <si>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</si>
  <si>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</si>
  <si>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</si>
  <si>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</si>
  <si>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</si>
  <si>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(Попович)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</si>
  <si>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</si>
  <si>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</si>
  <si>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</si>
  <si>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</si>
  <si>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</si>
  <si>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</si>
  <si>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</si>
  <si>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</si>
  <si>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</si>
  <si>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</si>
  <si>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</si>
  <si>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(Попович)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</si>
  <si>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</si>
  <si>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</si>
  <si>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</si>
  <si>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</si>
  <si>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</si>
  <si>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</si>
  <si>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</si>
  <si>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</si>
  <si>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</si>
  <si>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</si>
  <si>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</si>
  <si>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</si>
  <si>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</si>
  <si>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(Шерашова)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</si>
  <si>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</si>
  <si>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</si>
  <si>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</si>
  <si>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</si>
  <si>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</si>
  <si>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</si>
  <si>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</si>
  <si>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</si>
  <si>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</si>
  <si>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</si>
  <si>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</si>
  <si>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(Шерашова)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</si>
  <si>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</si>
  <si>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</si>
  <si>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</si>
  <si>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</si>
  <si>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</si>
  <si>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</si>
  <si>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(Харитонов)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</si>
  <si>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</si>
  <si>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</si>
  <si>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</si>
  <si>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</si>
  <si>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</si>
  <si>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</si>
  <si>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</si>
  <si>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</si>
  <si>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</si>
  <si>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</si>
  <si>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(Харитонов)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</si>
  <si>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</si>
  <si>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</si>
  <si>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</si>
  <si>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</si>
  <si>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</si>
  <si>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</si>
  <si>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409</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</si>
  <si>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</si>
  <si>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</si>
  <si>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(Исмаилов)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</si>
  <si>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</si>
  <si>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</si>
  <si>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</si>
  <si>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</si>
  <si>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</si>
  <si>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(Исмаилов)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</si>
  <si>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</si>
  <si>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Исторические танцы (Пипейкина) </t>
    </r>
    <r>
      <rPr>
        <rFont val="Arial"/>
        <b/>
        <color theme="1"/>
        <sz val="10.0"/>
      </rPr>
      <t>504</t>
    </r>
  </si>
  <si>
    <t>КРУЖКИ: Практическая электроника (BEAM-роботы) 5-7кл (Рогацкина) 410, Волейбол 6-9кл (Ларченко) СЗ,  Исторические танцы (Пипейкина) 504</t>
  </si>
  <si>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</si>
  <si>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</si>
  <si>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</si>
  <si>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</si>
  <si>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</si>
  <si>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</si>
  <si>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</si>
  <si>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</si>
  <si>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</si>
  <si>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</si>
  <si>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</si>
  <si>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</si>
  <si>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t>Биология (Носкова)  206</t>
  </si>
  <si>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</si>
  <si>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</si>
  <si>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</si>
  <si>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</si>
  <si>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</si>
  <si>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</si>
  <si>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</si>
  <si>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 xml:space="preserve">406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</si>
  <si>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</si>
  <si>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</si>
  <si>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</si>
  <si>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</si>
  <si>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</si>
  <si>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</si>
  <si>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</si>
  <si>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</si>
  <si>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406</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</si>
  <si>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</si>
  <si>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</si>
  <si>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</si>
  <si>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</si>
  <si>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</si>
  <si>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</si>
  <si>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</si>
  <si>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</si>
  <si>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</si>
  <si>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</si>
  <si>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</si>
  <si>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</si>
  <si>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</si>
  <si>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</si>
  <si>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</si>
  <si>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</si>
  <si>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</si>
  <si>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</si>
  <si>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</si>
  <si>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</si>
  <si>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</si>
  <si>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</si>
  <si>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</si>
  <si>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</si>
  <si>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</si>
  <si>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</si>
  <si>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</si>
  <si>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</si>
  <si>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</si>
  <si>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</si>
  <si>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</si>
  <si>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</si>
  <si>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</si>
  <si>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</si>
  <si>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</si>
  <si>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</si>
  <si>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</si>
  <si>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</si>
  <si>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</si>
  <si>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</si>
  <si>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</si>
  <si>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</si>
  <si>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</si>
  <si>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</si>
  <si>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</si>
  <si>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</si>
  <si>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</si>
  <si>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</si>
  <si>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</si>
  <si>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t>Допматпрак (Бирюкова) 209</t>
  </si>
  <si>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</si>
  <si>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</si>
  <si>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</si>
  <si>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</si>
  <si>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</si>
  <si>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</si>
  <si>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(Хуснутдинов)  </t>
    </r>
    <r>
      <rPr>
        <rFont val="Arial"/>
        <b/>
        <color theme="1"/>
        <sz val="10.0"/>
      </rPr>
      <t xml:space="preserve">209  </t>
    </r>
  </si>
  <si>
    <r>
      <rPr>
        <rFont val="Arial"/>
        <color theme="1"/>
        <sz val="10.0"/>
      </rPr>
      <t xml:space="preserve">Геометрия (Абрамов) </t>
    </r>
    <r>
      <rPr>
        <rFont val="Arial"/>
        <b/>
        <color theme="1"/>
        <sz val="10.0"/>
      </rPr>
      <t>501</t>
    </r>
  </si>
  <si>
    <r>
      <rPr>
        <rFont val="Roboto, RobotoDraft, Helvetica, Arial, sans-serif"/>
        <color rgb="FF000000"/>
      </rPr>
      <t xml:space="preserve">Литература (Белоус) </t>
    </r>
    <r>
      <rPr>
        <rFont val="Roboto, RobotoDraft, Helvetica, Arial, sans-serif"/>
        <b/>
        <color rgb="FF000000"/>
      </rPr>
      <t>503</t>
    </r>
  </si>
  <si>
    <t>Литература (Решетников) 409</t>
  </si>
  <si>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</si>
  <si>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</si>
  <si>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</si>
  <si>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</si>
  <si>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t xml:space="preserve">История (Белоус) </t>
    </r>
    <r>
      <rPr>
        <rFont val="Arial"/>
        <b/>
        <color rgb="FFFFFFFF"/>
        <sz val="10.0"/>
      </rPr>
      <t>402</t>
    </r>
  </si>
  <si>
    <r>
      <rPr>
        <rFont val="Roboto, RobotoDraft, Helvetica, Arial, sans-serif"/>
        <color rgb="FF000000"/>
      </rPr>
      <t xml:space="preserve">Литература (Старунова)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</si>
  <si>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</si>
  <si>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</si>
  <si>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</si>
  <si>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</si>
  <si>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</si>
  <si>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</si>
  <si>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</si>
  <si>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</si>
  <si>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</si>
  <si>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</si>
  <si>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b/>
        <color theme="1"/>
        <sz val="10.0"/>
      </rPr>
      <t xml:space="preserve">ДИАГНОСТИКА История (Белоус)  </t>
    </r>
    <r>
      <rPr>
        <rFont val="Arial"/>
        <b/>
        <color theme="1"/>
        <sz val="10.0"/>
      </rPr>
      <t xml:space="preserve">402     </t>
    </r>
  </si>
  <si>
    <r>
      <rPr>
        <rFont val="Arial"/>
        <color theme="1"/>
        <sz val="10.0"/>
      </rPr>
      <t xml:space="preserve">Русский (Харитонов)  </t>
    </r>
    <r>
      <rPr>
        <rFont val="Arial"/>
        <b/>
        <color theme="1"/>
        <sz val="10.0"/>
      </rPr>
      <t>201</t>
    </r>
  </si>
  <si>
    <r>
      <rPr>
        <rFont val="Arial"/>
        <color rgb="FFFF0000"/>
      </rPr>
      <t xml:space="preserve">Общество (Попович)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</si>
  <si>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</si>
  <si>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</si>
  <si>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</si>
  <si>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</si>
  <si>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</si>
  <si>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</si>
  <si>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</si>
  <si>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</si>
  <si>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sz val="10.0"/>
      </rPr>
      <t xml:space="preserve">Русский (Харитонов)  </t>
    </r>
    <r>
      <rPr>
        <rFont val="Arial"/>
        <b/>
        <color theme="1"/>
        <sz val="10.0"/>
      </rPr>
      <t>201</t>
    </r>
  </si>
  <si>
    <t>Математика (Заводов) 208</t>
  </si>
  <si>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</si>
  <si>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</si>
  <si>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</si>
  <si>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</si>
  <si>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</si>
  <si>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</si>
  <si>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</si>
  <si>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b/>
        <color theme="1"/>
        <sz val="10.0"/>
      </rPr>
      <t xml:space="preserve">ДИАГНОСТИКА 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</si>
  <si>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</si>
  <si>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</si>
  <si>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sz val="10.0"/>
      </rPr>
      <t xml:space="preserve">Математика (Заводов) </t>
    </r>
    <r>
      <rPr>
        <rFont val="Arial"/>
        <b/>
        <color theme="1"/>
        <sz val="10.0"/>
      </rPr>
      <t>209</t>
    </r>
  </si>
  <si>
    <r>
      <rPr>
        <rFont val="Arial"/>
        <color rgb="FF000000"/>
        <sz val="10.0"/>
      </rPr>
      <t xml:space="preserve">История (Репнев АГ) </t>
    </r>
    <r>
      <rPr>
        <rFont val="Arial"/>
        <b/>
        <color rgb="FF000000"/>
        <sz val="10.0"/>
      </rPr>
      <t>503</t>
    </r>
  </si>
  <si>
    <r>
      <rPr>
        <rFont val="Arial"/>
        <color theme="1"/>
        <sz val="10.0"/>
      </rPr>
      <t xml:space="preserve">Геометрия (Абрамов) </t>
    </r>
    <r>
      <rPr>
        <rFont val="Arial"/>
        <b/>
        <color theme="1"/>
        <sz val="10.0"/>
      </rPr>
      <t>501</t>
    </r>
  </si>
  <si>
    <r>
      <rPr>
        <rFont val="Arial"/>
        <color rgb="FFFFFFFF"/>
        <sz val="10.0"/>
      </rPr>
      <t xml:space="preserve">Доп. Матпрак по желанию (Попович) </t>
    </r>
    <r>
      <rPr>
        <rFont val="Arial"/>
        <b/>
        <color rgb="FFFFFFFF"/>
        <sz val="10.0"/>
      </rPr>
      <t>405</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</si>
  <si>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</si>
  <si>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</si>
  <si>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</si>
  <si>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</si>
  <si>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</si>
  <si>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rgb="FFFFFFFF"/>
        <sz val="10.0"/>
      </rPr>
      <t xml:space="preserve">Доп. Матпрак (Попович) </t>
    </r>
    <r>
      <rPr>
        <rFont val="Arial"/>
        <b/>
        <color rgb="FFFFFFFF"/>
        <sz val="10.0"/>
      </rPr>
      <t>202</t>
    </r>
  </si>
  <si>
    <r>
      <rPr>
        <rFont val="Arial"/>
        <color theme="1"/>
        <sz val="10.0"/>
      </rPr>
      <t xml:space="preserve">Математика (Заводов) </t>
    </r>
    <r>
      <rPr>
        <rFont val="Arial"/>
        <b/>
        <color theme="1"/>
        <sz val="10.0"/>
      </rPr>
      <t>209</t>
    </r>
  </si>
  <si>
    <r>
      <rPr>
        <rFont val="Arial"/>
        <color rgb="FF000000"/>
        <sz val="10.0"/>
      </rPr>
      <t xml:space="preserve">История (Харитонов ОС) </t>
    </r>
    <r>
      <rPr>
        <rFont val="Arial"/>
        <b/>
        <color rgb="FF000000"/>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</si>
  <si>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</si>
  <si>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</si>
  <si>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</si>
  <si>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</si>
  <si>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</si>
  <si>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</si>
  <si>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</si>
  <si>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</si>
  <si>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</si>
  <si>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Литра (Хуснутдинов) </t>
    </r>
    <r>
      <rPr>
        <rFont val="Arial"/>
        <b/>
        <color theme="1"/>
        <sz val="10.0"/>
      </rPr>
      <t xml:space="preserve">209       </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</si>
  <si>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</si>
  <si>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</si>
  <si>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</si>
  <si>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</si>
  <si>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</si>
  <si>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</si>
  <si>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</si>
  <si>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</si>
  <si>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</si>
  <si>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</si>
  <si>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</si>
  <si>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</si>
  <si>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</si>
  <si>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</si>
  <si>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</si>
  <si>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</si>
  <si>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</si>
  <si>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</si>
  <si>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</si>
  <si>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</si>
  <si>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</si>
  <si>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</si>
  <si>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</si>
  <si>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</si>
  <si>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</si>
  <si>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</si>
  <si>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</si>
  <si>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</si>
  <si>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</si>
  <si>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</si>
  <si>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</si>
  <si>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</si>
  <si>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</si>
  <si>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</si>
  <si>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</si>
  <si>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</si>
  <si>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</si>
  <si>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</si>
  <si>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</si>
  <si>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</si>
  <si>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</si>
  <si>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</si>
  <si>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</si>
  <si>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</si>
  <si>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</si>
  <si>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</si>
  <si>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</si>
  <si>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</si>
  <si>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</si>
  <si>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</si>
  <si>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</si>
  <si>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</si>
  <si>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</si>
  <si>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</si>
  <si>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</si>
  <si>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</si>
  <si>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</si>
  <si>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</si>
  <si>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</si>
  <si>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</si>
  <si>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</si>
  <si>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</si>
  <si>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</si>
  <si>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</si>
  <si>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</si>
  <si>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</si>
  <si>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</si>
  <si>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</si>
  <si>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</si>
  <si>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</si>
  <si>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</si>
  <si>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</si>
  <si>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</si>
  <si>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</si>
  <si>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</si>
  <si>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</si>
  <si>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</si>
  <si>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</si>
  <si>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</si>
  <si>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</si>
  <si>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</si>
  <si>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</si>
  <si>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</si>
  <si>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</si>
  <si>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</si>
  <si>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</si>
  <si>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</si>
  <si>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</si>
  <si>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</si>
  <si>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</si>
  <si>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</si>
  <si>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</si>
  <si>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</si>
  <si>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</si>
  <si>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</si>
  <si>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</si>
  <si>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</si>
  <si>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</si>
  <si>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</si>
  <si>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</si>
  <si>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</si>
  <si>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</si>
  <si>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</si>
  <si>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</si>
  <si>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</si>
  <si>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</si>
  <si>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</si>
  <si>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</si>
  <si>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</si>
  <si>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</si>
  <si>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</si>
  <si>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</si>
  <si>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</si>
  <si>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</si>
  <si>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</si>
  <si>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</si>
  <si>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</si>
  <si>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</si>
  <si>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</si>
  <si>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</si>
  <si>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</si>
  <si>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</si>
  <si>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</si>
  <si>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</si>
  <si>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</si>
  <si>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</si>
  <si>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</si>
  <si>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</si>
  <si>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</si>
  <si>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</si>
  <si>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</si>
  <si>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</si>
  <si>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</si>
  <si>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</si>
  <si>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</si>
  <si>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</si>
  <si>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</si>
  <si>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</si>
  <si>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</si>
  <si>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</si>
  <si>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</si>
  <si>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</si>
  <si>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</si>
  <si>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</si>
  <si>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</si>
  <si>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</si>
  <si>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</si>
  <si>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</si>
  <si>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</si>
  <si>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</si>
  <si>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404</t>
    </r>
  </si>
  <si>
    <r>
      <rPr>
        <rFont val="Arial"/>
        <color theme="1"/>
        <sz val="10.0"/>
      </rPr>
      <t xml:space="preserve">Хор (Краснова и Никулова) </t>
    </r>
    <r>
      <rPr>
        <rFont val="Arial"/>
        <b/>
        <color theme="1"/>
        <sz val="10.0"/>
      </rPr>
      <t>КЗ</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</si>
  <si>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</si>
  <si>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</si>
  <si>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</si>
  <si>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</si>
  <si>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Хор (Краснова и Никулова) А</t>
    </r>
    <r>
      <rPr>
        <rFont val="Arial"/>
        <b/>
        <color theme="1"/>
        <sz val="10.0"/>
      </rPr>
      <t>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</si>
  <si>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</si>
  <si>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</si>
  <si>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</si>
  <si>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</si>
  <si>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</si>
  <si>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</si>
  <si>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</si>
  <si>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</si>
  <si>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</si>
  <si>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Хор (Краснова и Никулова) А</t>
    </r>
    <r>
      <rPr>
        <rFont val="Arial"/>
        <b/>
        <color theme="1"/>
        <sz val="10.0"/>
      </rPr>
      <t>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</si>
  <si>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</si>
  <si>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</si>
  <si>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</si>
  <si>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sz val="10.0"/>
      </rPr>
      <t xml:space="preserve">Физический практикум (подготовка к ГИА) Репнев </t>
    </r>
    <r>
      <rPr>
        <rFont val="Arial"/>
        <b/>
        <color theme="1"/>
        <sz val="10.0"/>
      </rPr>
      <t>402</t>
    </r>
  </si>
  <si>
    <t>ТРИЗ (5-6 класс) 402, ХОР (Краснова, Никулова) КЗ, CTF (Джамбек) 406, Ол. геометрия для продолжающих (Сайгак) 202, Экономика для начинающих (Кирюшин) 210, Го (Решетников) 201, Олимпиадная история (Куницын) 503, Проекты (Слоневская) zoom, Гиревой спорт 9-11 кл (Хуснутдинов) СЗ</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</si>
  <si>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</si>
  <si>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</si>
  <si>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</si>
  <si>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</si>
  <si>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</si>
  <si>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</si>
  <si>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</si>
  <si>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</si>
  <si>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</si>
  <si>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</si>
  <si>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</si>
  <si>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</si>
  <si>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</si>
  <si>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</si>
  <si>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</si>
  <si>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</si>
  <si>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</si>
  <si>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</si>
  <si>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</si>
  <si>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</si>
  <si>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</si>
  <si>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</si>
  <si>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</si>
  <si>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</si>
  <si>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</si>
  <si>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</si>
  <si>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</si>
  <si>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</si>
  <si>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</si>
  <si>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</si>
  <si>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</si>
  <si>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</si>
  <si>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</si>
  <si>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</si>
  <si>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</si>
  <si>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</si>
  <si>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</si>
  <si>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</si>
  <si>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</si>
  <si>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</si>
  <si>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</si>
  <si>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</si>
  <si>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</si>
  <si>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</si>
  <si>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</si>
  <si>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</si>
  <si>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</si>
  <si>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</si>
  <si>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</si>
  <si>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</si>
  <si>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</si>
  <si>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</si>
  <si>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</si>
  <si>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</si>
  <si>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</si>
  <si>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</si>
  <si>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</si>
  <si>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</si>
  <si>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</si>
  <si>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</si>
  <si>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</si>
  <si>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</si>
  <si>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</si>
  <si>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</si>
  <si>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</si>
  <si>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</si>
  <si>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</si>
  <si>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</si>
  <si>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</si>
  <si>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</si>
  <si>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</si>
  <si>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</si>
  <si>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</si>
  <si>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</si>
  <si>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</si>
  <si>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</si>
  <si>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</si>
  <si>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</si>
  <si>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</si>
  <si>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</si>
  <si>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</si>
  <si>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</si>
  <si>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</si>
  <si>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</si>
  <si>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</si>
  <si>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</si>
  <si>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</si>
  <si>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</si>
  <si>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</si>
  <si>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</si>
  <si>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</si>
  <si>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</si>
  <si>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</si>
  <si>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</si>
  <si>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</si>
  <si>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</si>
  <si>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</si>
  <si>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</si>
  <si>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</si>
  <si>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</si>
  <si>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</si>
  <si>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</si>
  <si>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</si>
  <si>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</si>
  <si>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</si>
  <si>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</si>
  <si>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</si>
  <si>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</si>
  <si>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</si>
  <si>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</si>
  <si>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</si>
  <si>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</si>
  <si>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</si>
  <si>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</si>
  <si>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</si>
  <si>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</si>
  <si>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</si>
  <si>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</si>
  <si>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</si>
  <si>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</si>
  <si>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</si>
  <si>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</si>
  <si>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</si>
  <si>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</si>
  <si>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</si>
  <si>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</si>
  <si>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</si>
  <si>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</si>
  <si>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</si>
  <si>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</si>
  <si>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</si>
  <si>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</si>
  <si>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</si>
  <si>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</si>
  <si>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</si>
  <si>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</si>
  <si>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</si>
  <si>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</si>
  <si>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</si>
  <si>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</si>
  <si>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</si>
  <si>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</si>
  <si>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</si>
  <si>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</si>
  <si>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</si>
  <si>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</si>
  <si>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</si>
  <si>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</si>
  <si>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</si>
  <si>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</si>
  <si>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</si>
  <si>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</si>
  <si>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</si>
  <si>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</si>
  <si>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</si>
  <si>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</si>
  <si>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</si>
  <si>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</si>
  <si>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</si>
  <si>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</si>
  <si>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</si>
  <si>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</si>
  <si>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</si>
  <si>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</si>
  <si>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</si>
  <si>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</si>
  <si>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</si>
  <si>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</si>
  <si>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</si>
  <si>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</si>
  <si>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</si>
  <si>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</si>
  <si>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t>Допматпрак (Попович) 
209</t>
  </si>
  <si>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</si>
  <si>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</si>
  <si>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</si>
  <si>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</si>
  <si>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</si>
  <si>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</si>
  <si>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</si>
  <si>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</si>
  <si>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</si>
  <si>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</si>
  <si>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</si>
  <si>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</si>
  <si>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</si>
  <si>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</si>
  <si>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</si>
  <si>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</si>
  <si>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</si>
  <si>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</si>
  <si>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</si>
  <si>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</si>
  <si>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</si>
  <si>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</si>
  <si>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</si>
  <si>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</si>
  <si>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</si>
  <si>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</si>
  <si>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</si>
  <si>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</si>
  <si>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</si>
  <si>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</si>
  <si>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</si>
  <si>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</si>
  <si>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</si>
  <si>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</si>
  <si>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</si>
  <si>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</si>
  <si>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</si>
  <si>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</si>
  <si>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</si>
  <si>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</si>
  <si>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</si>
  <si>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</si>
  <si>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</si>
  <si>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</si>
  <si>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</si>
  <si>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</si>
  <si>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</si>
  <si>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</si>
  <si>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</si>
  <si>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</si>
  <si>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</si>
  <si>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</si>
  <si>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</si>
  <si>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</si>
  <si>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</si>
  <si>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</si>
  <si>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</si>
  <si>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</si>
  <si>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</si>
  <si>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</si>
  <si>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</si>
  <si>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</si>
  <si>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</si>
  <si>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</si>
  <si>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</si>
  <si>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</si>
  <si>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</si>
  <si>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</si>
  <si>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</si>
  <si>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</si>
  <si>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</si>
  <si>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</si>
  <si>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</si>
  <si>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</si>
  <si>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</si>
  <si>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Латыпова) </t>
    </r>
    <r>
      <rPr>
        <rFont val="Arial"/>
        <b/>
        <color rgb="FFFFFFFF"/>
        <sz val="10.0"/>
      </rPr>
      <t>202</t>
    </r>
  </si>
  <si>
    <r>
      <rPr>
        <rFont val="Arial"/>
        <color theme="1"/>
        <sz val="10.0"/>
      </rPr>
      <t xml:space="preserve">Литра (Хуснутдинов)  </t>
    </r>
    <r>
      <rPr>
        <rFont val="Arial"/>
        <b/>
        <color theme="1"/>
        <sz val="10.0"/>
      </rPr>
      <t xml:space="preserve">209      </t>
    </r>
  </si>
  <si>
    <t>Математический анализ (Попович) 210</t>
  </si>
  <si>
    <r>
      <rPr>
        <rFont val="Arial"/>
        <color theme="1"/>
        <sz val="10.0"/>
      </rPr>
      <t xml:space="preserve">Олимпиадная робототехника (Кадыкова, Сенин) </t>
    </r>
    <r>
      <rPr>
        <rFont val="Arial"/>
        <b/>
        <color theme="1"/>
        <sz val="10.0"/>
      </rPr>
      <t>410</t>
    </r>
  </si>
  <si>
    <t>Доп. Матпрак (Попович, Латыпова) 203</t>
  </si>
  <si>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</si>
  <si>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</si>
  <si>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</si>
  <si>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</si>
  <si>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</si>
  <si>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</si>
  <si>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</si>
  <si>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rPr>
        <rFont val="Arial"/>
        <color theme="1"/>
        <sz val="10.0"/>
      </rP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</si>
  <si>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</si>
  <si>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</si>
  <si>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</si>
  <si>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</si>
  <si>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</si>
  <si>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</si>
  <si>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</si>
  <si>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</si>
  <si>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</si>
  <si>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</si>
  <si>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</si>
  <si>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</si>
  <si>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</si>
  <si>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</si>
  <si>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</si>
  <si>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</si>
  <si>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</si>
  <si>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</si>
  <si>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402</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</si>
  <si>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</si>
  <si>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</si>
  <si>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</si>
  <si>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</si>
  <si>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</si>
  <si>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</si>
  <si>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</si>
  <si>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</si>
  <si>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</si>
  <si>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402</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</si>
  <si>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</si>
  <si>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</si>
  <si>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</si>
  <si>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</si>
  <si>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</si>
  <si>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</si>
  <si>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</si>
  <si>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</si>
  <si>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</si>
  <si>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</si>
  <si>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</si>
  <si>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</si>
  <si>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</si>
  <si>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</si>
  <si>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</si>
  <si>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(Старунова)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</si>
  <si>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</si>
  <si>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</si>
  <si>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</si>
  <si>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</si>
  <si>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</si>
  <si>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</si>
  <si>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</si>
  <si>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</si>
  <si>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</si>
  <si>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</si>
  <si>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</si>
  <si>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</si>
  <si>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</si>
  <si>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</si>
  <si>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(Уно)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</si>
  <si>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</si>
  <si>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</si>
  <si>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</si>
  <si>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</si>
  <si>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</si>
  <si>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</si>
  <si>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</si>
  <si>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</si>
  <si>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305</t>
    </r>
  </si>
  <si>
    <r>
      <rPr>
        <rFont val="Arial"/>
        <color theme="1"/>
        <sz val="10.0"/>
      </rPr>
      <t xml:space="preserve">Матем (Уно) Шерашова </t>
    </r>
    <r>
      <rPr>
        <rFont val="Arial"/>
        <b/>
        <color theme="1"/>
        <sz val="10.0"/>
      </rPr>
      <t>401</t>
    </r>
  </si>
  <si>
    <r>
      <rPr>
        <rFont val="Arial"/>
        <color theme="1"/>
        <sz val="10.0"/>
      </rPr>
      <t xml:space="preserve">Матпрак (Уно)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</si>
  <si>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</si>
  <si>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</si>
  <si>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</si>
  <si>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</si>
  <si>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</si>
  <si>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Пересдача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</si>
  <si>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</si>
  <si>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rgb="FF000000"/>
      </rPr>
      <t xml:space="preserve">Подготовка к ОГЭ по биологии + проекты Белоусова </t>
    </r>
    <r>
      <rPr>
        <rFont val="Arial"/>
        <b/>
        <color rgb="FF000000"/>
      </rPr>
      <t>210</t>
    </r>
  </si>
  <si>
    <r>
      <rPr>
        <rFont val="Roboto, RobotoDraft, Helvetica, Arial, sans-serif"/>
        <color rgb="FF000000"/>
      </rPr>
      <t xml:space="preserve">Пересдача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</si>
  <si>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</si>
  <si>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rgb="FF000000"/>
      </rPr>
      <t xml:space="preserve">Подготовка к ОГЭ по биологии + проекты Белоусова </t>
    </r>
    <r>
      <rPr>
        <rFont val="Arial"/>
        <b/>
        <color rgb="FF0000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</si>
  <si>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</si>
  <si>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</si>
  <si>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</si>
  <si>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</si>
  <si>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</si>
  <si>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</si>
  <si>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</si>
  <si>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</si>
  <si>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</si>
  <si>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</si>
  <si>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</si>
  <si>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</si>
  <si>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</si>
  <si>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</si>
  <si>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</si>
  <si>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</si>
  <si>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</si>
  <si>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</si>
  <si>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</si>
  <si>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</si>
  <si>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</si>
  <si>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</si>
  <si>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</si>
  <si>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</si>
  <si>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</si>
  <si>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</si>
  <si>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</si>
  <si>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406</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</si>
  <si>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</si>
  <si>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</si>
  <si>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</si>
  <si>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</si>
  <si>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</si>
  <si>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</si>
  <si>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</si>
  <si>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</si>
  <si>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</si>
  <si>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406</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</si>
  <si>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</si>
  <si>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</si>
  <si>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</si>
  <si>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</si>
  <si>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</si>
  <si>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</si>
  <si>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</si>
  <si>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</si>
  <si>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</si>
  <si>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</si>
  <si>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</si>
  <si>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</si>
  <si>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</si>
  <si>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</si>
  <si>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</si>
  <si>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</si>
  <si>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</si>
  <si>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</si>
  <si>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</si>
  <si>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</si>
  <si>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</si>
  <si>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</si>
  <si>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</si>
  <si>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</si>
  <si>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408</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</si>
  <si>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</si>
  <si>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404</t>
    </r>
  </si>
  <si>
    <r>
      <rPr>
        <rFont val="Arial"/>
        <color theme="1"/>
        <sz val="10.0"/>
      </rPr>
      <t xml:space="preserve">Хор (Краснова и Никулова) </t>
    </r>
    <r>
      <rPr>
        <rFont val="Arial"/>
        <b/>
        <color theme="1"/>
        <sz val="10.0"/>
      </rPr>
      <t>КЗ</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</si>
  <si>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</si>
  <si>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</si>
  <si>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</si>
  <si>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</si>
  <si>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</si>
  <si>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</si>
  <si>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</si>
  <si>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</si>
  <si>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</si>
  <si>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rPr>
      <t xml:space="preserve">Информатика (Аларкон </t>
    </r>
    <r>
      <rPr>
        <rFont val="Arial"/>
        <b/>
        <color theme="1"/>
      </rPr>
      <t>408</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</si>
  <si>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</si>
  <si>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</si>
  <si>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</si>
  <si>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</si>
  <si>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</si>
  <si>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</si>
  <si>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</si>
  <si>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</si>
  <si>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</si>
  <si>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</si>
  <si>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</si>
  <si>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r>
      <rPr>
        <rFont val="Arial"/>
        <color theme="1"/>
        <sz val="10.0"/>
      </rPr>
      <t xml:space="preserve">ОБЖ (Носкова) </t>
    </r>
    <r>
      <rPr>
        <rFont val="Arial"/>
        <b/>
        <color theme="1"/>
        <sz val="10.0"/>
      </rPr>
      <t>409</t>
    </r>
  </si>
  <si>
    <t>А</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</si>
  <si>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</si>
  <si>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</si>
  <si>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</si>
  <si>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</si>
  <si>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</si>
  <si>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</si>
  <si>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</si>
  <si>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</si>
  <si>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</si>
  <si>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</si>
  <si>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</si>
  <si>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</si>
  <si>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</si>
  <si>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</si>
  <si>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</si>
  <si>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</si>
  <si>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</si>
  <si>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</si>
  <si>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</si>
  <si>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</si>
  <si>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</si>
  <si>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</si>
  <si>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</si>
  <si>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</si>
  <si>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</si>
  <si>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</si>
  <si>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</si>
  <si>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</si>
  <si>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</si>
  <si>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</si>
  <si>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</si>
  <si>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</si>
  <si>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</si>
  <si>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</si>
  <si>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</si>
  <si>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</si>
  <si>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</si>
  <si>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</si>
  <si>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</si>
  <si>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</si>
  <si>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</si>
  <si>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</si>
  <si>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</si>
  <si>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</si>
  <si>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</si>
  <si>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</si>
  <si>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</si>
  <si>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</si>
  <si>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</si>
  <si>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</si>
  <si>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</si>
  <si>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</si>
  <si>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</si>
  <si>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</si>
  <si>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</si>
  <si>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</si>
  <si>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</si>
  <si>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</si>
  <si>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</si>
  <si>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</si>
  <si>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</si>
  <si>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</si>
  <si>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</si>
  <si>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</si>
  <si>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</si>
  <si>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</si>
  <si>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</si>
  <si>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</si>
  <si>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</si>
  <si>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</si>
  <si>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</si>
  <si>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</si>
  <si>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</si>
  <si>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</si>
  <si>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</si>
  <si>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</si>
  <si>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</si>
  <si>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</si>
  <si>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</si>
  <si>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</si>
  <si>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</si>
  <si>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</si>
  <si>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</si>
  <si>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</si>
  <si>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</si>
  <si>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</si>
  <si>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</si>
  <si>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</si>
  <si>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</si>
  <si>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</si>
  <si>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</si>
  <si>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</si>
  <si>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 xml:space="preserve">210 /
</t>
    </r>
    <r>
      <rPr>
        <rFont val="Arial"/>
        <color theme="1"/>
        <sz val="10.0"/>
      </rPr>
      <t xml:space="preserve">Пересдача экзамена по математике (Бражников) </t>
    </r>
    <r>
      <rPr>
        <rFont val="Arial"/>
        <b/>
        <color theme="1"/>
        <sz val="10.0"/>
      </rPr>
      <t>202</t>
    </r>
  </si>
  <si>
    <r>
      <rPr>
        <rFont val="Arial"/>
        <color theme="1"/>
      </rPr>
      <t xml:space="preserve">Биология (Носкова) </t>
    </r>
    <r>
      <rPr>
        <rFont val="Arial"/>
        <b/>
        <color theme="1"/>
      </rPr>
      <t>408</t>
    </r>
  </si>
  <si>
    <t xml:space="preserve">ВШД Общество (Белоус)  406  </t>
  </si>
  <si>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</si>
  <si>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</si>
  <si>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</si>
  <si>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</si>
  <si>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</si>
  <si>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</si>
  <si>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</si>
  <si>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r>
      <rPr>
        <rFont val="Arial"/>
        <color theme="1"/>
        <sz val="10.0"/>
      </rPr>
      <t xml:space="preserve"> /
Пересдача экзамена по математике (Бражников) </t>
    </r>
    <r>
      <rPr>
        <rFont val="Arial"/>
        <b/>
        <color theme="1"/>
        <sz val="10.0"/>
      </rPr>
      <t>202</t>
    </r>
  </si>
  <si>
    <t>ВШД Общество (Белоус) 406</t>
  </si>
  <si>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</si>
  <si>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</si>
  <si>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</si>
  <si>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</si>
  <si>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</si>
  <si>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</si>
  <si>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</si>
  <si>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</si>
  <si>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</si>
  <si>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</si>
  <si>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</si>
  <si>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</si>
  <si>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</si>
  <si>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</si>
  <si>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</si>
  <si>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</si>
  <si>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</si>
  <si>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</si>
  <si>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</si>
  <si>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</si>
  <si>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</si>
  <si>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</si>
  <si>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</si>
  <si>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</si>
  <si>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</si>
  <si>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</si>
  <si>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</si>
  <si>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</si>
  <si>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</si>
  <si>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b/>
        <color rgb="FFCC0000"/>
        <sz val="10.0"/>
      </rPr>
      <t xml:space="preserve">ВШД История (Белоус) </t>
    </r>
    <r>
      <rPr>
        <rFont val="Arial"/>
        <b/>
        <color rgb="FFCC0000"/>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</si>
  <si>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</si>
  <si>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</si>
  <si>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</si>
  <si>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</si>
  <si>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</si>
  <si>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</si>
  <si>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</si>
  <si>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</si>
  <si>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</si>
  <si>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</si>
  <si>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</si>
  <si>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</si>
  <si>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</si>
  <si>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</si>
  <si>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</si>
  <si>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</si>
  <si>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</si>
  <si>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</si>
  <si>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</si>
  <si>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</si>
  <si>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b/>
        <color rgb="FFCC0000"/>
        <sz val="10.0"/>
      </rPr>
      <t xml:space="preserve">ВШД История (Белоус) </t>
    </r>
    <r>
      <rPr>
        <rFont val="Arial"/>
        <b/>
        <color rgb="FFCC0000"/>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</si>
  <si>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</si>
  <si>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</si>
  <si>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</si>
  <si>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</si>
  <si>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</si>
  <si>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</si>
  <si>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</si>
  <si>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</si>
  <si>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</si>
  <si>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</si>
  <si>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</si>
  <si>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</si>
  <si>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</si>
  <si>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</si>
  <si>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</si>
  <si>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</si>
  <si>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</si>
  <si>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</si>
  <si>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</si>
  <si>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</si>
  <si>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</si>
  <si>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</si>
  <si>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</si>
  <si>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 xml:space="preserve">202
</t>
    </r>
    <r>
      <rPr>
        <rFont val="Arial"/>
        <color theme="1"/>
        <sz val="10.0"/>
      </rPr>
      <t xml:space="preserve">Пересдача МАТЕМ (Дронзик) </t>
    </r>
    <r>
      <rPr>
        <rFont val="Arial"/>
        <b/>
        <color theme="1"/>
        <sz val="10.0"/>
      </rPr>
      <t>210</t>
    </r>
  </si>
  <si>
    <r>
      <rPr>
        <rFont val="Arial"/>
        <color theme="1"/>
        <sz val="10.0"/>
      </rPr>
      <t xml:space="preserve">Информатика (Старунова) </t>
    </r>
    <r>
      <rPr>
        <rFont val="Arial"/>
        <b/>
        <color theme="1"/>
        <sz val="10.0"/>
      </rPr>
      <t xml:space="preserve">408
</t>
    </r>
    <r>
      <rPr>
        <rFont val="Arial"/>
        <color theme="1"/>
        <sz val="10.0"/>
      </rPr>
      <t xml:space="preserve">Пересдача МАТЕМ (Дронзик) </t>
    </r>
    <r>
      <rPr>
        <rFont val="Arial"/>
        <b/>
        <color theme="1"/>
        <sz val="10.0"/>
      </rPr>
      <t>210</t>
    </r>
  </si>
  <si>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</si>
  <si>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</si>
  <si>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</si>
  <si>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</si>
  <si>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 xml:space="preserve">408
</t>
    </r>
    <r>
      <rPr>
        <rFont val="Arial"/>
        <color theme="1"/>
        <sz val="10.0"/>
      </rPr>
      <t xml:space="preserve">Пересдача МАТЕМ (Дронзик) </t>
    </r>
    <r>
      <rPr>
        <rFont val="Arial"/>
        <b/>
        <color theme="1"/>
        <sz val="10.0"/>
      </rPr>
      <t>210</t>
    </r>
  </si>
  <si>
    <r>
      <rPr>
        <rFont val="Arial"/>
        <color theme="1"/>
      </rPr>
      <t xml:space="preserve">Литература (Решетников) </t>
    </r>
    <r>
      <rPr>
        <rFont val="Arial"/>
        <b/>
        <color theme="1"/>
      </rPr>
      <t>202</t>
    </r>
    <r>
      <rPr>
        <rFont val="Arial"/>
        <color theme="1"/>
      </rPr>
      <t xml:space="preserve">   
Пересдача МАТЕМ (Дронзик) </t>
    </r>
    <r>
      <rPr>
        <rFont val="Arial"/>
        <b/>
        <color theme="1"/>
      </rPr>
      <t>210</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</si>
  <si>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</si>
  <si>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</si>
  <si>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</si>
  <si>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</si>
  <si>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</si>
  <si>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</si>
  <si>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</si>
  <si>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</si>
  <si>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</si>
  <si>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</si>
  <si>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</si>
  <si>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</si>
  <si>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</si>
  <si>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</si>
  <si>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</si>
  <si>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</si>
  <si>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</si>
  <si>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</si>
  <si>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</si>
  <si>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</si>
  <si>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</si>
  <si>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</si>
  <si>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</si>
  <si>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</si>
  <si>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</si>
  <si>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</si>
  <si>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</si>
  <si>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</si>
  <si>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</si>
  <si>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</si>
  <si>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</si>
  <si>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</si>
  <si>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</si>
  <si>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</si>
  <si>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</si>
  <si>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</si>
  <si>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</si>
  <si>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</si>
  <si>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</si>
  <si>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</si>
  <si>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</si>
  <si>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</si>
  <si>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</si>
  <si>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</si>
  <si>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</si>
  <si>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</si>
  <si>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</si>
  <si>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</si>
  <si>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</si>
  <si>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</si>
  <si>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</si>
  <si>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</si>
  <si>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</si>
  <si>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</si>
  <si>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</si>
  <si>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</si>
  <si>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</si>
  <si>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</si>
  <si>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</si>
  <si>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</si>
  <si>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</si>
  <si>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</si>
  <si>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Математический анализ (Попович)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</si>
  <si>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</si>
  <si>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</si>
  <si>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</si>
  <si>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</si>
  <si>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</si>
  <si>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</si>
  <si>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</si>
  <si>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</si>
  <si>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</si>
  <si>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</si>
  <si>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</si>
  <si>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</si>
  <si>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</si>
  <si>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</si>
  <si>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</si>
  <si>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</si>
  <si>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</si>
  <si>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</si>
  <si>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</si>
  <si>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</si>
  <si>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</si>
  <si>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</si>
  <si>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</si>
  <si>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</si>
  <si>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</si>
  <si>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</si>
  <si>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</si>
  <si>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</si>
  <si>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</si>
  <si>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</si>
  <si>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</si>
  <si>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</si>
  <si>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</si>
  <si>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</si>
  <si>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</si>
  <si>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</si>
  <si>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</si>
  <si>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</si>
  <si>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</si>
  <si>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</si>
  <si>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</si>
  <si>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</si>
  <si>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</si>
  <si>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</si>
  <si>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</si>
  <si>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</si>
  <si>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</si>
  <si>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</si>
  <si>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</si>
  <si>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</si>
  <si>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</si>
  <si>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</si>
  <si>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</si>
  <si>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</si>
  <si>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</si>
  <si>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</si>
  <si>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</si>
  <si>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</si>
  <si>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</si>
  <si>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</si>
  <si>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</si>
  <si>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</si>
  <si>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</si>
  <si>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</si>
  <si>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</si>
  <si>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</si>
  <si>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</si>
  <si>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</si>
  <si>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</si>
  <si>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 xml:space="preserve">305
</t>
    </r>
    <r>
      <rPr>
        <rFont val="Arial"/>
        <color theme="1"/>
        <sz val="10.0"/>
      </rPr>
      <t xml:space="preserve">Пересдача РУССКИЙ (Хуснутдинов) </t>
    </r>
    <r>
      <rPr>
        <rFont val="Arial"/>
        <b/>
        <color theme="1"/>
        <sz val="10.0"/>
      </rPr>
      <t>210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</si>
  <si>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</si>
  <si>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</si>
  <si>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</si>
  <si>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</si>
  <si>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</si>
  <si>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</si>
  <si>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</si>
  <si>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</si>
  <si>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</si>
  <si>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</si>
  <si>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 xml:space="preserve">305
</t>
    </r>
    <r>
      <rPr>
        <rFont val="Arial"/>
        <color theme="1"/>
        <sz val="10.0"/>
      </rPr>
      <t xml:space="preserve">Пересдача РУССКИЙ (Хуснутдинов) </t>
    </r>
    <r>
      <rPr>
        <rFont val="Arial"/>
        <b/>
        <color theme="1"/>
        <sz val="10.0"/>
      </rPr>
      <t>210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</si>
  <si>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</si>
  <si>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</si>
  <si>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</si>
  <si>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</si>
  <si>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</si>
  <si>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</si>
  <si>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</si>
  <si>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</si>
  <si>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</si>
  <si>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</si>
  <si>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</si>
  <si>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</si>
  <si>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</si>
  <si>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</si>
  <si>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</si>
  <si>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</si>
  <si>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</si>
  <si>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</si>
  <si>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</si>
  <si>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</si>
  <si>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</si>
  <si>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</si>
  <si>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</si>
  <si>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</si>
  <si>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</si>
  <si>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</si>
  <si>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</si>
  <si>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</si>
  <si>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</si>
  <si>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</si>
  <si>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</si>
  <si>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</si>
  <si>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</si>
  <si>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</si>
  <si>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</si>
  <si>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</si>
  <si>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</si>
  <si>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</si>
  <si>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</si>
  <si>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</si>
  <si>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</si>
  <si>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</si>
  <si>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</si>
  <si>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</si>
  <si>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</si>
  <si>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</si>
  <si>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</si>
  <si>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</si>
  <si>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</si>
  <si>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</si>
  <si>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</si>
  <si>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</si>
  <si>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</si>
  <si>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</si>
  <si>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</si>
  <si>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</si>
  <si>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</si>
  <si>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</si>
  <si>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</si>
  <si>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</si>
  <si>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</si>
  <si>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</si>
  <si>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</si>
  <si>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</si>
  <si>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</si>
  <si>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</si>
  <si>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</si>
  <si>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</si>
  <si>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</si>
  <si>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</si>
  <si>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</si>
  <si>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</si>
  <si>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</si>
  <si>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</si>
  <si>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</si>
  <si>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</si>
  <si>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</si>
  <si>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r>
      <rPr>
        <rFont val="Arial"/>
        <color theme="1"/>
        <sz val="10.0"/>
      </rPr>
      <t xml:space="preserve">/ Биология ЕГЭ Носкова </t>
    </r>
    <r>
      <rPr>
        <rFont val="Arial"/>
        <b/>
        <color theme="1"/>
        <sz val="10.0"/>
      </rPr>
      <t>404</t>
    </r>
  </si>
  <si>
    <r>
      <rPr>
        <rFont val="Arial"/>
        <color theme="1"/>
        <sz val="10.0"/>
      </rPr>
      <t xml:space="preserve">Хор (Краснова и Никулова) </t>
    </r>
    <r>
      <rPr>
        <rFont val="Arial"/>
        <b/>
        <color theme="1"/>
        <sz val="10.0"/>
      </rPr>
      <t>КЗ</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</si>
  <si>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</si>
  <si>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</si>
  <si>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</si>
  <si>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</si>
  <si>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</si>
  <si>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</si>
  <si>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</si>
  <si>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</si>
  <si>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</si>
  <si>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</si>
  <si>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</si>
  <si>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</si>
  <si>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</si>
  <si>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</si>
  <si>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</si>
  <si>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</si>
  <si>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</si>
  <si>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</si>
  <si>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409</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</si>
  <si>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</si>
  <si>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</si>
  <si>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ТРИЗ (5-6 класс) 402, ХОР (Краснова, Никулова) КЗ, CTF (Джамбек) 406, Ол. геометрия для продолжающих (Сайгак) 202, Экономика для начинающих (Кирюшин) 210, Го (Решетников) 201,  Проекты (Слоневская) zoom, Гиревой спорт 9-11 кл (Хуснутдинов) СЗ</t>
  </si>
  <si>
    <r>
      <rPr>
        <rFont val="Arial"/>
        <color theme="1"/>
        <sz val="10.0"/>
      </rPr>
      <t xml:space="preserve">ОБЖ (Носкова) </t>
    </r>
    <r>
      <rPr>
        <rFont val="Arial"/>
        <b/>
        <color theme="1"/>
        <sz val="10.0"/>
      </rPr>
      <t>409</t>
    </r>
  </si>
  <si>
    <t>МАТПРАК пересдача сессии 202 каб (Исмаилов)</t>
  </si>
  <si>
    <t>Матигра 13.00 209 (Заводов, Митев)</t>
  </si>
  <si>
    <t>Таможенный</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</si>
  <si>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</si>
  <si>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</si>
  <si>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</si>
  <si>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</si>
  <si>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</si>
  <si>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</si>
  <si>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</si>
  <si>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</si>
  <si>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</si>
  <si>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</si>
  <si>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</si>
  <si>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</si>
  <si>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</si>
  <si>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</si>
  <si>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</si>
  <si>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t>ЕГЭ Инфо Старунова 408/ Биология ЕГЭ Носкова 101</t>
  </si>
  <si>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</si>
  <si>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</si>
  <si>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</si>
  <si>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</si>
  <si>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</si>
  <si>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</si>
  <si>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</si>
  <si>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</si>
  <si>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</si>
  <si>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</si>
  <si>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</si>
  <si>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</si>
  <si>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</si>
  <si>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</si>
  <si>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</si>
  <si>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</si>
  <si>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</si>
  <si>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</si>
  <si>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</si>
  <si>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</si>
  <si>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</si>
  <si>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</si>
  <si>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</si>
  <si>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</si>
  <si>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</si>
  <si>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</si>
  <si>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</si>
  <si>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</si>
  <si>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</si>
  <si>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</si>
  <si>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</si>
  <si>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</si>
  <si>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</si>
  <si>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</si>
  <si>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</si>
  <si>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</si>
  <si>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</si>
  <si>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</si>
  <si>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</si>
  <si>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</si>
  <si>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</si>
  <si>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</si>
  <si>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</si>
  <si>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</si>
  <si>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</si>
  <si>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</si>
  <si>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</si>
  <si>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</si>
  <si>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</si>
  <si>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</si>
  <si>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</si>
  <si>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</si>
  <si>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</si>
  <si>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</si>
  <si>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</si>
  <si>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</si>
  <si>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</si>
  <si>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</si>
  <si>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</si>
  <si>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</si>
  <si>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</si>
  <si>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</si>
  <si>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</si>
  <si>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</si>
  <si>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</si>
  <si>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</si>
  <si>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</si>
  <si>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</si>
  <si>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</si>
  <si>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</si>
  <si>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</si>
  <si>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</si>
  <si>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</si>
  <si>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</si>
  <si>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</si>
  <si>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</si>
  <si>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</si>
  <si>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</si>
  <si>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</si>
  <si>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</si>
  <si>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</si>
  <si>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</si>
  <si>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</si>
  <si>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</si>
  <si>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</si>
  <si>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</si>
  <si>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</si>
  <si>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</si>
  <si>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</si>
  <si>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</si>
  <si>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</si>
  <si>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</si>
  <si>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</si>
  <si>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</si>
  <si>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</si>
  <si>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</si>
  <si>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</si>
  <si>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</si>
  <si>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</si>
  <si>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sz val="10.0"/>
      </rPr>
      <t xml:space="preserve">Англ (Слоневская)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</si>
  <si>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</si>
  <si>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</si>
  <si>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</si>
  <si>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</si>
  <si>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</si>
  <si>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</si>
  <si>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</si>
  <si>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</si>
  <si>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</si>
  <si>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</si>
  <si>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</si>
  <si>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</si>
  <si>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b/>
        <color rgb="FFCC0000"/>
        <sz val="10.0"/>
      </rPr>
      <t xml:space="preserve">ВШД Общество (Белоус) </t>
    </r>
    <r>
      <rPr>
        <rFont val="Arial"/>
        <b/>
        <color rgb="FFCC0000"/>
        <sz val="10.0"/>
      </rPr>
      <t xml:space="preserve">409       </t>
    </r>
  </si>
  <si>
    <r>
      <rPr>
        <rFont val="Arial"/>
        <b/>
        <color rgb="FF990000"/>
        <sz val="10.0"/>
      </rPr>
      <t xml:space="preserve">ВШД Физика (Репнев) </t>
    </r>
    <r>
      <rPr>
        <rFont val="Arial"/>
        <b/>
        <color rgb="FF990000"/>
        <sz val="10.0"/>
      </rPr>
      <t>402</t>
    </r>
  </si>
  <si>
    <r>
      <rPr>
        <rFont val="Arial"/>
        <color theme="1"/>
        <sz val="10.0"/>
      </rPr>
      <t xml:space="preserve">Англ (Слоневская) </t>
    </r>
    <r>
      <rPr>
        <rFont val="Arial"/>
        <b/>
        <color theme="1"/>
        <sz val="10.0"/>
      </rPr>
      <t>405</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</si>
  <si>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</si>
  <si>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</si>
  <si>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</si>
  <si>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</si>
  <si>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</si>
  <si>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</si>
  <si>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</si>
  <si>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</si>
  <si>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</si>
  <si>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(Слоневская) </t>
    </r>
    <r>
      <rPr>
        <rFont val="Arial"/>
        <b/>
        <color theme="1"/>
        <sz val="10.0"/>
      </rPr>
      <t>405</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</si>
  <si>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</si>
  <si>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</si>
  <si>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</si>
  <si>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</si>
  <si>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</si>
  <si>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</si>
  <si>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</si>
  <si>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</si>
  <si>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</si>
  <si>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</si>
  <si>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</si>
  <si>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</si>
  <si>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</si>
  <si>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</si>
  <si>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</si>
  <si>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</si>
  <si>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b/>
        <color rgb="FFCC0000"/>
        <sz val="10.0"/>
      </rPr>
      <t xml:space="preserve">ВШД Общество (Белоус) </t>
    </r>
    <r>
      <rPr>
        <rFont val="Arial"/>
        <b/>
        <color rgb="FFCC0000"/>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</si>
  <si>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</si>
  <si>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</si>
  <si>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</si>
  <si>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</si>
  <si>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</si>
  <si>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</si>
  <si>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</si>
  <si>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</si>
  <si>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</si>
  <si>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</si>
  <si>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</si>
  <si>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</si>
  <si>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</si>
  <si>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</si>
  <si>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t>ВШД Информатика (Старунова) 408</t>
  </si>
  <si>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</si>
  <si>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</si>
  <si>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</si>
  <si>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</si>
  <si>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b/>
        <color rgb="FFCC0000"/>
        <sz val="10.0"/>
      </rPr>
      <t xml:space="preserve">ВШД Информатика (Старунова) </t>
    </r>
    <r>
      <rPr>
        <rFont val="Arial"/>
        <b/>
        <color rgb="FFCC0000"/>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</si>
  <si>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</si>
  <si>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</si>
  <si>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</si>
  <si>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</si>
  <si>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</si>
  <si>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</si>
  <si>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</si>
  <si>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</si>
  <si>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</si>
  <si>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</si>
  <si>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</si>
  <si>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</si>
  <si>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</si>
  <si>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</si>
  <si>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</si>
  <si>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</si>
  <si>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</si>
  <si>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</si>
  <si>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</si>
  <si>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</si>
  <si>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</si>
  <si>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</si>
  <si>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</si>
  <si>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</si>
  <si>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</si>
  <si>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</si>
  <si>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</si>
  <si>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</si>
  <si>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</si>
  <si>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</si>
  <si>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</si>
  <si>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</si>
  <si>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</si>
  <si>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</si>
  <si>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</si>
  <si>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</si>
  <si>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</si>
  <si>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</si>
  <si>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</si>
  <si>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</si>
  <si>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</si>
  <si>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</si>
  <si>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</si>
  <si>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</si>
  <si>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</si>
  <si>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</si>
  <si>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</si>
  <si>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</si>
  <si>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</si>
  <si>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</si>
  <si>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</si>
  <si>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</si>
  <si>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</si>
  <si>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</si>
  <si>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</si>
  <si>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</si>
  <si>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</si>
  <si>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</si>
  <si>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</si>
  <si>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</si>
  <si>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</si>
  <si>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</si>
  <si>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</si>
  <si>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Математический анализ (Попович) </t>
    </r>
    <r>
      <rPr>
        <rFont val="Arial"/>
        <b/>
        <color theme="1"/>
        <sz val="10.0"/>
      </rPr>
      <t>210</t>
    </r>
  </si>
  <si>
    <t>Доп. Матпрак (Попович) 202</t>
  </si>
  <si>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</si>
  <si>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</si>
  <si>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</si>
  <si>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</si>
  <si>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</si>
  <si>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</si>
  <si>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</si>
  <si>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</si>
  <si>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</si>
  <si>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</si>
  <si>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</si>
  <si>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(Слоневская) </t>
    </r>
    <r>
      <rPr>
        <rFont val="Arial"/>
        <b/>
        <color theme="1"/>
        <sz val="10.0"/>
      </rPr>
      <t>405</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</si>
  <si>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</si>
  <si>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</si>
  <si>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</si>
  <si>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</si>
  <si>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</si>
  <si>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</si>
  <si>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(Слоневская) </t>
    </r>
    <r>
      <rPr>
        <rFont val="Arial"/>
        <b/>
        <color theme="1"/>
        <sz val="10.0"/>
      </rPr>
      <t>405</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</si>
  <si>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</si>
  <si>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</si>
  <si>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</si>
  <si>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</si>
  <si>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</si>
  <si>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</si>
  <si>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</si>
  <si>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</si>
  <si>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</si>
  <si>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</si>
  <si>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</si>
  <si>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</si>
  <si>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</si>
  <si>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</si>
  <si>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</si>
  <si>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</si>
  <si>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</si>
  <si>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</si>
  <si>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</si>
  <si>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</si>
  <si>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</si>
  <si>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</si>
  <si>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</si>
  <si>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</si>
  <si>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</si>
  <si>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</si>
  <si>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</si>
  <si>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</si>
  <si>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</si>
  <si>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(Куницын)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</si>
  <si>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</si>
  <si>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</si>
  <si>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</si>
  <si>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</si>
  <si>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</si>
  <si>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</si>
  <si>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</si>
  <si>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</si>
  <si>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</si>
  <si>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(Куницын)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</si>
  <si>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</si>
  <si>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</si>
  <si>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</si>
  <si>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</si>
  <si>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</si>
  <si>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</si>
  <si>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</si>
  <si>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</si>
  <si>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</si>
  <si>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СОЦЭК (Слоневская) </t>
    </r>
    <r>
      <rPr>
        <rFont val="Arial"/>
        <b/>
        <color theme="1"/>
        <sz val="10.0"/>
      </rPr>
      <t>404</t>
    </r>
  </si>
  <si>
    <r>
      <rPr>
        <rFont val="Arial"/>
        <color theme="1"/>
        <sz val="10.0"/>
      </rPr>
      <t xml:space="preserve">Литра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</si>
  <si>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</si>
  <si>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</si>
  <si>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</si>
  <si>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</si>
  <si>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</si>
  <si>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</si>
  <si>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Инженерные мастерилки (Рогацкина) </t>
    </r>
    <r>
      <rPr>
        <rFont val="Arial"/>
        <b/>
        <color theme="1"/>
        <sz val="10.0"/>
      </rPr>
      <t>410</t>
    </r>
  </si>
  <si>
    <t>История пересдача сессии (Белоус) 209</t>
  </si>
  <si>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</si>
  <si>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 202</t>
    </r>
  </si>
  <si>
    <r>
      <rPr>
        <rFont val="Arial"/>
        <color theme="1"/>
        <sz val="10.0"/>
      </rPr>
      <t xml:space="preserve">Подготовка к ОГЭ по биологии + проекты Белоусова </t>
    </r>
    <r>
      <rPr>
        <rFont val="Arial"/>
        <b/>
        <color theme="1"/>
        <sz val="10.0"/>
      </rPr>
      <t>210</t>
    </r>
  </si>
  <si>
    <r>
      <rPr>
        <rFont val="Roboto, RobotoDraft, Helvetica, Arial, sans-serif"/>
        <color rgb="FF000000"/>
      </rPr>
      <t xml:space="preserve">ОЛИМП ФИЗИКА 6-7 класс (Репнев) </t>
    </r>
    <r>
      <rPr>
        <rFont val="Roboto, RobotoDraft, Helvetica, Arial, sans-serif"/>
        <b/>
        <color rgb="FF000000"/>
      </rPr>
      <t>402</t>
    </r>
  </si>
  <si>
    <t>Физра (Ларченко) СЗ / олимп.геом (Решeтников, Сайгак) - начинающие 202</t>
  </si>
  <si>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</si>
  <si>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</si>
  <si>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</si>
  <si>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</si>
  <si>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</si>
  <si>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</si>
  <si>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</si>
  <si>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</si>
  <si>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</si>
  <si>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</si>
  <si>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</si>
  <si>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</si>
  <si>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</si>
  <si>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</si>
  <si>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</si>
  <si>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</si>
  <si>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</si>
  <si>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</si>
  <si>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</si>
  <si>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</si>
  <si>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</si>
  <si>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</si>
  <si>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</si>
  <si>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</si>
  <si>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</si>
  <si>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</si>
  <si>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(Слоневская) </t>
    </r>
    <r>
      <rPr>
        <rFont val="Arial"/>
        <b/>
        <color theme="1"/>
        <sz val="10.0"/>
      </rPr>
      <t>405</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</si>
  <si>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</si>
  <si>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</si>
  <si>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</si>
  <si>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</si>
  <si>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</si>
  <si>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</si>
  <si>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</si>
  <si>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</si>
  <si>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(Слоневская) </t>
    </r>
    <r>
      <rPr>
        <rFont val="Arial"/>
        <b/>
        <color theme="1"/>
        <sz val="10.0"/>
      </rPr>
      <t>405</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</si>
  <si>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</si>
  <si>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</si>
  <si>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</si>
  <si>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</si>
  <si>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</si>
  <si>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</si>
  <si>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</si>
  <si>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</si>
  <si>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</si>
  <si>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</si>
  <si>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</si>
  <si>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</si>
  <si>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</si>
  <si>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</si>
  <si>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</si>
  <si>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</si>
  <si>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</si>
  <si>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</si>
  <si>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</si>
  <si>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</si>
  <si>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</si>
  <si>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</si>
  <si>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</si>
  <si>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</si>
  <si>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</si>
  <si>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</si>
  <si>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</si>
  <si>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</si>
  <si>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</si>
  <si>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</si>
  <si>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</si>
  <si>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</si>
  <si>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409</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</si>
  <si>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</si>
  <si>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501</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</si>
  <si>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</si>
  <si>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</si>
  <si>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t>503, 410</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</si>
  <si>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</si>
  <si>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</si>
  <si>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</si>
  <si>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</si>
  <si>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</si>
  <si>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409</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</si>
  <si>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</si>
  <si>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</si>
  <si>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</si>
  <si>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Матпрак (Исмаилов, Латыпова) 409</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</si>
  <si>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</si>
  <si>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</si>
  <si>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</si>
  <si>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</si>
  <si>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</si>
  <si>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</si>
  <si>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</si>
  <si>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</si>
  <si>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</si>
  <si>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</si>
  <si>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</si>
  <si>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</si>
  <si>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</si>
  <si>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</si>
  <si>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</si>
  <si>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Литература (Харитонов) </t>
    </r>
    <r>
      <rPr>
        <rFont val="Arial"/>
        <b/>
        <color theme="1"/>
        <sz val="10.0"/>
      </rPr>
      <t>404</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</si>
  <si>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</si>
  <si>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</si>
  <si>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</si>
  <si>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</si>
  <si>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</si>
  <si>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</si>
  <si>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</si>
  <si>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</si>
  <si>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</si>
  <si>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Литература (Харитонов) </t>
    </r>
    <r>
      <rPr>
        <rFont val="Arial"/>
        <b/>
        <color theme="1"/>
        <sz val="10.0"/>
      </rPr>
      <t>404</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</si>
  <si>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</si>
  <si>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</si>
  <si>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</si>
  <si>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</si>
  <si>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</si>
  <si>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(Слоневская) </t>
    </r>
    <r>
      <rPr>
        <rFont val="Arial"/>
        <b/>
        <color theme="1"/>
        <sz val="10.0"/>
      </rPr>
      <t>405</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</si>
  <si>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</si>
  <si>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</si>
  <si>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</si>
  <si>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</si>
  <si>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</si>
  <si>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Литература (Харитонов) </t>
    </r>
    <r>
      <rPr>
        <rFont val="Arial"/>
        <b/>
        <color theme="1"/>
        <sz val="10.0"/>
      </rPr>
      <t>404</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</si>
  <si>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</si>
  <si>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</si>
  <si>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</si>
  <si>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(Слоневская) </t>
    </r>
    <r>
      <rPr>
        <rFont val="Arial"/>
        <b/>
        <color theme="1"/>
        <sz val="10.0"/>
      </rPr>
      <t>405</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</si>
  <si>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</si>
  <si>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</si>
  <si>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</si>
  <si>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</si>
  <si>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</si>
  <si>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Литература (Харитонов) </t>
    </r>
    <r>
      <rPr>
        <rFont val="Arial"/>
        <b/>
        <color theme="1"/>
        <sz val="10.0"/>
      </rPr>
      <t>404</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</si>
  <si>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</si>
  <si>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</si>
  <si>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</si>
  <si>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</si>
  <si>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</si>
  <si>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</si>
  <si>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</si>
  <si>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405</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</si>
  <si>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</si>
  <si>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</si>
  <si>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</si>
  <si>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</si>
  <si>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</si>
  <si>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</si>
  <si>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Англ (Слоневская) </t>
    </r>
    <r>
      <rPr>
        <rFont val="Arial"/>
        <b/>
        <color theme="1"/>
        <sz val="10.0"/>
      </rPr>
      <t>405</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</si>
  <si>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</si>
  <si>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</si>
  <si>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</si>
  <si>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</si>
  <si>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</si>
  <si>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</si>
  <si>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</si>
  <si>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</si>
  <si>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</si>
  <si>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</si>
  <si>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</si>
  <si>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</si>
  <si>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</si>
  <si>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t>КРУЖКИ: Волейбол 6-9кл (Ларченко) СЗ, Каллиграфия 5-7кл (Хуснутдинов) 401, Исторические танцы (Пипейкина) 504</t>
  </si>
  <si>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</si>
  <si>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</si>
  <si>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t>ВШД Биология (Носкова) 408</t>
  </si>
  <si>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</si>
  <si>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</si>
  <si>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</si>
  <si>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</si>
  <si>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</si>
  <si>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</si>
  <si>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</si>
  <si>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</si>
  <si>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</si>
  <si>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t>ВШД Физика (Репнев) 402</t>
  </si>
  <si>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</si>
  <si>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</si>
  <si>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</si>
  <si>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</si>
  <si>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</si>
  <si>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</si>
  <si>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</si>
  <si>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</si>
  <si>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rPr>
      <t xml:space="preserve">История (Куницын) </t>
    </r>
    <r>
      <rPr>
        <rFont val="Arial"/>
        <b/>
        <color theme="1"/>
      </rPr>
      <t>202</t>
    </r>
  </si>
  <si>
    <t>ВШД Русский (Хуснутдинов)  409</t>
  </si>
  <si>
    <r>
      <rPr>
        <rFont val="Arial"/>
        <color theme="1"/>
        <sz val="10.0"/>
      </rPr>
      <t xml:space="preserve">Англ (Слоневская)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</si>
  <si>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</si>
  <si>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</si>
  <si>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</si>
  <si>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</si>
  <si>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</si>
  <si>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</si>
  <si>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</si>
  <si>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</si>
  <si>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</si>
  <si>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</si>
  <si>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</si>
  <si>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</si>
  <si>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</si>
  <si>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</si>
  <si>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(Слоневская) </t>
    </r>
    <r>
      <rPr>
        <rFont val="Arial"/>
        <b/>
        <color theme="1"/>
        <sz val="10.0"/>
      </rPr>
      <t>405</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</si>
  <si>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</si>
  <si>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</si>
  <si>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</si>
  <si>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</si>
  <si>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</si>
  <si>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</si>
  <si>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</si>
  <si>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</si>
  <si>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</si>
  <si>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(Слоневская) </t>
    </r>
    <r>
      <rPr>
        <rFont val="Arial"/>
        <b/>
        <color theme="1"/>
        <sz val="10.0"/>
      </rPr>
      <t>405</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</si>
  <si>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</si>
  <si>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</si>
  <si>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</si>
  <si>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</si>
  <si>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</si>
  <si>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</si>
  <si>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</si>
  <si>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</si>
  <si>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</si>
  <si>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</si>
  <si>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</si>
  <si>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</si>
  <si>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</si>
  <si>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</si>
  <si>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</si>
  <si>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</si>
  <si>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</si>
  <si>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</si>
  <si>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</si>
  <si>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</si>
  <si>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</si>
  <si>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</si>
  <si>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</si>
  <si>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</si>
  <si>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</si>
  <si>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</si>
  <si>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</si>
  <si>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</si>
  <si>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</si>
  <si>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</si>
  <si>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</si>
  <si>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</si>
  <si>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</si>
  <si>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</si>
  <si>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</si>
  <si>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</si>
  <si>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</si>
  <si>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</si>
  <si>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</si>
  <si>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</si>
  <si>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</si>
  <si>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</si>
  <si>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</si>
  <si>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</si>
  <si>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</si>
  <si>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</si>
  <si>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</si>
  <si>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</si>
  <si>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Биология (Белоусова)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</si>
  <si>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</si>
  <si>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</si>
  <si>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</si>
  <si>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</si>
  <si>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</si>
  <si>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</si>
  <si>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</si>
  <si>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</si>
  <si>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</si>
  <si>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</si>
  <si>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</si>
  <si>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</si>
  <si>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</si>
  <si>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</si>
  <si>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</si>
  <si>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</si>
  <si>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</si>
  <si>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</si>
  <si>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</si>
  <si>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</si>
  <si>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</si>
  <si>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</si>
  <si>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</si>
  <si>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</si>
  <si>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</si>
  <si>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</si>
  <si>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</si>
  <si>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</si>
  <si>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</si>
  <si>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</si>
  <si>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</si>
  <si>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</si>
  <si>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</si>
  <si>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</si>
  <si>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</si>
  <si>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</si>
  <si>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</si>
  <si>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</si>
  <si>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</si>
  <si>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</si>
  <si>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</si>
  <si>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</si>
  <si>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</si>
  <si>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</si>
  <si>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</si>
  <si>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</si>
  <si>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</si>
  <si>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</si>
  <si>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 xml:space="preserve">410
</t>
    </r>
    <r>
      <rPr>
        <rFont val="Arial"/>
        <color theme="1"/>
        <sz val="10.0"/>
      </rPr>
      <t xml:space="preserve">ПЕРЕСДАЧА ПО ИСТОРИИ (Белоус) </t>
    </r>
    <r>
      <rPr>
        <rFont val="Arial"/>
        <b/>
        <color theme="1"/>
        <sz val="10.0"/>
      </rPr>
      <t>403</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</si>
  <si>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</si>
  <si>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</si>
  <si>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Математический анализ (Попович)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</si>
  <si>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</si>
  <si>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</si>
  <si>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</si>
  <si>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</si>
  <si>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</si>
  <si>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t>Олимпиадный русский язык (Харитонов) 201</t>
  </si>
  <si>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</si>
  <si>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</si>
  <si>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</si>
  <si>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</si>
  <si>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</si>
  <si>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</si>
  <si>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(Слоневская) </t>
    </r>
    <r>
      <rPr>
        <rFont val="Arial"/>
        <b/>
        <color theme="1"/>
        <sz val="10.0"/>
      </rPr>
      <t>405</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</si>
  <si>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</si>
  <si>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</si>
  <si>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</si>
  <si>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</si>
  <si>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</si>
  <si>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</si>
  <si>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</si>
  <si>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(Слоневская) </t>
    </r>
    <r>
      <rPr>
        <rFont val="Arial"/>
        <b/>
        <color theme="1"/>
        <sz val="10.0"/>
      </rPr>
      <t>405</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</si>
  <si>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</si>
  <si>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</si>
  <si>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</si>
  <si>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</si>
  <si>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</si>
  <si>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</si>
  <si>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</si>
  <si>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</si>
  <si>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</si>
  <si>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</si>
  <si>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</si>
  <si>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</si>
  <si>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</si>
  <si>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</si>
  <si>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</si>
  <si>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</si>
  <si>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</si>
  <si>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</si>
  <si>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</si>
  <si>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</si>
  <si>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</si>
  <si>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</si>
  <si>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</si>
  <si>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</si>
  <si>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</si>
  <si>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</si>
  <si>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</si>
  <si>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</si>
  <si>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</si>
  <si>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</si>
  <si>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</si>
  <si>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</si>
  <si>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</si>
  <si>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</si>
  <si>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</si>
  <si>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</si>
  <si>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</si>
  <si>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</si>
  <si>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</si>
  <si>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</si>
  <si>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</si>
  <si>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</si>
  <si>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</si>
  <si>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</si>
  <si>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</si>
  <si>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</si>
  <si>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</si>
  <si>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</si>
  <si>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</si>
  <si>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(Слоневская) </t>
    </r>
    <r>
      <rPr>
        <rFont val="Arial"/>
        <b/>
        <color theme="1"/>
        <sz val="10.0"/>
      </rPr>
      <t>405</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</si>
  <si>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</si>
  <si>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</si>
  <si>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</si>
  <si>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</si>
  <si>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</si>
  <si>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</si>
  <si>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</si>
  <si>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</si>
  <si>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</si>
  <si>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</si>
  <si>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</si>
  <si>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</si>
  <si>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</si>
  <si>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</si>
  <si>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</si>
  <si>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</si>
  <si>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</si>
  <si>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</si>
  <si>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</si>
  <si>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</si>
  <si>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</si>
  <si>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</si>
  <si>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</si>
  <si>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</si>
  <si>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</si>
  <si>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</si>
  <si>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</si>
  <si>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</si>
  <si>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</si>
  <si>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</si>
  <si>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</si>
  <si>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</si>
  <si>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</si>
  <si>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</si>
  <si>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</si>
  <si>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</si>
  <si>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</si>
  <si>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</si>
  <si>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</si>
  <si>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</si>
  <si>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</si>
  <si>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(Слоневская) </t>
    </r>
    <r>
      <rPr>
        <rFont val="Arial"/>
        <b/>
        <color theme="1"/>
        <sz val="10.0"/>
      </rPr>
      <t>405</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</si>
  <si>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</si>
  <si>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</si>
  <si>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</si>
  <si>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</si>
  <si>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</si>
  <si>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</si>
  <si>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</si>
  <si>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</si>
  <si>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(Слоневская) </t>
    </r>
    <r>
      <rPr>
        <rFont val="Arial"/>
        <b/>
        <color theme="1"/>
        <sz val="10.0"/>
      </rPr>
      <t>405</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</si>
  <si>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</si>
  <si>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</si>
  <si>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</si>
  <si>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t xml:space="preserve">ПРОБНИК ЕГЭ ПО РУССКОМУ (Xаритонов) </t>
  </si>
  <si>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</si>
  <si>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</si>
  <si>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</si>
  <si>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</si>
  <si>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</si>
  <si>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</si>
  <si>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</si>
  <si>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</si>
  <si>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</si>
  <si>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Матпрак (Молькова)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</si>
  <si>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</si>
  <si>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</si>
  <si>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</si>
  <si>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</si>
  <si>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</si>
  <si>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</si>
  <si>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</si>
  <si>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</si>
  <si>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</si>
  <si>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</si>
  <si>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</si>
  <si>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</si>
  <si>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Литра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</si>
  <si>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</si>
  <si>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</si>
  <si>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</si>
  <si>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</si>
  <si>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</si>
  <si>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409</t>
    </r>
  </si>
  <si>
    <r>
      <rPr>
        <rFont val="Arial"/>
        <color rgb="FFFFFFFF"/>
        <sz val="10.0"/>
      </rPr>
      <t xml:space="preserve">Доп. Матпрак (Попович) </t>
    </r>
    <r>
      <rPr>
        <rFont val="Arial"/>
        <b/>
        <color rgb="FFFFFFFF"/>
        <sz val="10.0"/>
      </rPr>
      <t>202</t>
    </r>
  </si>
  <si>
    <r>
      <rPr>
        <rFont val="Arial"/>
        <color theme="1"/>
      </rPr>
      <t xml:space="preserve">Матпрак (Молькова) </t>
    </r>
    <r>
      <rPr>
        <rFont val="Arial"/>
        <b/>
        <color theme="1"/>
      </rPr>
      <t>501</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</si>
  <si>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</si>
  <si>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</si>
  <si>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</si>
  <si>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</si>
  <si>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</si>
  <si>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</si>
  <si>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</si>
  <si>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409</t>
    </r>
  </si>
  <si>
    <r>
      <rPr>
        <rFont val="Arial"/>
        <color rgb="FFFFFFFF"/>
        <sz val="10.0"/>
      </rPr>
      <t xml:space="preserve">Доп. Матпрак (Попович) </t>
    </r>
    <r>
      <rPr>
        <rFont val="Arial"/>
        <b/>
        <color rgb="FFFFFFFF"/>
        <sz val="10.0"/>
      </rPr>
      <t>202</t>
    </r>
  </si>
  <si>
    <r>
      <rPr>
        <rFont val="Arial"/>
        <color theme="1"/>
        <sz val="10.0"/>
      </rPr>
      <t xml:space="preserve">Театр (Обидина) </t>
    </r>
    <r>
      <rPr>
        <rFont val="Arial"/>
        <b/>
        <color theme="1"/>
        <sz val="10.0"/>
      </rPr>
      <t>АЗ</t>
    </r>
  </si>
  <si>
    <t>11:00 Олимп. экономика - продолжающие (Попович) 202</t>
  </si>
  <si>
    <t>09:45 экскурсия в Алмазный фонд (Дронзик А.Б., Белоус К.В., Старунова О.А.)</t>
  </si>
  <si>
    <t>13.00 Матигра 209 (Заводов, Митев)</t>
  </si>
  <si>
    <t>11.30 Пересдача по геометрии 209 (Заводов)</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</si>
  <si>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</si>
  <si>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</si>
  <si>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</si>
  <si>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b/>
        <color rgb="FFCC0000"/>
        <sz val="10.0"/>
      </rPr>
      <t>Диагностика МЦКО</t>
    </r>
    <r>
      <rPr>
        <rFont val="Arial"/>
        <color rgb="FFCC0000"/>
        <sz val="10.0"/>
      </rPr>
      <t xml:space="preserve"> (Краснова) 406</t>
    </r>
  </si>
  <si>
    <t>Диагностика МЦКО (Белоус) 408</t>
  </si>
  <si>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</si>
  <si>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</si>
  <si>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</si>
  <si>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</si>
  <si>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</si>
  <si>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</si>
  <si>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</si>
  <si>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</si>
  <si>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</si>
  <si>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</si>
  <si>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</si>
  <si>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</si>
  <si>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</si>
  <si>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</si>
  <si>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</si>
  <si>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</si>
  <si>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</si>
  <si>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</si>
  <si>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</si>
  <si>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</si>
  <si>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</si>
  <si>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</si>
  <si>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</si>
  <si>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</si>
  <si>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</si>
  <si>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</si>
  <si>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</si>
  <si>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</si>
  <si>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</si>
  <si>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</si>
  <si>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</si>
  <si>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</si>
  <si>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</si>
  <si>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</si>
  <si>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</si>
  <si>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</si>
  <si>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</si>
  <si>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</si>
  <si>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</si>
  <si>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</si>
  <si>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</si>
  <si>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</si>
  <si>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</si>
  <si>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</si>
  <si>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</si>
  <si>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</si>
  <si>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</si>
  <si>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</si>
  <si>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</si>
  <si>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</si>
  <si>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</si>
  <si>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</si>
  <si>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</si>
  <si>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</si>
  <si>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</si>
  <si>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</si>
  <si>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</si>
  <si>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</si>
  <si>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</si>
  <si>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</si>
  <si>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</si>
  <si>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</si>
  <si>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</si>
  <si>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</si>
  <si>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</si>
  <si>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</si>
  <si>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</si>
  <si>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</si>
  <si>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</si>
  <si>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</si>
  <si>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</si>
  <si>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</si>
  <si>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</si>
  <si>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</si>
  <si>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</si>
  <si>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</si>
  <si>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</si>
  <si>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</si>
  <si>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</si>
  <si>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</si>
  <si>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</si>
  <si>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</si>
  <si>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</si>
  <si>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</si>
  <si>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</si>
  <si>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</si>
  <si>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</si>
  <si>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</si>
  <si>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</si>
  <si>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</si>
  <si>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</si>
  <si>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</si>
  <si>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</si>
  <si>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</si>
  <si>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</si>
  <si>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</si>
  <si>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</si>
  <si>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</si>
  <si>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</si>
  <si>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</si>
  <si>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</si>
  <si>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</si>
  <si>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</si>
  <si>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</si>
  <si>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</si>
  <si>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</si>
  <si>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</si>
  <si>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</si>
  <si>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</si>
  <si>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</si>
  <si>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</si>
  <si>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</si>
  <si>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</si>
  <si>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</si>
  <si>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</si>
  <si>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</si>
  <si>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</si>
  <si>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</si>
  <si>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</si>
  <si>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</si>
  <si>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</si>
  <si>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</si>
  <si>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</si>
  <si>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</si>
  <si>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</si>
  <si>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</si>
  <si>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</si>
  <si>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</si>
  <si>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</si>
  <si>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</si>
  <si>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</si>
  <si>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</si>
  <si>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</si>
  <si>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</si>
  <si>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</si>
  <si>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</si>
  <si>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</si>
  <si>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</si>
  <si>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</si>
  <si>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</si>
  <si>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</si>
  <si>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</si>
  <si>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</si>
  <si>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</si>
  <si>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</si>
  <si>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</si>
  <si>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</si>
  <si>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</si>
  <si>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</si>
  <si>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</si>
  <si>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b/>
        <color theme="1"/>
        <sz val="10.0"/>
      </rPr>
      <t>Встреча с Игорем Котляром</t>
    </r>
    <r>
      <rPr>
        <rFont val="Arial"/>
        <color theme="1"/>
        <sz val="10.0"/>
      </rPr>
      <t xml:space="preserve">, руководителем IT- департамента компании BUDU (Ренессанс Страхование) (участники: Старчак, Самсонов, Папазов, Таран, Матюшин, Саенко, Васильев, Милицкая, Покорская, Мусатов, Ивлеев, Дударева, Сухарев, Федорова, Рахметуллин, Левковцев, Угольников, Царев, Лебедев) </t>
    </r>
    <r>
      <rPr>
        <rFont val="Arial"/>
        <b/>
        <color theme="1"/>
        <sz val="10.0"/>
      </rPr>
      <t>403</t>
    </r>
  </si>
  <si>
    <r>
      <rPr>
        <rFont val="Arial"/>
        <color theme="1"/>
        <sz val="10.0"/>
      </rPr>
      <t>Хор (Краснова и Никулова) А</t>
    </r>
    <r>
      <rPr>
        <rFont val="Arial"/>
        <b/>
        <color theme="1"/>
        <sz val="10.0"/>
      </rPr>
      <t>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</si>
  <si>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</si>
  <si>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</si>
  <si>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</si>
  <si>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</si>
  <si>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</si>
  <si>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</si>
  <si>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</si>
  <si>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</si>
  <si>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</si>
  <si>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Хор (Краснова и Никулова) А</t>
    </r>
    <r>
      <rPr>
        <rFont val="Arial"/>
        <b/>
        <color theme="1"/>
        <sz val="10.0"/>
      </rPr>
      <t>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</si>
  <si>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</si>
  <si>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</si>
  <si>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</si>
  <si>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</si>
  <si>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</si>
  <si>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</si>
  <si>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</si>
  <si>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</si>
  <si>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</si>
  <si>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</si>
  <si>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</si>
  <si>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Русский (Хуснутдинов)  </t>
    </r>
    <r>
      <rPr>
        <rFont val="Arial"/>
        <b/>
        <color theme="1"/>
        <sz val="10.0"/>
      </rPr>
      <t xml:space="preserve">209  </t>
    </r>
  </si>
  <si>
    <t>ИТОГОВОЕ СОБЕСЕДОВАНИЕ 9.00 (всем явиться за 15 минут. В 105 пройти регистрацию, оставить личные вещи и телефоны. С собой ОБЯЗАТЕЛЬНО ПАСПОРТ и ЧЁРНАЯ хорошо пишущая гелевая ручка. Кабинет ожидания 409. Кабинет проведени собеседования в соответсвии со списком. Ученики находятся в кабинете ожидания и проходят на собеседование по мере вызова) Белоус, Куницын, Репнев, Домбровская</t>
  </si>
  <si>
    <r>
      <rPr>
        <rFont val="Arial"/>
        <color theme="1"/>
        <sz val="12.0"/>
      </rPr>
      <t xml:space="preserve">География (Колечкин) </t>
    </r>
    <r>
      <rPr>
        <rFont val="Arial"/>
        <b/>
        <color theme="1"/>
        <sz val="12.0"/>
      </rPr>
      <t>КЗ</t>
    </r>
  </si>
  <si>
    <r>
      <rPr>
        <rFont val="Arial"/>
        <color theme="1"/>
      </rPr>
      <t xml:space="preserve">География (Колечкин)   </t>
    </r>
    <r>
      <rPr>
        <rFont val="Arial"/>
        <b/>
        <color rgb="FFFF0000"/>
      </rPr>
      <t>КЗ</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</si>
  <si>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</si>
  <si>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color rgb="FFFF0000"/>
        <sz val="10.0"/>
      </rPr>
      <t>5</t>
    </r>
    <r>
      <rPr>
        <rFont val="Arial"/>
        <b/>
        <color rgb="FFFF0000"/>
        <sz val="10.0"/>
      </rPr>
      <t>01</t>
    </r>
  </si>
  <si>
    <r>
      <rPr>
        <rFont val="Arial"/>
        <color theme="1"/>
        <sz val="10.0"/>
      </rPr>
      <t xml:space="preserve">Биология (Белоусова) </t>
    </r>
    <r>
      <rPr>
        <rFont val="Arial"/>
        <color rgb="FFFF0000"/>
        <sz val="10.0"/>
      </rPr>
      <t>307</t>
    </r>
  </si>
  <si>
    <r>
      <rPr>
        <rFont val="Arial"/>
        <color rgb="FF000000"/>
        <sz val="10.0"/>
      </rPr>
      <t xml:space="preserve">История (Журавлева) </t>
    </r>
    <r>
      <rPr>
        <rFont val="Arial"/>
        <b/>
        <color rgb="FF000000"/>
        <sz val="10.0"/>
      </rPr>
      <t>209</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</si>
  <si>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</si>
  <si>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rgb="FFFF0000"/>
      </rPr>
      <t>КЗ</t>
    </r>
  </si>
  <si>
    <r>
      <rPr>
        <rFont val="Arial"/>
        <color theme="1"/>
        <sz val="10.0"/>
      </rPr>
      <t xml:space="preserve">Алгебра и стат.(Шерашова) </t>
    </r>
    <r>
      <rPr>
        <rFont val="Arial"/>
        <color rgb="FFFF0000"/>
        <sz val="10.0"/>
      </rPr>
      <t>5</t>
    </r>
    <r>
      <rPr>
        <rFont val="Arial"/>
        <b/>
        <color rgb="FFFF0000"/>
        <sz val="10.0"/>
      </rPr>
      <t>01</t>
    </r>
  </si>
  <si>
    <r>
      <rPr>
        <rFont val="Arial"/>
        <color theme="1"/>
      </rPr>
      <t xml:space="preserve">Геометрия (Латыпова) </t>
    </r>
    <r>
      <rPr>
        <rFont val="Arial"/>
        <b/>
        <color theme="1"/>
      </rPr>
      <t xml:space="preserve">202   </t>
    </r>
  </si>
  <si>
    <t>Биология (Белоусова) 307</t>
  </si>
  <si>
    <r>
      <rPr>
        <rFont val="Arial"/>
        <color theme="1"/>
      </rPr>
      <t xml:space="preserve">История (Журавлева)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</si>
  <si>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</si>
  <si>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</si>
  <si>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rgb="FFCC0000"/>
        <sz val="10.0"/>
      </rPr>
      <t>202</t>
    </r>
  </si>
  <si>
    <r>
      <rPr>
        <rFont val="Arial"/>
        <color theme="1"/>
        <sz val="10.0"/>
      </rPr>
      <t xml:space="preserve">Русский (Хуснутдинов)   </t>
    </r>
    <r>
      <rPr>
        <rFont val="Arial"/>
        <b/>
        <color rgb="FFCC0000"/>
        <sz val="10.0"/>
      </rPr>
      <t>501</t>
    </r>
  </si>
  <si>
    <r>
      <rPr>
        <rFont val="Arial"/>
        <color theme="1"/>
      </rPr>
      <t xml:space="preserve">География (Колечкин)   </t>
    </r>
    <r>
      <rPr>
        <rFont val="Arial"/>
        <b/>
        <color rgb="FFFF0000"/>
      </rPr>
      <t>КЗ</t>
    </r>
  </si>
  <si>
    <r>
      <rPr>
        <rFont val="Arial"/>
        <color theme="1"/>
        <sz val="10.0"/>
      </rPr>
      <t xml:space="preserve">Русский (Харитонов)  </t>
    </r>
    <r>
      <rPr>
        <rFont val="Arial"/>
        <b/>
        <color theme="1"/>
        <sz val="10.0"/>
      </rPr>
      <t>201</t>
    </r>
  </si>
  <si>
    <r>
      <rPr>
        <rFont val="Arial"/>
        <color rgb="FFFF0000"/>
      </rPr>
      <t xml:space="preserve">Общество (Латыпова)   </t>
    </r>
    <r>
      <rPr>
        <rFont val="Arial"/>
        <b/>
        <color rgb="FFFF0000"/>
      </rPr>
      <t>503</t>
    </r>
  </si>
  <si>
    <r>
      <rPr>
        <rFont val="Arial"/>
        <color theme="1"/>
        <sz val="10.0"/>
      </rPr>
      <t xml:space="preserve">Биология (Белоусова) через неделю соц и мат </t>
    </r>
    <r>
      <rPr>
        <rFont val="Arial"/>
        <b/>
        <color rgb="FFFF0000"/>
        <sz val="10.0"/>
      </rPr>
      <t>307</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</si>
  <si>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</si>
  <si>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</si>
  <si>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</si>
  <si>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rgb="FFCC0000"/>
        <sz val="10.0"/>
      </rPr>
      <t>209</t>
    </r>
  </si>
  <si>
    <r>
      <rPr>
        <rFont val="Arial"/>
        <color theme="1"/>
        <sz val="10.0"/>
      </rPr>
      <t xml:space="preserve">Русский (Хуснутдинов)   </t>
    </r>
    <r>
      <rPr>
        <rFont val="Arial"/>
        <b/>
        <color rgb="FFCC0000"/>
        <sz val="10.0"/>
      </rPr>
      <t>501</t>
    </r>
  </si>
  <si>
    <r>
      <rPr>
        <rFont val="Arial"/>
        <color theme="1"/>
      </rPr>
      <t xml:space="preserve">Геометрия (Латыпова)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</si>
  <si>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</si>
  <si>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rgb="FFFF0000"/>
      </rPr>
      <t>КЗ</t>
    </r>
  </si>
  <si>
    <t>Биология (Белоусова) через неделю соц и мат 307</t>
  </si>
  <si>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</si>
  <si>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</si>
  <si>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rgb="FFCC0000"/>
        <sz val="10.0"/>
      </rPr>
      <t>201</t>
    </r>
  </si>
  <si>
    <r>
      <rPr>
        <rFont val="Arial"/>
        <color theme="1"/>
        <sz val="10.0"/>
      </rPr>
      <t xml:space="preserve">Математика (Дронзик) </t>
    </r>
    <r>
      <rPr>
        <rFont val="Arial"/>
        <b/>
        <color theme="1"/>
        <sz val="10.0"/>
      </rPr>
      <t>210</t>
    </r>
  </si>
  <si>
    <r>
      <rPr>
        <rFont val="Arial"/>
        <color theme="1"/>
        <sz val="10.0"/>
      </rPr>
      <t xml:space="preserve">Русский (Харитонов)  </t>
    </r>
    <r>
      <rPr>
        <rFont val="Arial"/>
        <b/>
        <color rgb="FFCC0000"/>
        <sz val="10.0"/>
      </rPr>
      <t>202</t>
    </r>
  </si>
  <si>
    <r>
      <rPr>
        <rFont val="Arial"/>
        <color theme="1"/>
      </rPr>
      <t xml:space="preserve">География (Колечкин)   </t>
    </r>
    <r>
      <rPr>
        <rFont val="Arial"/>
        <b/>
        <color rgb="FFFF0000"/>
      </rPr>
      <t>КЗ</t>
    </r>
  </si>
  <si>
    <r>
      <rPr>
        <rFont val="Arial"/>
        <color theme="1"/>
        <sz val="10.0"/>
      </rPr>
      <t xml:space="preserve">Математика (Заводов) </t>
    </r>
    <r>
      <rPr>
        <rFont val="Arial"/>
        <b/>
        <color theme="1"/>
        <sz val="10.0"/>
      </rPr>
      <t>209</t>
    </r>
  </si>
  <si>
    <r>
      <rPr>
        <rFont val="Arial"/>
        <color theme="1"/>
        <sz val="10.0"/>
      </rPr>
      <t xml:space="preserve">Алгебра (Шерашова) </t>
    </r>
    <r>
      <rPr>
        <rFont val="Arial"/>
        <b/>
        <color theme="1"/>
        <sz val="10.0"/>
      </rPr>
      <t>503</t>
    </r>
  </si>
  <si>
    <r>
      <rPr>
        <rFont val="Arial"/>
        <color theme="1"/>
        <sz val="10.0"/>
      </rPr>
      <t xml:space="preserve">Информатика (Старунова) </t>
    </r>
    <r>
      <rPr>
        <rFont val="Arial"/>
        <b/>
        <color rgb="FFCC0000"/>
        <sz val="10.0"/>
      </rPr>
      <t>201</t>
    </r>
  </si>
  <si>
    <r>
      <rPr>
        <rFont val="Arial"/>
        <color theme="1"/>
        <sz val="10.0"/>
      </rPr>
      <t xml:space="preserve">Математика (Дронзик) </t>
    </r>
    <r>
      <rPr>
        <rFont val="Arial"/>
        <b/>
        <color theme="1"/>
        <sz val="10.0"/>
      </rPr>
      <t>210</t>
    </r>
  </si>
  <si>
    <r>
      <rPr>
        <rFont val="Arial"/>
        <color theme="1"/>
        <sz val="10.0"/>
      </rPr>
      <t xml:space="preserve">Математика (Заводов) </t>
    </r>
    <r>
      <rPr>
        <rFont val="Arial"/>
        <b/>
        <color theme="1"/>
        <sz val="10.0"/>
      </rPr>
      <t>209</t>
    </r>
  </si>
  <si>
    <t>Алгебра (Шерашова) 503</t>
  </si>
  <si>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</si>
  <si>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</si>
  <si>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</si>
  <si>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</si>
  <si>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</si>
  <si>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</si>
  <si>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</si>
  <si>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</si>
  <si>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t>ОлимпРус (Харитонов) 201</t>
  </si>
  <si>
    <t>9.00 Диагностика МЦКО БИО (406, 408) Дронзик, Старунова, Белоус. Дети по списку. Остальные приходят ко второму уроку. НЕ ОПАЗДЫВАТЬ Задания откроются ровно в 9.00</t>
  </si>
  <si>
    <t>Информатика (Аларкон) 210</t>
  </si>
  <si>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</si>
  <si>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</si>
  <si>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</si>
  <si>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</si>
  <si>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</si>
  <si>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</si>
  <si>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</si>
  <si>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</si>
  <si>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</si>
  <si>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</si>
  <si>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</si>
  <si>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</si>
  <si>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</si>
  <si>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</si>
  <si>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</si>
  <si>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</si>
  <si>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</si>
  <si>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t xml:space="preserve">11.00 Диагностика по списку МЦКО БИО (406, 408) Белоус, Старунова </t>
  </si>
  <si>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</si>
  <si>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</si>
  <si>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</si>
  <si>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</si>
  <si>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</si>
  <si>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</si>
  <si>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</si>
  <si>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</si>
  <si>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</si>
  <si>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</si>
  <si>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</si>
  <si>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</si>
  <si>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</si>
  <si>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</si>
  <si>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</si>
  <si>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</si>
  <si>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</si>
  <si>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</si>
  <si>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</si>
  <si>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</si>
  <si>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</si>
  <si>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</si>
  <si>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</si>
  <si>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</si>
  <si>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</si>
  <si>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</si>
  <si>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</si>
  <si>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</si>
  <si>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</si>
  <si>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</si>
  <si>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</si>
  <si>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</si>
  <si>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</si>
  <si>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</si>
  <si>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</si>
  <si>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</si>
  <si>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</si>
  <si>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</si>
  <si>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</si>
  <si>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</si>
  <si>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</si>
  <si>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</si>
  <si>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</si>
  <si>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</si>
  <si>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</si>
  <si>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</si>
  <si>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</si>
  <si>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</si>
  <si>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</si>
  <si>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</si>
  <si>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</si>
  <si>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</si>
  <si>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</si>
  <si>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</si>
  <si>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</si>
  <si>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</si>
  <si>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</si>
  <si>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</si>
  <si>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</si>
  <si>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</si>
  <si>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</si>
  <si>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</si>
  <si>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</si>
  <si>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</si>
  <si>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</si>
  <si>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</si>
  <si>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</si>
  <si>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</si>
  <si>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</si>
  <si>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</si>
  <si>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</si>
  <si>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</si>
  <si>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</si>
  <si>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</si>
  <si>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</si>
  <si>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</si>
  <si>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</si>
  <si>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</si>
  <si>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</si>
  <si>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</si>
  <si>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</si>
  <si>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</si>
  <si>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</si>
  <si>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</si>
  <si>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</si>
  <si>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</si>
  <si>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</si>
  <si>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</si>
  <si>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</si>
  <si>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</si>
  <si>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</si>
  <si>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</si>
  <si>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</si>
  <si>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</si>
  <si>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</si>
  <si>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</si>
  <si>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</si>
  <si>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</si>
  <si>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</si>
  <si>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</si>
  <si>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rPr>
      <t xml:space="preserve">Матпрак (Попович) </t>
    </r>
    <r>
      <rPr>
        <rFont val="Arial"/>
        <b/>
        <color theme="1"/>
      </rPr>
      <t>409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</si>
  <si>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</si>
  <si>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</si>
  <si>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</si>
  <si>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</si>
  <si>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</si>
  <si>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</si>
  <si>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</si>
  <si>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</si>
  <si>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</si>
  <si>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</si>
  <si>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</si>
  <si>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</si>
  <si>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</si>
  <si>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</si>
  <si>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</si>
  <si>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</si>
  <si>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</si>
  <si>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</si>
  <si>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</si>
  <si>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</si>
  <si>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</si>
  <si>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</si>
  <si>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</si>
  <si>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</si>
  <si>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</si>
  <si>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</si>
  <si>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</si>
  <si>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Литра (Харитонов)  </t>
    </r>
    <r>
      <rPr>
        <rFont val="Arial"/>
        <b/>
        <color theme="1"/>
        <sz val="10.0"/>
      </rPr>
      <t>201</t>
    </r>
  </si>
  <si>
    <r>
      <rPr>
        <rFont val="Arial"/>
        <color theme="1"/>
        <sz val="10.0"/>
      </rPr>
      <t xml:space="preserve">Англ (Шевелёв) </t>
    </r>
    <r>
      <rPr>
        <rFont val="Arial"/>
        <b/>
        <color theme="1"/>
        <sz val="10.0"/>
      </rPr>
      <t>210</t>
    </r>
  </si>
  <si>
    <r>
      <rPr>
        <rFont val="Arial"/>
        <color theme="1"/>
        <sz val="10.0"/>
      </rPr>
      <t xml:space="preserve">Англ группа Алёхиной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</si>
  <si>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</si>
  <si>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</si>
  <si>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409</t>
    </r>
  </si>
  <si>
    <r>
      <rPr>
        <rFont val="Arial"/>
        <color rgb="FFFFFFFF"/>
        <sz val="10.0"/>
      </rPr>
      <t xml:space="preserve">Доп. Матпрак (Попович) </t>
    </r>
    <r>
      <rPr>
        <rFont val="Arial"/>
        <b/>
        <color rgb="FFFFFFFF"/>
        <sz val="10.0"/>
      </rPr>
      <t>202</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</si>
  <si>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</si>
  <si>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</si>
  <si>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</si>
  <si>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</si>
  <si>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</si>
  <si>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</si>
  <si>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409</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</si>
  <si>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</si>
  <si>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</si>
  <si>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</si>
  <si>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10.30 Олимп. экономика - продолжающие (Попович) 105</t>
  </si>
  <si>
    <t>10 мат</t>
  </si>
  <si>
    <t>10 соц</t>
  </si>
  <si>
    <t>12 пн</t>
  </si>
  <si>
    <t>13 вт</t>
  </si>
  <si>
    <t>14 ср</t>
  </si>
  <si>
    <t>15 чт</t>
  </si>
  <si>
    <t>16 пт</t>
  </si>
  <si>
    <t>19 пн</t>
  </si>
  <si>
    <t>Учебный день</t>
  </si>
  <si>
    <t>УЧЕБНЫЙ ДЕНЬ + Мат (база) АА
209
9.45-13.45</t>
  </si>
  <si>
    <t>20 вт</t>
  </si>
  <si>
    <t>21 ср</t>
  </si>
  <si>
    <t>Русский язык 
ОС, 201
10.00- 12.30</t>
  </si>
  <si>
    <t>Русский язык 
АС, 202
10.00- 12.30</t>
  </si>
  <si>
    <t xml:space="preserve">Мат (база) АВ, ЯВ
7Т в 401 , 7С в 409
10.00-12.00 (АВ, ЯВ)
12.00-14.00 (ЯВ, АВ)
</t>
  </si>
  <si>
    <t>История и общество
АА, 210
1 гр. 10.00 -13.00         2 гр с 13.00 -16.00</t>
  </si>
  <si>
    <t>Физика (по выбору) АГ, 402
10.00 -14.00
Билогия (по выбору) НС, 405
13.00-15.00</t>
  </si>
  <si>
    <t>Геометрия
АА, АБ 
209 10.00-16.00</t>
  </si>
  <si>
    <t>Письменная работа по литературе (Белоус)</t>
  </si>
  <si>
    <t>ИНФО (по выбору)
ОА, 408
10.00-14.00</t>
  </si>
  <si>
    <t>Первая группа 10.00: Купцов, Макаруша, Шешелев, Шумский. Вторая группа 10.45: Лебедев, Проскуряков, Пудовикова, Сыцко, Щербаков.                      Третья группа 11.30: Даугелло, Маскалева, Фомичев, Шишкин, Жабер.</t>
  </si>
  <si>
    <t>22 чт</t>
  </si>
  <si>
    <t>Матпрак
Рома + АВ
209
9.00-12.00</t>
  </si>
  <si>
    <t>История (по выбору) 
КВ, 403
 10.00-14.30</t>
  </si>
  <si>
    <t>Инфо ОА,ЕХ,ИЕ
408,401, 402
(по группам)
10.00-16.00
9.00 -13.00 (ЕХ)</t>
  </si>
  <si>
    <t>Матпрак
АИ,НМ
202
10.00-16.00</t>
  </si>
  <si>
    <t>Анг. язык (по выбору) НС,СВ
404,405
10.00-14.30
Химия (по выбору) ЮА, 
14.00-16.00 201</t>
  </si>
  <si>
    <t>Матпрак
Настя + ассистенты
409
9.00-15.00</t>
  </si>
  <si>
    <t>Анг. язык (по выбору) НС,СВ 404 09.00-10.00 (Елушов, Лебедев, Еськова, Бенца)</t>
  </si>
  <si>
    <t>23 пт</t>
  </si>
  <si>
    <t>ИНФО (АС, ОА)  - ВСЕ приходят к 12.00
ОА, 408
12.00-16.00</t>
  </si>
  <si>
    <t>Литература (по выбору) НА 
202 10.00-13:00
Олим. инфо (теория)
201 9.00-11.00
Репетиция театра по списку ИЛ
АЗ 11:00 - 13:30</t>
  </si>
  <si>
    <t>Анг. язык НС,СВ,ЕА,ДВ
403,404,405,409
9.00-15.00</t>
  </si>
  <si>
    <t>ИНФО
ЕХ,ИЕ
401,406
10.00-13.00</t>
  </si>
  <si>
    <t>Матпрак. Настя, АЛ, 209
9.00-15.00
ИНФО, ЕХ, 401
10.00-12.00</t>
  </si>
  <si>
    <t>Русский язык ОС
501
10.00- 12.30</t>
  </si>
  <si>
    <t>Физика (по выбору) 
АГ, 402
10.00-13.00</t>
  </si>
  <si>
    <t>Хор репетиция с 15.00</t>
  </si>
  <si>
    <t>Новогодний концерт с 16.00</t>
  </si>
  <si>
    <t>24 сб</t>
  </si>
  <si>
    <t>Олим.инфо (по выбору)
Ваня Подворный
408
10.00-16.00</t>
  </si>
  <si>
    <t>25 вс</t>
  </si>
  <si>
    <t>КОНФЕРЕНЦИЯ</t>
  </si>
  <si>
    <t>26 пн</t>
  </si>
  <si>
    <t>Робототехника
ЕА, 410
Первая группа в 12.00. Вторая группа в 14.00</t>
  </si>
  <si>
    <t xml:space="preserve">Мат (база) пересдача
АВ, 401
11.50-14.00
</t>
  </si>
  <si>
    <t>Матпрак пересдача/консультация
ЮР, 201
с 10.00</t>
  </si>
  <si>
    <t>27 вт</t>
  </si>
  <si>
    <t>Мат (база) 
ПА, 210
10.00-12.00</t>
  </si>
  <si>
    <t>ИНФО
ОА, 408
10.00-15.00
(ВСЕ приходят к 10.00)</t>
  </si>
  <si>
    <t>Физика, (по гр.)
АГ, 402
9.00-16.00
Матпрак (по гр.)
АИ,АБ + ассистенты
201, 202
9.00-16.00</t>
  </si>
  <si>
    <t xml:space="preserve">Мат (база) 
АА, 209
10.00-12.00
</t>
  </si>
  <si>
    <t>Мат (база)
ЯВ, 409
10.00-15.00</t>
  </si>
  <si>
    <t xml:space="preserve">Мат (база) 
АВ, 401
10.00-12.00
</t>
  </si>
  <si>
    <t xml:space="preserve">ИНФО
АЮ, 406
С 10.00 </t>
  </si>
  <si>
    <t>28 ср</t>
  </si>
  <si>
    <t>Мат (база) 
НС, 201
10.00-12.00
КВ, 202
10.00 -12.00</t>
  </si>
  <si>
    <t>Физика (по гр.)
АГ, 402
9.00-16.00
Матпрак (по гр.)
АЭ, АВ + ассистенты
210
9.00-16.00</t>
  </si>
  <si>
    <t>Геометрия
АА,ЯВ,АБ
209
10.00-16.00</t>
  </si>
  <si>
    <t>Русский язык 
АС, 409
10.00- 12.30
ИНФО (гр. ЕИ)
406
12.30-15.00</t>
  </si>
  <si>
    <t>ИНФО 
ЕИ, 406 
10.00-15.00</t>
  </si>
  <si>
    <t>Общество и история
АА
403
10.00-13.00</t>
  </si>
  <si>
    <t xml:space="preserve">10:00 Борисов Витвицкая Военкова Гаврилова Демаков Козлов             10:45 Копаев Кузнецов Лебедев Левковцев Лукьянов Мухлисуллин 11:30 Наровлянская Парфёнов Полозов Свирский Титов Тлепбергенов                                 12:15 Тухтаева Угольников Холодов Царев Шешелев Шумский
</t>
  </si>
  <si>
    <t>29 чт</t>
  </si>
  <si>
    <t>Матпрак
АЭ + 11С, 202
9.00-16.00</t>
  </si>
  <si>
    <t>10.00-18.00 Хакатон АЗ (Нечаев, Старунова)</t>
  </si>
  <si>
    <t>Биология (по выбору) 
НС, 405
9.00-12.00</t>
  </si>
  <si>
    <t>30 пт</t>
  </si>
  <si>
    <t>9.00-11.00 пересдача геометрии по желанию 209 (Абрамов)</t>
  </si>
  <si>
    <t>31сб</t>
  </si>
  <si>
    <t>КАНИКУЛЫ</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</si>
  <si>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</si>
  <si>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</si>
  <si>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</si>
  <si>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</si>
  <si>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</si>
  <si>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</si>
  <si>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</si>
  <si>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t xml:space="preserve">Англ (Алехина) </t>
    </r>
    <r>
      <rPr>
        <rFont val="Arial"/>
        <b/>
        <color theme="1"/>
        <sz val="10.0"/>
      </rPr>
      <t>409</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</si>
  <si>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</si>
  <si>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</si>
  <si>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</si>
  <si>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</si>
  <si>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</si>
  <si>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</si>
  <si>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</si>
  <si>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t xml:space="preserve">ЕГЭ Инфо Старунова 408 </t>
  </si>
  <si>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</si>
  <si>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</si>
  <si>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t xml:space="preserve">Англ (Алехина) </t>
    </r>
    <r>
      <rPr>
        <rFont val="Arial"/>
        <b/>
        <color theme="1"/>
        <sz val="10.0"/>
      </rPr>
      <t>409/405</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</si>
  <si>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</si>
  <si>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</si>
  <si>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</si>
  <si>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</si>
  <si>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</si>
  <si>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</si>
  <si>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</si>
  <si>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</si>
  <si>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t>Подготовка к ЕГЭ по инфо (403)</t>
  </si>
  <si>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</si>
  <si>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</si>
  <si>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</si>
  <si>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</si>
  <si>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t xml:space="preserve">Англ (Алехина) </t>
    </r>
    <r>
      <rPr>
        <rFont val="Arial"/>
        <b/>
        <color theme="1"/>
        <sz val="10.0"/>
      </rPr>
      <t>405/409</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</si>
  <si>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</si>
  <si>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</si>
  <si>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</si>
  <si>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</si>
  <si>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</si>
  <si>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</si>
  <si>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</si>
  <si>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</si>
  <si>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</si>
  <si>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</si>
  <si>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</si>
  <si>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t xml:space="preserve">Англ (Алехина) </t>
    </r>
    <r>
      <rPr>
        <rFont val="Arial"/>
        <b/>
        <color theme="1"/>
        <sz val="10.0"/>
      </rPr>
      <t>405/409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</si>
  <si>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</si>
  <si>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</si>
  <si>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</si>
  <si>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</si>
  <si>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</si>
  <si>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</si>
  <si>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</si>
  <si>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</si>
  <si>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</si>
  <si>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</si>
  <si>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</si>
  <si>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</si>
  <si>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</si>
  <si>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</si>
  <si>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</si>
  <si>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</si>
  <si>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</si>
  <si>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</si>
  <si>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</si>
  <si>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</si>
  <si>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</si>
  <si>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</si>
  <si>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</si>
  <si>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</si>
  <si>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</si>
  <si>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</si>
  <si>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</si>
  <si>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</si>
  <si>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</si>
  <si>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</si>
  <si>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</si>
  <si>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</si>
  <si>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</si>
  <si>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</si>
  <si>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</si>
  <si>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</si>
  <si>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</si>
  <si>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</si>
  <si>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</si>
  <si>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</si>
  <si>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</si>
  <si>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</si>
  <si>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</si>
  <si>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</si>
  <si>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</si>
  <si>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</si>
  <si>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</si>
  <si>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206</t>
    </r>
  </si>
  <si>
    <r>
      <rPr>
        <rFont val="Arial"/>
        <color theme="1"/>
        <sz val="10.0"/>
      </rPr>
      <t xml:space="preserve">Общество (Белоус)  </t>
    </r>
    <r>
      <rPr>
        <rFont val="Arial"/>
        <b/>
        <color theme="1"/>
        <sz val="10.0"/>
      </rPr>
      <t>202</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</si>
  <si>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</si>
  <si>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</si>
  <si>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t>Диагностика МЦКО Био 406,408</t>
  </si>
  <si>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</si>
  <si>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</si>
  <si>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</si>
  <si>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</si>
  <si>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</si>
  <si>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202</t>
    </r>
  </si>
  <si>
    <r>
      <rPr>
        <rFont val="Arial"/>
        <color theme="1"/>
      </rPr>
      <t xml:space="preserve">Биология (Носкова) </t>
    </r>
    <r>
      <rPr>
        <rFont val="Arial"/>
        <b/>
        <color theme="1"/>
      </rPr>
      <t>206</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</si>
  <si>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</si>
  <si>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</si>
  <si>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</si>
  <si>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</si>
  <si>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</si>
  <si>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</si>
  <si>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</si>
  <si>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</si>
  <si>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</si>
  <si>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</si>
  <si>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</si>
  <si>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</si>
  <si>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</si>
  <si>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rPr>
      <t xml:space="preserve">Матпрак (Молькова) </t>
    </r>
    <r>
      <rPr>
        <rFont val="Arial"/>
        <b/>
        <color theme="1"/>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</si>
  <si>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</si>
  <si>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</si>
  <si>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</si>
  <si>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</si>
  <si>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</si>
  <si>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</si>
  <si>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</si>
  <si>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</si>
  <si>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</si>
  <si>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</si>
  <si>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</si>
  <si>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</si>
  <si>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</si>
  <si>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</si>
  <si>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</si>
  <si>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</si>
  <si>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</si>
  <si>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</si>
  <si>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</si>
  <si>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501</t>
    </r>
  </si>
  <si>
    <r>
      <rPr>
        <rFont val="Arial"/>
        <color theme="1"/>
        <sz val="10.0"/>
      </rPr>
      <t xml:space="preserve">Геом. (Шерашова) </t>
    </r>
    <r>
      <rPr>
        <rFont val="Arial"/>
        <b/>
        <color theme="1"/>
        <sz val="10.0"/>
      </rPr>
      <t>401</t>
    </r>
  </si>
  <si>
    <r>
      <rPr>
        <rFont val="Arial"/>
        <color theme="1"/>
        <sz val="10.0"/>
      </rPr>
      <t xml:space="preserve">ЕГЭ по информатике с ДЗ (ОА)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</si>
  <si>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</si>
  <si>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</si>
  <si>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</si>
  <si>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</si>
  <si>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</si>
  <si>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t>КРОК. Drawgame (выходим из школы в 13.30) Репнев, Старунова</t>
  </si>
  <si>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</si>
  <si>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</si>
  <si>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</si>
  <si>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</si>
  <si>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</si>
  <si>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</si>
  <si>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</si>
  <si>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</si>
  <si>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</si>
  <si>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</si>
  <si>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Алгебра (Шерашова) </t>
    </r>
    <r>
      <rPr>
        <rFont val="Arial"/>
        <b/>
        <color theme="1"/>
        <sz val="10.0"/>
      </rPr>
      <t>401</t>
    </r>
  </si>
  <si>
    <r>
      <rPr>
        <rFont val="Roboto, RobotoDraft, Helvetica, Arial, sans-serif"/>
        <color rgb="FF222222"/>
      </rPr>
      <t xml:space="preserve">Общество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</si>
  <si>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</si>
  <si>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</si>
  <si>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</si>
  <si>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</si>
  <si>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</si>
  <si>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</si>
  <si>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</si>
  <si>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</si>
  <si>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</si>
  <si>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</si>
  <si>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</si>
  <si>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</si>
  <si>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</si>
  <si>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</si>
  <si>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</si>
  <si>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</si>
  <si>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</si>
  <si>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</si>
  <si>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</si>
  <si>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</si>
  <si>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</si>
  <si>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</si>
  <si>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</si>
  <si>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Алгебра (Абрамов) </t>
    </r>
    <r>
      <rPr>
        <rFont val="Arial"/>
        <b/>
        <color theme="1"/>
        <sz val="10.0"/>
      </rPr>
      <t>501</t>
    </r>
  </si>
  <si>
    <r>
      <rPr>
        <rFont val="Arial"/>
        <color rgb="FFFFFFFF"/>
        <sz val="10.0"/>
      </rPr>
      <t xml:space="preserve">Общество(Куницын)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</si>
  <si>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</si>
  <si>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</si>
  <si>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</si>
  <si>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</si>
  <si>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</si>
  <si>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</si>
  <si>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</si>
  <si>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</si>
  <si>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</si>
  <si>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</si>
  <si>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</si>
  <si>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</si>
  <si>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</si>
  <si>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</si>
  <si>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</si>
  <si>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</si>
  <si>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</si>
  <si>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</si>
  <si>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</si>
  <si>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</si>
  <si>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</si>
  <si>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</si>
  <si>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</si>
  <si>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</si>
  <si>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</si>
  <si>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</si>
  <si>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</si>
  <si>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</si>
  <si>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</si>
  <si>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</si>
  <si>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</si>
  <si>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</si>
  <si>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Матпрак (Митев) </t>
    </r>
    <r>
      <rPr>
        <rFont val="Arial"/>
        <b/>
        <color theme="1"/>
        <sz val="10.0"/>
      </rPr>
      <t>405</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</si>
  <si>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</si>
  <si>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</si>
  <si>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</si>
  <si>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</si>
  <si>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</si>
  <si>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</si>
  <si>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</si>
  <si>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</si>
  <si>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</si>
  <si>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Матпрак (Митев) </t>
    </r>
    <r>
      <rPr>
        <rFont val="Arial"/>
        <b/>
        <color theme="1"/>
        <sz val="10.0"/>
      </rPr>
      <t>405</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</si>
  <si>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</si>
  <si>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</si>
  <si>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</si>
  <si>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</si>
  <si>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</si>
  <si>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</si>
  <si>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</si>
  <si>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</si>
  <si>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</si>
  <si>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</si>
  <si>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</si>
  <si>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</si>
  <si>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</si>
  <si>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Математический анализ (Попович)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</si>
  <si>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</si>
  <si>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</si>
  <si>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</si>
  <si>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</si>
  <si>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</si>
  <si>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 РУС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</si>
  <si>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</si>
  <si>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</si>
  <si>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</si>
  <si>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</si>
  <si>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</si>
  <si>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</si>
  <si>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</si>
  <si>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</si>
  <si>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</si>
  <si>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</si>
  <si>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</si>
  <si>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</si>
  <si>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</si>
  <si>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</si>
  <si>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</si>
  <si>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</si>
  <si>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</si>
  <si>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</si>
  <si>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</si>
  <si>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</si>
  <si>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</si>
  <si>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</si>
  <si>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</si>
  <si>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</si>
  <si>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</si>
  <si>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</si>
  <si>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</si>
  <si>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</si>
  <si>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</si>
  <si>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</si>
  <si>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</si>
  <si>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</si>
  <si>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</si>
  <si>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</si>
  <si>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</si>
  <si>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</si>
  <si>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</si>
  <si>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</si>
  <si>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</si>
  <si>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</si>
  <si>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</si>
  <si>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</si>
  <si>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</si>
  <si>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</si>
  <si>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</si>
  <si>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</si>
  <si>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</si>
  <si>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</si>
  <si>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</si>
  <si>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</si>
  <si>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</si>
  <si>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</si>
  <si>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</si>
  <si>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</si>
  <si>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</si>
  <si>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</si>
  <si>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</si>
  <si>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</si>
  <si>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</si>
  <si>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</si>
  <si>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</si>
  <si>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</si>
  <si>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</si>
  <si>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</si>
  <si>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</si>
  <si>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</si>
  <si>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</si>
  <si>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</si>
  <si>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</si>
  <si>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</si>
  <si>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</si>
  <si>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</si>
  <si>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</si>
  <si>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</si>
  <si>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</si>
  <si>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</si>
  <si>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</si>
  <si>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</si>
  <si>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</si>
  <si>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</si>
  <si>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</si>
  <si>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</si>
  <si>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</si>
  <si>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</si>
  <si>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t>Олимп.геометрия ( Сайгак) - начинающие 201</t>
  </si>
  <si>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</si>
  <si>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</si>
  <si>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</si>
  <si>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</si>
  <si>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</si>
  <si>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</si>
  <si>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</si>
  <si>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</si>
  <si>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409</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</si>
  <si>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</si>
  <si>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</si>
  <si>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</si>
  <si>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</si>
  <si>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</si>
  <si>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</si>
  <si>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</si>
  <si>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</si>
  <si>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</si>
  <si>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409</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</si>
  <si>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</si>
  <si>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</si>
  <si>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</si>
  <si>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</si>
  <si>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</si>
  <si>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</si>
  <si>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Литература (Харитонов)  </t>
    </r>
    <r>
      <rPr>
        <rFont val="Arial"/>
        <b/>
        <color theme="1"/>
        <sz val="10.0"/>
      </rPr>
      <t>201</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</si>
  <si>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</si>
  <si>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</si>
  <si>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</si>
  <si>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</si>
  <si>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</si>
  <si>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</si>
  <si>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409</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</si>
  <si>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</si>
  <si>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</si>
  <si>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t xml:space="preserve">Русский (самоподготовка)  </t>
    </r>
    <r>
      <rPr>
        <rFont val="Arial"/>
        <b/>
        <color theme="1"/>
        <sz val="10.0"/>
      </rPr>
      <t>201</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</si>
  <si>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</si>
  <si>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</si>
  <si>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</si>
  <si>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</si>
  <si>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</si>
  <si>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</si>
  <si>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409</t>
    </r>
    <r>
      <rPr>
        <rFont val="Arial"/>
        <color theme="1"/>
      </rPr>
      <t xml:space="preserve"> )</t>
    </r>
    <r>
      <rPr>
        <rFont val="Arial"/>
        <b/>
        <color theme="1"/>
      </rPr>
      <t xml:space="preserve">     </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</si>
  <si>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503</t>
    </r>
  </si>
  <si>
    <r>
      <rPr>
        <rFont val="Roboto, RobotoDraft, Helvetica, Arial, sans-serif"/>
        <color rgb="FF000000"/>
      </rPr>
      <t xml:space="preserve">История(Куницын)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</si>
  <si>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</si>
  <si>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</si>
  <si>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</si>
  <si>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</si>
  <si>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</si>
  <si>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</si>
  <si>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</si>
  <si>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</si>
  <si>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</si>
  <si>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</si>
  <si>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Roboto, RobotoDraft, Helvetica, Arial, sans-serif"/>
        <color rgb="FF000000"/>
      </rPr>
      <t xml:space="preserve">Общество (Куницын) </t>
    </r>
    <r>
      <rPr>
        <rFont val="Roboto, RobotoDraft, Helvetica, Arial, sans-serif"/>
        <b/>
        <color rgb="FF000000"/>
      </rPr>
      <t>503</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</si>
  <si>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</si>
  <si>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</si>
  <si>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</si>
  <si>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</si>
  <si>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</si>
  <si>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</si>
  <si>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</si>
  <si>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</si>
  <si>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</si>
  <si>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</si>
  <si>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</si>
  <si>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</si>
  <si>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</si>
  <si>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</si>
  <si>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</si>
  <si>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</si>
  <si>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</si>
  <si>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</si>
  <si>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</si>
  <si>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406</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</si>
  <si>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</si>
  <si>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</si>
  <si>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</si>
  <si>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</si>
  <si>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</si>
  <si>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</si>
  <si>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</si>
  <si>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408</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</si>
  <si>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</si>
  <si>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</si>
  <si>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</si>
  <si>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ТРИЗ (5-6 класс) 402, ХОР (Краснова, Никулова) КЗ, CTF (Джамбек) 406, Ол. геометрия для продолжающих (Сайгак) 202, Экономика для начинающих (Кирюшин) 210, Го (Решетников) 201, Проекты (Слоневская) zoom, Гиревой спорт 9-11 кл (Хуснутдинов) СЗ</t>
  </si>
  <si>
    <t>Матпрак (Исмаилов, Латыпова) 408</t>
  </si>
  <si>
    <t>11.00 Олимп инфо (Подворный) 408</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</si>
  <si>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</si>
  <si>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</si>
  <si>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</si>
  <si>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</si>
  <si>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</si>
  <si>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</si>
  <si>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</si>
  <si>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</si>
  <si>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</si>
  <si>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</si>
  <si>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</si>
  <si>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</si>
  <si>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</si>
  <si>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</si>
  <si>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</si>
  <si>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</si>
  <si>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</si>
  <si>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</si>
  <si>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</si>
  <si>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</si>
  <si>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</si>
  <si>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</si>
  <si>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</si>
  <si>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</si>
  <si>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</si>
  <si>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</si>
  <si>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t>ЕГЭ Инфо Старунова 201 / Биология ЕГЭ Носкова 206</t>
  </si>
  <si>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</si>
  <si>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</si>
  <si>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</si>
  <si>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</si>
  <si>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</si>
  <si>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</si>
  <si>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</si>
  <si>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</si>
  <si>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</si>
  <si>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</si>
  <si>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</si>
  <si>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</si>
  <si>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</si>
  <si>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</si>
  <si>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</si>
  <si>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</si>
  <si>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</si>
  <si>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</si>
  <si>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</si>
  <si>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</si>
  <si>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</si>
  <si>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</si>
  <si>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</si>
  <si>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</si>
  <si>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</si>
  <si>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</si>
  <si>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</si>
  <si>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</si>
  <si>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</si>
  <si>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</si>
  <si>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</si>
  <si>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</si>
  <si>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</si>
  <si>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</si>
  <si>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Тренинг на английском  (Пипейкина, Носкова) </t>
    </r>
    <r>
      <rPr>
        <rFont val="Arial"/>
        <b/>
        <color theme="1"/>
      </rPr>
      <t>КЗ</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</si>
  <si>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</si>
  <si>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</si>
  <si>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</si>
  <si>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</si>
  <si>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</si>
  <si>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</si>
  <si>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</si>
  <si>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</si>
  <si>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</si>
  <si>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Тренинг на английском  (Пипейкина, Носкова) </t>
    </r>
    <r>
      <rPr>
        <rFont val="Arial"/>
        <b/>
        <color theme="1"/>
      </rPr>
      <t>КЗ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</si>
  <si>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</si>
  <si>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</si>
  <si>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</si>
  <si>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</si>
  <si>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</si>
  <si>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</si>
  <si>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</si>
  <si>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</si>
  <si>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</si>
  <si>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</si>
  <si>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</si>
  <si>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</si>
  <si>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</si>
  <si>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</si>
  <si>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409</t>
    </r>
  </si>
  <si>
    <r>
      <rPr>
        <rFont val="Arial"/>
        <color theme="1"/>
        <sz val="10.0"/>
      </rPr>
      <t xml:space="preserve">Исторические танцы (Пипейкина) </t>
    </r>
    <r>
      <rPr>
        <rFont val="Arial"/>
        <b/>
        <color theme="1"/>
        <sz val="10.0"/>
      </rPr>
      <t>КЗ</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</si>
  <si>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</si>
  <si>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</si>
  <si>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</si>
  <si>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</si>
  <si>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</si>
  <si>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</si>
  <si>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</si>
  <si>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</si>
  <si>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</si>
  <si>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Пробник ГИА по математике  (Домбровская, Заводов) </t>
    </r>
    <r>
      <rPr>
        <rFont val="Arial"/>
        <b/>
        <color theme="1"/>
        <sz val="10.0"/>
      </rPr>
      <t>202</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</si>
  <si>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</si>
  <si>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</si>
  <si>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</si>
  <si>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</si>
  <si>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</si>
  <si>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</si>
  <si>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</si>
  <si>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</si>
  <si>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</si>
  <si>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</si>
  <si>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</si>
  <si>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</si>
  <si>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209</t>
    </r>
  </si>
  <si>
    <r>
      <rPr>
        <rFont val="Arial"/>
        <color theme="1"/>
        <sz val="10.0"/>
      </rPr>
      <t xml:space="preserve">Русский (Хуснутдинов)  </t>
    </r>
    <r>
      <rPr>
        <rFont val="Arial"/>
        <b/>
        <color theme="1"/>
        <sz val="10.0"/>
      </rPr>
      <t>409</t>
    </r>
  </si>
  <si>
    <r>
      <rPr>
        <rFont val="Arial"/>
        <color theme="1"/>
      </rPr>
      <t xml:space="preserve">Матпрак (Молькова) </t>
    </r>
    <r>
      <rPr>
        <rFont val="Arial"/>
        <b/>
        <color theme="1"/>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</si>
  <si>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</si>
  <si>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</si>
  <si>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</si>
  <si>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</si>
  <si>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</si>
  <si>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</si>
  <si>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t>История (Куницын) 209</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</si>
  <si>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</si>
  <si>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</si>
  <si>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</si>
  <si>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</si>
  <si>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</si>
  <si>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</si>
  <si>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</si>
  <si>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</si>
  <si>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</si>
  <si>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</si>
  <si>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501</t>
    </r>
  </si>
  <si>
    <r>
      <rPr>
        <rFont val="Arial"/>
        <color theme="1"/>
        <sz val="10.0"/>
      </rPr>
      <t xml:space="preserve">Геом. (Шерашова) </t>
    </r>
    <r>
      <rPr>
        <rFont val="Arial"/>
        <b/>
        <color theme="1"/>
        <sz val="10.0"/>
      </rPr>
      <t>401</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</si>
  <si>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</si>
  <si>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</si>
  <si>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</si>
  <si>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</si>
  <si>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</si>
  <si>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</si>
  <si>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</si>
  <si>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</si>
  <si>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Геом. (Шерашова) </t>
    </r>
    <r>
      <rPr>
        <rFont val="Arial"/>
        <b/>
        <color theme="1"/>
        <sz val="10.0"/>
      </rPr>
      <t>401</t>
    </r>
  </si>
  <si>
    <t>14.30 Котляр встреча только для тех кто сделал дз с прошлой лекции и отправил преподавателю 403</t>
  </si>
  <si>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</si>
  <si>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</si>
  <si>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</si>
  <si>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</si>
  <si>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</si>
  <si>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</si>
  <si>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</si>
  <si>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</si>
  <si>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</si>
  <si>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</si>
  <si>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</si>
  <si>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</si>
  <si>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</si>
  <si>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</si>
  <si>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</si>
  <si>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</si>
  <si>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</si>
  <si>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</si>
  <si>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</si>
  <si>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</si>
  <si>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</si>
  <si>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b/>
        <color theme="1"/>
        <sz val="12.0"/>
      </rPr>
      <t xml:space="preserve">Волейбол 10-11 (Ларченко) </t>
    </r>
    <r>
      <rPr>
        <rFont val="Arial"/>
        <b/>
        <color theme="1"/>
        <sz val="12.0"/>
      </rPr>
      <t>СЗ</t>
    </r>
  </si>
  <si>
    <r>
      <rPr>
        <rFont val="Arial"/>
        <color theme="1"/>
        <sz val="10.0"/>
      </rPr>
      <t xml:space="preserve">ОЛИМП РУС (Харитонов)  </t>
    </r>
    <r>
      <rPr>
        <rFont val="Arial"/>
        <b/>
        <color theme="1"/>
        <sz val="10.0"/>
      </rPr>
      <t>201</t>
    </r>
  </si>
  <si>
    <r>
      <rPr>
        <rFont val="Arial"/>
        <color theme="1"/>
        <sz val="10.0"/>
      </rPr>
      <t xml:space="preserve">Математика (Дронзик) </t>
    </r>
    <r>
      <rPr>
        <rFont val="Arial"/>
        <b/>
        <color theme="1"/>
        <sz val="10.0"/>
      </rPr>
      <t>210</t>
    </r>
  </si>
  <si>
    <t>Диагностика МЦКО 406 БЫТЬ в 8.45 (Гречко, Жук, Коротков, Костенок, Куклич, Левков, Михайлов, Огарёвы) Белоус</t>
  </si>
  <si>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</si>
  <si>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</si>
  <si>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</si>
  <si>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</si>
  <si>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b/>
        <color rgb="FF990000"/>
        <sz val="10.0"/>
      </rPr>
      <t xml:space="preserve">ВШД диагностика Англ (Домбровская, Слоневская) 404, </t>
    </r>
    <r>
      <rPr>
        <rFont val="Arial"/>
        <b/>
        <color rgb="FF990000"/>
        <sz val="10.0"/>
      </rPr>
      <t>405</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</si>
  <si>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</si>
  <si>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</si>
  <si>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</si>
  <si>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</si>
  <si>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</si>
  <si>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</si>
  <si>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</si>
  <si>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</si>
  <si>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</si>
  <si>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</si>
  <si>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</si>
  <si>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</si>
  <si>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</si>
  <si>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</si>
  <si>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</si>
  <si>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</si>
  <si>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</si>
  <si>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</si>
  <si>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</si>
  <si>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</si>
  <si>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</si>
  <si>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</si>
  <si>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</si>
  <si>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</si>
  <si>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</si>
  <si>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</si>
  <si>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</si>
  <si>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</si>
  <si>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</si>
  <si>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</si>
  <si>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</si>
  <si>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</si>
  <si>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</si>
  <si>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</si>
  <si>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</si>
  <si>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</si>
  <si>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</si>
  <si>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</si>
  <si>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</si>
  <si>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</si>
  <si>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</si>
  <si>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</si>
  <si>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</si>
  <si>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</si>
  <si>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</si>
  <si>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</si>
  <si>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</si>
  <si>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</si>
  <si>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</si>
  <si>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</si>
  <si>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</si>
  <si>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</si>
  <si>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t>Философия (Белоус) 301</t>
  </si>
  <si>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</si>
  <si>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</si>
  <si>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</si>
  <si>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</si>
  <si>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</si>
  <si>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</si>
  <si>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</si>
  <si>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</si>
  <si>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t xml:space="preserve">Химия (Старунова)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</si>
  <si>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</si>
  <si>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</si>
  <si>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301</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</si>
  <si>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</si>
  <si>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</si>
  <si>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</si>
  <si>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</si>
  <si>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</si>
  <si>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</si>
  <si>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t xml:space="preserve">Химия (Старунова) </t>
    </r>
    <r>
      <rPr>
        <rFont val="Arial"/>
        <b/>
        <color theme="1"/>
        <sz val="10.0"/>
      </rPr>
      <t>408</t>
    </r>
  </si>
  <si>
    <t>История (Белоус) 301</t>
  </si>
  <si>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</si>
  <si>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</si>
  <si>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</si>
  <si>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</si>
  <si>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</si>
  <si>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</si>
  <si>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</si>
  <si>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</si>
  <si>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</si>
  <si>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</si>
  <si>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</si>
  <si>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</si>
  <si>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</si>
  <si>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</si>
  <si>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</si>
  <si>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</si>
  <si>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</si>
  <si>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</si>
  <si>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</si>
  <si>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</si>
  <si>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</si>
  <si>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</si>
  <si>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</si>
  <si>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</si>
  <si>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</si>
  <si>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</si>
  <si>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</si>
  <si>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</si>
  <si>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</si>
  <si>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</si>
  <si>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</si>
  <si>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</si>
  <si>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</si>
  <si>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</si>
  <si>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</si>
  <si>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</si>
  <si>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</si>
  <si>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</si>
  <si>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</si>
  <si>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</si>
  <si>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</si>
  <si>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</si>
  <si>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</si>
  <si>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</si>
  <si>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</si>
  <si>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</si>
  <si>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</si>
  <si>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</si>
  <si>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</si>
  <si>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</si>
  <si>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</si>
  <si>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</si>
  <si>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</si>
  <si>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</si>
  <si>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</si>
  <si>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</si>
  <si>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</si>
  <si>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</si>
  <si>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</si>
  <si>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</si>
  <si>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</si>
  <si>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</si>
  <si>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</si>
  <si>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</si>
  <si>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</si>
  <si>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</si>
  <si>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</si>
  <si>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</si>
  <si>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</si>
  <si>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</si>
  <si>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</si>
  <si>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</si>
  <si>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</si>
  <si>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</si>
  <si>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Хор (Краснова и Никулова) А</t>
    </r>
    <r>
      <rPr>
        <rFont val="Arial"/>
        <b/>
        <color theme="1"/>
        <sz val="10.0"/>
      </rPr>
      <t>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</si>
  <si>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</si>
  <si>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</si>
  <si>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</si>
  <si>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</si>
  <si>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Хор (Краснова и Никулова) А</t>
    </r>
    <r>
      <rPr>
        <rFont val="Arial"/>
        <b/>
        <color theme="1"/>
        <sz val="10.0"/>
      </rPr>
      <t>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</si>
  <si>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</si>
  <si>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406</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</si>
  <si>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</si>
  <si>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</si>
  <si>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</si>
  <si>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</si>
  <si>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t>ДЕНЬ ОТКРЫТЫХ ДВЕРЕЙ ДЛЯ НОВОПОСТУПАЮЩИХ. Все кружки отменяются. После уроков необходимо привести кабинет в нормальное состояние (стереть с доски, подравнять стулья-парты, убрать за собой мусор) и быстро покинуть школу, обязательно взяв с собой сменку из раздевалки!</t>
  </si>
  <si>
    <r>
      <rPr>
        <rFont val="Arial"/>
        <color theme="1"/>
        <sz val="10.0"/>
      </rPr>
      <t xml:space="preserve">Матпрак (Исмаилов, Латыпова) </t>
    </r>
    <r>
      <rPr>
        <rFont val="Arial"/>
        <b/>
        <color theme="1"/>
        <sz val="10.0"/>
      </rPr>
      <t>401</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</si>
  <si>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</si>
  <si>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</si>
  <si>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</si>
  <si>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11.00 Олимп инфо (Подворный) 409</t>
  </si>
  <si>
    <t>театр АЗ(первая половина алфавита)</t>
  </si>
  <si>
    <r>
      <rPr>
        <rFont val="Roboto, RobotoDraft, Helvetica, Arial, sans-serif"/>
        <b/>
        <color rgb="FF000000"/>
        <sz val="12.0"/>
      </rPr>
      <t xml:space="preserve">Тренинг внутришкольный 7Т </t>
    </r>
    <r>
      <rPr>
        <rFont val="Roboto, RobotoDraft, Helvetica, Arial, sans-serif"/>
        <b/>
        <color rgb="FF000000"/>
        <sz val="12.0"/>
      </rPr>
      <t>503</t>
    </r>
  </si>
  <si>
    <t>ОА (504)</t>
  </si>
  <si>
    <t>театр АЗ(вторая половина алфавита)</t>
  </si>
  <si>
    <r>
      <rPr>
        <rFont val="Arial"/>
        <color theme="1"/>
        <sz val="10.0"/>
      </rPr>
      <t xml:space="preserve">Геометрия (Абрамов) </t>
    </r>
    <r>
      <rPr>
        <rFont val="Arial"/>
        <b/>
        <color theme="1"/>
        <sz val="10.0"/>
      </rPr>
      <t>401</t>
    </r>
  </si>
  <si>
    <t>Геом. (Заводов) https://us04web.zoom.us/j/2972896492?pwd=SmtyVTFXcGxraWs4SWprdHN5d0NqUT09</t>
  </si>
  <si>
    <t>Экскурсия в Царь-макет (Харитонов, Старунова)</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</si>
  <si>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</si>
  <si>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</si>
  <si>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</si>
  <si>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t>Юлия Робертовна рассказывает всякое 402</t>
  </si>
  <si>
    <r>
      <rPr>
        <rFont val="Arial"/>
        <color theme="1"/>
        <sz val="10.0"/>
      </rPr>
      <t xml:space="preserve">Геометрия (Абрамов) </t>
    </r>
    <r>
      <rPr>
        <rFont val="Arial"/>
        <b/>
        <color theme="1"/>
        <sz val="10.0"/>
      </rPr>
      <t>401</t>
    </r>
  </si>
  <si>
    <r>
      <rPr>
        <rFont val="Arial"/>
        <color theme="1"/>
        <sz val="10.0"/>
      </rPr>
      <t xml:space="preserve">Русский (Хуснутдинов)  </t>
    </r>
    <r>
      <rPr>
        <rFont val="Arial"/>
        <b/>
        <color theme="1"/>
        <sz val="10.0"/>
      </rPr>
      <t xml:space="preserve">401     </t>
    </r>
  </si>
  <si>
    <r>
      <rPr>
        <rFont val="Arial"/>
        <color theme="1"/>
        <sz val="10.0"/>
      </rPr>
      <t xml:space="preserve">Математика (Дронзик)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</si>
  <si>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</si>
  <si>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</si>
  <si>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</si>
  <si>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</si>
  <si>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</si>
  <si>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t>Физика (Репнев) https://us04web.zoom.us/j/9753959216?pwd=WEtHK0llaWZmTWtmTnhPUlVqRmlGUT09</t>
  </si>
  <si>
    <t>Математика (Заводов) https://us04web.zoom.us/j/2972896492?pwd=SmtyVTFXcGxraWs4SWprdHN5d0NqUT09</t>
  </si>
  <si>
    <t>Математика (Дронзик) 408</t>
  </si>
  <si>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</si>
  <si>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</si>
  <si>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</si>
  <si>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</si>
  <si>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Математика  (Дронзик) </t>
    </r>
    <r>
      <rPr>
        <rFont val="Arial"/>
        <b/>
        <color theme="1"/>
        <sz val="10.0"/>
      </rPr>
      <t>408</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</si>
  <si>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</si>
  <si>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</si>
  <si>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Математика (Заводов) </t>
    </r>
    <r>
      <rPr>
        <rFont val="Arial"/>
        <b/>
        <color theme="1"/>
        <sz val="10.0"/>
      </rPr>
      <t>406</t>
    </r>
  </si>
  <si>
    <t>Алгебра (Абрамов) ЗУМ</t>
  </si>
  <si>
    <t>Англ (Слоневская) https://us04web.zoom.us/j/2877840306?pwd=YXV2Znc4Rk15SVB3WFZjbU9ZQmd2dz09</t>
  </si>
  <si>
    <t>Англ (Домбровская) https://us04web.zoom.us/j/7233947913?pwd=bVlCWlQrL1ZJWUlOVEJYbTV5QjNMUT09</t>
  </si>
  <si>
    <t>Математика  (Дронзик) 408</t>
  </si>
  <si>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</si>
  <si>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</si>
  <si>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Театр Клинкова </t>
    </r>
    <r>
      <rPr>
        <rFont val="Arial"/>
        <b/>
        <color theme="1"/>
        <sz val="10.0"/>
      </rPr>
      <t>АЗ (с нового года)</t>
    </r>
  </si>
  <si>
    <r>
      <rPr>
        <rFont val="Arial"/>
        <color theme="1"/>
      </rPr>
      <t xml:space="preserve">Биология (Носкова) </t>
    </r>
    <r>
      <rPr>
        <rFont val="Arial"/>
        <b/>
        <color theme="1"/>
      </rPr>
      <t>408</t>
    </r>
  </si>
  <si>
    <t>Экскурсия в Царь-макет (Дронзик, Старунова)</t>
  </si>
  <si>
    <r>
      <rPr>
        <rFont val="Arial"/>
        <color theme="1"/>
        <sz val="10.0"/>
      </rPr>
      <t xml:space="preserve">Русский (Харитонов) </t>
    </r>
    <r>
      <rPr>
        <rFont val="Arial"/>
        <b/>
        <color theme="1"/>
        <sz val="10.0"/>
      </rPr>
      <t>зум</t>
    </r>
  </si>
  <si>
    <t>Русский (Харитонов) зум</t>
  </si>
  <si>
    <r>
      <rPr>
        <rFont val="Arial"/>
        <color theme="1"/>
        <sz val="11.0"/>
      </rPr>
      <t xml:space="preserve">История (Белоус)  </t>
    </r>
    <r>
      <rPr>
        <rFont val="Arial"/>
        <b/>
        <color theme="1"/>
        <sz val="11.0"/>
      </rPr>
      <t>409</t>
    </r>
  </si>
  <si>
    <r>
      <rPr>
        <rFont val="Arial"/>
        <color theme="1"/>
        <sz val="10.0"/>
      </rPr>
      <t xml:space="preserve">Алгебра (Шерашова) </t>
    </r>
    <r>
      <rPr>
        <rFont val="Arial"/>
        <b/>
        <color theme="1"/>
        <sz val="10.0"/>
      </rPr>
      <t>401</t>
    </r>
  </si>
  <si>
    <t>Тренинг внутришкольный 7Т 402</t>
  </si>
  <si>
    <r>
      <rPr>
        <rFont val="Arial"/>
        <color theme="1"/>
      </rPr>
      <t xml:space="preserve">История (Куницын) </t>
    </r>
    <r>
      <rPr>
        <rFont val="Arial"/>
        <b/>
        <color theme="1"/>
      </rPr>
      <t>зум</t>
    </r>
  </si>
  <si>
    <r>
      <rPr>
        <rFont val="Arial"/>
        <color theme="1"/>
        <sz val="10.0"/>
      </rPr>
      <t xml:space="preserve">История (Белоус)   </t>
    </r>
    <r>
      <rPr>
        <rFont val="Arial"/>
        <b/>
        <color theme="1"/>
        <sz val="10.0"/>
      </rPr>
      <t>409</t>
    </r>
  </si>
  <si>
    <r>
      <rPr>
        <rFont val="Arial"/>
        <color theme="1"/>
        <sz val="10.0"/>
      </rPr>
      <t xml:space="preserve">Алгебра (Шерашова) </t>
    </r>
    <r>
      <rPr>
        <rFont val="Arial"/>
        <b/>
        <color theme="1"/>
        <sz val="10.0"/>
      </rPr>
      <t>401</t>
    </r>
  </si>
  <si>
    <r>
      <rPr>
        <rFont val="Arial"/>
        <color theme="1"/>
        <sz val="10.0"/>
      </rPr>
      <t xml:space="preserve">Хор (Краснова и Никулова) </t>
    </r>
    <r>
      <rPr>
        <rFont val="Arial"/>
        <b/>
        <color theme="1"/>
        <sz val="10.0"/>
      </rPr>
      <t>АЗ</t>
    </r>
  </si>
  <si>
    <r>
      <rPr>
        <rFont val="Arial"/>
        <color theme="1"/>
        <sz val="10.0"/>
      </rPr>
      <t>Русский (Харитонов) 4</t>
    </r>
    <r>
      <rPr>
        <rFont val="Arial"/>
        <b/>
        <color theme="1"/>
        <sz val="10.0"/>
      </rPr>
      <t>01</t>
    </r>
  </si>
  <si>
    <r>
      <rPr>
        <rFont val="Arial"/>
        <color theme="1"/>
        <sz val="10.0"/>
      </rPr>
      <t xml:space="preserve">История (Белоус) </t>
    </r>
    <r>
      <rPr>
        <rFont val="Arial"/>
        <b/>
        <color theme="1"/>
        <sz val="10.0"/>
      </rPr>
      <t xml:space="preserve">409       </t>
    </r>
  </si>
  <si>
    <t>История (Куницын) зум</t>
  </si>
  <si>
    <t>Алгебра (Шерашова) https://us04web.zoom.us/j/73989087482?pwd=TkZLeU1MY2d5eUpqeTJ5WUJTRHlVUT09</t>
  </si>
  <si>
    <r>
      <rPr>
        <rFont val="Arial"/>
        <color theme="1"/>
        <sz val="10.0"/>
      </rPr>
      <t xml:space="preserve">Информатика (Климов) </t>
    </r>
    <r>
      <rPr>
        <rFont val="Arial"/>
        <b/>
        <color theme="1"/>
        <sz val="10.0"/>
      </rPr>
      <t>зум</t>
    </r>
  </si>
  <si>
    <t>Хор (Краснова и Никулова) АЗ</t>
  </si>
  <si>
    <r>
      <rPr>
        <rFont val="Arial"/>
        <color theme="1"/>
        <sz val="10.0"/>
      </rPr>
      <t>Русский (Харитонов) 4</t>
    </r>
    <r>
      <rPr>
        <rFont val="Arial"/>
        <b/>
        <color theme="1"/>
        <sz val="10.0"/>
      </rPr>
      <t>01</t>
    </r>
  </si>
  <si>
    <r>
      <rPr>
        <rFont val="Arial"/>
        <color theme="1"/>
        <sz val="10.0"/>
      </rPr>
      <t xml:space="preserve">История (Белоус)  </t>
    </r>
    <r>
      <rPr>
        <rFont val="Arial"/>
        <b/>
        <color theme="1"/>
        <sz val="10.0"/>
      </rPr>
      <t xml:space="preserve">409      </t>
    </r>
  </si>
  <si>
    <t>Общество (Куницын) зум</t>
  </si>
  <si>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</si>
  <si>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401</t>
    </r>
  </si>
  <si>
    <r>
      <rPr>
        <rFont val="Roboto, RobotoDraft, Helvetica, Arial, sans-serif"/>
        <color rgb="FF222222"/>
      </rPr>
      <t xml:space="preserve">История </t>
    </r>
    <r>
      <rPr>
        <rFont val="Roboto, RobotoDraft, Helvetica, Arial, sans-serif"/>
        <color rgb="FF000000"/>
      </rPr>
      <t>(Куницын) зум</t>
    </r>
  </si>
  <si>
    <r>
      <rPr>
        <rFont val="Arial"/>
        <color theme="1"/>
        <sz val="10.0"/>
      </rPr>
      <t xml:space="preserve">История (Белоус)  </t>
    </r>
    <r>
      <rPr>
        <rFont val="Arial"/>
        <b/>
        <color theme="1"/>
        <sz val="10.0"/>
      </rPr>
      <t xml:space="preserve">409      </t>
    </r>
  </si>
  <si>
    <r>
      <rPr>
        <rFont val="Arial"/>
        <color theme="1"/>
        <sz val="10.0"/>
      </rPr>
      <t>Русский (Харитонов) 4</t>
    </r>
    <r>
      <rPr>
        <rFont val="Arial"/>
        <b/>
        <color theme="1"/>
        <sz val="10.0"/>
      </rPr>
      <t>01</t>
    </r>
  </si>
  <si>
    <r>
      <rPr>
        <rFont val="Roboto, RobotoDraft, Helvetica, Arial, sans-serif"/>
        <color rgb="FF000000"/>
      </rPr>
      <t xml:space="preserve">Общество (Куницын) </t>
    </r>
    <r>
      <rPr>
        <rFont val="Roboto, RobotoDraft, Helvetica, Arial, sans-serif"/>
        <b/>
        <color rgb="FF000000"/>
      </rPr>
      <t>зум</t>
    </r>
  </si>
  <si>
    <t>Кружки : 3D моделирование 7-9 (Легошин) 410</t>
  </si>
  <si>
    <r>
      <rPr>
        <rFont val="Roboto, RobotoDraft, Helvetica, Arial, sans-serif"/>
        <color rgb="FF000000"/>
      </rPr>
      <t xml:space="preserve">Общество (Куницын) </t>
    </r>
    <r>
      <rPr>
        <rFont val="Roboto, RobotoDraft, Helvetica, Arial, sans-serif"/>
        <b/>
        <color rgb="FF000000"/>
      </rPr>
      <t>зум</t>
    </r>
  </si>
  <si>
    <t>Литература (Белоус)  https://us02web.zoom.us/j/113827192</t>
  </si>
  <si>
    <t>Кружки : 3D моделирование (Легошин) 410</t>
  </si>
  <si>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</si>
  <si>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</si>
  <si>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</si>
  <si>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210</t>
    </r>
  </si>
  <si>
    <t>9.00 7С диагностика МЦКО ФИЗ (406, 408) Чупина АВ</t>
  </si>
  <si>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</si>
  <si>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</si>
  <si>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</si>
  <si>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</si>
  <si>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t>Информатика (Старунова) 210</t>
  </si>
  <si>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</si>
  <si>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</si>
  <si>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Биология (Белоусова) </t>
    </r>
    <r>
      <rPr>
        <rFont val="Arial"/>
        <b/>
        <color theme="1"/>
        <sz val="10.0"/>
      </rPr>
      <t>406</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</si>
  <si>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</si>
  <si>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405</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</si>
  <si>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</si>
  <si>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</si>
  <si>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</si>
  <si>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</si>
  <si>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t>11.00 7Т диагностика МЦКО ФИЗ (406, 408) Решетников НА</t>
  </si>
  <si>
    <t>Биология (Белоусова) 210</t>
  </si>
  <si>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</si>
  <si>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405</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</si>
  <si>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</si>
  <si>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</si>
  <si>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</si>
  <si>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</si>
  <si>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</si>
  <si>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</si>
  <si>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</si>
  <si>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</si>
  <si>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</si>
  <si>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</si>
  <si>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</si>
  <si>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</si>
  <si>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</si>
  <si>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</si>
  <si>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202</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</si>
  <si>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</si>
  <si>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</si>
  <si>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</si>
  <si>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</si>
  <si>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</si>
  <si>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</si>
  <si>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</si>
  <si>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</si>
  <si>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</si>
  <si>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</si>
  <si>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</si>
  <si>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</si>
  <si>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</si>
  <si>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</si>
  <si>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</si>
  <si>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</si>
  <si>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t>Лекция Михаила Мурашкина 209</t>
  </si>
  <si>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</si>
  <si>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</si>
  <si>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</si>
  <si>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Матпрак (Митев) </t>
    </r>
    <r>
      <rPr>
        <rFont val="Arial"/>
        <b/>
        <color theme="1"/>
        <sz val="10.0"/>
      </rPr>
      <t>202</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</si>
  <si>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</si>
  <si>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</si>
  <si>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</si>
  <si>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</si>
  <si>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</si>
  <si>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</si>
  <si>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</si>
  <si>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</si>
  <si>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</si>
  <si>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</si>
  <si>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</si>
  <si>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Математический анализ (Попович)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</si>
  <si>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</si>
  <si>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rgb="FFFFFFFF"/>
        <sz val="10.0"/>
      </rPr>
      <t xml:space="preserve">Доп. Матпрак (Попович) </t>
    </r>
    <r>
      <rPr>
        <rFont val="Arial"/>
        <b/>
        <color rgb="FFFFFFFF"/>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</si>
  <si>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</si>
  <si>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</si>
  <si>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</si>
  <si>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t>ОлимпРус (Харитонов)</t>
  </si>
  <si>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</si>
  <si>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</si>
  <si>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</si>
  <si>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rPr>
        <rFont val="Roboto, RobotoDraft, Helvetica, Arial, sans-serif"/>
        <b/>
        <color rgb="FF000000"/>
        <sz val="12.0"/>
      </rPr>
      <t xml:space="preserve">Тренинг внутришкольный 7Т </t>
    </r>
    <r>
      <rPr>
        <rFont val="Roboto, RobotoDraft, Helvetica, Arial, sans-serif"/>
        <b/>
        <color rgb="FF000000"/>
        <sz val="12.0"/>
      </rPr>
      <t>406</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</si>
  <si>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</si>
  <si>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</si>
  <si>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</si>
  <si>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</si>
  <si>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</si>
  <si>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</si>
  <si>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</si>
  <si>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</si>
  <si>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</si>
  <si>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</si>
  <si>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</si>
  <si>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</si>
  <si>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</si>
  <si>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</si>
  <si>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</si>
  <si>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</si>
  <si>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</si>
  <si>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</si>
  <si>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</si>
  <si>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</si>
  <si>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</si>
  <si>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</si>
  <si>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</si>
  <si>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</si>
  <si>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</si>
  <si>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</si>
  <si>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</si>
  <si>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</si>
  <si>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</si>
  <si>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</si>
  <si>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</si>
  <si>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</si>
  <si>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</si>
  <si>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</si>
  <si>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</si>
  <si>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</si>
  <si>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</si>
  <si>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</si>
  <si>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</si>
  <si>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</si>
  <si>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</si>
  <si>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</si>
  <si>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</si>
  <si>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</si>
  <si>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</si>
  <si>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</si>
  <si>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</si>
  <si>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</si>
  <si>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</si>
  <si>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</si>
  <si>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</si>
  <si>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</si>
  <si>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</si>
  <si>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</si>
  <si>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</si>
  <si>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</si>
  <si>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</si>
  <si>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</si>
  <si>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</si>
  <si>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</si>
  <si>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</si>
  <si>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</si>
  <si>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</si>
  <si>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</si>
  <si>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</si>
  <si>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</si>
  <si>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</si>
  <si>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</si>
  <si>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</si>
  <si>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</si>
  <si>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</si>
  <si>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</si>
  <si>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</si>
  <si>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</si>
  <si>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</si>
  <si>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</si>
  <si>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</si>
  <si>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</si>
  <si>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</si>
  <si>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</si>
  <si>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</si>
  <si>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</si>
  <si>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</si>
  <si>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</si>
  <si>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</si>
  <si>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rgb="FF000000"/>
      </rPr>
      <t xml:space="preserve">Англ (Алехина) </t>
    </r>
    <r>
      <rPr>
        <rFont val="Arial"/>
        <b/>
        <color rgb="FF000000"/>
      </rPr>
      <t>403</t>
    </r>
  </si>
  <si>
    <r>
      <rPr>
        <rFont val="Arial"/>
        <color rgb="FF000000"/>
      </rPr>
      <t xml:space="preserve">Англ (Шевелев) </t>
    </r>
    <r>
      <rPr>
        <rFont val="Arial"/>
        <b/>
        <color rgb="FF000000"/>
      </rPr>
      <t>210</t>
    </r>
  </si>
  <si>
    <r>
      <rPr>
        <rFont val="Arial"/>
        <color rgb="FF000000"/>
      </rPr>
      <t xml:space="preserve">Литература (Решетников) </t>
    </r>
    <r>
      <rPr>
        <rFont val="Arial"/>
        <b/>
        <color rgb="FF000000"/>
      </rPr>
      <t>202</t>
    </r>
  </si>
  <si>
    <r>
      <rPr>
        <rFont val="Arial"/>
        <color theme="1"/>
      </rPr>
      <t xml:space="preserve">Театр (Обидина, Носкова) </t>
    </r>
    <r>
      <rPr>
        <rFont val="Arial"/>
        <b/>
        <color theme="1"/>
      </rPr>
      <t>АЗ</t>
    </r>
  </si>
  <si>
    <r>
      <rPr>
        <rFont val="Arial"/>
        <color rgb="FF000000"/>
      </rPr>
      <t xml:space="preserve">Информатика (Аларкон </t>
    </r>
    <r>
      <rPr>
        <rFont val="Arial"/>
        <b/>
        <color rgb="FF000000"/>
      </rPr>
      <t>401</t>
    </r>
    <r>
      <rPr>
        <rFont val="Arial"/>
        <color rgb="FF000000"/>
      </rPr>
      <t>)</t>
    </r>
  </si>
  <si>
    <r>
      <t xml:space="preserve">Информатика (Воронцов, Старунова </t>
    </r>
    <r>
      <rPr>
        <rFont val="Arial"/>
        <b/>
        <color rgb="FF000000"/>
      </rPr>
      <t>408</t>
    </r>
    <r>
      <rPr>
        <rFont val="Arial"/>
        <color rgb="FF000000"/>
      </rPr>
      <t>)</t>
    </r>
  </si>
  <si>
    <r>
      <rPr>
        <rFont val="Roboto, RobotoDraft, Helvetica, Arial, sans-serif"/>
        <b/>
        <color rgb="FF000000"/>
        <sz val="12.0"/>
      </rPr>
      <t xml:space="preserve">Тренинг внутришкольный 7Т </t>
    </r>
    <r>
      <rPr>
        <rFont val="Roboto, RobotoDraft, Helvetica, Arial, sans-serif"/>
        <b/>
        <color rgb="FF000000"/>
        <sz val="12.0"/>
      </rPr>
      <t>406</t>
    </r>
  </si>
  <si>
    <r>
      <rPr>
        <rFont val="Arial"/>
        <color rgb="FF000000"/>
      </rPr>
      <t xml:space="preserve">Англ (Слоневская) </t>
    </r>
    <r>
      <rPr>
        <rFont val="Arial"/>
        <b/>
        <color rgb="FF000000"/>
      </rPr>
      <t>404</t>
    </r>
  </si>
  <si>
    <r>
      <rPr>
        <rFont val="Arial"/>
        <color rgb="FF000000"/>
      </rPr>
      <t xml:space="preserve">Англ (Домбровская) </t>
    </r>
    <r>
      <rPr>
        <rFont val="Arial"/>
        <b/>
        <color rgb="FF000000"/>
      </rPr>
      <t>405</t>
    </r>
  </si>
  <si>
    <r>
      <rPr>
        <rFont val="Arial"/>
        <color rgb="FF000000"/>
      </rPr>
      <t xml:space="preserve">Алгебра (Абрамов) </t>
    </r>
    <r>
      <rPr>
        <rFont val="Arial"/>
        <b/>
        <color rgb="FF000000"/>
      </rPr>
      <t>209</t>
    </r>
  </si>
  <si>
    <r>
      <rPr>
        <rFont val="Arial"/>
        <color rgb="FF000000"/>
      </rPr>
      <t xml:space="preserve">Русский (Харитонов)  </t>
    </r>
    <r>
      <rPr>
        <rFont val="Arial"/>
        <b/>
        <color rgb="FF000000"/>
      </rPr>
      <t>201</t>
    </r>
  </si>
  <si>
    <r>
      <rPr>
        <rFont val="Arial"/>
        <color rgb="FF000000"/>
      </rPr>
      <t xml:space="preserve">Общество  (Куницын) </t>
    </r>
    <r>
      <rPr>
        <rFont val="Arial"/>
        <b/>
        <color rgb="FF000000"/>
      </rPr>
      <t>503</t>
    </r>
  </si>
  <si>
    <r>
      <rPr>
        <rFont val="Arial"/>
        <color rgb="FF000000"/>
      </rPr>
      <t xml:space="preserve">Англ (Алехина) </t>
    </r>
    <r>
      <rPr>
        <rFont val="Arial"/>
        <b/>
        <color rgb="FF000000"/>
      </rPr>
      <t>403</t>
    </r>
  </si>
  <si>
    <r>
      <rPr>
        <rFont val="Arial"/>
        <color rgb="FF000000"/>
      </rPr>
      <t xml:space="preserve">Англ (Шевелев) </t>
    </r>
    <r>
      <rPr>
        <rFont val="Arial"/>
        <b/>
        <color rgb="FF000000"/>
      </rPr>
      <t>210</t>
    </r>
  </si>
  <si>
    <r>
      <rPr>
        <rFont val="Arial"/>
        <color rgb="FF000000"/>
      </rPr>
      <t xml:space="preserve">Литература (Решетников) </t>
    </r>
    <r>
      <rPr>
        <rFont val="Arial"/>
        <b/>
        <color rgb="FF000000"/>
      </rPr>
      <t>202</t>
    </r>
  </si>
  <si>
    <r>
      <rPr>
        <rFont val="Arial"/>
        <color rgb="FF000000"/>
      </rPr>
      <t xml:space="preserve">Информатика (Аларкон </t>
    </r>
    <r>
      <rPr>
        <rFont val="Arial"/>
        <b/>
        <color rgb="FF000000"/>
      </rPr>
      <t>401</t>
    </r>
    <r>
      <rPr>
        <rFont val="Arial"/>
        <color rgb="FF000000"/>
      </rPr>
      <t>)</t>
    </r>
  </si>
  <si>
    <r>
      <t xml:space="preserve">Информатика (Воронцов, Старунова </t>
    </r>
    <r>
      <rPr>
        <rFont val="Arial"/>
        <b/>
        <color rgb="FF000000"/>
      </rPr>
      <t>408</t>
    </r>
    <r>
      <rPr>
        <rFont val="Arial"/>
        <color rgb="FF000000"/>
      </rPr>
      <t>)</t>
    </r>
  </si>
  <si>
    <r>
      <rPr>
        <rFont val="Arial"/>
        <color rgb="FF000000"/>
      </rPr>
      <t xml:space="preserve">Англ (Слоневская) </t>
    </r>
    <r>
      <rPr>
        <rFont val="Arial"/>
        <b/>
        <color rgb="FF000000"/>
      </rPr>
      <t>404</t>
    </r>
  </si>
  <si>
    <r>
      <rPr>
        <rFont val="Arial"/>
        <color rgb="FF000000"/>
      </rPr>
      <t xml:space="preserve">Англ (Домбровская) </t>
    </r>
    <r>
      <rPr>
        <rFont val="Arial"/>
        <b/>
        <color rgb="FF000000"/>
      </rPr>
      <t>405</t>
    </r>
  </si>
  <si>
    <r>
      <rPr>
        <rFont val="Arial"/>
        <color rgb="FF000000"/>
      </rPr>
      <t xml:space="preserve">Алгебра (Абрамов) </t>
    </r>
    <r>
      <rPr>
        <rFont val="Arial"/>
        <b/>
        <color rgb="FF000000"/>
      </rPr>
      <t>209</t>
    </r>
  </si>
  <si>
    <r>
      <rPr>
        <rFont val="Arial"/>
        <color rgb="FF000000"/>
      </rPr>
      <t xml:space="preserve">Физика  (Репнев) </t>
    </r>
    <r>
      <rPr>
        <rFont val="Arial"/>
        <b/>
        <color rgb="FF000000"/>
      </rPr>
      <t>402</t>
    </r>
  </si>
  <si>
    <r>
      <rPr>
        <rFont val="Arial"/>
        <color rgb="FF000000"/>
      </rPr>
      <t xml:space="preserve">Право (Куницын) </t>
    </r>
    <r>
      <rPr>
        <rFont val="Arial"/>
        <b/>
        <color rgb="FF000000"/>
      </rPr>
      <t>503</t>
    </r>
  </si>
  <si>
    <r>
      <rPr>
        <rFont val="Arial"/>
        <color rgb="FF000000"/>
      </rPr>
      <t xml:space="preserve">Русский (Харитонов)  </t>
    </r>
    <r>
      <rPr>
        <rFont val="Arial"/>
        <b/>
        <color rgb="FF000000"/>
      </rPr>
      <t>201</t>
    </r>
  </si>
  <si>
    <r>
      <rPr>
        <rFont val="Arial"/>
        <color rgb="FF000000"/>
      </rPr>
      <t xml:space="preserve">Информатика (Старунова) </t>
    </r>
    <r>
      <rPr>
        <rFont val="Arial"/>
        <b/>
        <color rgb="FF000000"/>
      </rPr>
      <t>408</t>
    </r>
  </si>
  <si>
    <r>
      <rPr>
        <rFont val="Arial"/>
        <color theme="1"/>
      </rPr>
      <t xml:space="preserve">Театр (Обидина, Носкова) </t>
    </r>
    <r>
      <rPr>
        <rFont val="Arial"/>
        <b/>
        <color theme="1"/>
      </rPr>
      <t>АЗ</t>
    </r>
  </si>
  <si>
    <r>
      <rPr>
        <rFont val="Arial"/>
        <color theme="1"/>
      </rPr>
      <t xml:space="preserve">Литература (Решетников) </t>
    </r>
    <r>
      <rPr>
        <rFont val="Arial"/>
        <b/>
        <color theme="1"/>
      </rPr>
      <t>202</t>
    </r>
    <r>
      <rPr>
        <rFont val="Arial"/>
        <color theme="1"/>
      </rPr>
      <t xml:space="preserve">   </t>
    </r>
  </si>
  <si>
    <r>
      <rPr>
        <rFont val="Arial"/>
        <color rgb="FF000000"/>
      </rPr>
      <t xml:space="preserve">Англ (Алехина) </t>
    </r>
    <r>
      <rPr>
        <rFont val="Arial"/>
        <b/>
        <color rgb="FF000000"/>
      </rPr>
      <t>403</t>
    </r>
  </si>
  <si>
    <r>
      <rPr>
        <rFont val="Arial"/>
        <color rgb="FF000000"/>
      </rPr>
      <t xml:space="preserve">Англ (Шевелев) </t>
    </r>
    <r>
      <rPr>
        <rFont val="Arial"/>
        <b/>
        <color rgb="FF000000"/>
      </rPr>
      <t>210</t>
    </r>
  </si>
  <si>
    <r>
      <rPr>
        <rFont val="Arial"/>
        <color rgb="FF000000"/>
      </rPr>
      <t xml:space="preserve">Англ (Домбровская) </t>
    </r>
    <r>
      <rPr>
        <rFont val="Arial"/>
        <b/>
        <color rgb="FF000000"/>
      </rPr>
      <t>405</t>
    </r>
  </si>
  <si>
    <r>
      <rPr>
        <rFont val="Arial"/>
        <color rgb="FF000000"/>
      </rPr>
      <t xml:space="preserve">Англ (Слоневская) </t>
    </r>
    <r>
      <rPr>
        <rFont val="Arial"/>
        <b/>
        <color rgb="FF0000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</si>
  <si>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</si>
  <si>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rgb="FF000000"/>
      </rPr>
      <t xml:space="preserve">Физика  (Репнев) </t>
    </r>
    <r>
      <rPr>
        <rFont val="Arial"/>
        <b/>
        <color rgb="FF000000"/>
      </rPr>
      <t>402</t>
    </r>
  </si>
  <si>
    <r>
      <rPr>
        <rFont val="Arial"/>
        <color rgb="FF000000"/>
      </rPr>
      <t xml:space="preserve">Право (Куницын) </t>
    </r>
    <r>
      <rPr>
        <rFont val="Arial"/>
        <b/>
        <color rgb="FF000000"/>
      </rPr>
      <t>503</t>
    </r>
  </si>
  <si>
    <r>
      <rPr>
        <rFont val="Arial"/>
        <color rgb="FF000000"/>
      </rPr>
      <t xml:space="preserve">Русский (Харитонов)  </t>
    </r>
    <r>
      <rPr>
        <rFont val="Arial"/>
        <b/>
        <color rgb="FF000000"/>
      </rPr>
      <t>201</t>
    </r>
  </si>
  <si>
    <r>
      <rPr>
        <rFont val="Arial"/>
        <color rgb="FF000000"/>
      </rPr>
      <t xml:space="preserve">Информатика (Старунова) </t>
    </r>
    <r>
      <rPr>
        <rFont val="Arial"/>
        <b/>
        <color rgb="FF000000"/>
      </rPr>
      <t>408</t>
    </r>
  </si>
  <si>
    <r>
      <rPr>
        <rFont val="Arial"/>
        <color theme="1"/>
      </rPr>
      <t xml:space="preserve">Литература (Решетников) </t>
    </r>
    <r>
      <rPr>
        <rFont val="Arial"/>
        <b/>
        <color theme="1"/>
      </rPr>
      <t>202</t>
    </r>
    <r>
      <rPr>
        <rFont val="Arial"/>
        <color theme="1"/>
      </rPr>
      <t xml:space="preserve">   </t>
    </r>
  </si>
  <si>
    <r>
      <rPr>
        <rFont val="Arial"/>
        <color rgb="FF000000"/>
      </rPr>
      <t xml:space="preserve">Англ (Алехина) </t>
    </r>
    <r>
      <rPr>
        <rFont val="Arial"/>
        <b/>
        <color rgb="FF000000"/>
      </rPr>
      <t>403</t>
    </r>
  </si>
  <si>
    <r>
      <rPr>
        <rFont val="Arial"/>
        <color rgb="FF000000"/>
      </rPr>
      <t xml:space="preserve">Англ (Шевелев) </t>
    </r>
    <r>
      <rPr>
        <rFont val="Arial"/>
        <b/>
        <color rgb="FF000000"/>
      </rPr>
      <t>210</t>
    </r>
  </si>
  <si>
    <r>
      <rPr>
        <rFont val="Arial"/>
        <color rgb="FF000000"/>
      </rPr>
      <t xml:space="preserve">Англ (Домбровская) </t>
    </r>
    <r>
      <rPr>
        <rFont val="Arial"/>
        <b/>
        <color rgb="FF000000"/>
      </rPr>
      <t>405</t>
    </r>
  </si>
  <si>
    <r>
      <rPr>
        <rFont val="Arial"/>
        <color rgb="FF000000"/>
      </rPr>
      <t xml:space="preserve">Англ (Слоневская) </t>
    </r>
    <r>
      <rPr>
        <rFont val="Arial"/>
        <b/>
        <color rgb="FF0000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</si>
  <si>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</si>
  <si>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Roboto,Arial"/>
        <color rgb="FF222222"/>
      </rPr>
      <t xml:space="preserve">История </t>
    </r>
    <r>
      <rPr>
        <rFont val="Roboto,Arial"/>
        <color rgb="FF222222"/>
      </rPr>
      <t xml:space="preserve">(Куницын) </t>
    </r>
    <r>
      <rPr>
        <rFont val="Roboto,Arial"/>
        <b/>
        <color rgb="FF222222"/>
      </rPr>
      <t>202</t>
    </r>
  </si>
  <si>
    <r>
      <rPr>
        <rFont val="Roboto,Arial"/>
        <color rgb="FF000000"/>
      </rPr>
      <t xml:space="preserve">Общество (Куницын) </t>
    </r>
    <r>
      <rPr>
        <rFont val="Roboto,Arial"/>
        <b/>
        <color rgb="FF000000"/>
      </rPr>
      <t>503</t>
    </r>
  </si>
  <si>
    <r>
      <rPr>
        <rFont val="Arial"/>
        <color rgb="FF000000"/>
      </rPr>
      <t xml:space="preserve">Физика (Репнев) </t>
    </r>
    <r>
      <rPr>
        <rFont val="Arial"/>
        <b/>
        <color rgb="FF000000"/>
      </rPr>
      <t>402</t>
    </r>
  </si>
  <si>
    <r>
      <rPr>
        <rFont val="Arial"/>
        <color rgb="FF000000"/>
      </rPr>
      <t xml:space="preserve">Русский (Харитонов)  </t>
    </r>
    <r>
      <rPr>
        <rFont val="Arial"/>
        <b/>
        <color rgb="FF000000"/>
      </rPr>
      <t>201</t>
    </r>
  </si>
  <si>
    <r>
      <rPr>
        <rFont val="Arial"/>
        <color rgb="FF000000"/>
      </rPr>
      <t xml:space="preserve">Англ (Алехина) </t>
    </r>
    <r>
      <rPr>
        <rFont val="Arial"/>
        <b/>
        <color rgb="FF000000"/>
      </rPr>
      <t>403</t>
    </r>
  </si>
  <si>
    <r>
      <rPr>
        <rFont val="Arial"/>
        <color rgb="FF000000"/>
      </rPr>
      <t xml:space="preserve">Англ (Шевелев) </t>
    </r>
    <r>
      <rPr>
        <rFont val="Arial"/>
        <b/>
        <color rgb="FF000000"/>
      </rPr>
      <t>210</t>
    </r>
  </si>
  <si>
    <r>
      <rPr>
        <rFont val="Arial"/>
        <color rgb="FF000000"/>
      </rPr>
      <t xml:space="preserve">Англ (Домбровская) </t>
    </r>
    <r>
      <rPr>
        <rFont val="Arial"/>
        <b/>
        <color rgb="FF000000"/>
      </rPr>
      <t>405</t>
    </r>
  </si>
  <si>
    <r>
      <rPr>
        <rFont val="Arial"/>
        <color rgb="FF000000"/>
      </rPr>
      <t xml:space="preserve">Геометрия (Абрамов) </t>
    </r>
    <r>
      <rPr>
        <rFont val="Arial"/>
        <b/>
        <color rgb="FF000000"/>
      </rPr>
      <t>209</t>
    </r>
  </si>
  <si>
    <r>
      <rPr>
        <rFont val="Arial"/>
        <color theme="1"/>
      </rPr>
      <t xml:space="preserve">Театр (Обидина, Носкова) </t>
    </r>
    <r>
      <rPr>
        <rFont val="Arial"/>
        <b/>
        <color theme="1"/>
      </rPr>
      <t>АЗ</t>
    </r>
  </si>
  <si>
    <r>
      <rPr>
        <rFont val="Arial"/>
        <color rgb="FF000000"/>
      </rPr>
      <t xml:space="preserve">Матпрак (Исмаилов, Латыпова) </t>
    </r>
    <r>
      <rPr>
        <rFont val="Arial"/>
        <b/>
        <color rgb="FF000000"/>
      </rPr>
      <t>501</t>
    </r>
  </si>
  <si>
    <r>
      <rPr>
        <rFont val="Arial"/>
        <color theme="1"/>
      </rPr>
      <t xml:space="preserve">Доп. Матпрак (Попович) </t>
    </r>
    <r>
      <rPr>
        <rFont val="Arial"/>
        <b/>
        <color theme="1"/>
      </rPr>
      <t>202</t>
    </r>
  </si>
  <si>
    <r>
      <rPr>
        <rFont val="Arial"/>
        <color rgb="FF000000"/>
      </rPr>
      <t xml:space="preserve">Русский (Хуснутдинов)  </t>
    </r>
    <r>
      <rPr>
        <rFont val="Arial"/>
        <b/>
        <color rgb="FF000000"/>
      </rPr>
      <t>406</t>
    </r>
  </si>
  <si>
    <r>
      <rPr>
        <rFont val="Roboto,Arial"/>
        <color rgb="FF000000"/>
      </rPr>
      <t xml:space="preserve">Общество (Куницын) </t>
    </r>
    <r>
      <rPr>
        <rFont val="Roboto,Arial"/>
        <b/>
        <color rgb="FF000000"/>
      </rPr>
      <t>202</t>
    </r>
  </si>
  <si>
    <r>
      <rPr>
        <rFont val="Roboto,Arial"/>
        <color rgb="FF000000"/>
      </rPr>
      <t xml:space="preserve">Общество (Куницын) </t>
    </r>
    <r>
      <rPr>
        <rFont val="Roboto,Arial"/>
        <b/>
        <color rgb="FF000000"/>
      </rPr>
      <t>503</t>
    </r>
  </si>
  <si>
    <r>
      <rPr>
        <rFont val="Arial"/>
        <color rgb="FF000000"/>
      </rPr>
      <t xml:space="preserve">Физика (Репнев) </t>
    </r>
    <r>
      <rPr>
        <rFont val="Arial"/>
        <b/>
        <color rgb="FF000000"/>
      </rPr>
      <t>402</t>
    </r>
  </si>
  <si>
    <r>
      <rPr>
        <rFont val="Arial"/>
        <color rgb="FF000000"/>
      </rPr>
      <t xml:space="preserve">Русский (Харитонов)  </t>
    </r>
    <r>
      <rPr>
        <rFont val="Arial"/>
        <b/>
        <color rgb="FF000000"/>
      </rPr>
      <t>201</t>
    </r>
  </si>
  <si>
    <r>
      <rPr>
        <rFont val="Arial"/>
        <color rgb="FF000000"/>
      </rPr>
      <t xml:space="preserve">Англ (Алехина) </t>
    </r>
    <r>
      <rPr>
        <rFont val="Arial"/>
        <b/>
        <color rgb="FF000000"/>
      </rPr>
      <t>403</t>
    </r>
  </si>
  <si>
    <r>
      <rPr>
        <rFont val="Arial"/>
        <color rgb="FF000000"/>
      </rPr>
      <t xml:space="preserve">Англ (Шевелев) </t>
    </r>
    <r>
      <rPr>
        <rFont val="Arial"/>
        <b/>
        <color rgb="FF000000"/>
      </rPr>
      <t>210</t>
    </r>
  </si>
  <si>
    <r>
      <rPr>
        <rFont val="Arial"/>
        <color rgb="FF000000"/>
      </rPr>
      <t xml:space="preserve">Англ (Домбровская) </t>
    </r>
    <r>
      <rPr>
        <rFont val="Arial"/>
        <b/>
        <color rgb="FF000000"/>
      </rPr>
      <t>405</t>
    </r>
  </si>
  <si>
    <r>
      <rPr>
        <rFont val="Arial"/>
        <color theme="1"/>
      </rPr>
      <t xml:space="preserve">Театр (Обидина, Носкова) </t>
    </r>
    <r>
      <rPr>
        <rFont val="Arial"/>
        <b/>
        <color theme="1"/>
      </rPr>
      <t>АЗ</t>
    </r>
  </si>
  <si>
    <r>
      <t xml:space="preserve">Геометрия (Абрамов) </t>
    </r>
    <r>
      <rPr>
        <rFont val="Arial"/>
        <b/>
        <color rgb="FF000000"/>
      </rPr>
      <t>209</t>
    </r>
  </si>
  <si>
    <r>
      <rPr>
        <rFont val="Arial"/>
        <color rgb="FF000000"/>
      </rPr>
      <t xml:space="preserve">Матпрак (Исмаилов, Латыпова) </t>
    </r>
    <r>
      <rPr>
        <rFont val="Arial"/>
        <b/>
        <color rgb="FF000000"/>
      </rPr>
      <t>501</t>
    </r>
  </si>
  <si>
    <r>
      <rPr>
        <rFont val="Arial"/>
        <color theme="1"/>
      </rPr>
      <t xml:space="preserve">Доп. Матпрак (Попович) </t>
    </r>
    <r>
      <rPr>
        <rFont val="Arial"/>
        <b/>
        <color theme="1"/>
      </rPr>
      <t>202</t>
    </r>
  </si>
  <si>
    <r>
      <rPr>
        <rFont val="Arial"/>
        <color rgb="FF000000"/>
      </rPr>
      <t xml:space="preserve">Русский (Хуснутдинов)   </t>
    </r>
    <r>
      <rPr>
        <rFont val="Arial"/>
        <b/>
        <color rgb="FF000000"/>
      </rPr>
      <t>406</t>
    </r>
    <r>
      <rPr>
        <rFont val="Arial"/>
        <color rgb="FF0000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</si>
  <si>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</si>
  <si>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000000"/>
      </rPr>
      <t xml:space="preserve">Экономика (Куницын) </t>
    </r>
    <r>
      <rPr>
        <rFont val="Arial"/>
        <b/>
        <color rgb="FF000000"/>
      </rPr>
      <t>503</t>
    </r>
  </si>
  <si>
    <r>
      <rPr>
        <rFont val="Arial"/>
        <color rgb="FF000000"/>
      </rPr>
      <t xml:space="preserve">Физика ЕГЭ Репнев </t>
    </r>
    <r>
      <rPr>
        <rFont val="Arial"/>
        <b/>
        <color rgb="FF000000"/>
      </rPr>
      <t>402</t>
    </r>
  </si>
  <si>
    <r>
      <rPr>
        <rFont val="Arial"/>
        <color rgb="FF000000"/>
      </rPr>
      <t xml:space="preserve">Хор (Краснова и Никулова) </t>
    </r>
    <r>
      <rPr>
        <rFont val="Arial"/>
        <b/>
        <color rgb="FF000000"/>
      </rPr>
      <t>КЗ</t>
    </r>
  </si>
  <si>
    <r>
      <rPr>
        <rFont val="Arial"/>
        <color rgb="FF000000"/>
      </rPr>
      <t xml:space="preserve">Литература (Харитонов)  </t>
    </r>
    <r>
      <rPr>
        <rFont val="Arial"/>
        <b/>
        <color rgb="FF000000"/>
      </rPr>
      <t>201</t>
    </r>
  </si>
  <si>
    <r>
      <rPr>
        <rFont val="Arial"/>
        <color rgb="FF000000"/>
      </rPr>
      <t xml:space="preserve">Англ (Алехина) </t>
    </r>
    <r>
      <rPr>
        <rFont val="Arial"/>
        <b/>
        <color rgb="FF000000"/>
      </rPr>
      <t>403</t>
    </r>
  </si>
  <si>
    <r>
      <rPr>
        <rFont val="Arial"/>
        <color rgb="FF000000"/>
      </rPr>
      <t xml:space="preserve">Англ (Шевелев) </t>
    </r>
    <r>
      <rPr>
        <rFont val="Arial"/>
        <b/>
        <color rgb="FF000000"/>
      </rPr>
      <t>210</t>
    </r>
  </si>
  <si>
    <r>
      <rPr>
        <rFont val="Arial"/>
        <color rgb="FF000000"/>
      </rPr>
      <t xml:space="preserve">Англ (Домбровская) </t>
    </r>
    <r>
      <rPr>
        <rFont val="Arial"/>
        <b/>
        <color rgb="FF000000"/>
      </rPr>
      <t>405</t>
    </r>
  </si>
  <si>
    <r>
      <rPr>
        <rFont val="Arial"/>
        <color rgb="FF000000"/>
      </rPr>
      <t xml:space="preserve">Хор (Краснова и Никулова) </t>
    </r>
    <r>
      <rPr>
        <rFont val="Arial"/>
        <b/>
        <color rgb="FF000000"/>
      </rPr>
      <t>КЗ</t>
    </r>
  </si>
  <si>
    <r>
      <rPr>
        <rFont val="Arial"/>
        <color rgb="FF000000"/>
      </rPr>
      <t xml:space="preserve">Геометрия (Абрамов) </t>
    </r>
    <r>
      <rPr>
        <rFont val="Arial"/>
        <b/>
        <color rgb="FF000000"/>
      </rPr>
      <t>209</t>
    </r>
  </si>
  <si>
    <r>
      <rPr>
        <rFont val="Arial"/>
        <color rgb="FF000000"/>
      </rPr>
      <t xml:space="preserve">ОБЖ (Носкова) </t>
    </r>
    <r>
      <rPr>
        <rFont val="Arial"/>
        <b/>
        <color rgb="FF000000"/>
      </rPr>
      <t>406</t>
    </r>
  </si>
  <si>
    <r>
      <rPr>
        <rFont val="Arial"/>
        <color theme="1"/>
      </rPr>
      <t xml:space="preserve">Доп. Матпрак (Попович) </t>
    </r>
    <r>
      <rPr>
        <rFont val="Arial"/>
        <b/>
        <color theme="1"/>
      </rPr>
      <t>202</t>
    </r>
  </si>
  <si>
    <r>
      <rPr>
        <rFont val="Arial"/>
        <color rgb="FF000000"/>
      </rPr>
      <t xml:space="preserve">Русский (Хуснутдинов)  </t>
    </r>
    <r>
      <rPr>
        <rFont val="Arial"/>
        <b/>
        <color rgb="FF0000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</si>
  <si>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</si>
  <si>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rPr>
      <t xml:space="preserve">Театр (Обидина) </t>
    </r>
    <r>
      <rPr>
        <rFont val="Arial"/>
        <b/>
        <color theme="1"/>
      </rPr>
      <t>АЗ</t>
    </r>
  </si>
  <si>
    <r>
      <rPr>
        <rFont val="Arial"/>
        <color rgb="FF000000"/>
      </rPr>
      <t xml:space="preserve">Англ (Алехина) </t>
    </r>
    <r>
      <rPr>
        <rFont val="Arial"/>
        <b/>
        <color rgb="FF000000"/>
      </rPr>
      <t>403</t>
    </r>
  </si>
  <si>
    <r>
      <rPr>
        <rFont val="Arial"/>
        <color rgb="FF000000"/>
      </rPr>
      <t xml:space="preserve">Англ (Шевелев) </t>
    </r>
    <r>
      <rPr>
        <rFont val="Arial"/>
        <b/>
        <color rgb="FF000000"/>
      </rPr>
      <t>210</t>
    </r>
  </si>
  <si>
    <r>
      <rPr>
        <rFont val="Arial"/>
        <color rgb="FF000000"/>
      </rPr>
      <t xml:space="preserve">Биология (Носкова)  </t>
    </r>
    <r>
      <rPr>
        <rFont val="Arial"/>
        <b/>
        <color rgb="FF000000"/>
      </rPr>
      <t>406</t>
    </r>
    <r>
      <rPr>
        <rFont val="Arial"/>
        <color rgb="FF000000"/>
      </rPr>
      <t xml:space="preserve">    </t>
    </r>
  </si>
  <si>
    <r>
      <rPr>
        <rFont val="Arial"/>
        <color rgb="FF000000"/>
      </rPr>
      <t xml:space="preserve">Геометрия (Абрамов) </t>
    </r>
    <r>
      <rPr>
        <rFont val="Arial"/>
        <b/>
        <color rgb="FF000000"/>
      </rPr>
      <t>209</t>
    </r>
  </si>
  <si>
    <r>
      <rPr>
        <rFont val="Arial"/>
        <color rgb="FF000000"/>
      </rPr>
      <t xml:space="preserve">Хор (Краснова и Никулова) </t>
    </r>
    <r>
      <rPr>
        <rFont val="Arial"/>
        <b/>
        <color rgb="FF000000"/>
      </rPr>
      <t>КЗ</t>
    </r>
  </si>
  <si>
    <r>
      <rPr>
        <rFont val="Arial"/>
        <color rgb="FF000000"/>
      </rPr>
      <t xml:space="preserve">Матпрак (Исмаилов, Латыпова) </t>
    </r>
    <r>
      <rPr>
        <rFont val="Arial"/>
        <b/>
        <color rgb="FF000000"/>
      </rPr>
      <t>409</t>
    </r>
  </si>
  <si>
    <r>
      <rPr>
        <rFont val="Arial"/>
        <color theme="1"/>
      </rPr>
      <t xml:space="preserve">Доп. Матпрак (Попович) </t>
    </r>
    <r>
      <rPr>
        <rFont val="Arial"/>
        <b/>
        <color theme="1"/>
      </rPr>
      <t>202</t>
    </r>
  </si>
  <si>
    <r>
      <rPr>
        <rFont val="Arial"/>
        <color theme="1"/>
      </rPr>
      <t xml:space="preserve">Физический практикум (подготовка к ГИА) Репнев </t>
    </r>
    <r>
      <rPr>
        <rFont val="Arial"/>
        <b/>
        <color theme="1"/>
      </rPr>
      <t>402</t>
    </r>
  </si>
  <si>
    <r>
      <rPr>
        <rFont val="Arial"/>
        <color theme="1"/>
      </rPr>
      <t xml:space="preserve">Театр (Обидина) </t>
    </r>
    <r>
      <rPr>
        <rFont val="Arial"/>
        <b/>
        <color theme="1"/>
      </rPr>
      <t>АЗ</t>
    </r>
  </si>
  <si>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</si>
  <si>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</si>
  <si>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</si>
  <si>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</si>
  <si>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</si>
  <si>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</si>
  <si>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</si>
  <si>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</si>
  <si>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</si>
  <si>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201</t>
    </r>
  </si>
  <si>
    <r>
      <rPr>
        <rFont val="Arial"/>
        <color theme="1"/>
        <sz val="10.0"/>
      </rPr>
      <t xml:space="preserve">Физика (Репнев) </t>
    </r>
    <r>
      <rPr>
        <rFont val="Arial"/>
        <b/>
        <color theme="1"/>
        <sz val="10.0"/>
      </rPr>
      <t>402</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</si>
  <si>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</si>
  <si>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</si>
  <si>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</si>
  <si>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</si>
  <si>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</si>
  <si>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</si>
  <si>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</si>
  <si>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201</t>
    </r>
  </si>
  <si>
    <r>
      <rPr>
        <rFont val="Arial"/>
        <color theme="1"/>
        <sz val="10.0"/>
      </rPr>
      <t xml:space="preserve">Геометрия (Абрамов) </t>
    </r>
    <r>
      <rPr>
        <rFont val="Arial"/>
        <b/>
        <color theme="1"/>
        <sz val="10.0"/>
      </rPr>
      <t>210</t>
    </r>
  </si>
  <si>
    <t>театр АЗ (Обидина, Носкова)</t>
  </si>
  <si>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</si>
  <si>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</si>
  <si>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</si>
  <si>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</si>
  <si>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</si>
  <si>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</si>
  <si>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</si>
  <si>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</si>
  <si>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</si>
  <si>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</si>
  <si>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</si>
  <si>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</si>
  <si>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</si>
  <si>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</si>
  <si>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</si>
  <si>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</si>
  <si>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</si>
  <si>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</si>
  <si>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</si>
  <si>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</si>
  <si>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</si>
  <si>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</si>
  <si>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</si>
  <si>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</si>
  <si>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</si>
  <si>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</si>
  <si>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</si>
  <si>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КЗ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</si>
  <si>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</si>
  <si>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</si>
  <si>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</si>
  <si>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</si>
  <si>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</si>
  <si>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Пипейкина) </t>
    </r>
    <r>
      <rPr>
        <rFont val="Arial"/>
        <b/>
        <color theme="1"/>
      </rPr>
      <t>АЗ</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</si>
  <si>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</si>
  <si>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</si>
  <si>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КЗ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</si>
  <si>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</si>
  <si>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</si>
  <si>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</si>
  <si>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</si>
  <si>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</si>
  <si>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Показ спектакля "Баллада о королевском бутерброде" АЗ</t>
  </si>
  <si>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</si>
  <si>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</si>
  <si>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</si>
  <si>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</si>
  <si>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</si>
  <si>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</si>
  <si>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</si>
  <si>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</si>
  <si>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</si>
  <si>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</si>
  <si>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t>Психология (Шерашова) 409</t>
  </si>
  <si>
    <r>
      <rPr>
        <rFont val="Arial"/>
        <color theme="1"/>
        <sz val="10.0"/>
      </rPr>
      <t xml:space="preserve">Исторические танцы (Пипейкина) </t>
    </r>
    <r>
      <rPr>
        <rFont val="Arial"/>
        <b/>
        <color theme="1"/>
        <sz val="10.0"/>
      </rPr>
      <t>504</t>
    </r>
  </si>
  <si>
    <t>КРУЖКИ: Практическая электроника (BEAM-роботы) 5-7кл (Рогацкина) 410, Каллиграфия 5-7кл (Хуснутдинов) 401, Исторические танцы (Пипейкина) 504</t>
  </si>
  <si>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</si>
  <si>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</si>
  <si>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</si>
  <si>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</si>
  <si>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</si>
  <si>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</si>
  <si>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</si>
  <si>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</si>
  <si>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</si>
  <si>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</si>
  <si>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</si>
  <si>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</si>
  <si>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</si>
  <si>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</si>
  <si>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</si>
  <si>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</si>
  <si>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</si>
  <si>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b/>
        <color rgb="FF990000"/>
        <sz val="10.0"/>
      </rPr>
      <t xml:space="preserve">ВШД диагностика ФИЗ (Хуснутдинов)  </t>
    </r>
    <r>
      <rPr>
        <rFont val="Arial"/>
        <b/>
        <color rgb="FF990000"/>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</si>
  <si>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</si>
  <si>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</si>
  <si>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</si>
  <si>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</si>
  <si>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</si>
  <si>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</si>
  <si>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</si>
  <si>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</si>
  <si>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</si>
  <si>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rPr>
      <t xml:space="preserve">Матпрак (Молькова) </t>
    </r>
    <r>
      <rPr>
        <rFont val="Arial"/>
        <b/>
        <color theme="1"/>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</si>
  <si>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</si>
  <si>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</si>
  <si>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</si>
  <si>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</si>
  <si>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</si>
  <si>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</si>
  <si>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</si>
  <si>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</si>
  <si>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</si>
  <si>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</si>
  <si>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</si>
  <si>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</si>
  <si>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</si>
  <si>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</si>
  <si>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</si>
  <si>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</si>
  <si>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</si>
  <si>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</si>
  <si>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</si>
  <si>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501</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</si>
  <si>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</si>
  <si>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</si>
  <si>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</si>
  <si>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</si>
  <si>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</si>
  <si>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</si>
  <si>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</si>
  <si>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</si>
  <si>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</si>
  <si>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</si>
  <si>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</si>
  <si>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</si>
  <si>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</si>
  <si>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</si>
  <si>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</si>
  <si>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</si>
  <si>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</si>
  <si>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</si>
  <si>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</si>
  <si>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</si>
  <si>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</si>
  <si>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</si>
  <si>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</si>
  <si>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</si>
  <si>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</si>
  <si>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</si>
  <si>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</si>
  <si>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</si>
  <si>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</si>
  <si>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</si>
  <si>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</si>
  <si>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</si>
  <si>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</si>
  <si>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</si>
  <si>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</si>
  <si>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</si>
  <si>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</si>
  <si>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</si>
  <si>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t>ДИСПАНСЕРИЗАЦИЯ 210 (специалистов проходим в зависимости от года рождения) с 9.00 по классам только для тех кто передал согласие от родителей.  Окулист 204, ЛОР 201, Невролог 201, Ортопед-хирург-уролог 209, эндокринолог 202, кровь 201, ЭКГ 203, педиатр 210</t>
  </si>
  <si>
    <r>
      <rPr>
        <rFont val="Arial"/>
        <color theme="1"/>
        <sz val="10.0"/>
      </rPr>
      <t>Русский (Харитонов) 4</t>
    </r>
    <r>
      <rPr>
        <rFont val="Arial"/>
        <b/>
        <color theme="1"/>
        <sz val="10.0"/>
      </rPr>
      <t>01</t>
    </r>
  </si>
  <si>
    <r>
      <rPr>
        <rFont val="Arial"/>
        <color theme="1"/>
        <sz val="10.0"/>
      </rPr>
      <t xml:space="preserve">Литература (Решетников) </t>
    </r>
    <r>
      <rPr>
        <rFont val="Arial"/>
        <b/>
        <color theme="1"/>
        <sz val="10.0"/>
      </rPr>
      <t>405</t>
    </r>
  </si>
  <si>
    <r>
      <rPr>
        <rFont val="Arial"/>
        <color theme="1"/>
        <sz val="10.0"/>
      </rPr>
      <t xml:space="preserve">Информатика (Старунова) </t>
    </r>
    <r>
      <rPr>
        <rFont val="Arial"/>
        <b/>
        <color theme="1"/>
        <sz val="10.0"/>
      </rPr>
      <t>408</t>
    </r>
  </si>
  <si>
    <t>ДИСПАНСЕРИЗАЦИЯ 210 (у кого отказ ко второму)</t>
  </si>
  <si>
    <t>Биология (Белоусова) 206</t>
  </si>
  <si>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</si>
  <si>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</si>
  <si>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География (Колечкин)   </t>
    </r>
    <r>
      <rPr>
        <rFont val="Arial"/>
        <b/>
        <color theme="1"/>
        <sz val="10.0"/>
      </rPr>
      <t xml:space="preserve">409             </t>
    </r>
  </si>
  <si>
    <r>
      <rPr>
        <rFont val="Arial"/>
        <color theme="1"/>
        <sz val="10.0"/>
      </rPr>
      <t xml:space="preserve">Информатика (Старунова) </t>
    </r>
    <r>
      <rPr>
        <rFont val="Arial"/>
        <b/>
        <color theme="1"/>
        <sz val="10.0"/>
      </rPr>
      <t>408</t>
    </r>
  </si>
  <si>
    <r>
      <rPr>
        <rFont val="Arial"/>
        <color theme="1"/>
        <sz val="10.0"/>
      </rPr>
      <t xml:space="preserve">Литература (Решетников) </t>
    </r>
    <r>
      <rPr>
        <rFont val="Arial"/>
        <b/>
        <color theme="1"/>
        <sz val="10.0"/>
      </rPr>
      <t>405</t>
    </r>
  </si>
  <si>
    <r>
      <rPr>
        <rFont val="Arial"/>
        <color theme="1"/>
        <sz val="10.0"/>
      </rPr>
      <t xml:space="preserve">Русский (Харитонов) </t>
    </r>
    <r>
      <rPr>
        <rFont val="Arial"/>
        <b/>
        <color theme="1"/>
        <sz val="10.0"/>
      </rPr>
      <t>КЗ</t>
    </r>
  </si>
  <si>
    <r>
      <rPr>
        <rFont val="Arial"/>
        <color theme="1"/>
        <sz val="10.0"/>
      </rPr>
      <t xml:space="preserve">Алгебра и стат.(Шерашова) </t>
    </r>
    <r>
      <rPr>
        <rFont val="Arial"/>
        <b/>
        <color theme="1"/>
        <sz val="10.0"/>
      </rPr>
      <t>401</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</si>
  <si>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</si>
  <si>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</si>
  <si>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</si>
  <si>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КЗ</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</si>
  <si>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</si>
  <si>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</si>
  <si>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sz val="10.0"/>
      </rPr>
      <t xml:space="preserve">Литература (Решетников) </t>
    </r>
    <r>
      <rPr>
        <rFont val="Arial"/>
        <b/>
        <color theme="1"/>
        <sz val="10.0"/>
      </rPr>
      <t>405</t>
    </r>
  </si>
  <si>
    <r>
      <rPr>
        <rFont val="Arial"/>
        <color theme="1"/>
        <sz val="10.0"/>
      </rPr>
      <t xml:space="preserve">Русский (Хуснутдинов)  </t>
    </r>
    <r>
      <rPr>
        <rFont val="Arial"/>
        <b/>
        <color theme="1"/>
        <sz val="10.0"/>
      </rPr>
      <t>406</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</si>
  <si>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</si>
  <si>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</si>
  <si>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</si>
  <si>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404</t>
    </r>
  </si>
  <si>
    <t>Математика (Дронзик) 405</t>
  </si>
  <si>
    <t>Матпрак (Митев) 403</t>
  </si>
  <si>
    <r>
      <rPr>
        <rFont val="Arial"/>
        <color theme="1"/>
        <sz val="10.0"/>
      </rPr>
      <t>Русский (Хуснутдинов)   2</t>
    </r>
    <r>
      <rPr>
        <rFont val="Arial"/>
        <b/>
        <color theme="1"/>
        <sz val="10.0"/>
      </rPr>
      <t>01</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</si>
  <si>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</si>
  <si>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</si>
  <si>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КЗ</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</si>
  <si>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</si>
  <si>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</si>
  <si>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</si>
  <si>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t>Математика (Заводов) 404</t>
  </si>
  <si>
    <r>
      <rPr>
        <rFont val="Arial"/>
        <color theme="1"/>
        <sz val="10.0"/>
      </rPr>
      <t xml:space="preserve">Математика (Дронзик) </t>
    </r>
    <r>
      <rPr>
        <rFont val="Arial"/>
        <b/>
        <color theme="1"/>
        <sz val="10.0"/>
      </rPr>
      <t>404</t>
    </r>
  </si>
  <si>
    <r>
      <rPr>
        <rFont val="Arial"/>
        <color theme="1"/>
        <sz val="10.0"/>
      </rPr>
      <t>Русский (Хуснутдинов)   2</t>
    </r>
    <r>
      <rPr>
        <rFont val="Arial"/>
        <b/>
        <color theme="1"/>
        <sz val="10.0"/>
      </rPr>
      <t xml:space="preserve">01     </t>
    </r>
  </si>
  <si>
    <r>
      <rPr>
        <rFont val="Arial"/>
        <color theme="1"/>
        <sz val="10.0"/>
      </rPr>
      <t xml:space="preserve">История (Белоус)  </t>
    </r>
    <r>
      <rPr>
        <rFont val="Arial"/>
        <b/>
        <color theme="1"/>
        <sz val="10.0"/>
      </rPr>
      <t xml:space="preserve">402     </t>
    </r>
  </si>
  <si>
    <r>
      <rPr>
        <rFont val="Arial"/>
        <color theme="1"/>
        <sz val="10.0"/>
      </rPr>
      <t xml:space="preserve">Литература (Решетников) </t>
    </r>
    <r>
      <rPr>
        <rFont val="Arial"/>
        <b/>
        <color theme="1"/>
        <sz val="10.0"/>
      </rPr>
      <t>202</t>
    </r>
  </si>
  <si>
    <r>
      <rPr>
        <rFont val="Arial"/>
        <color theme="1"/>
        <sz val="10.0"/>
      </rPr>
      <t xml:space="preserve">Русский (Харитонов)  </t>
    </r>
    <r>
      <rPr>
        <rFont val="Arial"/>
        <b/>
        <color theme="1"/>
        <sz val="10.0"/>
      </rPr>
      <t>КЗ</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</si>
  <si>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</si>
  <si>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</si>
  <si>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</si>
  <si>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</si>
  <si>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</si>
  <si>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Матпрак (Митев) </t>
    </r>
    <r>
      <rPr>
        <rFont val="Arial"/>
        <b/>
        <color theme="1"/>
        <sz val="10.0"/>
      </rPr>
      <t>403</t>
    </r>
  </si>
  <si>
    <r>
      <rPr>
        <rFont val="Arial"/>
        <color theme="1"/>
        <sz val="10.0"/>
      </rPr>
      <t xml:space="preserve">Математика (Дронзик) </t>
    </r>
    <r>
      <rPr>
        <rFont val="Arial"/>
        <b/>
        <color theme="1"/>
        <sz val="10.0"/>
      </rPr>
      <t>405</t>
    </r>
  </si>
  <si>
    <r>
      <rPr>
        <rFont val="Arial"/>
        <color theme="1"/>
        <sz val="10.0"/>
      </rPr>
      <t xml:space="preserve">История (Белоус)  </t>
    </r>
    <r>
      <rPr>
        <rFont val="Arial"/>
        <b/>
        <color theme="1"/>
        <sz val="10.0"/>
      </rPr>
      <t xml:space="preserve">402     </t>
    </r>
  </si>
  <si>
    <r>
      <rPr>
        <rFont val="Arial"/>
        <color theme="1"/>
        <sz val="10.0"/>
      </rPr>
      <t>Русский (Хуснутдинов) 2</t>
    </r>
    <r>
      <rPr>
        <rFont val="Arial"/>
        <b/>
        <color theme="1"/>
        <sz val="10.0"/>
      </rPr>
      <t xml:space="preserve">01      </t>
    </r>
  </si>
  <si>
    <t>Литература (Решетников) 202</t>
  </si>
  <si>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</si>
  <si>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</si>
  <si>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</si>
  <si>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</si>
  <si>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Математика (Дронзик) </t>
    </r>
    <r>
      <rPr>
        <rFont val="Arial"/>
        <b/>
        <color theme="1"/>
        <sz val="10.0"/>
      </rPr>
      <t>405</t>
    </r>
  </si>
  <si>
    <r>
      <rPr>
        <rFont val="Arial"/>
        <color theme="1"/>
        <sz val="10.0"/>
      </rPr>
      <t xml:space="preserve">История (Белоус)  </t>
    </r>
    <r>
      <rPr>
        <rFont val="Arial"/>
        <b/>
        <color theme="1"/>
        <sz val="10.0"/>
      </rPr>
      <t xml:space="preserve">402     </t>
    </r>
  </si>
  <si>
    <r>
      <rPr>
        <rFont val="Arial"/>
        <color theme="1"/>
        <sz val="10.0"/>
      </rPr>
      <t>Русский (Хуснутдинов)  201</t>
    </r>
    <r>
      <rPr>
        <rFont val="Arial"/>
        <b/>
        <color theme="1"/>
        <sz val="10.0"/>
      </rPr>
      <t xml:space="preserve"> </t>
    </r>
  </si>
  <si>
    <r>
      <rPr>
        <rFont val="Arial"/>
        <color theme="1"/>
        <sz val="10.0"/>
      </rPr>
      <t xml:space="preserve">Русский (Харитонов)  </t>
    </r>
    <r>
      <rPr>
        <rFont val="Arial"/>
        <b/>
        <color theme="1"/>
        <sz val="10.0"/>
      </rPr>
      <t>КЗ</t>
    </r>
  </si>
  <si>
    <r>
      <rPr>
        <rFont val="Arial"/>
        <color theme="1"/>
        <sz val="10.0"/>
      </rPr>
      <t xml:space="preserve">Литература (Решетников) </t>
    </r>
    <r>
      <rPr>
        <rFont val="Arial"/>
        <b/>
        <color theme="1"/>
        <sz val="10.0"/>
      </rPr>
      <t>202</t>
    </r>
  </si>
  <si>
    <t>Математика (Заводов) 209</t>
  </si>
  <si>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</si>
  <si>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</si>
  <si>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</si>
  <si>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</si>
  <si>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</si>
  <si>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201</t>
    </r>
  </si>
  <si>
    <r>
      <rPr>
        <rFont val="Arial"/>
        <color theme="1"/>
        <sz val="10.0"/>
      </rPr>
      <t xml:space="preserve">Математический анализ (Попович)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</si>
  <si>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</si>
  <si>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t>Доп. Матпрак (Латыпова) 202</t>
  </si>
  <si>
    <r>
      <rPr>
        <rFont val="Arial"/>
        <color theme="1"/>
        <sz val="10.0"/>
      </rPr>
      <t xml:space="preserve">Литра (Хуснутдинов) </t>
    </r>
    <r>
      <rPr>
        <rFont val="Arial"/>
        <b/>
        <color theme="1"/>
        <sz val="10.0"/>
      </rPr>
      <t>201</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</si>
  <si>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</si>
  <si>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</si>
  <si>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 РУС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</si>
  <si>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</si>
  <si>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</si>
  <si>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</si>
  <si>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</si>
  <si>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</si>
  <si>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</si>
  <si>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</si>
  <si>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</si>
  <si>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</si>
  <si>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</si>
  <si>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</si>
  <si>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</si>
  <si>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</si>
  <si>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</si>
  <si>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</si>
  <si>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</si>
  <si>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</si>
  <si>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</si>
  <si>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</si>
  <si>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</si>
  <si>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</si>
  <si>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t>Общество (Белоус) 409</t>
  </si>
  <si>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</si>
  <si>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</si>
  <si>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</si>
  <si>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</si>
  <si>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</si>
  <si>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</si>
  <si>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</si>
  <si>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</si>
  <si>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</si>
  <si>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</si>
  <si>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</si>
  <si>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</si>
  <si>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</si>
  <si>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</si>
  <si>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</si>
  <si>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</si>
  <si>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</si>
  <si>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</si>
  <si>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</si>
  <si>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</si>
  <si>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</si>
  <si>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</si>
  <si>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</si>
  <si>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Информатика (Старунова) </t>
    </r>
    <r>
      <rPr>
        <rFont val="Arial"/>
        <b/>
        <color theme="1"/>
        <sz val="10.0"/>
      </rPr>
      <t>406</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</si>
  <si>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</si>
  <si>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</si>
  <si>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</si>
  <si>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</si>
  <si>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</si>
  <si>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</si>
  <si>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</si>
  <si>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</si>
  <si>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</si>
  <si>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</si>
  <si>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Информатика (Старунова) </t>
    </r>
    <r>
      <rPr>
        <rFont val="Arial"/>
        <b/>
        <color theme="1"/>
        <sz val="10.0"/>
      </rPr>
      <t>406</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</si>
  <si>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</si>
  <si>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</si>
  <si>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</si>
  <si>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</si>
  <si>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</si>
  <si>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</si>
  <si>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</si>
  <si>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</si>
  <si>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</si>
  <si>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</si>
  <si>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</si>
  <si>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</si>
  <si>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</si>
  <si>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</si>
  <si>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</si>
  <si>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</si>
  <si>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</si>
  <si>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</si>
  <si>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</si>
  <si>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</si>
  <si>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</si>
  <si>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</si>
  <si>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</si>
  <si>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</si>
  <si>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</si>
  <si>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</si>
  <si>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</si>
  <si>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t>Калининградские гости смотрят "Королевский Бутерброд" в АЗ</t>
  </si>
  <si>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</si>
  <si>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</si>
  <si>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</si>
  <si>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</si>
  <si>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</si>
  <si>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</si>
  <si>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</si>
  <si>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</si>
  <si>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</si>
  <si>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</si>
  <si>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</si>
  <si>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</si>
  <si>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</si>
  <si>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</si>
  <si>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</si>
  <si>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</si>
  <si>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</si>
  <si>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</si>
  <si>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</si>
  <si>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</si>
  <si>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</si>
  <si>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</si>
  <si>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</si>
  <si>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</si>
  <si>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</si>
  <si>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</si>
  <si>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</si>
  <si>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</si>
  <si>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</si>
  <si>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</si>
  <si>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</si>
  <si>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</si>
  <si>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</si>
  <si>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</si>
  <si>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</si>
  <si>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</si>
  <si>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</si>
  <si>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</si>
  <si>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</si>
  <si>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</si>
  <si>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</si>
  <si>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</si>
  <si>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</si>
  <si>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</si>
  <si>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</si>
  <si>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</si>
  <si>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</si>
  <si>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</si>
  <si>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</si>
  <si>
    <r>
      <rPr>
        <rFont val="Roboto, RobotoDraft, Helvetica, Arial, sans-serif"/>
        <color rgb="FF000000"/>
      </rPr>
      <t xml:space="preserve">Общество (Куницын)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</si>
  <si>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</si>
  <si>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</si>
  <si>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</si>
  <si>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</si>
  <si>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</si>
  <si>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</si>
  <si>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</si>
  <si>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</si>
  <si>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</si>
  <si>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</si>
  <si>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406</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</si>
  <si>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</si>
  <si>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</si>
  <si>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</si>
  <si>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</si>
  <si>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</si>
  <si>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</si>
  <si>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</si>
  <si>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</si>
  <si>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</si>
  <si>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</si>
  <si>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406</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</si>
  <si>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</si>
  <si>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</si>
  <si>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</si>
  <si>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</si>
  <si>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</si>
  <si>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</si>
  <si>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</si>
  <si>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</si>
  <si>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</si>
  <si>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401</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</si>
  <si>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</si>
  <si>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</si>
  <si>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</si>
  <si>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Матпрак (Исмаилов, Латыпова) 401</t>
  </si>
  <si>
    <t>У нас в  здании проходит "Конференция Авангард" с Таможенного! Обязательно в пятницу забрать ВСЮ сменку и личные вещи!!!</t>
  </si>
  <si>
    <t>х</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</si>
  <si>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</si>
  <si>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</si>
  <si>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</si>
  <si>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</si>
  <si>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t>Диагностика МЦКО Математика 406,408 (Белоyсова, Журавлева) всем необходимо быть в 8.45. Вещи и телефоны оставляем перед аудиторией</t>
  </si>
  <si>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</si>
  <si>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(Репнев)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</si>
  <si>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</si>
  <si>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</si>
  <si>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</si>
  <si>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</si>
  <si>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</si>
  <si>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</si>
  <si>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</si>
  <si>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</si>
  <si>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</si>
  <si>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</si>
  <si>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</si>
  <si>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</si>
  <si>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</si>
  <si>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</si>
  <si>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</si>
  <si>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</si>
  <si>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</si>
  <si>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</si>
  <si>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</si>
  <si>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</si>
  <si>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</si>
  <si>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</si>
  <si>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</si>
  <si>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</si>
  <si>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</si>
  <si>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</si>
  <si>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t>театр АЗ (Пипейкина, Носкова)</t>
  </si>
  <si>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</si>
  <si>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</si>
  <si>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</si>
  <si>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</si>
  <si>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</si>
  <si>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</si>
  <si>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</si>
  <si>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</si>
  <si>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</si>
  <si>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</si>
  <si>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</si>
  <si>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</si>
  <si>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</si>
  <si>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</si>
  <si>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</si>
  <si>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</si>
  <si>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</si>
  <si>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</si>
  <si>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</si>
  <si>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</si>
  <si>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</si>
  <si>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</si>
  <si>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</si>
  <si>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</si>
  <si>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Информатика (Старунова) </t>
    </r>
    <r>
      <rPr>
        <rFont val="Arial"/>
        <b/>
        <color theme="1"/>
        <sz val="10.0"/>
      </rPr>
      <t>408</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</si>
  <si>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</si>
  <si>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</si>
  <si>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</si>
  <si>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</si>
  <si>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</si>
  <si>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</si>
  <si>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</si>
  <si>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</si>
  <si>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</si>
  <si>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</si>
  <si>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</si>
  <si>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sz val="10.0"/>
      </rPr>
      <t xml:space="preserve">Информатика (Старунова) </t>
    </r>
    <r>
      <rPr>
        <rFont val="Arial"/>
        <b/>
        <color theme="1"/>
        <sz val="10.0"/>
      </rPr>
      <t>408</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</si>
  <si>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</si>
  <si>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</si>
  <si>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</si>
  <si>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</si>
  <si>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</si>
  <si>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</si>
  <si>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</si>
  <si>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</si>
  <si>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</si>
  <si>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</si>
  <si>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</si>
  <si>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</si>
  <si>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</si>
  <si>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</si>
  <si>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</si>
  <si>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</si>
  <si>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</si>
  <si>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</si>
  <si>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</si>
  <si>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</si>
  <si>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t>Диагностика МЦКО РУСЯЗ 406,408 (Старунова, Завoдов) Явиться заранее в 8.45!!! Вещи и телефоны оставляем перед кабинетом</t>
  </si>
  <si>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</si>
  <si>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</si>
  <si>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t>10.00 ЕГКР по РУССКОМУ в КЗ (Пипейкина, Никулова, Аларкон)</t>
  </si>
  <si>
    <r>
      <rPr>
        <rFont val="Arial"/>
        <color theme="1"/>
        <sz val="10.0"/>
      </rPr>
      <t xml:space="preserve">Математика (Дронзик) </t>
    </r>
    <r>
      <rPr>
        <rFont val="Arial"/>
        <b/>
        <color theme="1"/>
        <sz val="10.0"/>
      </rPr>
      <t>210</t>
    </r>
  </si>
  <si>
    <r>
      <rPr>
        <rFont val="Arial"/>
        <color theme="1"/>
        <sz val="10.0"/>
      </rPr>
      <t xml:space="preserve">Биология (Носкова)  </t>
    </r>
    <r>
      <rPr>
        <rFont val="Arial"/>
        <b/>
        <color theme="1"/>
        <sz val="10.0"/>
      </rPr>
      <t>202</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</si>
  <si>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</si>
  <si>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</si>
  <si>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</si>
  <si>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</si>
  <si>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</si>
  <si>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</si>
  <si>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</si>
  <si>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</si>
  <si>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</si>
  <si>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</si>
  <si>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</si>
  <si>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rPr>
      <t xml:space="preserve">Матпрак (Молькова) </t>
    </r>
    <r>
      <rPr>
        <rFont val="Arial"/>
        <b/>
        <color theme="1"/>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</si>
  <si>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</si>
  <si>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</si>
  <si>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</si>
  <si>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</si>
  <si>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</si>
  <si>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</si>
  <si>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</si>
  <si>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</si>
  <si>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</si>
  <si>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Музыка (Краснова) </t>
    </r>
    <r>
      <rPr>
        <rFont val="Arial"/>
        <b/>
        <color theme="1"/>
        <sz val="10.0"/>
      </rPr>
      <t>406</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</si>
  <si>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</si>
  <si>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</si>
  <si>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</si>
  <si>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(Куницын) </t>
    </r>
    <r>
      <rPr>
        <rFont val="Arial"/>
        <b/>
        <color theme="1"/>
        <sz val="10.0"/>
      </rPr>
      <t>202</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</si>
  <si>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</si>
  <si>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</si>
  <si>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</si>
  <si>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501</t>
    </r>
  </si>
  <si>
    <r>
      <rPr>
        <rFont val="Arial"/>
        <color theme="1"/>
        <sz val="10.0"/>
      </rPr>
      <t xml:space="preserve">Геом. (Шерашова) </t>
    </r>
    <r>
      <rPr>
        <rFont val="Arial"/>
        <b/>
        <color theme="1"/>
        <sz val="10.0"/>
      </rPr>
      <t>401</t>
    </r>
  </si>
  <si>
    <r>
      <rPr>
        <rFont val="Arial"/>
        <color theme="1"/>
        <sz val="10.0"/>
      </rPr>
      <t xml:space="preserve">Музыка (Краснова) </t>
    </r>
    <r>
      <rPr>
        <rFont val="Arial"/>
        <b/>
        <color theme="1"/>
        <sz val="10.0"/>
      </rPr>
      <t>406</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</si>
  <si>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</si>
  <si>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</si>
  <si>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</si>
  <si>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(Куницын)  </t>
    </r>
    <r>
      <rPr>
        <rFont val="Arial"/>
        <b/>
        <color theme="1"/>
        <sz val="10.0"/>
      </rPr>
      <t>202</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</si>
  <si>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</si>
  <si>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</si>
  <si>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</si>
  <si>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Геом. (Шерашова) </t>
    </r>
    <r>
      <rPr>
        <rFont val="Arial"/>
        <b/>
        <color theme="1"/>
        <sz val="10.0"/>
      </rPr>
      <t>401</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</si>
  <si>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</si>
  <si>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</si>
  <si>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</si>
  <si>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Русский (Харитонов) </t>
    </r>
    <r>
      <rPr>
        <rFont val="Arial"/>
        <b/>
        <color theme="1"/>
        <sz val="10.0"/>
      </rPr>
      <t>201</t>
    </r>
  </si>
  <si>
    <r>
      <rPr>
        <rFont val="Arial"/>
        <color theme="1"/>
        <sz val="10.0"/>
      </rPr>
      <t xml:space="preserve">Хор (Краснова)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</si>
  <si>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</si>
  <si>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</si>
  <si>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</si>
  <si>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</si>
  <si>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</si>
  <si>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</si>
  <si>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Русский (Харитонов) </t>
    </r>
    <r>
      <rPr>
        <rFont val="Arial"/>
        <b/>
        <color theme="1"/>
        <sz val="10.0"/>
      </rPr>
      <t>201</t>
    </r>
  </si>
  <si>
    <r>
      <rPr>
        <rFont val="Arial"/>
        <color theme="1"/>
        <sz val="10.0"/>
      </rPr>
      <t xml:space="preserve">Хор (Краснова)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</si>
  <si>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</si>
  <si>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</si>
  <si>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</si>
  <si>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</si>
  <si>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</si>
  <si>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</si>
  <si>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</si>
  <si>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</si>
  <si>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</si>
  <si>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</si>
  <si>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</si>
  <si>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Танцы (Пипейкина) </t>
    </r>
    <r>
      <rPr>
        <rFont val="Roboto, RobotoDraft, Helvetica, Arial, sans-serif"/>
        <b/>
        <color rgb="FF000000"/>
      </rPr>
      <t>504</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</si>
  <si>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</si>
  <si>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</si>
  <si>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</si>
  <si>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</si>
  <si>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</si>
  <si>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</si>
  <si>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</si>
  <si>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</si>
  <si>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</si>
  <si>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</si>
  <si>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</si>
  <si>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</si>
  <si>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</si>
  <si>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</si>
  <si>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</si>
  <si>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Физика (Репнев)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</si>
  <si>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</si>
  <si>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</si>
  <si>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</si>
  <si>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</si>
  <si>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</si>
  <si>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</si>
  <si>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</si>
  <si>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</si>
  <si>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</si>
  <si>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</si>
  <si>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Физика (Репнев)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</si>
  <si>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</si>
  <si>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</si>
  <si>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</si>
  <si>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</si>
  <si>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</si>
  <si>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</si>
  <si>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</si>
  <si>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</si>
  <si>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</si>
  <si>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</si>
  <si>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</si>
  <si>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</si>
  <si>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</si>
  <si>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</si>
  <si>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</si>
  <si>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</si>
  <si>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</si>
  <si>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</si>
  <si>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</si>
  <si>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</si>
  <si>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</si>
  <si>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</si>
  <si>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</si>
  <si>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</si>
  <si>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</si>
  <si>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</si>
  <si>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</si>
  <si>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</si>
  <si>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</si>
  <si>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</si>
  <si>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Математический анализ (Попович) </t>
    </r>
    <r>
      <rPr>
        <rFont val="Arial"/>
        <b/>
        <color theme="1"/>
        <sz val="10.0"/>
      </rPr>
      <t>210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</si>
  <si>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</si>
  <si>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</si>
  <si>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t>ДЕНЬ САМОУПРАВЛЕНИЯ НА АНГЛИЙСКОМ</t>
  </si>
  <si>
    <r>
      <rPr>
        <rFont val="Arial"/>
        <color theme="1"/>
        <sz val="10.0"/>
      </rPr>
      <t xml:space="preserve">Русский (Покорская, Белoусова)  </t>
    </r>
    <r>
      <rPr>
        <rFont val="Arial"/>
        <b/>
        <color theme="1"/>
        <sz val="10.0"/>
      </rPr>
      <t>201</t>
    </r>
  </si>
  <si>
    <r>
      <rPr>
        <rFont val="Arial"/>
        <color theme="1"/>
        <sz val="10.0"/>
      </rPr>
      <t xml:space="preserve">Математика (Лебедева, Бобылькова, Макаруша) </t>
    </r>
    <r>
      <rPr>
        <rFont val="Arial"/>
        <b/>
        <color theme="1"/>
        <sz val="10.0"/>
      </rPr>
      <t>210</t>
    </r>
  </si>
  <si>
    <r>
      <t xml:space="preserve">Информатика (Чураков, Савиных) </t>
    </r>
    <r>
      <rPr>
        <rFont val="Arial"/>
        <b/>
        <color theme="1"/>
        <sz val="10.0"/>
      </rPr>
      <t>403</t>
    </r>
  </si>
  <si>
    <r>
      <rPr>
        <rFont val="Arial"/>
        <color theme="1"/>
        <sz val="10.0"/>
      </rPr>
      <t xml:space="preserve">Информатика (Копаев) </t>
    </r>
    <r>
      <rPr>
        <rFont val="Arial"/>
        <b/>
        <color theme="1"/>
        <sz val="10.0"/>
      </rPr>
      <t>408</t>
    </r>
  </si>
  <si>
    <r>
      <rPr>
        <rFont val="Arial"/>
        <color theme="1"/>
        <sz val="10.0"/>
      </rPr>
      <t>Матем (трес) (Сыцко, Пудовикова, Фомичев) 4</t>
    </r>
    <r>
      <rPr>
        <rFont val="Arial"/>
        <b/>
        <color theme="1"/>
        <sz val="10.0"/>
      </rPr>
      <t>01</t>
    </r>
  </si>
  <si>
    <r>
      <rPr>
        <rFont val="Arial"/>
        <color theme="1"/>
        <sz val="10.0"/>
      </rPr>
      <t xml:space="preserve">Матпрак (Кватро) (Хоменко, Шуйгина, Кеелус) </t>
    </r>
    <r>
      <rPr>
        <rFont val="Arial"/>
        <b/>
        <color theme="1"/>
        <sz val="10.0"/>
      </rPr>
      <t>202</t>
    </r>
  </si>
  <si>
    <r>
      <rPr>
        <rFont val="Arial"/>
        <color rgb="FF000000"/>
        <sz val="10.0"/>
      </rPr>
      <t xml:space="preserve">Химия (Мосягин, Михайлов, Киселев) </t>
    </r>
    <r>
      <rPr>
        <rFont val="Arial"/>
        <b/>
        <color rgb="FF000000"/>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</si>
  <si>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</si>
  <si>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</si>
  <si>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</si>
  <si>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t>ЕГКР по МАТ проф и МАТ база в КЗ ( Пипейкина, Никулова, Краснова )</t>
  </si>
  <si>
    <r>
      <rPr>
        <rFont val="Arial"/>
        <color theme="1"/>
        <sz val="10.0"/>
      </rPr>
      <t xml:space="preserve">Русский (Покорская, Белoусова)  </t>
    </r>
    <r>
      <rPr>
        <rFont val="Arial"/>
        <b/>
        <color theme="1"/>
        <sz val="10.0"/>
      </rPr>
      <t>201</t>
    </r>
  </si>
  <si>
    <r>
      <rPr>
        <rFont val="Arial"/>
        <color theme="1"/>
        <sz val="10.0"/>
      </rPr>
      <t xml:space="preserve">Математика (Лебедева, Бобылькова, Макаруша) </t>
    </r>
    <r>
      <rPr>
        <rFont val="Arial"/>
        <b/>
        <color theme="1"/>
        <sz val="10.0"/>
      </rPr>
      <t>210</t>
    </r>
  </si>
  <si>
    <r>
      <t xml:space="preserve">Информатика (Чураков, Савиных) </t>
    </r>
    <r>
      <rPr>
        <rFont val="Arial"/>
        <b/>
        <color theme="1"/>
        <sz val="10.0"/>
      </rPr>
      <t>403</t>
    </r>
  </si>
  <si>
    <t>Информатика (Копаев) 408</t>
  </si>
  <si>
    <r>
      <rPr>
        <rFont val="Arial"/>
        <color theme="1"/>
        <sz val="10.0"/>
      </rPr>
      <t>Матем (трес) (Сыцко, Пудовикова, Фомичев) 4</t>
    </r>
    <r>
      <rPr>
        <rFont val="Arial"/>
        <b/>
        <color theme="1"/>
        <sz val="10.0"/>
      </rPr>
      <t>01</t>
    </r>
  </si>
  <si>
    <r>
      <rPr>
        <rFont val="Arial"/>
        <color theme="1"/>
        <sz val="10.0"/>
      </rPr>
      <t xml:space="preserve">Матпрак (Кватро) (Хоменко, Шуйгина, Кеелус) </t>
    </r>
    <r>
      <rPr>
        <rFont val="Arial"/>
        <b/>
        <color theme="1"/>
        <sz val="10.0"/>
      </rPr>
      <t>202</t>
    </r>
  </si>
  <si>
    <r>
      <rPr>
        <rFont val="Arial"/>
        <color rgb="FF000000"/>
        <sz val="10.0"/>
      </rPr>
      <t xml:space="preserve">Химия (Мосягин, Михайлов, Киселев) </t>
    </r>
    <r>
      <rPr>
        <rFont val="Arial"/>
        <b/>
        <color rgb="FF000000"/>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</si>
  <si>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</si>
  <si>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</si>
  <si>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</si>
  <si>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Физра (Жабер, Шешелев) </t>
    </r>
    <r>
      <rPr>
        <rFont val="Arial"/>
        <b/>
        <color theme="1"/>
        <sz val="10.0"/>
      </rPr>
      <t>СЗ</t>
    </r>
  </si>
  <si>
    <r>
      <t xml:space="preserve">Информатика (Чураков, Савиных) </t>
    </r>
    <r>
      <rPr>
        <rFont val="Arial"/>
        <b/>
        <color theme="1"/>
        <sz val="10.0"/>
      </rPr>
      <t>403</t>
    </r>
  </si>
  <si>
    <r>
      <rPr>
        <rFont val="Arial"/>
        <color theme="1"/>
        <sz val="10.0"/>
      </rPr>
      <t xml:space="preserve">Математика (Басацкая, Дударева, Первак) </t>
    </r>
    <r>
      <rPr>
        <rFont val="Arial"/>
        <b/>
        <color theme="1"/>
        <sz val="10.0"/>
      </rPr>
      <t>210</t>
    </r>
  </si>
  <si>
    <r>
      <rPr>
        <rFont val="Arial"/>
        <color theme="1"/>
        <sz val="10.0"/>
      </rPr>
      <t xml:space="preserve">Биология (Айсина, Шершунова) </t>
    </r>
    <r>
      <rPr>
        <rFont val="Arial"/>
        <b/>
        <color theme="1"/>
        <sz val="10.0"/>
      </rPr>
      <t>409</t>
    </r>
  </si>
  <si>
    <r>
      <rPr>
        <rFont val="Arial"/>
        <color theme="1"/>
        <sz val="10.0"/>
      </rPr>
      <t xml:space="preserve">Матпрак (Трес) (Хоменко, Шуйгина, Кеелус) </t>
    </r>
    <r>
      <rPr>
        <rFont val="Arial"/>
        <b/>
        <color theme="1"/>
        <sz val="10.0"/>
      </rPr>
      <t>202</t>
    </r>
  </si>
  <si>
    <r>
      <rPr>
        <rFont val="Arial"/>
        <color theme="1"/>
        <sz val="10.0"/>
      </rPr>
      <t xml:space="preserve">Матем (кватро) (Щербаков, Фомичев)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</si>
  <si>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</si>
  <si>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</si>
  <si>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</si>
  <si>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Физра (Жабер, Шешелев) </t>
    </r>
    <r>
      <rPr>
        <rFont val="Arial"/>
        <b/>
        <color theme="1"/>
        <sz val="10.0"/>
      </rPr>
      <t>СЗ</t>
    </r>
  </si>
  <si>
    <r>
      <t xml:space="preserve">Информатика (Чураков, Савиных) </t>
    </r>
    <r>
      <rPr>
        <rFont val="Arial"/>
        <b/>
        <color theme="1"/>
        <sz val="10.0"/>
      </rPr>
      <t>403</t>
    </r>
  </si>
  <si>
    <r>
      <rPr>
        <rFont val="Arial"/>
        <color theme="1"/>
        <sz val="10.0"/>
      </rPr>
      <t xml:space="preserve">Математика (Басацкая, Дударева, Первак) </t>
    </r>
    <r>
      <rPr>
        <rFont val="Arial"/>
        <b/>
        <color theme="1"/>
        <sz val="10.0"/>
      </rPr>
      <t>210</t>
    </r>
  </si>
  <si>
    <r>
      <rPr>
        <rFont val="Arial"/>
        <color theme="1"/>
        <sz val="10.0"/>
      </rPr>
      <t xml:space="preserve">Биология (Айсина, Шершунова) </t>
    </r>
    <r>
      <rPr>
        <rFont val="Arial"/>
        <b/>
        <color theme="1"/>
        <sz val="10.0"/>
      </rPr>
      <t>409</t>
    </r>
  </si>
  <si>
    <r>
      <rPr>
        <rFont val="Arial"/>
        <color theme="1"/>
        <sz val="10.0"/>
      </rPr>
      <t xml:space="preserve">Матпрак (Трес) (Хоменко, Шуйгина, Кеелус) </t>
    </r>
    <r>
      <rPr>
        <rFont val="Arial"/>
        <b/>
        <color theme="1"/>
        <sz val="10.0"/>
      </rPr>
      <t>202</t>
    </r>
  </si>
  <si>
    <r>
      <rPr>
        <rFont val="Arial"/>
        <color theme="1"/>
        <sz val="10.0"/>
      </rPr>
      <t xml:space="preserve">Матем (кватро) (Щербаков, Фомичев)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</si>
  <si>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</si>
  <si>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</si>
  <si>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</si>
  <si>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(Военкова, Гаврилова, Наровлянская)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</si>
  <si>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</si>
  <si>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(Сухарева, Парфенов) </t>
    </r>
    <r>
      <rPr>
        <rFont val="Arial"/>
        <b/>
        <color theme="1"/>
        <sz val="10.0"/>
      </rPr>
      <t>402</t>
    </r>
  </si>
  <si>
    <r>
      <rPr>
        <rFont val="Arial"/>
        <color theme="1"/>
        <sz val="10.0"/>
      </rPr>
      <t xml:space="preserve">Матпрак (Уно) (Хоменко, Шуйгина, Кеелус) </t>
    </r>
    <r>
      <rPr>
        <rFont val="Arial"/>
        <b/>
        <color theme="1"/>
        <sz val="10.0"/>
      </rPr>
      <t>202</t>
    </r>
  </si>
  <si>
    <r>
      <rPr>
        <rFont val="Arial"/>
        <color theme="1"/>
        <sz val="10.0"/>
      </rPr>
      <t xml:space="preserve">Матем (Дос) (Купцов, Румянцева) </t>
    </r>
    <r>
      <rPr>
        <rFont val="Arial"/>
        <b/>
        <color theme="1"/>
        <sz val="10.0"/>
      </rPr>
      <t>401</t>
    </r>
  </si>
  <si>
    <r>
      <rPr>
        <rFont val="Arial"/>
        <color theme="1"/>
        <sz val="10.0"/>
      </rPr>
      <t xml:space="preserve">Информатика (Куликов, Балашов) </t>
    </r>
    <r>
      <rPr>
        <rFont val="Arial"/>
        <b/>
        <color theme="1"/>
        <sz val="10.0"/>
      </rPr>
      <t>201</t>
    </r>
  </si>
  <si>
    <t>7C в 13.00 ДИАГНОСТИКА МЦКО МАТ 406,408 (Журавлева)</t>
  </si>
  <si>
    <r>
      <rPr>
        <rFont val="Arial"/>
        <color theme="1"/>
        <sz val="10.0"/>
      </rPr>
      <t xml:space="preserve">Англ (Киргинцева, Даугелло) </t>
    </r>
    <r>
      <rPr>
        <rFont val="Arial"/>
        <b/>
        <color theme="1"/>
        <sz val="10.0"/>
      </rPr>
      <t>404</t>
    </r>
  </si>
  <si>
    <r>
      <rPr>
        <rFont val="Arial"/>
        <color theme="1"/>
        <sz val="10.0"/>
      </rPr>
      <t xml:space="preserve">Англ (Лебедев)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</si>
  <si>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</si>
  <si>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</si>
  <si>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Математика (Военкова, Гаврилова, Наровлянская) </t>
    </r>
    <r>
      <rPr>
        <rFont val="Arial"/>
        <b/>
        <color theme="1"/>
        <sz val="10.0"/>
      </rPr>
      <t>210</t>
    </r>
  </si>
  <si>
    <r>
      <rPr>
        <rFont val="Arial"/>
        <color theme="1"/>
        <sz val="10.0"/>
      </rPr>
      <t xml:space="preserve">Физика (Сухарева, Парфенов) </t>
    </r>
    <r>
      <rPr>
        <rFont val="Arial"/>
        <b/>
        <color theme="1"/>
        <sz val="10.0"/>
      </rPr>
      <t>402</t>
    </r>
  </si>
  <si>
    <r>
      <rPr>
        <rFont val="Arial"/>
        <color theme="1"/>
        <sz val="10.0"/>
      </rPr>
      <t xml:space="preserve">Матпрак (Уно) (Хоменко, Шуйгина, Кеелус) </t>
    </r>
    <r>
      <rPr>
        <rFont val="Arial"/>
        <b/>
        <color theme="1"/>
        <sz val="10.0"/>
      </rPr>
      <t>202</t>
    </r>
  </si>
  <si>
    <r>
      <rPr>
        <rFont val="Arial"/>
        <color theme="1"/>
        <sz val="10.0"/>
      </rPr>
      <t xml:space="preserve">Матем (Дос) (Купцов, Румянцева) </t>
    </r>
    <r>
      <rPr>
        <rFont val="Arial"/>
        <b/>
        <color theme="1"/>
        <sz val="10.0"/>
      </rPr>
      <t>401</t>
    </r>
  </si>
  <si>
    <r>
      <rPr>
        <rFont val="Arial"/>
        <color theme="1"/>
        <sz val="10.0"/>
      </rPr>
      <t xml:space="preserve">Информатика (Куликов, Балашов) </t>
    </r>
    <r>
      <rPr>
        <rFont val="Arial"/>
        <b/>
        <color theme="1"/>
        <sz val="10.0"/>
      </rPr>
      <t>201</t>
    </r>
  </si>
  <si>
    <r>
      <rPr>
        <rFont val="Arial"/>
        <color theme="1"/>
        <sz val="10.0"/>
      </rPr>
      <t xml:space="preserve">Англ (Киргинцева, Даугелло) </t>
    </r>
    <r>
      <rPr>
        <rFont val="Arial"/>
        <b/>
        <color theme="1"/>
        <sz val="10.0"/>
      </rPr>
      <t>404</t>
    </r>
  </si>
  <si>
    <r>
      <rPr>
        <rFont val="Arial"/>
        <color theme="1"/>
        <sz val="10.0"/>
      </rPr>
      <t xml:space="preserve">Англ (Лебедев)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</si>
  <si>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</si>
  <si>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</si>
  <si>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Литература (Глухова)  </t>
    </r>
    <r>
      <rPr>
        <rFont val="Arial"/>
        <b/>
        <color theme="1"/>
        <sz val="10.0"/>
      </rPr>
      <t>201</t>
    </r>
  </si>
  <si>
    <r>
      <rPr>
        <rFont val="Arial"/>
        <color theme="1"/>
        <sz val="10.0"/>
      </rPr>
      <t xml:space="preserve">Физика (Шумский, Гребенников)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</si>
  <si>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</si>
  <si>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(Щербаков, Сыцко) </t>
    </r>
    <r>
      <rPr>
        <rFont val="Arial"/>
        <b/>
        <color theme="1"/>
        <sz val="10.0"/>
      </rPr>
      <t>401</t>
    </r>
  </si>
  <si>
    <r>
      <rPr>
        <rFont val="Arial"/>
        <color theme="1"/>
        <sz val="10.0"/>
      </rPr>
      <t xml:space="preserve">Матпрак (Дос) (Хоменко, Шуйгина, Кеелус) </t>
    </r>
    <r>
      <rPr>
        <rFont val="Arial"/>
        <b/>
        <color theme="1"/>
        <sz val="10.0"/>
      </rPr>
      <t>202</t>
    </r>
  </si>
  <si>
    <r>
      <rPr>
        <rFont val="Arial"/>
        <color theme="1"/>
        <sz val="10.0"/>
      </rPr>
      <t xml:space="preserve">Биология (Айсина, Шершунова)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</si>
  <si>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</si>
  <si>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</si>
  <si>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</si>
  <si>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</si>
  <si>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Arial"/>
        <color theme="1"/>
        <sz val="10.0"/>
      </rPr>
      <t xml:space="preserve">Литература (Глухова)  </t>
    </r>
    <r>
      <rPr>
        <rFont val="Arial"/>
        <b/>
        <color theme="1"/>
        <sz val="10.0"/>
      </rPr>
      <t>201</t>
    </r>
  </si>
  <si>
    <r>
      <rPr>
        <rFont val="Arial"/>
        <color theme="1"/>
        <sz val="10.0"/>
      </rPr>
      <t xml:space="preserve">Физика (Шумский, Гребенников) </t>
    </r>
    <r>
      <rPr>
        <rFont val="Arial"/>
        <b/>
        <color theme="1"/>
        <sz val="10.0"/>
      </rPr>
      <t>402</t>
    </r>
  </si>
  <si>
    <r>
      <rPr>
        <rFont val="Arial"/>
        <color theme="1"/>
        <sz val="10.0"/>
      </rPr>
      <t xml:space="preserve">Матем (Уно) (Щербаков, Сыцко) </t>
    </r>
    <r>
      <rPr>
        <rFont val="Arial"/>
        <b/>
        <color theme="1"/>
        <sz val="10.0"/>
      </rPr>
      <t>401</t>
    </r>
  </si>
  <si>
    <r>
      <rPr>
        <rFont val="Arial"/>
        <color theme="1"/>
        <sz val="10.0"/>
      </rPr>
      <t xml:space="preserve">Матпрак (Дос) (Хоменко, Шуйгина, Кеелус) </t>
    </r>
    <r>
      <rPr>
        <rFont val="Arial"/>
        <b/>
        <color theme="1"/>
        <sz val="10.0"/>
      </rPr>
      <t>202</t>
    </r>
  </si>
  <si>
    <r>
      <rPr>
        <rFont val="Arial"/>
        <color theme="1"/>
        <sz val="10.0"/>
      </rPr>
      <t xml:space="preserve">Биология (Айсина, Шершунова)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</si>
  <si>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</si>
  <si>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</si>
  <si>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</si>
  <si>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</si>
  <si>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</si>
  <si>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</si>
  <si>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</si>
  <si>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</si>
  <si>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</si>
  <si>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</si>
  <si>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</si>
  <si>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</si>
  <si>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</si>
  <si>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</si>
  <si>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</si>
  <si>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</si>
  <si>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</si>
  <si>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</si>
  <si>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</si>
  <si>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</si>
  <si>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</si>
  <si>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</si>
  <si>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</si>
  <si>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</si>
  <si>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</si>
  <si>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</si>
  <si>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</si>
  <si>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</si>
  <si>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</si>
  <si>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</si>
  <si>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</si>
  <si>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</si>
  <si>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</si>
  <si>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</si>
  <si>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</si>
  <si>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</si>
  <si>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</si>
  <si>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</si>
  <si>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</si>
  <si>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</si>
  <si>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</si>
  <si>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</si>
  <si>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</si>
  <si>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</si>
  <si>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</si>
  <si>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</si>
  <si>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</si>
  <si>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</si>
  <si>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</si>
  <si>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</si>
  <si>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</si>
  <si>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</si>
  <si>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</si>
  <si>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</si>
  <si>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</si>
  <si>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</si>
  <si>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</si>
  <si>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t>7Т в 13.00 ДИАГНОСТИКА МЦКО МАТ 406,408 (Носкова, Журавлева)</t>
  </si>
  <si>
    <r>
      <rPr>
        <rFont val="Arial"/>
        <color theme="1"/>
        <sz val="10.0"/>
      </rPr>
      <t xml:space="preserve">Театр (Обидина)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</si>
  <si>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</si>
  <si>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</si>
  <si>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</si>
  <si>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Roboto, RobotoDraft, Helvetica, Arial, sans-serif"/>
        <color rgb="FF000000"/>
      </rPr>
      <t xml:space="preserve">Общество (Куницын)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</si>
  <si>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</si>
  <si>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</si>
  <si>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</si>
  <si>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</si>
  <si>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</si>
  <si>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</si>
  <si>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</si>
  <si>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</si>
  <si>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</si>
  <si>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</si>
  <si>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r>
      <rPr>
        <rFont val="Arial"/>
        <color theme="1"/>
        <sz val="10.0"/>
      </rPr>
      <t xml:space="preserve">   </t>
    </r>
  </si>
  <si>
    <r>
      <t xml:space="preserve">Информатика (Аларкон </t>
    </r>
    <r>
      <rPr>
        <rFont val="Arial"/>
        <b/>
        <color theme="1"/>
      </rPr>
      <t>401</t>
    </r>
    <r>
      <rPr>
        <rFont val="Arial"/>
        <color theme="1"/>
      </rPr>
      <t xml:space="preserve">) / (Воронцов </t>
    </r>
    <r>
      <rPr>
        <rFont val="Arial"/>
        <b/>
        <color theme="1"/>
      </rPr>
      <t>404</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</si>
  <si>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</si>
  <si>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</si>
  <si>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</si>
  <si>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</si>
  <si>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</si>
  <si>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</si>
  <si>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</si>
  <si>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</si>
  <si>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</si>
  <si>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406</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</si>
  <si>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</si>
  <si>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</si>
  <si>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t xml:space="preserve">Информатика (Аларкон </t>
    </r>
    <r>
      <rPr>
        <rFont val="Arial"/>
        <b/>
        <color theme="1"/>
      </rPr>
      <t>401</t>
    </r>
    <r>
      <rPr>
        <rFont val="Arial"/>
        <color theme="1"/>
      </rPr>
      <t xml:space="preserve">) / (Воронцов </t>
    </r>
    <r>
      <rPr>
        <rFont val="Arial"/>
        <b/>
        <color theme="1"/>
      </rPr>
      <t>404)</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</si>
  <si>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</si>
  <si>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</si>
  <si>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</si>
  <si>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</si>
  <si>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</si>
  <si>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</si>
  <si>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401</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</si>
  <si>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</si>
  <si>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</si>
  <si>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</si>
  <si>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r>
      <rPr>
        <rFont val="Arial"/>
        <color theme="1"/>
        <sz val="10.0"/>
      </rPr>
      <t>ДИАЛОГИ О ВАЖНОМ (Репнев) АЗ</t>
    </r>
    <r>
      <rPr>
        <rFont val="Arial"/>
        <b/>
        <color theme="1"/>
        <sz val="10.0"/>
      </rPr>
      <t xml:space="preserve">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</si>
  <si>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</si>
  <si>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</si>
  <si>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</si>
  <si>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</si>
  <si>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</si>
  <si>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</si>
  <si>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</si>
  <si>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</si>
  <si>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</si>
  <si>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</si>
  <si>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</si>
  <si>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</si>
  <si>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</si>
  <si>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</si>
  <si>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</si>
  <si>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</si>
  <si>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</si>
  <si>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</si>
  <si>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</si>
  <si>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</si>
  <si>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</si>
  <si>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</si>
  <si>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</si>
  <si>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</si>
  <si>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</si>
  <si>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</si>
  <si>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</si>
  <si>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</si>
  <si>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</si>
  <si>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</si>
  <si>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</si>
  <si>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</si>
  <si>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t>Танцы АЗ(Пипейкина, Носкова)</t>
  </si>
  <si>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</si>
  <si>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</si>
  <si>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</si>
  <si>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</si>
  <si>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</si>
  <si>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</si>
  <si>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</si>
  <si>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</si>
  <si>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</si>
  <si>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</si>
  <si>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t>Танцы АЗ (Пипейкина, Носкова)</t>
  </si>
  <si>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</si>
  <si>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</si>
  <si>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</si>
  <si>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</si>
  <si>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</si>
  <si>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</si>
  <si>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</si>
  <si>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</si>
  <si>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</si>
  <si>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</si>
  <si>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</si>
  <si>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</si>
  <si>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</si>
  <si>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</si>
  <si>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</si>
  <si>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</si>
  <si>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</si>
  <si>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</si>
  <si>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</si>
  <si>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</si>
  <si>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</si>
  <si>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</si>
  <si>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</si>
  <si>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</si>
  <si>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</si>
  <si>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Информатика (Старунова) </t>
    </r>
    <r>
      <rPr>
        <rFont val="Arial"/>
        <b/>
        <color theme="1"/>
        <sz val="10.0"/>
      </rPr>
      <t>408</t>
    </r>
  </si>
  <si>
    <r>
      <rPr>
        <rFont val="Arial"/>
        <color theme="1"/>
      </rPr>
      <t xml:space="preserve">Анлийский клуб (Пипейкина) </t>
    </r>
    <r>
      <rPr>
        <rFont val="Arial"/>
        <b/>
        <color theme="1"/>
      </rPr>
      <t>403</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</si>
  <si>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</si>
  <si>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</si>
  <si>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</si>
  <si>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</si>
  <si>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</si>
  <si>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</si>
  <si>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</si>
  <si>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</si>
  <si>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</si>
  <si>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</si>
  <si>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</si>
  <si>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</si>
  <si>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</si>
  <si>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</si>
  <si>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</si>
  <si>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</si>
  <si>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</si>
  <si>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</si>
  <si>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202</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</si>
  <si>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</si>
  <si>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</si>
  <si>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</si>
  <si>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</si>
  <si>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</si>
  <si>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</si>
  <si>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</si>
  <si>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</si>
  <si>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t>Биология (Носкова) 202</t>
  </si>
  <si>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</si>
  <si>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</si>
  <si>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</si>
  <si>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t>Литра (Хуснутдинов) 409</t>
  </si>
  <si>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</si>
  <si>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</si>
  <si>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</si>
  <si>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Биология (Носкова) </t>
    </r>
    <r>
      <rPr>
        <rFont val="Arial"/>
        <b/>
        <color theme="1"/>
      </rPr>
      <t>202</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</si>
  <si>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</si>
  <si>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</si>
  <si>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</si>
  <si>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</si>
  <si>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</si>
  <si>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t>Матпрак (Молькова) 403</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</si>
  <si>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</si>
  <si>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</si>
  <si>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</si>
  <si>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rPr>
      <t xml:space="preserve">Биология (Носкова) </t>
    </r>
    <r>
      <rPr>
        <rFont val="Arial"/>
        <b/>
        <color theme="1"/>
      </rPr>
      <t>408</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</si>
  <si>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</si>
  <si>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</si>
  <si>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</si>
  <si>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t>12.00 ДИАГНОСТИКА МЦКО МАТ ПРОФ.  406 и 408 (Куницын, Краснова)</t>
  </si>
  <si>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</si>
  <si>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</si>
  <si>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</si>
  <si>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</si>
  <si>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</si>
  <si>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</si>
  <si>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</si>
  <si>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(Носкова) </t>
    </r>
    <r>
      <rPr>
        <rFont val="Arial"/>
        <b/>
        <color theme="1"/>
        <sz val="10.0"/>
      </rPr>
      <t xml:space="preserve">409       </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</si>
  <si>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</si>
  <si>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</si>
  <si>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Геом. (Шерашова) </t>
    </r>
    <r>
      <rPr>
        <rFont val="Arial"/>
        <b/>
        <color theme="1"/>
        <sz val="10.0"/>
      </rPr>
      <t>401</t>
    </r>
  </si>
  <si>
    <t>Информатика (Климов) 503</t>
  </si>
  <si>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</si>
  <si>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</si>
  <si>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</si>
  <si>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</si>
  <si>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(Носкова)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</si>
  <si>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</si>
  <si>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</si>
  <si>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</si>
  <si>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Геом. (Шерашова) </t>
    </r>
    <r>
      <rPr>
        <rFont val="Arial"/>
        <b/>
        <color theme="1"/>
        <sz val="10.0"/>
      </rPr>
      <t>401</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</si>
  <si>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</si>
  <si>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</si>
  <si>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</si>
  <si>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</si>
  <si>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</si>
  <si>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</si>
  <si>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</si>
  <si>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</si>
  <si>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</si>
  <si>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</si>
  <si>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</si>
  <si>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</si>
  <si>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Общество (Куницын) </t>
    </r>
    <r>
      <rPr>
        <rFont val="Roboto, RobotoDraft, Helvetica, Arial, sans-serif"/>
        <b/>
        <color rgb="FF000000"/>
      </rPr>
      <t>202</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</si>
  <si>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</si>
  <si>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</si>
  <si>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</si>
  <si>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</si>
  <si>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</si>
  <si>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</si>
  <si>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t>Борисов, Копаев, Кузнецов, Левковцев, Мухсуллин, Наровлянская диагностика МЦКО РУС 8.45 в 406</t>
  </si>
  <si>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</si>
  <si>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</si>
  <si>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</si>
  <si>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</si>
  <si>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</si>
  <si>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</si>
  <si>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</si>
  <si>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</si>
  <si>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</si>
  <si>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</si>
  <si>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</si>
  <si>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</si>
  <si>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</si>
  <si>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</si>
  <si>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</si>
  <si>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</si>
  <si>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</si>
  <si>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</si>
  <si>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</si>
  <si>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</si>
  <si>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</si>
  <si>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</si>
  <si>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</si>
  <si>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</si>
  <si>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</si>
  <si>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</si>
  <si>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</si>
  <si>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</si>
  <si>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</si>
  <si>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</si>
  <si>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</si>
  <si>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</si>
  <si>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</si>
  <si>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</si>
  <si>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</si>
  <si>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</si>
  <si>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</si>
  <si>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</si>
  <si>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</si>
  <si>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Алгебра (Шерашова) </t>
    </r>
    <r>
      <rPr>
        <rFont val="Arial"/>
        <b/>
        <color theme="1"/>
        <sz val="10.0"/>
      </rPr>
      <t>401</t>
    </r>
  </si>
  <si>
    <r>
      <rPr>
        <rFont val="Arial"/>
        <color theme="1"/>
        <sz val="10.0"/>
      </rPr>
      <t xml:space="preserve">ТЕАТР </t>
    </r>
    <r>
      <rPr>
        <rFont val="Arial"/>
        <b/>
        <color theme="1"/>
        <sz val="10.0"/>
      </rPr>
      <t>АЗ (Клинкова)</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</si>
  <si>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</si>
  <si>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</si>
  <si>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</si>
  <si>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</si>
  <si>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</si>
  <si>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</si>
  <si>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</si>
  <si>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</si>
  <si>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</si>
  <si>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</si>
  <si>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</si>
  <si>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</si>
  <si>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</si>
  <si>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</si>
  <si>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</si>
  <si>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</si>
  <si>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</si>
  <si>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</si>
  <si>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</si>
  <si>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</si>
  <si>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</si>
  <si>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</si>
  <si>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</si>
  <si>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</si>
  <si>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Математический анализ (Попович)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</si>
  <si>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</si>
  <si>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</si>
  <si>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</si>
  <si>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</si>
  <si>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</si>
  <si>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 РУС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</si>
  <si>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</si>
  <si>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</si>
  <si>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</si>
  <si>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</si>
  <si>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</si>
  <si>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</si>
  <si>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</si>
  <si>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</si>
  <si>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</si>
  <si>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</si>
  <si>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</si>
  <si>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</si>
  <si>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</si>
  <si>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</si>
  <si>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</si>
  <si>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</si>
  <si>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</si>
  <si>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</si>
  <si>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</si>
  <si>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</si>
  <si>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</si>
  <si>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</si>
  <si>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</si>
  <si>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</si>
  <si>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</si>
  <si>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</si>
  <si>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</si>
  <si>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</si>
  <si>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</si>
  <si>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</si>
  <si>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</si>
  <si>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</si>
  <si>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</si>
  <si>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</si>
  <si>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</si>
  <si>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</si>
  <si>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</si>
  <si>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</si>
  <si>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</si>
  <si>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</si>
  <si>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</si>
  <si>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</si>
  <si>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</si>
  <si>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</si>
  <si>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</si>
  <si>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</si>
  <si>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</si>
  <si>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</si>
  <si>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</si>
  <si>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</si>
  <si>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</si>
  <si>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</si>
  <si>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</si>
  <si>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</si>
  <si>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</si>
  <si>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</si>
  <si>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</si>
  <si>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</si>
  <si>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</si>
  <si>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</si>
  <si>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</si>
  <si>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</si>
  <si>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</si>
  <si>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</si>
  <si>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</si>
  <si>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</si>
  <si>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</si>
  <si>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</si>
  <si>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</si>
  <si>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</si>
  <si>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</si>
  <si>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</si>
  <si>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</si>
  <si>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</si>
  <si>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</si>
  <si>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</si>
  <si>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</si>
  <si>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</si>
  <si>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</si>
  <si>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</si>
  <si>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</si>
  <si>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</si>
  <si>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</si>
  <si>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</si>
  <si>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</si>
  <si>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</si>
  <si>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</si>
  <si>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</si>
  <si>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</si>
  <si>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</si>
  <si>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</si>
  <si>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</si>
  <si>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</si>
  <si>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</si>
  <si>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</si>
  <si>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</si>
  <si>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</si>
  <si>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</si>
  <si>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</si>
  <si>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</si>
  <si>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</si>
  <si>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</si>
  <si>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</si>
  <si>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</si>
  <si>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</si>
  <si>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</si>
  <si>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</si>
  <si>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</si>
  <si>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</si>
  <si>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</si>
  <si>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</si>
  <si>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</si>
  <si>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</si>
  <si>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</si>
  <si>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</si>
  <si>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</si>
  <si>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</si>
  <si>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</si>
  <si>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</si>
  <si>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</si>
  <si>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</si>
  <si>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</si>
  <si>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</si>
  <si>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</si>
  <si>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</si>
  <si>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</si>
  <si>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</si>
  <si>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</si>
  <si>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</si>
  <si>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</si>
  <si>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</si>
  <si>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</si>
  <si>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</si>
  <si>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</si>
  <si>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</si>
  <si>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</si>
  <si>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</si>
  <si>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</si>
  <si>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</si>
  <si>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</si>
  <si>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Roboto, RobotoDraft, Helvetica, Arial, sans-serif"/>
        <color rgb="FF000000"/>
      </rPr>
      <t xml:space="preserve">Общество (Куницын)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</si>
  <si>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</si>
  <si>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</si>
  <si>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</si>
  <si>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</si>
  <si>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</si>
  <si>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</si>
  <si>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</si>
  <si>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</si>
  <si>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</si>
  <si>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</si>
  <si>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</si>
  <si>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</si>
  <si>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</si>
  <si>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</si>
  <si>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</si>
  <si>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</si>
  <si>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t xml:space="preserve">прогон спектакля </t>
  </si>
  <si>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</si>
  <si>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</si>
  <si>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406</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</si>
  <si>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</si>
  <si>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</si>
  <si>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</si>
  <si>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</si>
  <si>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</si>
  <si>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</si>
  <si>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</si>
  <si>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</si>
  <si>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401</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</si>
  <si>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</si>
  <si>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</si>
  <si>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</si>
  <si>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10.00 КВИЗ и разговоры о важном  (Репнев А.Г.) КЗ</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</si>
  <si>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</si>
  <si>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</si>
  <si>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</si>
  <si>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</si>
  <si>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</si>
  <si>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</si>
  <si>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</si>
  <si>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</si>
  <si>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</si>
  <si>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</si>
  <si>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</si>
  <si>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</si>
  <si>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</si>
  <si>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ЕГЭ Инфо Старунова </t>
    </r>
    <r>
      <rPr>
        <rFont val="Arial"/>
        <b/>
        <color theme="1"/>
        <sz val="10.0"/>
      </rPr>
      <t xml:space="preserve">408 </t>
    </r>
    <r>
      <rPr>
        <rFont val="Arial"/>
        <color theme="1"/>
        <sz val="10.0"/>
      </rPr>
      <t xml:space="preserve">/ Биология ЕГЭ Носкова </t>
    </r>
    <r>
      <rPr>
        <rFont val="Arial"/>
        <b/>
        <color theme="1"/>
        <sz val="10.0"/>
      </rPr>
      <t>206</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</si>
  <si>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</si>
  <si>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</si>
  <si>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</si>
  <si>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</si>
  <si>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</si>
  <si>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</si>
  <si>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</si>
  <si>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</si>
  <si>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</si>
  <si>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</si>
  <si>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 / Биология ЕГЭ Носкова </t>
    </r>
    <r>
      <rPr>
        <rFont val="Arial"/>
        <b/>
        <color theme="1"/>
        <sz val="10.0"/>
      </rPr>
      <t>206</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</si>
  <si>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</si>
  <si>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</si>
  <si>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t>Театр (Обидина) АЗ</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</si>
  <si>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</si>
  <si>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</si>
  <si>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</si>
  <si>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</si>
  <si>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t>Танцы 504 (Пипейкина, Носкова)</t>
  </si>
  <si>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</si>
  <si>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</si>
  <si>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</si>
  <si>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</si>
  <si>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</si>
  <si>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</si>
  <si>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</si>
  <si>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</si>
  <si>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</si>
  <si>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</si>
  <si>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</si>
  <si>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</si>
  <si>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</si>
  <si>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Физика (Репнев) </t>
    </r>
    <r>
      <rPr>
        <rFont val="Arial"/>
        <b/>
        <color theme="1"/>
        <sz val="10.0"/>
      </rPr>
      <t>КЗ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</si>
  <si>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</si>
  <si>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</si>
  <si>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</si>
  <si>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</si>
  <si>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</si>
  <si>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</si>
  <si>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sz val="10.0"/>
      </rPr>
      <t xml:space="preserve">Информатика (Старунова) </t>
    </r>
    <r>
      <rPr>
        <rFont val="Arial"/>
        <b/>
        <color theme="1"/>
        <sz val="10.0"/>
      </rPr>
      <t>408</t>
    </r>
  </si>
  <si>
    <t>Физика (Репнев) КЗ</t>
  </si>
  <si>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</si>
  <si>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</si>
  <si>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</si>
  <si>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</si>
  <si>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</si>
  <si>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Информатика (Старунова) </t>
    </r>
    <r>
      <rPr>
        <rFont val="Arial"/>
        <b/>
        <color theme="1"/>
        <sz val="10.0"/>
      </rPr>
      <t>408</t>
    </r>
  </si>
  <si>
    <r>
      <rPr>
        <rFont val="Arial"/>
        <color theme="1"/>
      </rPr>
      <t xml:space="preserve">Анлийский клуб (Пипейкина) </t>
    </r>
    <r>
      <rPr>
        <rFont val="Arial"/>
        <b/>
        <color theme="1"/>
      </rPr>
      <t>403</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</si>
  <si>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</si>
  <si>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</si>
  <si>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</si>
  <si>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</si>
  <si>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</si>
  <si>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Roboto, RobotoDraft, Helvetica, Arial, sans-serif"/>
        <color rgb="FF000000"/>
      </rPr>
      <t>Инд.проект Дронзик</t>
    </r>
    <r>
      <rPr>
        <rFont val="Roboto, RobotoDraft, Helvetica, Arial, sans-serif"/>
        <b/>
        <color rgb="FF000000"/>
      </rPr>
      <t xml:space="preserve"> 210</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</si>
  <si>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</si>
  <si>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</si>
  <si>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</si>
  <si>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</si>
  <si>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</si>
  <si>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</si>
  <si>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</si>
  <si>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</si>
  <si>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</si>
  <si>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</si>
  <si>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t>Диагностика МЦКО РУС 9.00 7С быть в 8.45 в 406, 408 телефоны и вещи перед входом  (Белоус, Куницын)</t>
  </si>
  <si>
    <r>
      <rPr>
        <rFont val="Arial"/>
        <color theme="1"/>
        <sz val="10.0"/>
      </rPr>
      <t xml:space="preserve">Алгебра (Шерашова) </t>
    </r>
    <r>
      <rPr>
        <rFont val="Arial"/>
        <b/>
        <color theme="1"/>
        <sz val="10.0"/>
      </rPr>
      <t>401</t>
    </r>
  </si>
  <si>
    <t>Диагностика МЦКО РУС 10.00 7Т быть в 9.45 в 406, 408 телефоны и вещи перед входом</t>
  </si>
  <si>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</si>
  <si>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</si>
  <si>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</si>
  <si>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</si>
  <si>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</si>
  <si>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</si>
  <si>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</si>
  <si>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</si>
  <si>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</si>
  <si>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</si>
  <si>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</si>
  <si>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</si>
  <si>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</si>
  <si>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</si>
  <si>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</si>
  <si>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</si>
  <si>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</si>
  <si>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</si>
  <si>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rPr>
      <t xml:space="preserve">Матпрак (Молькова) </t>
    </r>
    <r>
      <rPr>
        <rFont val="Arial"/>
        <b/>
        <color theme="1"/>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</si>
  <si>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</si>
  <si>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</si>
  <si>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</si>
  <si>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</si>
  <si>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Roboto, RobotoDraft, Helvetica, Arial, sans-serif"/>
        <color rgb="FF000000"/>
      </rPr>
      <t xml:space="preserve">Общество (Дронзик) </t>
    </r>
    <r>
      <rPr>
        <rFont val="Roboto, RobotoDraft, Helvetica, Arial, sans-serif"/>
        <b/>
        <color rgb="FF000000"/>
      </rPr>
      <t>406</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</si>
  <si>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</si>
  <si>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</si>
  <si>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</si>
  <si>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</si>
  <si>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</si>
  <si>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</si>
  <si>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</si>
  <si>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</si>
  <si>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</si>
  <si>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</si>
  <si>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</si>
  <si>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</si>
  <si>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</si>
  <si>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</si>
  <si>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501</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</si>
  <si>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</si>
  <si>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</si>
  <si>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</si>
  <si>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</si>
  <si>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</si>
  <si>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</si>
  <si>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</si>
  <si>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</si>
  <si>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</si>
  <si>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</si>
  <si>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Матпрак (Молькова)</t>
    </r>
    <r>
      <rPr>
        <rFont val="Arial"/>
        <b/>
        <color theme="1"/>
      </rPr>
      <t xml:space="preserve"> 501</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</si>
  <si>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</si>
  <si>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</si>
  <si>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</si>
  <si>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</si>
  <si>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</si>
  <si>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</si>
  <si>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Хор (Краснова и Никулова) А</t>
    </r>
    <r>
      <rPr>
        <rFont val="Arial"/>
        <b/>
        <color theme="1"/>
        <sz val="10.0"/>
      </rPr>
      <t>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</si>
  <si>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</si>
  <si>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</si>
  <si>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</si>
  <si>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</si>
  <si>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</si>
  <si>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</si>
  <si>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</si>
  <si>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</si>
  <si>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</si>
  <si>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</si>
  <si>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</si>
  <si>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</si>
  <si>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</si>
  <si>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</si>
  <si>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</si>
  <si>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</si>
  <si>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</si>
  <si>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</si>
  <si>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</si>
  <si>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</si>
  <si>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</si>
  <si>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</si>
  <si>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t>10.30 ЕГКР ПО ИНФ КЗ (явиться за 15 минут, с собой паспорт, вода и перекус) КЗ (Белоус, Заводов, Старунова, Исмаилов)</t>
  </si>
  <si>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</si>
  <si>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</si>
  <si>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</si>
  <si>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</si>
  <si>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</si>
  <si>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</si>
  <si>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</si>
  <si>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</si>
  <si>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</si>
  <si>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</si>
  <si>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</si>
  <si>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</si>
  <si>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</si>
  <si>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</si>
  <si>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</si>
  <si>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</si>
  <si>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t>ВШД Русский (Хуснутдинов, Белоус) 406, 402</t>
  </si>
  <si>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</si>
  <si>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</si>
  <si>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</si>
  <si>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</si>
  <si>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</si>
  <si>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206</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</si>
  <si>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</si>
  <si>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</si>
  <si>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</si>
  <si>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</si>
  <si>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</si>
  <si>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</si>
  <si>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</si>
  <si>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</si>
  <si>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</si>
  <si>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</si>
  <si>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t>Биология (Белоусова) через неделю соц и мат 206</t>
  </si>
  <si>
    <r>
      <rPr>
        <rFont val="Arial"/>
        <color theme="1"/>
        <sz val="10.0"/>
      </rPr>
      <t xml:space="preserve">Матпрак (Митев) </t>
    </r>
    <r>
      <rPr>
        <rFont val="Arial"/>
        <b/>
        <color theme="1"/>
        <sz val="10.0"/>
      </rPr>
      <t>405</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</si>
  <si>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</si>
  <si>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</si>
  <si>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</si>
  <si>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</si>
  <si>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</si>
  <si>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</si>
  <si>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</si>
  <si>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</si>
  <si>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</si>
  <si>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t>Матпрак (Митев) 405</t>
  </si>
  <si>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</si>
  <si>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</si>
  <si>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</si>
  <si>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</si>
  <si>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</si>
  <si>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</si>
  <si>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</si>
  <si>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</si>
  <si>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</si>
  <si>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</si>
  <si>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</si>
  <si>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</si>
  <si>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</si>
  <si>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</si>
  <si>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</si>
  <si>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</si>
  <si>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</si>
  <si>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</si>
  <si>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t>прогон АЗ</t>
  </si>
  <si>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</si>
  <si>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</si>
  <si>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</si>
  <si>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</si>
  <si>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</si>
  <si>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</si>
  <si>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</si>
  <si>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</si>
  <si>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</si>
  <si>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</si>
  <si>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</si>
  <si>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</si>
  <si>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</si>
  <si>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</si>
  <si>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</si>
  <si>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ОЛИМП РУС (Харитонов)  </t>
    </r>
    <r>
      <rPr>
        <rFont val="Arial"/>
        <b/>
        <color theme="1"/>
        <sz val="10.0"/>
      </rPr>
      <t>201</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</si>
  <si>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</si>
  <si>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</si>
  <si>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</si>
  <si>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403</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</si>
  <si>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</si>
  <si>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</si>
  <si>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</si>
  <si>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</si>
  <si>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</si>
  <si>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</si>
  <si>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</si>
  <si>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</si>
  <si>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</si>
  <si>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403</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</si>
  <si>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</si>
  <si>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</si>
  <si>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</si>
  <si>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</si>
  <si>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</si>
  <si>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</si>
  <si>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</si>
  <si>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</si>
  <si>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</si>
  <si>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</si>
  <si>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</si>
  <si>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</si>
  <si>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</si>
  <si>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</si>
  <si>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</si>
  <si>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</si>
  <si>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</si>
  <si>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</si>
  <si>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</si>
  <si>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</si>
  <si>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</si>
  <si>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</si>
  <si>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</si>
  <si>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</si>
  <si>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</si>
  <si>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</si>
  <si>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</si>
  <si>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</si>
  <si>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</si>
  <si>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</si>
  <si>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</si>
  <si>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</si>
  <si>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</si>
  <si>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</si>
  <si>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</si>
  <si>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</si>
  <si>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</si>
  <si>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</si>
  <si>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</si>
  <si>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</si>
  <si>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</si>
  <si>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</si>
  <si>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</si>
  <si>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</si>
  <si>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</si>
  <si>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</si>
  <si>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</si>
  <si>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</si>
  <si>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</si>
  <si>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</si>
  <si>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</si>
  <si>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КЗ</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</si>
  <si>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</si>
  <si>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</si>
  <si>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</si>
  <si>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t>Диагностика МЦКО МАТ всем быть в 8.45 каб 406, 408 (Белоус, Харитонов)</t>
  </si>
  <si>
    <r>
      <rPr>
        <rFont val="Arial"/>
        <color theme="1"/>
        <sz val="10.0"/>
      </rPr>
      <t xml:space="preserve">Общество  (Куницын)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</si>
  <si>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</si>
  <si>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</si>
  <si>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</si>
  <si>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</si>
  <si>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КЗ</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</si>
  <si>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</si>
  <si>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</si>
  <si>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</si>
  <si>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t>Общество  (Куницын) 201</t>
  </si>
  <si>
    <r>
      <rPr>
        <rFont val="Arial"/>
        <color theme="1"/>
        <sz val="10.0"/>
      </rPr>
      <t xml:space="preserve">Информатика (Старунова) </t>
    </r>
    <r>
      <rPr>
        <rFont val="Arial"/>
        <b/>
        <color theme="1"/>
        <sz val="10.0"/>
      </rPr>
      <t>408</t>
    </r>
  </si>
  <si>
    <r>
      <rPr>
        <rFont val="Arial"/>
        <b/>
        <color theme="1"/>
        <sz val="14.0"/>
      </rPr>
      <t xml:space="preserve">СПЕКТАКЛЬ "ДЕТИ СИНЕГО ФЛАМИНГО" (Обидина) </t>
    </r>
    <r>
      <rPr>
        <rFont val="Arial"/>
        <b/>
        <color theme="1"/>
        <sz val="14.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</si>
  <si>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</si>
  <si>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</si>
  <si>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</si>
  <si>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</si>
  <si>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t>ПРОСМОТР СПЕКТАКЛЯ "ДЕТИ СИНЕГО ФЛАМИНГО" АЗ</t>
  </si>
  <si>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</si>
  <si>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</si>
  <si>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</si>
  <si>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</si>
  <si>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</si>
  <si>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</si>
  <si>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</si>
  <si>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</si>
  <si>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</si>
  <si>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</si>
  <si>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</si>
  <si>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</si>
  <si>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</si>
  <si>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</si>
  <si>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</si>
  <si>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</si>
  <si>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Roboto, RobotoDraft, Helvetica, Arial, sans-serif"/>
        <color rgb="FF000000"/>
      </rPr>
      <t xml:space="preserve">Общество (Куницын)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</si>
  <si>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</si>
  <si>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</si>
  <si>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</si>
  <si>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</si>
  <si>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</si>
  <si>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</si>
  <si>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</si>
  <si>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</si>
  <si>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</si>
  <si>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</si>
  <si>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</si>
  <si>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</si>
  <si>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</si>
  <si>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</si>
  <si>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</si>
  <si>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</si>
  <si>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</si>
  <si>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</si>
  <si>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</si>
  <si>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</si>
  <si>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</si>
  <si>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406</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</si>
  <si>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</si>
  <si>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</si>
  <si>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</si>
  <si>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</si>
  <si>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</si>
  <si>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</si>
  <si>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</si>
  <si>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</si>
  <si>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</si>
  <si>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401</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</si>
  <si>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</si>
  <si>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</si>
  <si>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</si>
  <si>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10:00 - 11:30 МАТИГРА (Заводов, Митев)
209</t>
  </si>
  <si>
    <t>11.00 Олимп инфо (Подворный) ДИСТАНТ 
(в течении дня)</t>
  </si>
  <si>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</si>
  <si>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</si>
  <si>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</si>
  <si>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</si>
  <si>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</si>
  <si>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</si>
  <si>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</si>
  <si>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</si>
  <si>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</si>
  <si>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</si>
  <si>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</si>
  <si>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</si>
  <si>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</si>
  <si>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</si>
  <si>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</si>
  <si>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</si>
  <si>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</si>
  <si>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</si>
  <si>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</si>
  <si>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</si>
  <si>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</si>
  <si>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</si>
  <si>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</si>
  <si>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</si>
  <si>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</si>
  <si>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</si>
  <si>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rPr>
      <t xml:space="preserve">Матпрак (Молькова) </t>
    </r>
    <r>
      <rPr>
        <rFont val="Arial"/>
        <b/>
        <color theme="1"/>
      </rPr>
      <t>501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</si>
  <si>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</si>
  <si>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</si>
  <si>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</si>
  <si>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</si>
  <si>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</si>
  <si>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</si>
  <si>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</si>
  <si>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</si>
  <si>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</si>
  <si>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</si>
  <si>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</si>
  <si>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</si>
  <si>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(Высоцкая)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</si>
  <si>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</si>
  <si>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</si>
  <si>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</si>
  <si>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</si>
  <si>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</si>
  <si>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</si>
  <si>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501</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</si>
  <si>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</si>
  <si>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</si>
  <si>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</si>
  <si>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(Высоцкая)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</si>
  <si>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</si>
  <si>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</si>
  <si>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</si>
  <si>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</si>
  <si>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</si>
  <si>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</si>
  <si>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</si>
  <si>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</si>
  <si>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</si>
  <si>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</si>
  <si>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(Высоцкая)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</si>
  <si>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</si>
  <si>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</si>
  <si>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</si>
  <si>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</si>
  <si>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</si>
  <si>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</si>
  <si>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</si>
  <si>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</si>
  <si>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</si>
  <si>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(Высоцкая)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</si>
  <si>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</si>
  <si>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</si>
  <si>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</si>
  <si>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</si>
  <si>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</si>
  <si>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</si>
  <si>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</si>
  <si>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</si>
  <si>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</si>
  <si>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</si>
  <si>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</si>
  <si>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</si>
  <si>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</si>
  <si>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</si>
  <si>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</si>
  <si>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</si>
  <si>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</si>
  <si>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t>МЦКО МАТСТАТ 8.45 Кеелус и Дудоров в 406</t>
  </si>
  <si>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</si>
  <si>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</si>
  <si>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</si>
  <si>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</si>
  <si>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</si>
  <si>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</si>
  <si>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</si>
  <si>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t>Биология (Белоусова) КЗ</t>
  </si>
  <si>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</si>
  <si>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</si>
  <si>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</si>
  <si>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</si>
  <si>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</si>
  <si>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</si>
  <si>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</si>
  <si>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</si>
  <si>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</si>
  <si>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</si>
  <si>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</si>
  <si>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</si>
  <si>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</si>
  <si>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</si>
  <si>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</si>
  <si>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</si>
  <si>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</si>
  <si>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</si>
  <si>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</si>
  <si>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</si>
  <si>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</si>
  <si>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</si>
  <si>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</si>
  <si>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</si>
  <si>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</si>
  <si>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</si>
  <si>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</si>
  <si>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</si>
  <si>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</si>
  <si>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</si>
  <si>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</si>
  <si>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</si>
  <si>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</si>
  <si>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</si>
  <si>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</si>
  <si>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 xml:space="preserve">210 </t>
    </r>
    <r>
      <rPr>
        <rFont val="Arial"/>
        <color theme="1"/>
        <sz val="10.0"/>
      </rPr>
      <t xml:space="preserve">       </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</si>
  <si>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</si>
  <si>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</si>
  <si>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</si>
  <si>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</si>
  <si>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</si>
  <si>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</si>
  <si>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</si>
  <si>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</si>
  <si>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</si>
  <si>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 xml:space="preserve">210 </t>
    </r>
    <r>
      <rPr>
        <rFont val="Arial"/>
        <color theme="1"/>
        <sz val="10.0"/>
      </rPr>
      <t xml:space="preserve">       </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</si>
  <si>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</si>
  <si>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</si>
  <si>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</si>
  <si>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</si>
  <si>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</si>
  <si>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</si>
  <si>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</si>
  <si>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</si>
  <si>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</si>
  <si>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</si>
  <si>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</si>
  <si>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</si>
  <si>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</si>
  <si>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</si>
  <si>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</si>
  <si>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t>9.00 в АЗ праздничный концерт и выступление хора (Краснoва Е.И.)</t>
  </si>
  <si>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</si>
  <si>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</si>
  <si>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</si>
  <si>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rPr>
        <rFont val="Arial"/>
        <color theme="1"/>
        <sz val="10.0"/>
      </rPr>
      <t xml:space="preserve">Матпрак (кватро)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</si>
  <si>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</si>
  <si>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</si>
  <si>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</si>
  <si>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</si>
  <si>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</si>
  <si>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</si>
  <si>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</si>
  <si>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</si>
  <si>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rPr>
        <rFont val="Arial"/>
        <color theme="1"/>
        <sz val="10.0"/>
      </rPr>
      <t xml:space="preserve">Матпрак (кватро)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</si>
  <si>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</si>
  <si>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</si>
  <si>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</si>
  <si>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</si>
  <si>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</si>
  <si>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</si>
  <si>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</si>
  <si>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</si>
  <si>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</si>
  <si>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rPr>
        <rFont val="Arial"/>
        <color theme="1"/>
        <sz val="10.0"/>
      </rPr>
      <t xml:space="preserve">Матпрак (кватро)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</si>
  <si>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</si>
  <si>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</si>
  <si>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</si>
  <si>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</si>
  <si>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</si>
  <si>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(Высоцкая) </t>
    </r>
    <r>
      <rPr>
        <rFont val="Arial"/>
        <b/>
        <color theme="1"/>
        <sz val="10.0"/>
      </rPr>
      <t>403</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</si>
  <si>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</si>
  <si>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</si>
  <si>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(кватро)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</si>
  <si>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</si>
  <si>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</si>
  <si>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</si>
  <si>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</si>
  <si>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Подготовка к экзамену (Белоус) 409</t>
  </si>
  <si>
    <r>
      <rPr>
        <rFont val="Arial"/>
        <color theme="1"/>
        <sz val="10.0"/>
      </rPr>
      <t xml:space="preserve">Геом. (Заводов) </t>
    </r>
    <r>
      <rPr>
        <rFont val="Arial"/>
        <b/>
        <color theme="1"/>
        <sz val="10.0"/>
      </rPr>
      <t>209</t>
    </r>
  </si>
  <si>
    <t xml:space="preserve">Биология (Белоусова) 503          </t>
  </si>
  <si>
    <r>
      <rPr>
        <rFont val="Arial"/>
        <color theme="1"/>
        <sz val="10.0"/>
      </rPr>
      <t xml:space="preserve">Русский (Харитонов)  </t>
    </r>
    <r>
      <rPr>
        <rFont val="Arial"/>
        <b/>
        <color theme="1"/>
        <sz val="10.0"/>
      </rPr>
      <t>201</t>
    </r>
  </si>
  <si>
    <t>Математика (Высоцкая) 403</t>
  </si>
  <si>
    <r>
      <rPr>
        <rFont val="Arial"/>
        <color theme="1"/>
        <sz val="10.0"/>
      </rPr>
      <t xml:space="preserve">Физика (Репнев) </t>
    </r>
    <r>
      <rPr>
        <rFont val="Arial"/>
        <b/>
        <color theme="1"/>
        <sz val="10.0"/>
      </rPr>
      <t>402</t>
    </r>
  </si>
  <si>
    <r>
      <rPr>
        <rFont val="Arial"/>
        <color theme="1"/>
        <sz val="10.0"/>
      </rPr>
      <t xml:space="preserve">Матпрак (кватро)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</si>
  <si>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</si>
  <si>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</si>
  <si>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</si>
  <si>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</si>
  <si>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</si>
  <si>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</si>
  <si>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</si>
  <si>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</si>
  <si>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</si>
  <si>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</si>
  <si>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</si>
  <si>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</si>
  <si>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(кватро)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</si>
  <si>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</si>
  <si>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</si>
  <si>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</si>
  <si>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</si>
  <si>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</si>
  <si>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</si>
  <si>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</si>
  <si>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</si>
  <si>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(кватро)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</si>
  <si>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</si>
  <si>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</si>
  <si>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</si>
  <si>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</si>
  <si>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</si>
  <si>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Подготовка к ОГЭ по биологии + проекты Белоусова </t>
    </r>
    <r>
      <rPr>
        <rFont val="Arial"/>
        <b/>
        <color theme="1"/>
        <sz val="10.0"/>
      </rPr>
      <t>210</t>
    </r>
  </si>
  <si>
    <t xml:space="preserve"> Музыкальный кружок Лео и Ко</t>
  </si>
  <si>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</si>
  <si>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</si>
  <si>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</si>
  <si>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</si>
  <si>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</si>
  <si>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</si>
  <si>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</si>
  <si>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</si>
  <si>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</si>
  <si>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</si>
  <si>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</si>
  <si>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</si>
  <si>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</si>
  <si>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</si>
  <si>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</si>
  <si>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</si>
  <si>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</si>
  <si>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</si>
  <si>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</si>
  <si>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</si>
  <si>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</si>
  <si>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</si>
  <si>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</si>
  <si>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</si>
  <si>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</si>
  <si>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</si>
  <si>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</si>
  <si>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</si>
  <si>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</si>
  <si>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</si>
  <si>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</si>
  <si>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</si>
  <si>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</si>
  <si>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</si>
  <si>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</si>
  <si>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</si>
  <si>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</si>
  <si>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</si>
  <si>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</si>
  <si>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</si>
  <si>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</si>
  <si>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</si>
  <si>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</si>
  <si>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</si>
  <si>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</si>
  <si>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</si>
  <si>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</si>
  <si>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</si>
  <si>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</si>
  <si>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</si>
  <si>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</si>
  <si>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ОБЖ (Носкова) </t>
    </r>
    <r>
      <rPr>
        <rFont val="Arial"/>
        <b/>
        <color theme="1"/>
        <sz val="10.0"/>
      </rPr>
      <t>406</t>
    </r>
  </si>
  <si>
    <r>
      <rPr>
        <rFont val="Arial"/>
        <color theme="1"/>
        <sz val="10.0"/>
      </rPr>
      <t xml:space="preserve">Русский (Хуснутдинов)  </t>
    </r>
    <r>
      <rPr>
        <rFont val="Arial"/>
        <b/>
        <color theme="1"/>
        <sz val="10.0"/>
      </rPr>
      <t>409</t>
    </r>
  </si>
  <si>
    <r>
      <rPr>
        <rFont val="Roboto, RobotoDraft, Helvetica, Arial, sans-serif"/>
        <color rgb="FF000000"/>
      </rPr>
      <t xml:space="preserve">Общество (Куницын)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</si>
  <si>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</si>
  <si>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</si>
  <si>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</si>
  <si>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</si>
  <si>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</si>
  <si>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</si>
  <si>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</si>
  <si>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</si>
  <si>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Русский (Хуснутдинов)   </t>
    </r>
    <r>
      <rPr>
        <rFont val="Arial"/>
        <b/>
        <color theme="1"/>
        <sz val="10.0"/>
      </rPr>
      <t>409</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</si>
  <si>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</si>
  <si>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</si>
  <si>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</si>
  <si>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</si>
  <si>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</si>
  <si>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</si>
  <si>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</si>
  <si>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</si>
  <si>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</si>
  <si>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</si>
  <si>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Русский (Хуснутдинов)  </t>
    </r>
    <r>
      <rPr>
        <rFont val="Arial"/>
        <b/>
        <color theme="1"/>
        <sz val="1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</si>
  <si>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</si>
  <si>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</si>
  <si>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</si>
  <si>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</si>
  <si>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</si>
  <si>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</si>
  <si>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</si>
  <si>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</si>
  <si>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ТРИЗ (5-6 класс) 402, ХОР (Краснова, Никулова) КЗ, CTF (Джамбек) 406, Экономика для начинающих (Кирюшин) 210, Го (Решетников) 201, Олимпиадная история (Куницын) 503, Проекты (Слоневская) zoom, Гиревой спорт 9-11 кл (Хуснутдинов) СЗ</t>
  </si>
  <si>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</si>
  <si>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</si>
  <si>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</si>
  <si>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</si>
  <si>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</si>
  <si>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</si>
  <si>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</si>
  <si>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</si>
  <si>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Алгебра и стат.(Шерашова) </t>
    </r>
    <r>
      <rPr>
        <rFont val="Arial"/>
        <b/>
        <color theme="1"/>
        <sz val="10.0"/>
      </rPr>
      <t>401</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</si>
  <si>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</si>
  <si>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</si>
  <si>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</si>
  <si>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</si>
  <si>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</si>
  <si>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</si>
  <si>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</si>
  <si>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</si>
  <si>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</si>
  <si>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</si>
  <si>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</si>
  <si>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</si>
  <si>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</si>
  <si>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408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</si>
  <si>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</si>
  <si>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</si>
  <si>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t>МЦКО МАТ (Галлямов, Ставропольцев,Рубин, Удачина, Ивлеев, Курицын) 406 Бражников</t>
  </si>
  <si>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</si>
  <si>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</si>
  <si>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</si>
  <si>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</si>
  <si>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</si>
  <si>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</si>
  <si>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</si>
  <si>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</si>
  <si>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408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</si>
  <si>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</si>
  <si>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</si>
  <si>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</si>
  <si>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</si>
  <si>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</si>
  <si>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</si>
  <si>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</si>
  <si>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</si>
  <si>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</si>
  <si>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</si>
  <si>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</si>
  <si>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</si>
  <si>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</si>
  <si>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</si>
  <si>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</si>
  <si>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</si>
  <si>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</si>
  <si>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</si>
  <si>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</si>
  <si>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</si>
  <si>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</si>
  <si>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</si>
  <si>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</si>
  <si>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</si>
  <si>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</si>
  <si>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</si>
  <si>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</si>
  <si>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</si>
  <si>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</si>
  <si>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</si>
  <si>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Литра (Хуснутдинов)  </t>
    </r>
    <r>
      <rPr>
        <rFont val="Arial"/>
        <b/>
        <color theme="1"/>
        <sz val="10.0"/>
      </rPr>
      <t xml:space="preserve">209      </t>
    </r>
  </si>
  <si>
    <r>
      <rPr>
        <rFont val="Arial"/>
        <color theme="1"/>
        <sz val="10.0"/>
      </rPr>
      <t xml:space="preserve">Математический анализ (Попович)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</si>
  <si>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</si>
  <si>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</si>
  <si>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</si>
  <si>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</si>
  <si>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 РУС (Харитонов)  </t>
    </r>
    <r>
      <rPr>
        <rFont val="Arial"/>
        <b/>
        <color theme="1"/>
        <sz val="10.0"/>
      </rPr>
      <t>201</t>
    </r>
  </si>
  <si>
    <t>МЦКО ЧИТ.ГР 8.45 быть в 406 и 408 каб. (Старунoва, Дрoнзик)</t>
  </si>
  <si>
    <r>
      <rPr>
        <rFont val="Arial"/>
        <color theme="1"/>
        <sz val="10.0"/>
      </rPr>
      <t xml:space="preserve">Информатика (Аларкон) </t>
    </r>
    <r>
      <rPr>
        <rFont val="Arial"/>
        <b/>
        <color theme="1"/>
        <sz val="10.0"/>
      </rPr>
      <t>501</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</si>
  <si>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</si>
  <si>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</si>
  <si>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</si>
  <si>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</si>
  <si>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</si>
  <si>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501</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</si>
  <si>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</si>
  <si>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</si>
  <si>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</si>
  <si>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</si>
  <si>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t>Информатика (Аларкон) 501</t>
  </si>
  <si>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</si>
  <si>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</si>
  <si>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</si>
  <si>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</si>
  <si>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501</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</si>
  <si>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</si>
  <si>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</si>
  <si>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</si>
  <si>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</si>
  <si>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</si>
  <si>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</si>
  <si>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</si>
  <si>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</si>
  <si>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</si>
  <si>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</si>
  <si>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</si>
  <si>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</si>
  <si>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</si>
  <si>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</si>
  <si>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</si>
  <si>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</si>
  <si>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</si>
  <si>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</si>
  <si>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</si>
  <si>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</si>
  <si>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</si>
  <si>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</si>
  <si>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</si>
  <si>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</si>
  <si>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</si>
  <si>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</si>
  <si>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</si>
  <si>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</si>
  <si>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</si>
  <si>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</si>
  <si>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</si>
  <si>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</si>
  <si>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t>Репетиция в АЗ</t>
  </si>
  <si>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</si>
  <si>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</si>
  <si>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</si>
  <si>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</si>
  <si>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</si>
  <si>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</si>
  <si>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</si>
  <si>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</si>
  <si>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</si>
  <si>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</si>
  <si>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</si>
  <si>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</si>
  <si>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</si>
  <si>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</si>
  <si>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</si>
  <si>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</si>
  <si>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</si>
  <si>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</si>
  <si>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</si>
  <si>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</si>
  <si>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</si>
  <si>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</si>
  <si>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</si>
  <si>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</si>
  <si>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</si>
  <si>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</si>
  <si>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</si>
  <si>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</si>
  <si>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</si>
  <si>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</si>
  <si>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</si>
  <si>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</si>
  <si>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</si>
  <si>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</si>
  <si>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t>ДЛЯ УЧАСТНИКОВ ПРАКТИКИ КРОК С 9.00 ДО 13.10 ВСТРЕЧА В КЗ</t>
  </si>
  <si>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</si>
  <si>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</si>
  <si>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</si>
  <si>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</si>
  <si>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</si>
  <si>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</si>
  <si>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</si>
  <si>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</si>
  <si>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</si>
  <si>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</si>
  <si>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</si>
  <si>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</si>
  <si>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</si>
  <si>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</si>
  <si>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</si>
  <si>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</si>
  <si>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</si>
  <si>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</si>
  <si>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</si>
  <si>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t>Пробник ЕГЭ (Харитонов)  503</t>
  </si>
  <si>
    <r>
      <rPr>
        <rFont val="Arial"/>
        <color theme="1"/>
        <sz val="10.0"/>
      </rPr>
      <t xml:space="preserve">Информатика (Старунова) </t>
    </r>
    <r>
      <rPr>
        <rFont val="Arial"/>
        <b/>
        <color theme="1"/>
        <sz val="10.0"/>
      </rPr>
      <t>409</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</si>
  <si>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</si>
  <si>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</si>
  <si>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</si>
  <si>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</si>
  <si>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</si>
  <si>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</si>
  <si>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402</t>
    </r>
    <r>
      <rPr>
        <rFont val="Arial"/>
        <color theme="1"/>
      </rPr>
      <t xml:space="preserve"> )</t>
    </r>
    <r>
      <rPr>
        <rFont val="Arial"/>
        <b/>
        <color theme="1"/>
      </rPr>
      <t xml:space="preserve">     </t>
    </r>
  </si>
  <si>
    <t>МЦКО Диагностика ОБЩ и ИНФ 406, 408 (Белоус, Pепнев)</t>
  </si>
  <si>
    <t>Информатика (Старунова) 409</t>
  </si>
  <si>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</si>
  <si>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</si>
  <si>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</si>
  <si>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</si>
  <si>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</si>
  <si>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402</t>
    </r>
    <r>
      <rPr>
        <rFont val="Arial"/>
        <color theme="1"/>
      </rPr>
      <t xml:space="preserve"> )</t>
    </r>
    <r>
      <rPr>
        <rFont val="Arial"/>
        <b/>
        <color theme="1"/>
      </rPr>
      <t xml:space="preserve">     </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</si>
  <si>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</si>
  <si>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</si>
  <si>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</si>
  <si>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</si>
  <si>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</si>
  <si>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</si>
  <si>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</si>
  <si>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</si>
  <si>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</si>
  <si>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</si>
  <si>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</si>
  <si>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</si>
  <si>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</si>
  <si>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</si>
  <si>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</si>
  <si>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</si>
  <si>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</si>
  <si>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</si>
  <si>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</si>
  <si>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</si>
  <si>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</si>
  <si>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</si>
  <si>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</si>
  <si>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</si>
  <si>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</si>
  <si>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</si>
  <si>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</si>
  <si>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406</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</si>
  <si>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</si>
  <si>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</si>
  <si>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</si>
  <si>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</si>
  <si>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</si>
  <si>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</si>
  <si>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</si>
  <si>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</si>
  <si>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401</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</si>
  <si>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</si>
  <si>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</si>
  <si>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</si>
  <si>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ПОСТУПАШКИ ПИСЬМЕННЫЙ ТУР 16.00!!!  Всем не занятым ученикам задвинуть стулья, выровнять столы, вытереть доску, убрать мусор в кабинете и как можно скорее покинуть здание школы</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</si>
  <si>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</si>
  <si>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</si>
  <si>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</si>
  <si>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</si>
  <si>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</si>
  <si>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</si>
  <si>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</si>
  <si>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</si>
  <si>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</si>
  <si>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</si>
  <si>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</si>
  <si>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</si>
  <si>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</si>
  <si>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</si>
  <si>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</si>
  <si>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t>ЕГЭ Инфо Старунова 404 / Биология ЕГЭ Носкова 206</t>
  </si>
  <si>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</si>
  <si>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</si>
  <si>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</si>
  <si>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</si>
  <si>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</si>
  <si>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</si>
  <si>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</si>
  <si>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</si>
  <si>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</si>
  <si>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</si>
  <si>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</si>
  <si>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</si>
  <si>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</si>
  <si>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</si>
  <si>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</si>
  <si>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</si>
  <si>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</si>
  <si>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</si>
  <si>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</si>
  <si>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</si>
  <si>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</si>
  <si>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</si>
  <si>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</si>
  <si>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</si>
  <si>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</si>
  <si>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</si>
  <si>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</si>
  <si>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</si>
  <si>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</si>
  <si>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</si>
  <si>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</si>
  <si>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</si>
  <si>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</si>
  <si>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</si>
  <si>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</si>
  <si>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</si>
  <si>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</si>
  <si>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</si>
  <si>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</si>
  <si>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</si>
  <si>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</si>
  <si>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</si>
  <si>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</si>
  <si>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</si>
  <si>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</si>
  <si>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</si>
  <si>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</si>
  <si>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</si>
  <si>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</si>
  <si>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</si>
  <si>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</si>
  <si>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</si>
  <si>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</si>
  <si>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</si>
  <si>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Информатика (Старунова) </t>
    </r>
    <r>
      <rPr>
        <rFont val="Arial"/>
        <b/>
        <color theme="1"/>
        <sz val="10.0"/>
      </rPr>
      <t>408</t>
    </r>
  </si>
  <si>
    <r>
      <rPr>
        <rFont val="Arial"/>
        <color theme="1"/>
      </rPr>
      <t xml:space="preserve">Анлийский клуб (Пипейкина) </t>
    </r>
    <r>
      <rPr>
        <rFont val="Arial"/>
        <b/>
        <color theme="1"/>
      </rPr>
      <t>403</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</si>
  <si>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</si>
  <si>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</si>
  <si>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</si>
  <si>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</si>
  <si>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</si>
  <si>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</si>
  <si>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</si>
  <si>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</si>
  <si>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</si>
  <si>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</si>
  <si>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</si>
  <si>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</si>
  <si>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</si>
  <si>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</si>
  <si>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</si>
  <si>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</si>
  <si>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</si>
  <si>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</si>
  <si>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</si>
  <si>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</si>
  <si>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</si>
  <si>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</si>
  <si>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</si>
  <si>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</si>
  <si>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</si>
  <si>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</si>
  <si>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</si>
  <si>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</si>
  <si>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</si>
  <si>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</si>
  <si>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</si>
  <si>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</si>
  <si>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</si>
  <si>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</si>
  <si>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</si>
  <si>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</si>
  <si>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</si>
  <si>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</si>
  <si>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</si>
  <si>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</si>
  <si>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</si>
  <si>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t>пробный урок по математике 202</t>
  </si>
  <si>
    <r>
      <rPr>
        <rFont val="Arial"/>
        <color theme="1"/>
        <sz val="10.0"/>
      </rPr>
      <t xml:space="preserve">Русский (Хуснутдинов)  </t>
    </r>
    <r>
      <rPr>
        <rFont val="Arial"/>
        <b/>
        <color theme="1"/>
        <sz val="10.0"/>
      </rPr>
      <t>409</t>
    </r>
  </si>
  <si>
    <r>
      <rPr>
        <rFont val="Arial"/>
        <color theme="1"/>
      </rPr>
      <t xml:space="preserve">Матпрак (Молькова) </t>
    </r>
    <r>
      <rPr>
        <rFont val="Arial"/>
        <b/>
        <color theme="1"/>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</si>
  <si>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</si>
  <si>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</si>
  <si>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</si>
  <si>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</si>
  <si>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</si>
  <si>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</si>
  <si>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</si>
  <si>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t>МЦКО МАТ Резерв (Копаев, Лукьянов, Тухтаева, Шешелев) быть в 406 в 11.50!</t>
  </si>
  <si>
    <r>
      <rPr>
        <rFont val="Arial"/>
        <color theme="1"/>
      </rPr>
      <t xml:space="preserve">Матпрак (Молькова) </t>
    </r>
    <r>
      <rPr>
        <rFont val="Arial"/>
        <b/>
        <color theme="1"/>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</si>
  <si>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</si>
  <si>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</si>
  <si>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</si>
  <si>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</si>
  <si>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</si>
  <si>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</si>
  <si>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</si>
  <si>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</si>
  <si>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</si>
  <si>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</si>
  <si>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</si>
  <si>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202</t>
    </r>
  </si>
  <si>
    <r>
      <rPr>
        <rFont val="Arial"/>
        <color theme="1"/>
        <sz val="10.0"/>
      </rPr>
      <t xml:space="preserve">Геом. (Шерашова) </t>
    </r>
    <r>
      <rPr>
        <rFont val="Arial"/>
        <b/>
        <color theme="1"/>
        <sz val="10.0"/>
      </rPr>
      <t>401</t>
    </r>
  </si>
  <si>
    <t>РЕПЕТИЦИЯ  В АЗ</t>
  </si>
  <si>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</si>
  <si>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</si>
  <si>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</si>
  <si>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</si>
  <si>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</si>
  <si>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</si>
  <si>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</si>
  <si>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</si>
  <si>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202</t>
    </r>
  </si>
  <si>
    <r>
      <rPr>
        <rFont val="Arial"/>
        <color theme="1"/>
        <sz val="10.0"/>
      </rPr>
      <t xml:space="preserve">Геом. (Шерашова) </t>
    </r>
    <r>
      <rPr>
        <rFont val="Arial"/>
        <b/>
        <color theme="1"/>
        <sz val="10.0"/>
      </rPr>
      <t>401</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</si>
  <si>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</si>
  <si>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</si>
  <si>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</si>
  <si>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</si>
  <si>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</si>
  <si>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</si>
  <si>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</si>
  <si>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</si>
  <si>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</si>
  <si>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</si>
  <si>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</si>
  <si>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</si>
  <si>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</si>
  <si>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</si>
  <si>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</si>
  <si>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</si>
  <si>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</si>
  <si>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sz val="10.0"/>
      </rPr>
      <t xml:space="preserve">Физра (Ларченко) </t>
    </r>
    <r>
      <rPr>
        <rFont val="Arial"/>
        <b/>
        <color theme="1"/>
        <sz val="10.0"/>
      </rPr>
      <t>СЗ</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</si>
  <si>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</si>
  <si>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</si>
  <si>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</si>
  <si>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</si>
  <si>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t>ДЛЯ УЧАСТНИКОВ ПРАКТИКИ КРОК С 9.45 ДО 12.00 ВСТРЕЧА В КЗ</t>
  </si>
  <si>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</si>
  <si>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</si>
  <si>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</si>
  <si>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t xml:space="preserve"> МЦКО РУС резерв (Горбунов, Грицаюк, Володин Ал, Ивлеев, Саенко, Фомина) в 8.45 быть в 406!</t>
  </si>
  <si>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</si>
  <si>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</si>
  <si>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</si>
  <si>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</si>
  <si>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</si>
  <si>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</si>
  <si>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</si>
  <si>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(Абрамов) </t>
    </r>
    <r>
      <rPr>
        <rFont val="Arial"/>
        <b/>
        <color theme="1"/>
        <sz val="10.0"/>
      </rPr>
      <t>501</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</si>
  <si>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</si>
  <si>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</si>
  <si>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</si>
  <si>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</si>
  <si>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</si>
  <si>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Геометрия (Абрамов) </t>
    </r>
    <r>
      <rPr>
        <rFont val="Arial"/>
        <b/>
        <color theme="1"/>
        <sz val="10.0"/>
      </rPr>
      <t>501</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</si>
  <si>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</si>
  <si>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</si>
  <si>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</si>
  <si>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</si>
  <si>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</si>
  <si>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</si>
  <si>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</si>
  <si>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</si>
  <si>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t>Старунова 202</t>
  </si>
  <si>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</si>
  <si>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</si>
  <si>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</si>
  <si>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</si>
  <si>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</si>
  <si>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</si>
  <si>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</si>
  <si>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</si>
  <si>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</si>
  <si>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</si>
  <si>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</si>
  <si>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</si>
  <si>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</si>
  <si>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</si>
  <si>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</si>
  <si>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</si>
  <si>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</si>
  <si>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</si>
  <si>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</si>
  <si>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</si>
  <si>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</si>
  <si>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</si>
  <si>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t>Матанализ (Попович) 201</t>
  </si>
  <si>
    <r>
      <rPr>
        <rFont val="Arial"/>
        <color theme="1"/>
        <sz val="10.0"/>
      </rPr>
      <t xml:space="preserve">Алгебра (Шерашова) </t>
    </r>
    <r>
      <rPr>
        <rFont val="Arial"/>
        <b/>
        <color theme="1"/>
        <sz val="10.0"/>
      </rPr>
      <t>401</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</si>
  <si>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</si>
  <si>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</si>
  <si>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</si>
  <si>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</si>
  <si>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</si>
  <si>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</si>
  <si>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</si>
  <si>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t>Матанализ (Попович) 501</t>
  </si>
  <si>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</si>
  <si>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</si>
  <si>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</si>
  <si>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</si>
  <si>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</si>
  <si>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</si>
  <si>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</si>
  <si>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</si>
  <si>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</si>
  <si>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</si>
  <si>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 РУС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</si>
  <si>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</si>
  <si>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</si>
  <si>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</si>
  <si>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</si>
  <si>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</si>
  <si>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</si>
  <si>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</si>
  <si>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</si>
  <si>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</si>
  <si>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</si>
  <si>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</si>
  <si>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</si>
  <si>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</si>
  <si>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</si>
  <si>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</si>
  <si>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</si>
  <si>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</si>
  <si>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</si>
  <si>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</si>
  <si>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</si>
  <si>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</si>
  <si>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</si>
  <si>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</si>
  <si>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</si>
  <si>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</si>
  <si>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</si>
  <si>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</si>
  <si>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</si>
  <si>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</si>
  <si>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</si>
  <si>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</si>
  <si>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</si>
  <si>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</si>
  <si>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</si>
  <si>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</si>
  <si>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</si>
  <si>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</si>
  <si>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</si>
  <si>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</si>
  <si>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</si>
  <si>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</si>
  <si>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</si>
  <si>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</si>
  <si>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</si>
  <si>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</si>
  <si>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</si>
  <si>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</si>
  <si>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</si>
  <si>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</si>
  <si>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</si>
  <si>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</si>
  <si>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</si>
  <si>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</si>
  <si>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</si>
  <si>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</si>
  <si>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</si>
  <si>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</si>
  <si>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</si>
  <si>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</si>
  <si>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</si>
  <si>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</si>
  <si>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</si>
  <si>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</si>
  <si>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</si>
  <si>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</si>
  <si>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</si>
  <si>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</si>
  <si>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</si>
  <si>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</si>
  <si>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</si>
  <si>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</si>
  <si>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</si>
  <si>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</si>
  <si>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</si>
  <si>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Инженерные мастерилки (Рогацкина) </t>
    </r>
    <r>
      <rPr>
        <rFont val="Arial"/>
        <b/>
        <color theme="1"/>
        <sz val="10.0"/>
      </rPr>
      <t>410</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</si>
  <si>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</si>
  <si>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</si>
  <si>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</si>
  <si>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</si>
  <si>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</si>
  <si>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408</t>
    </r>
  </si>
  <si>
    <r>
      <rPr>
        <rFont val="Arial"/>
        <color theme="1"/>
        <sz val="10.0"/>
      </rPr>
      <t xml:space="preserve">Литература (Решетников) </t>
    </r>
    <r>
      <rPr>
        <rFont val="Arial"/>
        <b/>
        <color theme="1"/>
        <sz val="10.0"/>
      </rPr>
      <t>202</t>
    </r>
  </si>
  <si>
    <t>ЗАЧЕТ по математике (Дронзик) 409</t>
  </si>
  <si>
    <r>
      <rPr>
        <rFont val="Arial"/>
        <color theme="1"/>
        <sz val="10.0"/>
      </rPr>
      <t xml:space="preserve">Информатика (Аларкон </t>
    </r>
    <r>
      <rPr>
        <rFont val="Arial"/>
        <b/>
        <color theme="1"/>
        <sz val="10.0"/>
      </rPr>
      <t>401</t>
    </r>
    <r>
      <rPr>
        <rFont val="Arial"/>
        <color theme="1"/>
        <sz val="10.0"/>
      </rPr>
      <t>)</t>
    </r>
  </si>
  <si>
    <t>Каштанка рпетиция 7С в АЗ</t>
  </si>
  <si>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</si>
  <si>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</si>
  <si>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</si>
  <si>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t>ПОСЛЕДНИЙ ЗВОНОК КЗ</t>
  </si>
  <si>
    <r>
      <rPr>
        <rFont val="Arial"/>
        <color theme="1"/>
        <sz val="10.0"/>
      </rPr>
      <t xml:space="preserve">Англ (Алехина) </t>
    </r>
    <r>
      <rPr>
        <rFont val="Arial"/>
        <b/>
        <color theme="1"/>
        <sz val="10.0"/>
      </rPr>
      <t>403</t>
    </r>
  </si>
  <si>
    <t>Англ (Шевелев) 408</t>
  </si>
  <si>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</si>
  <si>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</si>
  <si>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</si>
  <si>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</si>
  <si>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</si>
  <si>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Русский (Харитонов)  </t>
    </r>
    <r>
      <rPr>
        <rFont val="Arial"/>
        <b/>
        <color theme="1"/>
        <sz val="10.0"/>
      </rPr>
      <t>201</t>
    </r>
  </si>
  <si>
    <t>Последний урок Куницын 210</t>
  </si>
  <si>
    <r>
      <rPr>
        <rFont val="Arial"/>
        <color theme="1"/>
        <sz val="10.0"/>
      </rPr>
      <t xml:space="preserve">Русский (Харитонов)  </t>
    </r>
    <r>
      <rPr>
        <rFont val="Arial"/>
        <b/>
        <color theme="1"/>
        <sz val="10.0"/>
      </rPr>
      <t>201</t>
    </r>
  </si>
  <si>
    <t>ЗАЧЕТ по математике (Дронзик)  КЗ</t>
  </si>
  <si>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</si>
  <si>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 Шевелёв 402)</t>
    </r>
  </si>
  <si>
    <t>Каштанка репетиция 7Т в АЗ</t>
  </si>
  <si>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</si>
  <si>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</si>
  <si>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</si>
  <si>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Roboto, RobotoDraft, Helvetica, Arial, sans-serif"/>
        <color rgb="FF222222"/>
      </rPr>
      <t xml:space="preserve">История </t>
    </r>
    <r>
      <rPr>
        <rFont val="Roboto, RobotoDraft, Helvetica, Arial, sans-serif"/>
        <color rgb="FF000000"/>
      </rPr>
      <t>(Куницын) 4</t>
    </r>
    <r>
      <rPr>
        <rFont val="Roboto, RobotoDraft, Helvetica, Arial, sans-serif"/>
        <b/>
        <color rgb="FF000000"/>
      </rPr>
      <t>09</t>
    </r>
  </si>
  <si>
    <t>Последний урок Белоус 210</t>
  </si>
  <si>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</si>
  <si>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</si>
  <si>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 Шевелёв 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</si>
  <si>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</si>
  <si>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</si>
  <si>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</si>
  <si>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Roboto, RobotoDraft, Helvetica, Arial, sans-serif"/>
        <color rgb="FF222222"/>
      </rPr>
      <t xml:space="preserve">История </t>
    </r>
    <r>
      <rPr>
        <rFont val="Roboto, RobotoDraft, Helvetica, Arial, sans-serif"/>
        <color rgb="FF000000"/>
      </rPr>
      <t>(Куницын) 4</t>
    </r>
    <r>
      <rPr>
        <rFont val="Roboto, RobotoDraft, Helvetica, Arial, sans-serif"/>
        <b/>
        <color rgb="FF000000"/>
      </rPr>
      <t>09</t>
    </r>
  </si>
  <si>
    <t>Последний урок Репнев 210</t>
  </si>
  <si>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</si>
  <si>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</si>
  <si>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t>Англ (Шевелев) 402</t>
  </si>
  <si>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</si>
  <si>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</si>
  <si>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</si>
  <si>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Roboto, RobotoDraft, Helvetica, Arial, sans-serif"/>
        <color rgb="FF000000"/>
      </rPr>
      <t>Общество (Куницын) 4</t>
    </r>
    <r>
      <rPr>
        <rFont val="Roboto, RobotoDraft, Helvetica, Arial, sans-serif"/>
        <b/>
        <color rgb="FF000000"/>
      </rPr>
      <t>09</t>
    </r>
  </si>
  <si>
    <t>Последний урок Заводов 210</t>
  </si>
  <si>
    <t>ПОСЛЕДНИЙ ЗВОНОК У 11 С В АЗ</t>
  </si>
  <si>
    <r>
      <rPr>
        <rFont val="Arial"/>
        <color theme="1"/>
        <sz val="10.0"/>
      </rPr>
      <t xml:space="preserve">13.10-13.30 Последний обед в столовой 13.30-14.00 Капсула времени в </t>
    </r>
    <r>
      <rPr>
        <rFont val="Arial"/>
        <b/>
        <color theme="1"/>
        <sz val="10.0"/>
      </rPr>
      <t xml:space="preserve">КЗ </t>
    </r>
    <r>
      <rPr>
        <rFont val="Arial"/>
        <color theme="1"/>
        <sz val="10.0"/>
      </rPr>
      <t>(Старунова)</t>
    </r>
  </si>
  <si>
    <t>ПОСЛЕДНИЙ ЗВОНОК АЗ</t>
  </si>
  <si>
    <t>Конференция "Силаэдр". Первая часть
Ведущие: Купряков Вова, Покорская Алина, Лебедева Марго
Актовый зал</t>
  </si>
  <si>
    <t>№№</t>
  </si>
  <si>
    <t>Время
(начало)</t>
  </si>
  <si>
    <t>Время
(конец)</t>
  </si>
  <si>
    <t xml:space="preserve">Руководитель </t>
  </si>
  <si>
    <t>Кто</t>
  </si>
  <si>
    <t>Какой проект</t>
  </si>
  <si>
    <t>Аудитория</t>
  </si>
  <si>
    <t>Старунова ОА или Попович АЛ или Дронзик АБ</t>
  </si>
  <si>
    <t>Пламенная речь</t>
  </si>
  <si>
    <t>Домбровская  и Слоневская</t>
  </si>
  <si>
    <t>Афанасий Даугелло и ко</t>
  </si>
  <si>
    <t>Ролевая игра</t>
  </si>
  <si>
    <t>Репнев</t>
  </si>
  <si>
    <t>Глеб Мусатов, Леша Рендиков</t>
  </si>
  <si>
    <t>Котолабиринты</t>
  </si>
  <si>
    <t>Попович</t>
  </si>
  <si>
    <t>Бобылькова Светлана, Киселев Семен</t>
  </si>
  <si>
    <t>Подграфы полных ориентированных графов</t>
  </si>
  <si>
    <t>Дронзик</t>
  </si>
  <si>
    <t>Кузнецов Егор, Шешелев Кирилл</t>
  </si>
  <si>
    <t>Статья</t>
  </si>
  <si>
    <t>Аларкон</t>
  </si>
  <si>
    <t>Игорь Панкратов и Женя Куклич</t>
  </si>
  <si>
    <t>2D Майнкрафт</t>
  </si>
  <si>
    <t>Пипейкина</t>
  </si>
  <si>
    <t>Степан Манаков, Галямов Тимур</t>
  </si>
  <si>
    <t>Исторический квест</t>
  </si>
  <si>
    <t>Белоус</t>
  </si>
  <si>
    <t>Федорова Евгения, Семёнова Антонина</t>
  </si>
  <si>
    <t>Типология личностей Майерс-Бриггс</t>
  </si>
  <si>
    <t>Перерыв 10 минут. Разделение конференции на две аудитории: АЗ и КЗ</t>
  </si>
  <si>
    <t>Конференция "Силаэдр". Вторая часть
Ведущие: Лебедева Марго и Покорская Алина
Актовый зал</t>
  </si>
  <si>
    <t xml:space="preserve">Исмаилов </t>
  </si>
  <si>
    <t xml:space="preserve">Гречко Мария, Чернышева Анастасия </t>
  </si>
  <si>
    <t>Математические игры</t>
  </si>
  <si>
    <t>Харитонов</t>
  </si>
  <si>
    <t>Тимур Рахметуллин, Новикова Ксюша, Попова Мария</t>
  </si>
  <si>
    <t>Роман Хаперли: взросление героини</t>
  </si>
  <si>
    <t xml:space="preserve">Заводов </t>
  </si>
  <si>
    <t>Слава Нониашвилли</t>
  </si>
  <si>
    <t>Клеточки</t>
  </si>
  <si>
    <t>Степан Тер-Оганесьян</t>
  </si>
  <si>
    <t>Замощение</t>
  </si>
  <si>
    <t>Носкова           и Белоусова</t>
  </si>
  <si>
    <t>Зверков Андрей</t>
  </si>
  <si>
    <t>Изучение достоверности экологического мониторинга</t>
  </si>
  <si>
    <t>Бродская Ксения, Лебедев Кирилл</t>
  </si>
  <si>
    <t>Статистический анализ лейкоза у котов</t>
  </si>
  <si>
    <t>Хуснутдинов</t>
  </si>
  <si>
    <t>Левков Иван</t>
  </si>
  <si>
    <t xml:space="preserve">Создание искусственного языка </t>
  </si>
  <si>
    <t>Тухтаева</t>
  </si>
  <si>
    <t>Аминахон Тухтаева</t>
  </si>
  <si>
    <t xml:space="preserve">Финансовая настольная игра круг жизни </t>
  </si>
  <si>
    <t>Хлебников Роман</t>
  </si>
  <si>
    <t>Образ идеального человека в глазах сообщества Силаэдра</t>
  </si>
  <si>
    <t>Куницын</t>
  </si>
  <si>
    <t>Соня Старунова</t>
  </si>
  <si>
    <t>Денацификация в поствоенной Германии</t>
  </si>
  <si>
    <t>13.00-13.20 ОБЕД (Столовая открыта)</t>
  </si>
  <si>
    <t>Конференция "Силаэдр". Вторая часть
Ведущий: Купряков Вова
Конференц зал</t>
  </si>
  <si>
    <t>Рогацкина</t>
  </si>
  <si>
    <t>Осипенко Лев, Жук Станислав</t>
  </si>
  <si>
    <t>Робот-мост</t>
  </si>
  <si>
    <t>Риннэ Илья, Шашкина Василиса</t>
  </si>
  <si>
    <t>Робот на управлении</t>
  </si>
  <si>
    <t>Федя Холодов и ко</t>
  </si>
  <si>
    <t>Хворь - настольная игра</t>
  </si>
  <si>
    <t>Ваня Кушнарёв и Сева Александров</t>
  </si>
  <si>
    <t>Escape from complex</t>
  </si>
  <si>
    <t>Вася Копаев, Рома Якунин, Вова Цветков, Давидус Ревюк</t>
  </si>
  <si>
    <t>Лабиринтус</t>
  </si>
  <si>
    <t>Шумский Лев и Бирюков Ярослав</t>
  </si>
  <si>
    <t>Geometry Dash</t>
  </si>
  <si>
    <t>Матюнин Алексей, Алабин Максим, Золотарёв Андрей, Матюшин Ярослав</t>
  </si>
  <si>
    <t>Unity 3D Shouter</t>
  </si>
  <si>
    <t>Грицаюк Всеволод</t>
  </si>
  <si>
    <t>3D Pygame</t>
  </si>
  <si>
    <t>Иван Качалов и Давид Рахмонов</t>
  </si>
  <si>
    <t>3D футбол на Pascal</t>
  </si>
  <si>
    <t>Елисей Вильдяев и Артем Гусев</t>
  </si>
  <si>
    <t>Игра "Жизнь"</t>
  </si>
  <si>
    <t>Левковцев Георгий, Шумский Леонид, Лебедев Михаил</t>
  </si>
  <si>
    <t>Карлик Нос</t>
  </si>
  <si>
    <t>Конференция "Силаэдр". Третья часть. Сбор в КЗ
КРОК Элевейтор питч (409, 408, 406)</t>
  </si>
  <si>
    <t>Эксперт/время</t>
  </si>
  <si>
    <t>Где сидит эксперт</t>
  </si>
  <si>
    <t>13:30 - 13:45</t>
  </si>
  <si>
    <t>13:50 - 14:05</t>
  </si>
  <si>
    <t>14:10 - 14:25</t>
  </si>
  <si>
    <t>Иван Подворный</t>
  </si>
  <si>
    <t>Гарри&amp;Денис</t>
  </si>
  <si>
    <t>Миша&amp;Маша</t>
  </si>
  <si>
    <t>Гарри&amp;Алина</t>
  </si>
  <si>
    <t>Лю Хиц</t>
  </si>
  <si>
    <t>Дима&amp;Глеб</t>
  </si>
  <si>
    <t>Вика</t>
  </si>
  <si>
    <t>Даша&amp;Матвей</t>
  </si>
  <si>
    <t>Марина Синило</t>
  </si>
  <si>
    <t>Полина&amp;Денис</t>
  </si>
  <si>
    <t>Олег Киргинцев</t>
  </si>
  <si>
    <t>Марина Генинг</t>
  </si>
  <si>
    <t>Николай Журавлев</t>
  </si>
  <si>
    <t>Мартанова Лилия</t>
  </si>
  <si>
    <t>10 (МАТ)</t>
  </si>
  <si>
    <t>10(СОЦ-ЭК)</t>
  </si>
  <si>
    <t>КРУЖКИ</t>
  </si>
  <si>
    <t>@</t>
  </si>
  <si>
    <t>29 пн</t>
  </si>
  <si>
    <t>9:00 - 10:00</t>
  </si>
  <si>
    <t>ОРГСОБРАНИЕ АЗ</t>
  </si>
  <si>
    <t>АГ футбол</t>
  </si>
  <si>
    <t>10:00 - 11:30</t>
  </si>
  <si>
    <t>практика в парке (Белоусова, Носкова, Хуснутдинов)</t>
  </si>
  <si>
    <r>
      <rPr>
        <rFont val="arial, sans, sans-serif"/>
        <color theme="1"/>
      </rPr>
      <t xml:space="preserve">ПРОЕКТЫ (Рогацкина </t>
    </r>
    <r>
      <rPr>
        <rFont val="arial, sans, sans-serif"/>
        <b/>
        <color theme="1"/>
      </rPr>
      <t>410</t>
    </r>
    <r>
      <rPr>
        <rFont val="arial, sans, sans-serif"/>
        <color theme="1"/>
      </rPr>
      <t xml:space="preserve">, Старунова </t>
    </r>
    <r>
      <rPr>
        <rFont val="arial, sans, sans-serif"/>
        <b/>
        <color theme="1"/>
      </rPr>
      <t>408</t>
    </r>
    <r>
      <rPr>
        <rFont val="arial, sans, sans-serif"/>
        <color theme="1"/>
      </rPr>
      <t xml:space="preserve">, КРОК в </t>
    </r>
    <r>
      <rPr>
        <rFont val="arial, sans, sans-serif"/>
        <b/>
        <color theme="1"/>
      </rPr>
      <t>КЗ</t>
    </r>
    <r>
      <rPr>
        <rFont val="arial, sans, sans-serif"/>
        <color theme="1"/>
      </rPr>
      <t xml:space="preserve">, Исмаилов </t>
    </r>
    <r>
      <rPr>
        <rFont val="arial, sans, sans-serif"/>
        <b/>
        <color theme="1"/>
      </rPr>
      <t>202</t>
    </r>
    <r>
      <rPr>
        <rFont val="arial, sans, sans-serif"/>
        <color theme="1"/>
      </rPr>
      <t xml:space="preserve">, Белоусова </t>
    </r>
    <r>
      <rPr>
        <rFont val="arial, sans, sans-serif"/>
        <b/>
        <color theme="1"/>
      </rPr>
      <t>206</t>
    </r>
    <r>
      <rPr>
        <rFont val="arial, sans, sans-serif"/>
        <color theme="1"/>
      </rPr>
      <t xml:space="preserve">,  Репнев </t>
    </r>
    <r>
      <rPr>
        <rFont val="arial, sans, sans-serif"/>
        <b/>
        <color theme="1"/>
      </rPr>
      <t>402</t>
    </r>
    <r>
      <rPr>
        <rFont val="arial, sans, sans-serif"/>
        <color theme="1"/>
      </rPr>
      <t xml:space="preserve">, Попович и Заводов </t>
    </r>
    <r>
      <rPr>
        <rFont val="arial, sans, sans-serif"/>
        <b/>
        <color theme="1"/>
      </rPr>
      <t>209</t>
    </r>
    <r>
      <rPr>
        <rFont val="arial, sans, sans-serif"/>
        <color theme="1"/>
      </rPr>
      <t xml:space="preserve">, Харитонов+Хуснутдинов+Белоус+Куницын в </t>
    </r>
    <r>
      <rPr>
        <rFont val="arial, sans, sans-serif"/>
        <b/>
        <color theme="1"/>
      </rPr>
      <t xml:space="preserve">201 </t>
    </r>
    <r>
      <rPr>
        <rFont val="arial, sans, sans-serif"/>
        <color theme="1"/>
      </rPr>
      <t xml:space="preserve">, Слоневская+Домбровская в </t>
    </r>
    <r>
      <rPr>
        <rFont val="arial, sans, sans-serif"/>
        <b/>
        <color theme="1"/>
      </rPr>
      <t>404</t>
    </r>
    <r>
      <rPr>
        <rFont val="arial, sans, sans-serif"/>
        <color theme="1"/>
      </rPr>
      <t xml:space="preserve">, Аларкон </t>
    </r>
    <r>
      <rPr>
        <rFont val="arial, sans, sans-serif"/>
        <b/>
        <color theme="1"/>
      </rPr>
      <t>406</t>
    </r>
    <r>
      <rPr>
        <rFont val="arial, sans, sans-serif"/>
        <color theme="1"/>
      </rPr>
      <t xml:space="preserve">, Дронзик </t>
    </r>
    <r>
      <rPr>
        <rFont val="arial, sans, sans-serif"/>
        <b/>
        <color theme="1"/>
      </rPr>
      <t>210</t>
    </r>
    <r>
      <rPr>
        <rFont val="arial, sans, sans-serif"/>
        <color theme="1"/>
      </rPr>
      <t xml:space="preserve">; Пипейкина </t>
    </r>
    <r>
      <rPr>
        <rFont val="arial, sans, sans-serif"/>
        <b/>
        <color theme="1"/>
      </rPr>
      <t>404)</t>
    </r>
  </si>
  <si>
    <t>АБ волейбол</t>
  </si>
  <si>
    <t>11.30 - 11.50</t>
  </si>
  <si>
    <t>Завтрак в столовой  11.30-11.50</t>
  </si>
  <si>
    <t>АС Искусство Возрождения / Каллиграфия 210</t>
  </si>
  <si>
    <t>11.50 - 14.00</t>
  </si>
  <si>
    <t xml:space="preserve">Амина Рукоделие в 201 (понедельник, среда и четверг если нет экскурсий) </t>
  </si>
  <si>
    <t>14:00 - 14:30</t>
  </si>
  <si>
    <t>Обед в столовой с 14.00 до 14.30</t>
  </si>
  <si>
    <t xml:space="preserve">Копаев Настолки в КЗ (все дни, когда 8С без экскурсий) </t>
  </si>
  <si>
    <t>14:30 - 16:00</t>
  </si>
  <si>
    <r>
      <rPr>
        <rFont val="arial, sans, sans-serif"/>
        <color theme="1"/>
      </rPr>
      <t xml:space="preserve">Кружки по выбору и желанию: Футбол (АГ) </t>
    </r>
    <r>
      <rPr>
        <rFont val="arial, sans, sans-serif"/>
        <b/>
        <color theme="1"/>
      </rPr>
      <t>на улице</t>
    </r>
    <r>
      <rPr>
        <rFont val="arial, sans, sans-serif"/>
        <color theme="1"/>
      </rPr>
      <t xml:space="preserve"> , волейбол (Анна Борисовна) </t>
    </r>
    <r>
      <rPr>
        <rFont val="arial, sans, sans-serif"/>
        <b/>
        <color theme="1"/>
      </rPr>
      <t>на улице</t>
    </r>
    <r>
      <rPr>
        <rFont val="arial, sans, sans-serif"/>
        <color theme="1"/>
      </rPr>
      <t xml:space="preserve"> ,                                                                 Настолки в Копаев </t>
    </r>
    <r>
      <rPr>
        <rFont val="arial, sans, sans-serif"/>
        <b/>
        <color theme="1"/>
      </rPr>
      <t xml:space="preserve">КЗ </t>
    </r>
    <r>
      <rPr>
        <rFont val="arial, sans, sans-serif"/>
        <color theme="1"/>
      </rPr>
      <t xml:space="preserve">,    Рукоделие Амина в </t>
    </r>
    <r>
      <rPr>
        <rFont val="arial, sans, sans-serif"/>
        <b/>
        <color theme="1"/>
      </rPr>
      <t>201</t>
    </r>
  </si>
  <si>
    <t>Пересдача по геометрии 
15:00 - 18:00 (ЯВ) 209</t>
  </si>
  <si>
    <r>
      <rPr>
        <rFont val="arial, sans, sans-serif"/>
        <color theme="1"/>
      </rPr>
      <t xml:space="preserve">Консультация по русскому (Хуснутдинов) </t>
    </r>
    <r>
      <rPr>
        <rFont val="arial, sans, sans-serif"/>
        <b/>
        <color theme="1"/>
      </rPr>
      <t>401</t>
    </r>
  </si>
  <si>
    <t>МИФИ 
(ОА, АГ, ИЕ)</t>
  </si>
  <si>
    <t>Волейбол (АБ) 14:30 - 15:30</t>
  </si>
  <si>
    <t>30 вт</t>
  </si>
  <si>
    <r>
      <rPr>
        <rFont val="arial, sans, sans-serif"/>
        <color theme="1"/>
      </rPr>
      <t xml:space="preserve">ПРОЕКТЫ
АА День 1
</t>
    </r>
    <r>
      <rPr>
        <rFont val="arial, sans, sans-serif"/>
        <b/>
        <color theme="1"/>
      </rPr>
      <t>210</t>
    </r>
  </si>
  <si>
    <r>
      <rPr>
        <rFont val="arial, sans, sans-serif"/>
        <color theme="1"/>
      </rPr>
      <t xml:space="preserve">ПРОЕКТЫ (Рогацкина </t>
    </r>
    <r>
      <rPr>
        <rFont val="arial, sans, sans-serif"/>
        <b/>
        <color theme="1"/>
      </rPr>
      <t>410</t>
    </r>
    <r>
      <rPr>
        <rFont val="arial, sans, sans-serif"/>
        <color theme="1"/>
      </rPr>
      <t xml:space="preserve">, КРОК в </t>
    </r>
    <r>
      <rPr>
        <rFont val="arial, sans, sans-serif"/>
        <b/>
        <color theme="1"/>
      </rPr>
      <t>КЗ</t>
    </r>
    <r>
      <rPr>
        <rFont val="arial, sans, sans-serif"/>
        <color theme="1"/>
      </rPr>
      <t xml:space="preserve">, Исмаилов </t>
    </r>
    <r>
      <rPr>
        <rFont val="arial, sans, sans-serif"/>
        <b/>
        <color theme="1"/>
      </rPr>
      <t>202</t>
    </r>
    <r>
      <rPr>
        <rFont val="arial, sans, sans-serif"/>
        <color theme="1"/>
      </rPr>
      <t xml:space="preserve">, Белоусова+Носкова </t>
    </r>
    <r>
      <rPr>
        <rFont val="arial, sans, sans-serif"/>
        <b/>
        <color theme="1"/>
      </rPr>
      <t>206</t>
    </r>
    <r>
      <rPr>
        <rFont val="arial, sans, sans-serif"/>
        <color theme="1"/>
      </rPr>
      <t xml:space="preserve">,  Репнев </t>
    </r>
    <r>
      <rPr>
        <rFont val="arial, sans, sans-serif"/>
        <b/>
        <color theme="1"/>
      </rPr>
      <t>402</t>
    </r>
    <r>
      <rPr>
        <rFont val="arial, sans, sans-serif"/>
        <color theme="1"/>
      </rPr>
      <t xml:space="preserve">, Попович+Заводов </t>
    </r>
    <r>
      <rPr>
        <rFont val="arial, sans, sans-serif"/>
        <b/>
        <color theme="1"/>
      </rPr>
      <t>209</t>
    </r>
    <r>
      <rPr>
        <rFont val="arial, sans, sans-serif"/>
        <color theme="1"/>
      </rPr>
      <t xml:space="preserve">, Харитонов+Хуснутдинов+Белоус+Куницын в </t>
    </r>
    <r>
      <rPr>
        <rFont val="arial, sans, sans-serif"/>
        <b/>
        <color theme="1"/>
      </rPr>
      <t>201</t>
    </r>
    <r>
      <rPr>
        <rFont val="arial, sans, sans-serif"/>
        <color theme="1"/>
      </rPr>
      <t xml:space="preserve"> , Слоневская+Домбровская в </t>
    </r>
    <r>
      <rPr>
        <rFont val="arial, sans, sans-serif"/>
        <b/>
        <color theme="1"/>
      </rPr>
      <t>404</t>
    </r>
    <r>
      <rPr>
        <rFont val="arial, sans, sans-serif"/>
        <color theme="1"/>
      </rPr>
      <t xml:space="preserve">, Дронзик </t>
    </r>
    <r>
      <rPr>
        <rFont val="arial, sans, sans-serif"/>
        <b/>
        <color theme="1"/>
      </rPr>
      <t>409</t>
    </r>
    <r>
      <rPr>
        <rFont val="arial, sans, sans-serif"/>
        <color theme="1"/>
      </rPr>
      <t>)</t>
    </r>
  </si>
  <si>
    <t>ПРОЕКТЫ
Подготовка к ЕГЭ по обществу 
КВ 12:00 -14:00</t>
  </si>
  <si>
    <t xml:space="preserve">ПРОЕКТЫ
</t>
  </si>
  <si>
    <r>
      <rPr>
        <rFont val="arial, sans, sans-serif"/>
        <color theme="1"/>
      </rPr>
      <t xml:space="preserve">Кружки по выбору и желанию: Волейбол (Анна Борисовна) </t>
    </r>
    <r>
      <rPr>
        <rFont val="arial, sans, sans-serif"/>
        <b/>
        <color theme="1"/>
      </rPr>
      <t>на улице</t>
    </r>
    <r>
      <rPr>
        <rFont val="arial, sans, sans-serif"/>
        <color theme="1"/>
      </rPr>
      <t xml:space="preserve"> ,  Настолки в Копаев </t>
    </r>
    <r>
      <rPr>
        <rFont val="arial, sans, sans-serif"/>
        <b/>
        <color theme="1"/>
      </rPr>
      <t xml:space="preserve">КЗ </t>
    </r>
    <r>
      <rPr>
        <rFont val="arial, sans, sans-serif"/>
        <color theme="1"/>
      </rPr>
      <t xml:space="preserve">, Рукоделие Амина в </t>
    </r>
    <r>
      <rPr>
        <rFont val="arial, sans, sans-serif"/>
        <b/>
        <color theme="1"/>
      </rPr>
      <t>201</t>
    </r>
  </si>
  <si>
    <t>ТЗН (Домбровская, Аларкон, Шерашова)</t>
  </si>
  <si>
    <t>Боулинг АЕ и АГ
 в 14.30 внизу на 1 этаже Судакова</t>
  </si>
  <si>
    <t xml:space="preserve">в 19.00 </t>
  </si>
  <si>
    <t>Онлайн-консультация по геометрии с ЯВ в ЗУМ</t>
  </si>
  <si>
    <t>31 ср</t>
  </si>
  <si>
    <r>
      <rPr>
        <rFont val="arial, sans, sans-serif"/>
        <color theme="1"/>
      </rPr>
      <t xml:space="preserve">ПРОЕКТЫ АГ
 </t>
    </r>
    <r>
      <rPr>
        <rFont val="arial, sans, sans-serif"/>
        <b/>
        <color theme="1"/>
      </rPr>
      <t>210</t>
    </r>
  </si>
  <si>
    <r>
      <rPr>
        <rFont val="arial, sans, sans-serif"/>
        <color theme="1"/>
      </rPr>
      <t xml:space="preserve">ПРОЕКТЫ (Рогацкина </t>
    </r>
    <r>
      <rPr>
        <rFont val="arial, sans, sans-serif"/>
        <b/>
        <color theme="1"/>
      </rPr>
      <t>410</t>
    </r>
    <r>
      <rPr>
        <rFont val="arial, sans, sans-serif"/>
        <color theme="1"/>
      </rPr>
      <t xml:space="preserve">, КРОК в </t>
    </r>
    <r>
      <rPr>
        <rFont val="arial, sans, sans-serif"/>
        <b/>
        <color theme="1"/>
      </rPr>
      <t>КЗ</t>
    </r>
    <r>
      <rPr>
        <rFont val="arial, sans, sans-serif"/>
        <color theme="1"/>
      </rPr>
      <t>, Исмаилов</t>
    </r>
    <r>
      <rPr>
        <rFont val="arial, sans, sans-serif"/>
        <b/>
        <color theme="1"/>
      </rPr>
      <t xml:space="preserve"> 202</t>
    </r>
    <r>
      <rPr>
        <rFont val="arial, sans, sans-serif"/>
        <color theme="1"/>
      </rPr>
      <t xml:space="preserve">, Белоусова+Носкова </t>
    </r>
    <r>
      <rPr>
        <rFont val="arial, sans, sans-serif"/>
        <b/>
        <color theme="1"/>
      </rPr>
      <t>206</t>
    </r>
    <r>
      <rPr>
        <rFont val="arial, sans, sans-serif"/>
        <color theme="1"/>
      </rPr>
      <t xml:space="preserve">,  Репнев </t>
    </r>
    <r>
      <rPr>
        <rFont val="arial, sans, sans-serif"/>
        <b/>
        <color theme="1"/>
      </rPr>
      <t>402</t>
    </r>
    <r>
      <rPr>
        <rFont val="arial, sans, sans-serif"/>
        <color theme="1"/>
      </rPr>
      <t xml:space="preserve">, Попович+Заводов </t>
    </r>
    <r>
      <rPr>
        <rFont val="arial, sans, sans-serif"/>
        <b/>
        <color theme="1"/>
      </rPr>
      <t>209</t>
    </r>
    <r>
      <rPr>
        <rFont val="arial, sans, sans-serif"/>
        <color theme="1"/>
      </rPr>
      <t xml:space="preserve">, Харитонов+Хуснутдинов+Белоус+Куницын в </t>
    </r>
    <r>
      <rPr>
        <rFont val="arial, sans, sans-serif"/>
        <b/>
        <color theme="1"/>
      </rPr>
      <t>201</t>
    </r>
    <r>
      <rPr>
        <rFont val="arial, sans, sans-serif"/>
        <color theme="1"/>
      </rPr>
      <t xml:space="preserve"> , Слоневская+Домбровская в </t>
    </r>
    <r>
      <rPr>
        <rFont val="arial, sans, sans-serif"/>
        <b/>
        <color theme="1"/>
      </rPr>
      <t>404, Дронзик 409</t>
    </r>
    <r>
      <rPr>
        <rFont val="arial, sans, sans-serif"/>
        <color theme="1"/>
      </rPr>
      <t>)</t>
    </r>
  </si>
  <si>
    <t>Исторический музей (Харитонов)</t>
  </si>
  <si>
    <t>Исторический музей (Дронзик; Хуснутдинов)</t>
  </si>
  <si>
    <r>
      <rPr>
        <rFont val="Arial"/>
        <b val="0"/>
        <color theme="1"/>
      </rPr>
      <t>Исторический музей (Старунова; Репнев)</t>
    </r>
    <r>
      <rPr>
        <rFont val="Arial"/>
        <b/>
        <color theme="1"/>
      </rPr>
      <t xml:space="preserve">
</t>
    </r>
  </si>
  <si>
    <t>Исторический музей ЕИ, ИВ</t>
  </si>
  <si>
    <t>Исторический музей по желанию</t>
  </si>
  <si>
    <t>с 16.00</t>
  </si>
  <si>
    <t>Пересдача по геометрии очно 209</t>
  </si>
  <si>
    <t>1 чт</t>
  </si>
  <si>
    <t>10:00 - 13:00</t>
  </si>
  <si>
    <r>
      <rPr>
        <rFont val="arial, sans, sans-serif"/>
        <color theme="1"/>
      </rPr>
      <t xml:space="preserve">ПРОЕКТЫ
АА День 2
</t>
    </r>
    <r>
      <rPr>
        <rFont val="arial, sans, sans-serif"/>
        <b/>
        <color theme="1"/>
      </rPr>
      <t>210</t>
    </r>
  </si>
  <si>
    <t>ПРОЕКТЫ (Рогацкина 410, КРОК в КЗ, Исмаилов 202, Белоусова+Носкова 206,  Репнев 402, Попович+Заводов 209, Харитонов+Хуснутдинов+Белоус+Куницын в 201 , Слоневская+Домбровская в 404, Дронзик 409)</t>
  </si>
  <si>
    <t>Поездка  (Чупина)</t>
  </si>
  <si>
    <t>13.00 - 13.30</t>
  </si>
  <si>
    <t>ОБЕД 13.00-13.30</t>
  </si>
  <si>
    <t>Отрывок из мюзикла "Кошки" 5С (Пипейкина АА) АЗ</t>
  </si>
  <si>
    <t>13.45 - 14.30</t>
  </si>
  <si>
    <r>
      <rPr>
        <rFont val="arial, sans, sans-serif"/>
        <color theme="1"/>
      </rPr>
      <t xml:space="preserve">Кружки по выбору и желанию: Волейбол (Юлия Робертовна) </t>
    </r>
    <r>
      <rPr>
        <rFont val="arial, sans, sans-serif"/>
        <b/>
        <color theme="1"/>
      </rPr>
      <t>на улице</t>
    </r>
    <r>
      <rPr>
        <rFont val="arial, sans, sans-serif"/>
        <color theme="1"/>
      </rPr>
      <t xml:space="preserve"> ,  Настолки (Копаев) </t>
    </r>
    <r>
      <rPr>
        <rFont val="arial, sans, sans-serif"/>
        <b/>
        <color theme="1"/>
      </rPr>
      <t xml:space="preserve">КЗ </t>
    </r>
    <r>
      <rPr>
        <rFont val="arial, sans, sans-serif"/>
        <color theme="1"/>
      </rPr>
      <t xml:space="preserve">, Рукоделие (Амина) в </t>
    </r>
    <r>
      <rPr>
        <rFont val="arial, sans, sans-serif"/>
        <b/>
        <color theme="1"/>
      </rPr>
      <t xml:space="preserve">201; </t>
    </r>
    <r>
      <rPr>
        <rFont val="arial, sans, sans-serif"/>
        <color theme="1"/>
      </rPr>
      <t xml:space="preserve">Мафия (Филатов) </t>
    </r>
    <r>
      <rPr>
        <rFont val="arial, sans, sans-serif"/>
        <b/>
        <color theme="1"/>
      </rPr>
      <t>409</t>
    </r>
  </si>
  <si>
    <t xml:space="preserve">КИНОПОКАЗ
Иван Васильевич Меняет Профессию
(вход свободный всем! Берем с собой вкусняхи, смотрим вместе в КЗ или 402) </t>
  </si>
  <si>
    <t>9.00 - 10.00</t>
  </si>
  <si>
    <t>Пересдача математики база Чупина 401</t>
  </si>
  <si>
    <t>2 пт</t>
  </si>
  <si>
    <r>
      <rPr>
        <rFont val="arial, sans, sans-serif"/>
        <color theme="1"/>
      </rPr>
      <t xml:space="preserve">ПРОЕКТЫ 
 (АБ, АВ) крайне желательно взять ноутбук, цв.карандаши
</t>
    </r>
    <r>
      <rPr>
        <rFont val="arial, sans, sans-serif"/>
        <b/>
        <color theme="1"/>
      </rPr>
      <t>210</t>
    </r>
  </si>
  <si>
    <t>13.30 - 14.30</t>
  </si>
  <si>
    <t>экскурсия в офис Авито (Слоневская,  ЕХ)</t>
  </si>
  <si>
    <t>Театр занимательной науки (ЕИ, ААП)</t>
  </si>
  <si>
    <r>
      <rPr>
        <rFont val="arial, sans, sans-serif"/>
        <b/>
        <color theme="1"/>
      </rPr>
      <t>Пересдача по истории Куницын 2</t>
    </r>
    <r>
      <rPr>
        <rFont val="arial, sans, sans-serif"/>
        <b/>
        <color theme="1"/>
      </rPr>
      <t>01</t>
    </r>
  </si>
  <si>
    <t>Подготовка к ЕГЭ по обществу 
КВ 14:30 -16:30</t>
  </si>
  <si>
    <t>3 сб</t>
  </si>
  <si>
    <t>ВЫХОДНОЙ</t>
  </si>
  <si>
    <t>4 вс</t>
  </si>
  <si>
    <t>5 пн</t>
  </si>
  <si>
    <r>
      <rPr>
        <rFont val="arial, sans, sans-serif"/>
        <color theme="1"/>
      </rPr>
      <t xml:space="preserve">ПРОЕКТЫ в </t>
    </r>
    <r>
      <rPr>
        <rFont val="arial, sans, sans-serif"/>
        <b/>
        <color theme="1"/>
      </rPr>
      <t>КЗ</t>
    </r>
    <r>
      <rPr>
        <rFont val="arial, sans, sans-serif"/>
        <color theme="1"/>
      </rPr>
      <t xml:space="preserve">
ЕИ, ИВ</t>
    </r>
  </si>
  <si>
    <t>ПРОЕКТЫ (Рогацкина 410, КРОК в 406 и 408, Исмаилов 202, Белоусова+Носкова 206,  Репнев 402, Попович+Заводов 209, Харитонов+Хуснутдинов+Белоус+Куницын в 201 , Слоневская+Домбровская в 404, Дронзик 409)</t>
  </si>
  <si>
    <r>
      <rPr>
        <rFont val="arial, sans, sans-serif"/>
        <color theme="1"/>
      </rPr>
      <t xml:space="preserve">ПРОЕКТЫ в </t>
    </r>
    <r>
      <rPr>
        <rFont val="arial, sans, sans-serif"/>
        <b/>
        <color theme="1"/>
      </rPr>
      <t>КЗ</t>
    </r>
    <r>
      <rPr>
        <rFont val="arial, sans, sans-serif"/>
        <color theme="1"/>
      </rPr>
      <t xml:space="preserve">
ЕИ, ИВ</t>
    </r>
  </si>
  <si>
    <t>Пересдача информатики 5С в 408 каб</t>
  </si>
  <si>
    <t>Как делаются профессиональные фотографии (лекция Екатерины Якуниной) АЗ / кружок настолок</t>
  </si>
  <si>
    <t>Как делаются профессиональные фотографии (лекция Екатерины Якуниной) АЗ</t>
  </si>
  <si>
    <t>Пересдача по алгебре ЮР  14:30-16:00 в 209</t>
  </si>
  <si>
    <t>6 вт</t>
  </si>
  <si>
    <t>9.00-10.00</t>
  </si>
  <si>
    <r>
      <rPr>
        <rFont val="Arial"/>
        <b/>
        <color theme="1"/>
      </rPr>
      <t xml:space="preserve">Пересдача экзамена по истории Белоус </t>
    </r>
    <r>
      <rPr>
        <rFont val="Arial"/>
        <b/>
        <color theme="1"/>
      </rPr>
      <t>401</t>
    </r>
  </si>
  <si>
    <t>Пересдача по математике АБ
409</t>
  </si>
  <si>
    <r>
      <rPr>
        <rFont val="arial, sans, sans-serif"/>
        <color theme="1"/>
      </rPr>
      <t xml:space="preserve">ПРОЕКТЫ </t>
    </r>
    <r>
      <rPr>
        <rFont val="arial, sans, sans-serif"/>
        <b/>
        <color theme="1"/>
      </rPr>
      <t>ОС в 210</t>
    </r>
  </si>
  <si>
    <r>
      <rPr>
        <rFont val="arial, sans, sans-serif"/>
        <color theme="1"/>
      </rPr>
      <t xml:space="preserve">ПРОЕКТЫ </t>
    </r>
    <r>
      <rPr>
        <rFont val="arial, sans, sans-serif"/>
        <b/>
        <color theme="1"/>
      </rPr>
      <t>ОС в 210</t>
    </r>
  </si>
  <si>
    <t>экскурсия в СИБУР (АВ и ЕХ, с собой паспорт, сбор 14:15 на 1 этаже)</t>
  </si>
  <si>
    <t>Подготовка к ЕГЭ
по обществу 
КВ 14:30 -16:30</t>
  </si>
  <si>
    <t>7 ср</t>
  </si>
  <si>
    <t>Пересдача экзамена по английскому 4 чел. кто не сдал ранее (Алёхина, Домбровская) 405</t>
  </si>
  <si>
    <t>ПРОЕКТЫ 
Иван Подворный 406</t>
  </si>
  <si>
    <t>Подготовка к ЕГЭ по обществу 401
КВ 12:00 -14:00</t>
  </si>
  <si>
    <t>ПРОЕКТЫ 
Иван Подворный ДО 13.30</t>
  </si>
  <si>
    <t>экскурсия в РГБ им.Ленина (Харитонов, Исмаилов, Пипейкина)</t>
  </si>
  <si>
    <r>
      <rPr>
        <rFont val="Arial"/>
        <b/>
        <color theme="1"/>
      </rPr>
      <t xml:space="preserve">14:00 </t>
    </r>
    <r>
      <rPr>
        <rFont val="Arial"/>
        <color theme="1"/>
      </rPr>
      <t>Подлодка+музей истории ВМФ (Хуснутдинов, Слоневская)</t>
    </r>
  </si>
  <si>
    <r>
      <rPr>
        <rFont val="Arial"/>
        <b/>
        <color theme="1"/>
      </rPr>
      <t>14.00</t>
    </r>
    <r>
      <rPr>
        <rFont val="Arial"/>
        <color theme="1"/>
      </rPr>
      <t xml:space="preserve"> 
Экскурсия "Московские клады" (Дронзик, Репнев)</t>
    </r>
  </si>
  <si>
    <t>Пикник (Чупина)</t>
  </si>
  <si>
    <t>8 чт</t>
  </si>
  <si>
    <t>ПРОЕКТЫ АЭ
210</t>
  </si>
  <si>
    <t>Пересдача геом 10 класс 13.30, 209</t>
  </si>
  <si>
    <t xml:space="preserve">Лекция по кибербезопасности от Александра Попова  КЗ / Экскурсия в Полюс Золото (20 человек по предв записи) </t>
  </si>
  <si>
    <t>Пересдача по литературе Решетников 202</t>
  </si>
  <si>
    <t>9 пт</t>
  </si>
  <si>
    <t>10.00-14.00</t>
  </si>
  <si>
    <t>КОНФЕРЕНЦИЯ
10:00 - 13:00 - в школе АЗ
13:00 - 15:00 409, 408, 406 КРОКовцы - элевайтор питч с экспертами АЗ</t>
  </si>
  <si>
    <t>УРА! КАНИКУЛЫ!!</t>
  </si>
  <si>
    <t>Выходной</t>
  </si>
  <si>
    <t xml:space="preserve">УРА! КАНИКУЛЫ!!	
	</t>
  </si>
  <si>
    <t>Проекты только у КРОКовцев КЗ</t>
  </si>
  <si>
    <t>КОНФЕРЕНЦИЯ в КРОК (ПРИГЛАШАЮТСЯ ВСЕ!)</t>
  </si>
  <si>
    <t>06.06 Ростелеком (ОА) 
Проспект Вернадского 41, БЦ Академик</t>
  </si>
  <si>
    <t>06.06 Сибур (АВ Чупина) Кржижановского 14/3, м. Профсоюзная</t>
  </si>
  <si>
    <t>08.06 Полюс</t>
  </si>
  <si>
    <t>ТЗН 5 кл(ОА, ОС, НС)</t>
  </si>
  <si>
    <t>Ист музей 5</t>
  </si>
  <si>
    <t>Старчак Илья Александрович</t>
  </si>
  <si>
    <t>Царев Григорий Михайлович</t>
  </si>
  <si>
    <t>Плаксин</t>
  </si>
  <si>
    <t>Александров</t>
  </si>
  <si>
    <t>Жуков Василий Владиславович</t>
  </si>
  <si>
    <t>Кузнецов Егор Артёмович</t>
  </si>
  <si>
    <t>Басацкая</t>
  </si>
  <si>
    <t>Артемьев</t>
  </si>
  <si>
    <t>Дударева Дарья Игоревна</t>
  </si>
  <si>
    <t>Тлепбергенов Амир Джамбекович</t>
  </si>
  <si>
    <t>Лебедева</t>
  </si>
  <si>
    <t>Бирюков</t>
  </si>
  <si>
    <t>Белозеров Иван Максимович</t>
  </si>
  <si>
    <t>Лукьянов Савелий Романович</t>
  </si>
  <si>
    <t>Агронович</t>
  </si>
  <si>
    <t>Буслаев</t>
  </si>
  <si>
    <t>Саенко Георгий Олегович</t>
  </si>
  <si>
    <t>Левковцев Георгий Андреевич</t>
  </si>
  <si>
    <t>Ревская</t>
  </si>
  <si>
    <t>Вильдяев</t>
  </si>
  <si>
    <t>Васильев Алексей Михайлович</t>
  </si>
  <si>
    <t>Шешелев Кирилл Дмитриевич</t>
  </si>
  <si>
    <t>Амир</t>
  </si>
  <si>
    <t>Гамаюнова</t>
  </si>
  <si>
    <t>Горбунов Дмитрий Владимирович</t>
  </si>
  <si>
    <t>Козлов Сергей Витальевич</t>
  </si>
  <si>
    <t>Поля</t>
  </si>
  <si>
    <t>Горюшин</t>
  </si>
  <si>
    <t>Матюшин Алексей Александрович</t>
  </si>
  <si>
    <t>Лебедев Михаил Олегович</t>
  </si>
  <si>
    <t>Васильев</t>
  </si>
  <si>
    <t>Гусев</t>
  </si>
  <si>
    <t>Зверков Андрей Андреевич</t>
  </si>
  <si>
    <t>Басацкая Ксения Андреевна</t>
  </si>
  <si>
    <t>Царёв</t>
  </si>
  <si>
    <t>Душенков</t>
  </si>
  <si>
    <t>Таран Максим Владимирович</t>
  </si>
  <si>
    <t>Золотарев Андрей Сергеевич</t>
  </si>
  <si>
    <t>Матюшин</t>
  </si>
  <si>
    <t>Иванов</t>
  </si>
  <si>
    <t>Алабин Максим Александрович</t>
  </si>
  <si>
    <t>Демаков Кирилл Евгеньевич</t>
  </si>
  <si>
    <t>Грицаюк</t>
  </si>
  <si>
    <t>Иванова</t>
  </si>
  <si>
    <t>Володин Александр Сергеевич</t>
  </si>
  <si>
    <t>Шумский Леонид Львович</t>
  </si>
  <si>
    <t>Фёдорова</t>
  </si>
  <si>
    <t>Качалов</t>
  </si>
  <si>
    <t>Балашов Георгий Евгеньевич</t>
  </si>
  <si>
    <t>Шершунова София Михайловна</t>
  </si>
  <si>
    <t>Бобылькова</t>
  </si>
  <si>
    <t>Колисов</t>
  </si>
  <si>
    <t>Свиридова Полина Андреевна</t>
  </si>
  <si>
    <t>Чупина Анна Владимировна</t>
  </si>
  <si>
    <t>Сухарева</t>
  </si>
  <si>
    <t>Кузьминых</t>
  </si>
  <si>
    <t>Бобылькова Светлана Кирилловна</t>
  </si>
  <si>
    <t>Аларкон Евгений Хосеевич</t>
  </si>
  <si>
    <t>Старчак Илья</t>
  </si>
  <si>
    <t>Мартанов</t>
  </si>
  <si>
    <t>Дронзик Анна Борисовна</t>
  </si>
  <si>
    <t>Мартьянов</t>
  </si>
  <si>
    <t>Старунова Ольга Александровна</t>
  </si>
  <si>
    <t>Покорская Алина Александровна</t>
  </si>
  <si>
    <t>Мельников</t>
  </si>
  <si>
    <t>Федорова Евгения Олеговна</t>
  </si>
  <si>
    <t xml:space="preserve">Нониашвили </t>
  </si>
  <si>
    <t>Плотников</t>
  </si>
  <si>
    <t>Рахмонов</t>
  </si>
  <si>
    <t>Синило</t>
  </si>
  <si>
    <t>Сомин</t>
  </si>
  <si>
    <t>Сошников</t>
  </si>
  <si>
    <t>Трошина</t>
  </si>
  <si>
    <t>Фленкин</t>
  </si>
  <si>
    <t>Харламова</t>
  </si>
  <si>
    <t>Шулаков</t>
  </si>
  <si>
    <t xml:space="preserve">Ютяев </t>
  </si>
  <si>
    <t>Яковлев</t>
  </si>
  <si>
    <t>6С</t>
  </si>
  <si>
    <t>Гречко</t>
  </si>
  <si>
    <t>Мария</t>
  </si>
  <si>
    <t>Владимировна</t>
  </si>
  <si>
    <t>6Т</t>
  </si>
  <si>
    <t>Дьяконов</t>
  </si>
  <si>
    <t>Александр</t>
  </si>
  <si>
    <t>Сергеевич</t>
  </si>
  <si>
    <t>Жук</t>
  </si>
  <si>
    <t>Станислав</t>
  </si>
  <si>
    <t>Дмитриевич</t>
  </si>
  <si>
    <t>Жуков</t>
  </si>
  <si>
    <t>Василий</t>
  </si>
  <si>
    <t>Владиславович</t>
  </si>
  <si>
    <t>Коротков</t>
  </si>
  <si>
    <t>Михаил</t>
  </si>
  <si>
    <t>Олегович</t>
  </si>
  <si>
    <t>Куклич</t>
  </si>
  <si>
    <t>Евгений</t>
  </si>
  <si>
    <t>Романович</t>
  </si>
  <si>
    <t>Левков</t>
  </si>
  <si>
    <t>Иван</t>
  </si>
  <si>
    <t>Евгеньевич</t>
  </si>
  <si>
    <t>Лунев</t>
  </si>
  <si>
    <t>Андрей</t>
  </si>
  <si>
    <t>Максимович</t>
  </si>
  <si>
    <t>Манаков</t>
  </si>
  <si>
    <t>Степан</t>
  </si>
  <si>
    <t>Андреевич</t>
  </si>
  <si>
    <t>Мартынов</t>
  </si>
  <si>
    <t>Михайлов</t>
  </si>
  <si>
    <t>Вадим</t>
  </si>
  <si>
    <t>Александрович</t>
  </si>
  <si>
    <t>Муковозов</t>
  </si>
  <si>
    <t>Михайлович</t>
  </si>
  <si>
    <t>Огарёв</t>
  </si>
  <si>
    <t>Даниил</t>
  </si>
  <si>
    <t>Огарёва</t>
  </si>
  <si>
    <t>Анна</t>
  </si>
  <si>
    <t>Евгеньевна</t>
  </si>
  <si>
    <t>Осипенко</t>
  </si>
  <si>
    <t>Лев</t>
  </si>
  <si>
    <t>Алексеевич</t>
  </si>
  <si>
    <t>Подрез</t>
  </si>
  <si>
    <t>Пётр</t>
  </si>
  <si>
    <t>Иванович</t>
  </si>
  <si>
    <t>Ревюк</t>
  </si>
  <si>
    <t>Давид</t>
  </si>
  <si>
    <t>Ростиславович</t>
  </si>
  <si>
    <t>Сыровенко</t>
  </si>
  <si>
    <t>Денис</t>
  </si>
  <si>
    <t>Тарасович</t>
  </si>
  <si>
    <t>Сыцко</t>
  </si>
  <si>
    <t>Тимофей</t>
  </si>
  <si>
    <t>Усов</t>
  </si>
  <si>
    <t>Илья</t>
  </si>
  <si>
    <t>Хлебников</t>
  </si>
  <si>
    <t>Роман</t>
  </si>
  <si>
    <t>Игоревич</t>
  </si>
  <si>
    <t>Чернышева</t>
  </si>
  <si>
    <t>Анастасия</t>
  </si>
  <si>
    <t>Вячеславовна</t>
  </si>
  <si>
    <t>Якунин</t>
  </si>
  <si>
    <t>Викторович</t>
  </si>
  <si>
    <t>Яндекс</t>
  </si>
  <si>
    <t>1. Старунова Ольга Александровна</t>
  </si>
  <si>
    <t>2. Папазов Владимир</t>
  </si>
  <si>
    <t>3. Таран Максим</t>
  </si>
  <si>
    <t>4. Дударева Дарья</t>
  </si>
  <si>
    <t>5. Матюшин Алексей</t>
  </si>
  <si>
    <t>6. Володин Александр</t>
  </si>
  <si>
    <t>7. Плаксин Артем</t>
  </si>
  <si>
    <t>8. Саначев Иван</t>
  </si>
  <si>
    <t>9. Белозеров Иван</t>
  </si>
  <si>
    <t>10. Зверков Андрей</t>
  </si>
  <si>
    <t>5с</t>
  </si>
  <si>
    <t>6с</t>
  </si>
  <si>
    <t>7ст</t>
  </si>
  <si>
    <t>8с</t>
  </si>
  <si>
    <t>9с ОГЭ</t>
  </si>
  <si>
    <t>10с МАТ</t>
  </si>
  <si>
    <t>10с СОЦЭК</t>
  </si>
  <si>
    <t>11с ЕГЭ</t>
  </si>
  <si>
    <t>17.05.2023
среда</t>
  </si>
  <si>
    <r>
      <rPr>
        <rFont val="Arial"/>
        <color theme="1"/>
        <sz val="14.0"/>
      </rPr>
      <t xml:space="preserve">МАТ (БАЗА) </t>
    </r>
    <r>
      <rPr>
        <rFont val="Arial"/>
        <b/>
        <color theme="1"/>
        <sz val="14.0"/>
      </rPr>
      <t xml:space="preserve">401, </t>
    </r>
    <r>
      <rPr>
        <rFont val="Arial"/>
        <color theme="1"/>
        <sz val="14.0"/>
      </rPr>
      <t>АВ
11.45-13.10 и 13:50 - 15:15 по подгруппам</t>
    </r>
  </si>
  <si>
    <t>18.05.2023
четверг</t>
  </si>
  <si>
    <t>19.05.2023
пятница</t>
  </si>
  <si>
    <t>Зачет по математике (во время уроков) АБ 210</t>
  </si>
  <si>
    <t>22.05.2023
понедельник</t>
  </si>
  <si>
    <r>
      <rPr>
        <rFont val="Arial"/>
        <color theme="1"/>
        <sz val="14.0"/>
      </rPr>
      <t xml:space="preserve">Анг. язык (403,405)
ДВ, ЕА
9.00 -15.00
по группам
</t>
    </r>
    <r>
      <rPr>
        <rFont val="Arial"/>
        <color rgb="FFFF0000"/>
        <sz val="14.0"/>
      </rPr>
      <t>(пересдача 07.06)</t>
    </r>
  </si>
  <si>
    <t>Робототехника (410)
ЕА, АБ, ОА
1 группа с 10.00 до 12.30
2 группа с 13.00 до 15.30</t>
  </si>
  <si>
    <t>Матпрак (201,202)
АЭ, АВ
10.00 -16.00
по группам</t>
  </si>
  <si>
    <t>Геометрия (209) - оба класса
ЯВ
9.00-18.00
по группам</t>
  </si>
  <si>
    <t>Геометрия (210)
АА, ДГ, ЮР
10.00-14.00
по группам</t>
  </si>
  <si>
    <t>Литература (409)
КВ
10.00-14.00</t>
  </si>
  <si>
    <t>Автомат - Витвицкая, Мухлиссулин, Наровлянская, Парфёнов.         10:00 - Борисов, Военкова, Гаврилова, Демаков, Козлов, Копаев. 10:45 - Кузнецов, Лебедев, Левковцев, Лукьянов, Полозов, Свирский.                   11:30 - Титов, Тлепбергенов, Тухтаева, Угольников, Холодов, Царев, Шешелев, Шумский.</t>
  </si>
  <si>
    <t>15:00 - 19:00 PEER to PEER-сессия от КРОК (только для участников Кроковского трека) в КЗ</t>
  </si>
  <si>
    <t>23.05.2023
вторник</t>
  </si>
  <si>
    <t>История (406)
КВ
10.00-14.00</t>
  </si>
  <si>
    <t>МАТ (БАЗА)  209, 210
АВ АС
10.00-12.00
по группам</t>
  </si>
  <si>
    <t>Геометрия (401) - оба класса, пересдача
ЯВ
10.00-14.00
по договоренности</t>
  </si>
  <si>
    <t>9.00-12.00, 12.00-15.00 РЕПЕТИЦИЯ (ПОЛКЛАССА) Матпрак (201,202)
АЭ, НМ
10.00 -16.00
по группам</t>
  </si>
  <si>
    <t xml:space="preserve">Анг. язык (409)
НС
10.00 -12.00
</t>
  </si>
  <si>
    <t xml:space="preserve">Анг. язык (402)
СВ
10.00 -12.00
</t>
  </si>
  <si>
    <t>15:00 - 20:00 Тренинг по тестированию прототипов в КРОКЕ (только для участников Кроковского трека). Выход из школы в 15.00</t>
  </si>
  <si>
    <t>24.05.2023
среда</t>
  </si>
  <si>
    <t>Матпрак (КЗ)
РС, ДГ
10.00-14.00
по группам</t>
  </si>
  <si>
    <t>ИНФО (408)
ОА
10.00-14.00
по группам</t>
  </si>
  <si>
    <t>Литература (202)
НА
10.00-16.00</t>
  </si>
  <si>
    <t>МАТ (БАЗА) 201
Александр Александрович
10.00-12.00</t>
  </si>
  <si>
    <t>ОГЭ (История
Биология
Физика)</t>
  </si>
  <si>
    <t>Геометрия (209)
АА, АБ
10.00-13.00</t>
  </si>
  <si>
    <t>10:00 - Артюшков, Гребенников, Даугелло, Жабер, Купцов, Лебедев. 10:45 - Макаруша, Маскалева, Проскуряков, Пудовикова, Сыцко. 11:30 - Фомичев, Шешелев, Шишкин, Шумский, Щербаков.</t>
  </si>
  <si>
    <t>25.05.2023
четверг</t>
  </si>
  <si>
    <t>ИНФО (408, 403)
ОА
10.00-14.00
по группам</t>
  </si>
  <si>
    <t>Матпрак (201,202)
АЭ,ЮР, ЕМ, НМ
10.00 -14.00
по группам</t>
  </si>
  <si>
    <t>9.00-12.00, 12.00-15.00 РЕПЕТИЦИЯ (половина класса) МАТ (БАЗА) 401 и 402) 
 АГ, АС, АВ
10.00 - 11:50 7Т  и 12:00 - 14.00 7С по группам театра, кто не участвует в театре приходят 7Т в 10.00 и 7С в 12.00. 
15,00-18,00 пересдача геометрии по желанию в 408</t>
  </si>
  <si>
    <t>ИНФО (409, 406)
ИЕ, ЕХ
9.00 - 13.00 (ЕХ)
10.00-16.00 (ИЕ)
по группам</t>
  </si>
  <si>
    <t>14.20 консультация по русскому, подготовка к ОГЭ (Хуснутдинов) 210</t>
  </si>
  <si>
    <t xml:space="preserve">Русский язык (209)
ОС
10.00-14.00
</t>
  </si>
  <si>
    <t>26.05.2023
пятница</t>
  </si>
  <si>
    <t>МАТ (БАЗА) 209,210
ПА, ОС
10.00-12.00
по группам</t>
  </si>
  <si>
    <t>Анг. язык (406, 405)
ДВ, ЕА, НС
10.00 -15.00
по группам
(принести ноутбуки и флешки)</t>
  </si>
  <si>
    <r>
      <rPr>
        <rFont val="Arial"/>
        <color theme="1"/>
        <sz val="14.0"/>
      </rPr>
      <t xml:space="preserve">ИНФО </t>
    </r>
    <r>
      <rPr>
        <rFont val="Arial"/>
        <b/>
        <color theme="1"/>
        <sz val="14.0"/>
      </rPr>
      <t>401, 402, 408</t>
    </r>
    <r>
      <rPr>
        <rFont val="Arial"/>
        <color theme="1"/>
        <sz val="14.0"/>
      </rPr>
      <t xml:space="preserve"> ОА, ЕХ, ИЕ 
9.00 -13.00 (ЕХ)
10.00-16.00 (ИЕ)
по группам    </t>
    </r>
    <r>
      <rPr>
        <rFont val="Arial"/>
        <color rgb="FFCC0000"/>
        <sz val="14.0"/>
      </rPr>
      <t>с 16.00 Пересдача литературы для всех желающих 202 (НА) 10,00-16,00 пересдача геометрии по желанию в 404</t>
    </r>
  </si>
  <si>
    <r>
      <rPr>
        <rFont val="Arial"/>
        <color theme="1"/>
        <sz val="14.0"/>
      </rPr>
      <t xml:space="preserve">Матпрак </t>
    </r>
    <r>
      <rPr>
        <rFont val="Arial"/>
        <b/>
        <color theme="1"/>
        <sz val="14.0"/>
      </rPr>
      <t>201,202</t>
    </r>
    <r>
      <rPr>
        <rFont val="Arial"/>
        <color theme="1"/>
        <sz val="14.0"/>
      </rPr>
      <t xml:space="preserve">
АЭ, ЮР, АЛ
10.00 -14.00
по группам</t>
    </r>
  </si>
  <si>
    <t>История (409)
АА
10.00-14.00</t>
  </si>
  <si>
    <t>ЕГЭ (Литература
Химия)</t>
  </si>
  <si>
    <t>14:00-14:30 - божественный спектакль 7 класса Каштанка (1й состав)
14:45 - 15:15 - божественный спектакль 7 класса Каштанка (2й состав)</t>
  </si>
  <si>
    <r>
      <rPr>
        <rFont val="Arial"/>
        <color theme="1"/>
        <sz val="14.0"/>
      </rPr>
      <t xml:space="preserve">15.30 Игорь Котляр лекция </t>
    </r>
    <r>
      <rPr>
        <rFont val="Arial"/>
        <b/>
        <color theme="1"/>
        <sz val="14.0"/>
      </rPr>
      <t>210</t>
    </r>
  </si>
  <si>
    <t>27.05.2023
суббота</t>
  </si>
  <si>
    <r>
      <rPr>
        <rFont val="Arial"/>
        <color theme="1"/>
        <sz val="14.0"/>
      </rPr>
      <t xml:space="preserve">ОЛИМ.ИНФО </t>
    </r>
    <r>
      <rPr>
        <rFont val="Arial"/>
        <b/>
        <color theme="1"/>
        <sz val="14.0"/>
      </rPr>
      <t>408</t>
    </r>
    <r>
      <rPr>
        <rFont val="Arial"/>
        <color theme="1"/>
        <sz val="14.0"/>
      </rPr>
      <t xml:space="preserve">
Ваня Подворный 
Вася Сильвестров
10.00-12.00</t>
    </r>
  </si>
  <si>
    <t>онлайн-консультация 7СТ по геометрии на субботу (завтра) в 11:00 по ссылке: https://discord.gg/bGet6HnM</t>
  </si>
  <si>
    <t>Фамилия</t>
  </si>
  <si>
    <t>Имя</t>
  </si>
  <si>
    <t>Отчетство</t>
  </si>
  <si>
    <t>Предмет</t>
  </si>
  <si>
    <t>Телефон</t>
  </si>
  <si>
    <t>Email</t>
  </si>
  <si>
    <t>ZOOM</t>
  </si>
  <si>
    <t>WhatsApp</t>
  </si>
  <si>
    <t>Абрамов</t>
  </si>
  <si>
    <t>Ярослав</t>
  </si>
  <si>
    <t>Владимирович</t>
  </si>
  <si>
    <t>Математика</t>
  </si>
  <si>
    <t>+7-916-080-95-43</t>
  </si>
  <si>
    <t>zroslav@gmail.com</t>
  </si>
  <si>
    <t>Хосеевич</t>
  </si>
  <si>
    <t>Информатика</t>
  </si>
  <si>
    <t>+7-985-989-75-64</t>
  </si>
  <si>
    <t>Konvert2@inbox.ru</t>
  </si>
  <si>
    <t>Алехина</t>
  </si>
  <si>
    <t>Екатерина</t>
  </si>
  <si>
    <t>Алексеевна</t>
  </si>
  <si>
    <t>Английский язык</t>
  </si>
  <si>
    <t>+7-967-267-11-15</t>
  </si>
  <si>
    <t>katya.alekhina27@gmail.com</t>
  </si>
  <si>
    <t>Ксения</t>
  </si>
  <si>
    <t>История, обществознание, кл. рук 11С</t>
  </si>
  <si>
    <t>+7-964-568-69-11</t>
  </si>
  <si>
    <t>k.v.belous.hse@gmail.com</t>
  </si>
  <si>
    <t>https://us02web.zoom.us/j/113827192</t>
  </si>
  <si>
    <t>Белоусова</t>
  </si>
  <si>
    <t>Ирина</t>
  </si>
  <si>
    <t>Николаевна</t>
  </si>
  <si>
    <t>Биология, химия, кл. рук. 9С</t>
  </si>
  <si>
    <t>+7-915-210-25-53</t>
  </si>
  <si>
    <t>mammyi18@mail.ru
mammyi181088@gmail.com</t>
  </si>
  <si>
    <t xml:space="preserve">https://us04web.zoom.us/j/5645989286?pwd=Y0hZZmdMeWU5YjhHV0hTUVRNdDMydz09
</t>
  </si>
  <si>
    <t>Воронцов</t>
  </si>
  <si>
    <t>7-926-616-08-92</t>
  </si>
  <si>
    <t>vorontsov.i.e@gmail.com</t>
  </si>
  <si>
    <t>Домбровская</t>
  </si>
  <si>
    <t>Наталья</t>
  </si>
  <si>
    <t>Сергеевна</t>
  </si>
  <si>
    <t>+7-963-642-42-53</t>
  </si>
  <si>
    <t>asticks@yandex.ru
liadombrovskaya@gmail.com</t>
  </si>
  <si>
    <t>https://us04web.zoom.us/j/7233947913?pwd=bVlCWlQrL1ZJWUlOVEJYbTV5QjNMUT09</t>
  </si>
  <si>
    <t>Борисовна</t>
  </si>
  <si>
    <t>Математика, кл. рук 6СТ</t>
  </si>
  <si>
    <t>+7-903-748-44-56</t>
  </si>
  <si>
    <t>anna.dronzik@gmail.com</t>
  </si>
  <si>
    <t>https://us04web.zoom.us/j/8624009389?pwd=NUp6bkt5R0FiMUx3K0phNVRUdGVBUT09</t>
  </si>
  <si>
    <t>Журавлёва</t>
  </si>
  <si>
    <t>Инга</t>
  </si>
  <si>
    <t>Александровна</t>
  </si>
  <si>
    <t>Администратор Судакова 29</t>
  </si>
  <si>
    <t>+7-916-913-94-36</t>
  </si>
  <si>
    <t>zhuravlevaia@lgkuv.ru</t>
  </si>
  <si>
    <t>Заводов</t>
  </si>
  <si>
    <t>Алексей</t>
  </si>
  <si>
    <t>+7-985-634-64-08</t>
  </si>
  <si>
    <t>alexei.zavodov@gmail.com</t>
  </si>
  <si>
    <t>https://us04web.zoom.us/j/2972896492?pwd=SmtyVTFXcGxraWs4SWprdHN5d0NqUT09</t>
  </si>
  <si>
    <t>Исмаилов</t>
  </si>
  <si>
    <t>Аким</t>
  </si>
  <si>
    <t>Эльдарович</t>
  </si>
  <si>
    <t>Матпрак</t>
  </si>
  <si>
    <t>+7-929-573-62-36</t>
  </si>
  <si>
    <t>akim.eld@gmail.com</t>
  </si>
  <si>
    <t xml:space="preserve">Караванова </t>
  </si>
  <si>
    <t>Юлия</t>
  </si>
  <si>
    <t>Химия, введение в науку</t>
  </si>
  <si>
    <t>+7-916-362-62-92</t>
  </si>
  <si>
    <t>yuka86@mail.ru</t>
  </si>
  <si>
    <t>Климов</t>
  </si>
  <si>
    <t>Юрьевич</t>
  </si>
  <si>
    <t>Клинкова</t>
  </si>
  <si>
    <t>Театр.студия</t>
  </si>
  <si>
    <t>+7-916-259-27-08</t>
  </si>
  <si>
    <t>natasha@proc.ru</t>
  </si>
  <si>
    <t>https://zoom.us/j/5713655679?pwd=S1FiOVZFeGV4NmU4SU5BbExMSWZlUT09</t>
  </si>
  <si>
    <t>Колечкин</t>
  </si>
  <si>
    <t>География</t>
  </si>
  <si>
    <t>ivakolrus@yandex.ru</t>
  </si>
  <si>
    <t>https://us02web.zoom.us/j/86760072784</t>
  </si>
  <si>
    <t>Краснова</t>
  </si>
  <si>
    <t>Елена</t>
  </si>
  <si>
    <t>Ивановна</t>
  </si>
  <si>
    <t>Хор, кл. рук. 8С</t>
  </si>
  <si>
    <t>+7-915-136-97-54</t>
  </si>
  <si>
    <t>kanna65@mail.ru
ekrasnova.11265@gmail.com</t>
  </si>
  <si>
    <t>https://us04web.zoom.us/j/6160241667?pwd=TkZLeU1MY2d5eUpqeTJ5WUJTRHlVUT09</t>
  </si>
  <si>
    <t>История, обществознание</t>
  </si>
  <si>
    <t>+7-926-585-20-01</t>
  </si>
  <si>
    <t>alexandermartes@mail.ru</t>
  </si>
  <si>
    <t>Кусакина</t>
  </si>
  <si>
    <t>Татьяна</t>
  </si>
  <si>
    <t>Васильевна</t>
  </si>
  <si>
    <t>Администратор классов Таможенного</t>
  </si>
  <si>
    <t>+7-915-193-07-54</t>
  </si>
  <si>
    <t>yarkondi5@yandex.ru</t>
  </si>
  <si>
    <t>Ларченко</t>
  </si>
  <si>
    <t>Ольга</t>
  </si>
  <si>
    <t>Физкультура</t>
  </si>
  <si>
    <t>+7-926-560-87-33</t>
  </si>
  <si>
    <t>olgatol74@mail.ru</t>
  </si>
  <si>
    <t>Латыпова</t>
  </si>
  <si>
    <t>Робертовна</t>
  </si>
  <si>
    <t>+7-909-622-71-34</t>
  </si>
  <si>
    <t>tulipjulia@gmail.com</t>
  </si>
  <si>
    <t>Митев</t>
  </si>
  <si>
    <t>Станимирович</t>
  </si>
  <si>
    <t>+7-985-114-46-89</t>
  </si>
  <si>
    <t>mitevrs@mail.ru</t>
  </si>
  <si>
    <t>Молькова</t>
  </si>
  <si>
    <t>+7 926 780-03-48</t>
  </si>
  <si>
    <t>maska0218@gmail.com</t>
  </si>
  <si>
    <t>Мочульская</t>
  </si>
  <si>
    <t>Людмила</t>
  </si>
  <si>
    <t>Афанасьевна</t>
  </si>
  <si>
    <t>Библиотекарь - Судакова</t>
  </si>
  <si>
    <t>+7-903-172-94-89</t>
  </si>
  <si>
    <t>Никулова</t>
  </si>
  <si>
    <t>Валерьевна</t>
  </si>
  <si>
    <t>Хор-концертмейстер</t>
  </si>
  <si>
    <t>+7 905 532-21-51</t>
  </si>
  <si>
    <t>nikulova1970@mail.ru</t>
  </si>
  <si>
    <t>https://us04web.zoom.us/j/5961021355?pwd=ak1XbmprdFBUQnRZOWszWU91VHdyUT09</t>
  </si>
  <si>
    <t>Ноздрина</t>
  </si>
  <si>
    <t>Светлана</t>
  </si>
  <si>
    <t>Медсестра</t>
  </si>
  <si>
    <t>+7 905 507-97-11</t>
  </si>
  <si>
    <t>nozdrina-60@mail.ru</t>
  </si>
  <si>
    <t>Носкова</t>
  </si>
  <si>
    <t>Полина</t>
  </si>
  <si>
    <t>Биология, театр</t>
  </si>
  <si>
    <t>+7 902 276-24-20</t>
  </si>
  <si>
    <t>anwen_15@mail.ru</t>
  </si>
  <si>
    <t>Обидина</t>
  </si>
  <si>
    <t>Леонидовна</t>
  </si>
  <si>
    <t>Театр</t>
  </si>
  <si>
    <t>+7 917 585-30-14</t>
  </si>
  <si>
    <t>Petrunicheva.irina@mail.ru</t>
  </si>
  <si>
    <t>Почта Силаэдр</t>
  </si>
  <si>
    <t>silaeder@mail.ru</t>
  </si>
  <si>
    <t>Почта ОТСУТСТВИЕ</t>
  </si>
  <si>
    <t>s29-info@lgkuv.ru</t>
  </si>
  <si>
    <t>Охранник</t>
  </si>
  <si>
    <t>на</t>
  </si>
  <si>
    <t>Судакова</t>
  </si>
  <si>
    <t>+7-916-441-88-38</t>
  </si>
  <si>
    <t>Панюнин</t>
  </si>
  <si>
    <t>Никита</t>
  </si>
  <si>
    <t>+7-926-625-42-63</t>
  </si>
  <si>
    <t>n.m.panyunin@yandex.ru</t>
  </si>
  <si>
    <t>https://us04web.zoom.us/j/7358222848?pwd=YzRiNFl0M3MyQUt0V21Makd6akRFdz09</t>
  </si>
  <si>
    <t xml:space="preserve"> Александра</t>
  </si>
  <si>
    <t>Английский, танцы</t>
  </si>
  <si>
    <t>whoctor.do@gmail.com</t>
  </si>
  <si>
    <t>Леонидович</t>
  </si>
  <si>
    <t>+7-922-104-47-32</t>
  </si>
  <si>
    <t>alexander.popovich.ekb@gmail.com</t>
  </si>
  <si>
    <t>https://us02web.zoom.us/j/5807501865</t>
  </si>
  <si>
    <t>Геннадьевич</t>
  </si>
  <si>
    <t>Физика, кл. рук. 7СТ</t>
  </si>
  <si>
    <t>+7-985-987-33-27</t>
  </si>
  <si>
    <t>6924567@gmail.com</t>
  </si>
  <si>
    <t>https://us04web.zoom.us/j/9753959216?pwd=WEtHK0llaWZmTWtmTnhPUlVqRmlGUT09</t>
  </si>
  <si>
    <t>Решетников</t>
  </si>
  <si>
    <t>Николай</t>
  </si>
  <si>
    <t>Литература</t>
  </si>
  <si>
    <t>+7-915-117-59-28</t>
  </si>
  <si>
    <t>reshsilaedr@gmail.com</t>
  </si>
  <si>
    <t>https://us04web.zoom.us/j/2050023857?pwd=eEZSN3N5RG83QjlXb0gyQjYrdE9yZz09</t>
  </si>
  <si>
    <t>Евгения</t>
  </si>
  <si>
    <t>Робототехника</t>
  </si>
  <si>
    <t>+7-916-223-23-28</t>
  </si>
  <si>
    <t>mzen@mail.ru</t>
  </si>
  <si>
    <t>https://us04web.zoom.us/j/77981335829?pwd=UFJFMW5uczFnMG9jUVZnVkdVR3REQT09</t>
  </si>
  <si>
    <t>Скопич</t>
  </si>
  <si>
    <t>Проход-питание-завхоз</t>
  </si>
  <si>
    <t>+7-999-817-35-65</t>
  </si>
  <si>
    <t>skopichia@lgkuv.ru</t>
  </si>
  <si>
    <t>Слоневская</t>
  </si>
  <si>
    <t>slonevskayasv@lgkuv.ru</t>
  </si>
  <si>
    <t>https://us04web.zoom.us/j/2877840306?pwd=YXV2Znc4Rk15SVB3WFZjbU9ZQmd2dz09</t>
  </si>
  <si>
    <t>Старунова</t>
  </si>
  <si>
    <t>+7-916-862-76-47</t>
  </si>
  <si>
    <t>o.a.starunova@gmail.com</t>
  </si>
  <si>
    <t>https://us04web.zoom.us/j/74565504681?pwd=WURvOEtJMWxJd0NCTGRTRm8wMitqQT09</t>
  </si>
  <si>
    <t>Олег</t>
  </si>
  <si>
    <t>Русский язык, литература, кл.рук 5С</t>
  </si>
  <si>
    <t>+7-926-963-48-62</t>
  </si>
  <si>
    <t>xaritonovolegmail@mail.ru</t>
  </si>
  <si>
    <t>Альфред</t>
  </si>
  <si>
    <t>Сидыкович</t>
  </si>
  <si>
    <t>Русский язык, литература</t>
  </si>
  <si>
    <t>+7-987-034-00-45</t>
  </si>
  <si>
    <t>alffared@gmail.com</t>
  </si>
  <si>
    <t>Шевелев</t>
  </si>
  <si>
    <t>Дмитрий</t>
  </si>
  <si>
    <t>+7-916-938-43-54</t>
  </si>
  <si>
    <t>scheveleff@yandex.ru</t>
  </si>
  <si>
    <t>Шерашова</t>
  </si>
  <si>
    <t>+7-926-329-58-43</t>
  </si>
  <si>
    <t>kalibra@list.ru</t>
  </si>
  <si>
    <t>https://us04web.zoom.us/j/73989087482?pwd=TkZLeU1MY2d5eUpqeTJ5WUJTRHlVUT09</t>
  </si>
  <si>
    <t>Дата</t>
  </si>
  <si>
    <t>Мероприятие</t>
  </si>
  <si>
    <t>Класс</t>
  </si>
  <si>
    <t>Руководитель</t>
  </si>
  <si>
    <t xml:space="preserve">Уровень </t>
  </si>
  <si>
    <t>Город</t>
  </si>
  <si>
    <t>Предметная область</t>
  </si>
  <si>
    <t>Участники</t>
  </si>
  <si>
    <t>Результат</t>
  </si>
  <si>
    <t>Сайт мероприятия</t>
  </si>
  <si>
    <t>Комментарий</t>
  </si>
  <si>
    <t>ОЛИМПИАДЫ</t>
  </si>
  <si>
    <t>май 2023</t>
  </si>
  <si>
    <t>ВсОШ по математике</t>
  </si>
  <si>
    <t>8, 11</t>
  </si>
  <si>
    <t>Математики</t>
  </si>
  <si>
    <t>Россиия</t>
  </si>
  <si>
    <t>Сочи</t>
  </si>
  <si>
    <t>Сайгак Алла
Мухлисуллин Марат</t>
  </si>
  <si>
    <t>Призер
Призер за 9 класс</t>
  </si>
  <si>
    <t>Олимпиада по физике им. Дж.Кл. Максвелла</t>
  </si>
  <si>
    <t>7, 8</t>
  </si>
  <si>
    <t>Репнев А.Г.</t>
  </si>
  <si>
    <t>Россия</t>
  </si>
  <si>
    <t>Москва</t>
  </si>
  <si>
    <t>Борисов Руслан
Андросов Илья
Шиляев Михаил</t>
  </si>
  <si>
    <t>Победитель
Победитель
Призёр</t>
  </si>
  <si>
    <t>https://maxwell.mipt.ru/</t>
  </si>
  <si>
    <t>Евразийская лингвистическая олимпиада</t>
  </si>
  <si>
    <t>Слоневская С.В.</t>
  </si>
  <si>
    <t>Фомичев Тимофей</t>
  </si>
  <si>
    <t>Призер</t>
  </si>
  <si>
    <t>https://olimp.duhobr.ru/assets/files/data/2/24/dfe26d981bef1857d7632ede75e3722e.pdf</t>
  </si>
  <si>
    <t>Учитель школы будущего</t>
  </si>
  <si>
    <t>Призёр</t>
  </si>
  <si>
    <t>https://www.mgpu.ru/wp-content/uploads/2023/04/ANGLIJSKIJ-YAZYK-itogi-na-sajt1-1.pdf</t>
  </si>
  <si>
    <t>«Олимпиада РГГУ»</t>
  </si>
  <si>
    <t>Диплом 1 степени</t>
  </si>
  <si>
    <t>http://www2.rsuh.ru/binary/2641788_94.1679757533.6168.pdf</t>
  </si>
  <si>
    <t>март 2023</t>
  </si>
  <si>
    <t>«Плехановская олимпиада»</t>
  </si>
  <si>
    <t>https://olymp43.hse.ru/OLYMPREPORTS/MMO/SecondStage/Diplomants/6691189266.pdf</t>
  </si>
  <si>
    <t>«ПОКОРИ ВОРОБЬЁВЫ ГОРЫ!»</t>
  </si>
  <si>
    <t>Диплом 2 степени</t>
  </si>
  <si>
    <t>Высшая проба</t>
  </si>
  <si>
    <t>Победитель</t>
  </si>
  <si>
    <t>Куницын А.А., Белоус К.В., Хуснутдинов А.С.</t>
  </si>
  <si>
    <t>История</t>
  </si>
  <si>
    <t>Старунова Соня</t>
  </si>
  <si>
    <t>https://olymp44.hse.ru/schoolparticipants.html</t>
  </si>
  <si>
    <t>ВсОШ по физике</t>
  </si>
  <si>
    <t>8 (за 9)</t>
  </si>
  <si>
    <t>Санкт-Петербург</t>
  </si>
  <si>
    <t>Бориосв Руслан</t>
  </si>
  <si>
    <t>https://vos.olimpiada.ru/team/year/2023/results#phys</t>
  </si>
  <si>
    <t>Март 2023</t>
  </si>
  <si>
    <t>ВсОШ по экологии</t>
  </si>
  <si>
    <t>Казань</t>
  </si>
  <si>
    <t>Экология</t>
  </si>
  <si>
    <t>Маскалева Полина</t>
  </si>
  <si>
    <t>https://vos.olimpiada.ru/team/year/2023/results#chem</t>
  </si>
  <si>
    <t>МОШ по роботехнике</t>
  </si>
  <si>
    <t>5, 7</t>
  </si>
  <si>
    <t>Рогацкина Е.А., Кадыкова Т.А., Сенин Г.С.</t>
  </si>
  <si>
    <t>Илья Буслаев
Никита Полозов</t>
  </si>
  <si>
    <t>Призер 3 степени
Призёр 2 степени</t>
  </si>
  <si>
    <t>https://mos-robotics.olimpiada.ru/</t>
  </si>
  <si>
    <t>Олимпиадах МФТИ по физике</t>
  </si>
  <si>
    <t>Долгопрудный</t>
  </si>
  <si>
    <t>Гребенников Александр</t>
  </si>
  <si>
    <t>Призёр 2 степени за 11 класс</t>
  </si>
  <si>
    <t>https://olymp.mipt.ru/olympiad/results</t>
  </si>
  <si>
    <t>Олимпиада по физике имени Дж. К. Максвелла</t>
  </si>
  <si>
    <t>Мухлисуллин Марат
Андросов Илья
Шиляев Михаил
Костенок Тимофей</t>
  </si>
  <si>
    <t>Победитель
Победитель
Победитель
Призер</t>
  </si>
  <si>
    <t>https://reg.cpm.moscow/register/maxwell-2023-protocol/olympiad-protocol-static</t>
  </si>
  <si>
    <t>Турнира Архимеда</t>
  </si>
  <si>
    <t>7, 6</t>
  </si>
  <si>
    <t>Исмаилов А.Э., Латыпова Ю.Р., Панюнин Н.М., Попович А.Л., Чупина А.В., Дронзик А.Б.</t>
  </si>
  <si>
    <t xml:space="preserve">Молдавчук Александр
Мусатов Глеб
Андросов Илья
Фомина Анна
Первак Мария
Костенок Тимофей
Мартынов Степан,  </t>
  </si>
  <si>
    <t>Диплом 2 степени
Диплом 2 степени
Диплом 3 степени
Диплом 3 степени
Диплом 3 степени
Диплом 3 степени
Диплом 3 степени</t>
  </si>
  <si>
    <t>http://www.arhimedes.org/</t>
  </si>
  <si>
    <t>МОШ по физике</t>
  </si>
  <si>
    <t>Борисов Руслан</t>
  </si>
  <si>
    <t>выход в финал за 9 класс</t>
  </si>
  <si>
    <t>Олимпиада Физтех</t>
  </si>
  <si>
    <t>ВсОШ Регион</t>
  </si>
  <si>
    <t>Заводов, Исмаилов, Попович</t>
  </si>
  <si>
    <t>Мухлисуллин Марат (9)</t>
  </si>
  <si>
    <t>https://reg.cpm.moscow/register/russia-olympiad-techrobo-2022-3-protocol/olympiad-protocol-static</t>
  </si>
  <si>
    <t>Мухлисуллин Марат
Борисов Руслан</t>
  </si>
  <si>
    <t>Победитель
Победитель</t>
  </si>
  <si>
    <t>Рогацкина Е.А.</t>
  </si>
  <si>
    <t>Технология. Роботехника</t>
  </si>
  <si>
    <t>Саргин Ярослав</t>
  </si>
  <si>
    <t xml:space="preserve">ВсОШ Регион </t>
  </si>
  <si>
    <t>11, 9</t>
  </si>
  <si>
    <t>Филатов Е.Б., Нечаев Н.М.</t>
  </si>
  <si>
    <t>Технология. Инфо безопасность</t>
  </si>
  <si>
    <t>Тлепбергенов Джамбек,
Орлова Лилиана
Балашов Гарри</t>
  </si>
  <si>
    <t>Призер,
Призер,
Победитель</t>
  </si>
  <si>
    <t>https://reg.cpm.moscow/register/russia-olympiad-techsecr-2022-3-protocol/olympiad-protocol-static</t>
  </si>
  <si>
    <t>Национальная олимпиада по анализу данных DANO 2022 от «Тинькофф» и НИУ ВШЭ</t>
  </si>
  <si>
    <t>Немычникова В. П., Старунова О. А.,
Климов А., Воронцов И.</t>
  </si>
  <si>
    <t>Артюшков Паша</t>
  </si>
  <si>
    <t>https://dano.hse.ru/result#2022</t>
  </si>
  <si>
    <t>ВсОШ Муницип</t>
  </si>
  <si>
    <t>Белоус К.В.</t>
  </si>
  <si>
    <t>Огарев Вадим</t>
  </si>
  <si>
    <t>https://vos.olimpiada.ru/2022</t>
  </si>
  <si>
    <t>Киргинцева Кира (11), Фомичев Тимофей</t>
  </si>
  <si>
    <t>https://reg.cpm.moscow/register/russia-olympiad-engl-2022-2-10-protocol/olympiad-protocol-static</t>
  </si>
  <si>
    <t xml:space="preserve"> 11, 9, 8, 7</t>
  </si>
  <si>
    <t>Технология (ИБ)</t>
  </si>
  <si>
    <t>Кирюшин Толя,
Орлова Лиля,
Тлепбергенов Джамбек
Федоренко Дима
Балашов Гарри,
Тлепбергенов Амир
Титов Илья
Покорская Алина</t>
  </si>
  <si>
    <t>Победитель
Призер
Победитель
Победитель
Призер
Призер
Победитель
Призер</t>
  </si>
  <si>
    <t>Китайский язык</t>
  </si>
  <si>
    <t>Шиляев Михаил</t>
  </si>
  <si>
    <t>5 - 11</t>
  </si>
  <si>
    <t>все учителя математики Силаэдра</t>
  </si>
  <si>
    <t>Тлепбергенов Амир</t>
  </si>
  <si>
    <t>Победитель
Призер</t>
  </si>
  <si>
    <t xml:space="preserve">7, 8, </t>
  </si>
  <si>
    <t>Мухлисуллин Марат
Шиляев Михаил</t>
  </si>
  <si>
    <t>все учителя инфо Силаэдра</t>
  </si>
  <si>
    <t>Мухлисуллин Марат</t>
  </si>
  <si>
    <t>Турнир Ломоносова</t>
  </si>
  <si>
    <t>все</t>
  </si>
  <si>
    <t>Математика
Многоборье</t>
  </si>
  <si>
    <t>Первак Егор
Сторожев Егор
Третьякова Мария
Федоренко Дмитрий
Фокаиди Дмитрий</t>
  </si>
  <si>
    <t>грамота</t>
  </si>
  <si>
    <t>https://turlom.olimpiada.ru/gramota2022?grade=11&amp;region=77</t>
  </si>
  <si>
    <t>Многоборье</t>
  </si>
  <si>
    <t>https://turlom.olimpiada.ru/gramota2022?grade=10&amp;region=77</t>
  </si>
  <si>
    <t>Абрамов Я.В.
Попович А.Л.</t>
  </si>
  <si>
    <t>Кеелус Милена
Кудрявцев Александр
Хоменко Анастасия</t>
  </si>
  <si>
    <t>https://turlom.olimpiada.ru/gramota2022?grade=9&amp;region=77</t>
  </si>
  <si>
    <t>Физика
Многоборье
Лингвистика
Математика</t>
  </si>
  <si>
    <t>Мухлисуллин Марат
Полозов Никита</t>
  </si>
  <si>
    <t>https://turlom.olimpiada.ru/gramota2022?grade=8&amp;region=77</t>
  </si>
  <si>
    <t>Математика
Астрономия
История
Многоборье
Физика
Литература
Лингвистика
Биология</t>
  </si>
  <si>
    <t>Алабин Максим
Бобылькова Светлана
Володин Александр
Горбунов Дмитрий
Золотарев Андрей
Первак Мария
Старунова Софья</t>
  </si>
  <si>
    <t>https://turlom.olimpiada.ru/gramota2022?grade=7&amp;region=77</t>
  </si>
  <si>
    <t>Астрономия
Биология
Лингвистика
Математика
Физика</t>
  </si>
  <si>
    <t>История
Многоборье
Математика
Астрономия
Биология</t>
  </si>
  <si>
    <t>Огарев Вадим
Хлебников Рома
Гречко Мария 
Костенок Тим
Старчак Илья
Манаков Степан
Осипенко Лев</t>
  </si>
  <si>
    <t>https://turlom.olimpiada.ru/gramota2022?grade=6&amp;region=77</t>
  </si>
  <si>
    <t>Многоборье
Литература
Астрономия</t>
  </si>
  <si>
    <t>Кузьминых Миша</t>
  </si>
  <si>
    <t>https://turlom.olimpiada.ru/gramota2022?grade=5&amp;region=77</t>
  </si>
  <si>
    <t>август 2022</t>
  </si>
  <si>
    <t>18 олимпиада по геометрии имени И.Ф.Шарыгина</t>
  </si>
  <si>
    <t>Дубна</t>
  </si>
  <si>
    <t>Сайгак Алла
Сильвестров Василий</t>
  </si>
  <si>
    <t>Победитель
Диплом 3 степени</t>
  </si>
  <si>
    <t>https://www.geometry.ru/olimp/2022.php</t>
  </si>
  <si>
    <t>июнь 2022</t>
  </si>
  <si>
    <t>Всероссийская олимпиада по информатике им. М.Келдыша для школьников 5-8 кл</t>
  </si>
  <si>
    <t>Исмаилов А.Э., Старунова О.А.</t>
  </si>
  <si>
    <t>Сириус, Сочи</t>
  </si>
  <si>
    <t>https://jroi.ru/</t>
  </si>
  <si>
    <t>Олимпиада по Когнитивным технологиям</t>
  </si>
  <si>
    <t>Маренков Алексей</t>
  </si>
  <si>
    <t>КОНФЕРЕНЦИИ</t>
  </si>
  <si>
    <t>Курчатовский проект</t>
  </si>
  <si>
    <t>Легошин Егор,
Хоменко Настя, Кеелус Милена
Иванова Вероника, Харламова Аля, Трошина Лида</t>
  </si>
  <si>
    <t>Чтения Вернадского</t>
  </si>
  <si>
    <t>5, 7, 9</t>
  </si>
  <si>
    <t>Попович А.Л.
Слоневская С.В.
Носкова П.А.</t>
  </si>
  <si>
    <t>Матметика
Английский язык
Биология</t>
  </si>
  <si>
    <t>Хоменко Настя, Кеелус Милена
Свиридова Полина, Удачина Кира
Иванова Вероника, Харламова Аля, Трошина Лида</t>
  </si>
  <si>
    <t>https://vernadsky.info/</t>
  </si>
  <si>
    <t>Наука с тысячью лиц. Конференция Лицея НИУ ВШЭ</t>
  </si>
  <si>
    <t>Дронзик А.Б.</t>
  </si>
  <si>
    <t>Образование</t>
  </si>
  <si>
    <t>Купряков Владимир</t>
  </si>
  <si>
    <t>https://school.hse.ru/conference/</t>
  </si>
  <si>
    <t>Конференция «Потенциал»</t>
  </si>
  <si>
    <t>Белоусова И.Н.
Попович А.Л.</t>
  </si>
  <si>
    <t>Биология</t>
  </si>
  <si>
    <t>Малованова Анна
Кирбшин Анатолий</t>
  </si>
  <si>
    <t>1 место</t>
  </si>
  <si>
    <t>https://1502.mskobr.ru/uchashimsya/olimpiady-konkursy-konferencii/konferentsiya-potentsial</t>
  </si>
  <si>
    <t>Попович А.Л.</t>
  </si>
  <si>
    <t>Сильвестров Василий
Кеелус Милена и Хоменко Настя</t>
  </si>
  <si>
    <t>2 место
3 место</t>
  </si>
  <si>
    <t>КОНКУРСЫ</t>
  </si>
  <si>
    <t>июнь 2023</t>
  </si>
  <si>
    <t>Российская Робототехническая Олимпиада 2023
Национальный финал. "Творческая Младшая категория"</t>
  </si>
  <si>
    <t>Сенин Г.С.
Кадыкова Н.В.
Рогацкина Е.А.</t>
  </si>
  <si>
    <t>Челябинск</t>
  </si>
  <si>
    <t>Кузьминых Миша
Мартьянов Никита</t>
  </si>
  <si>
    <t>Призеры</t>
  </si>
  <si>
    <t>https://sportrobotics.ru/event/815</t>
  </si>
  <si>
    <t>LX Уральский турнир юных математиков</t>
  </si>
  <si>
    <t xml:space="preserve"> 6, 7, 8</t>
  </si>
  <si>
    <t>Исмаилов А.Э., Попович А.Л., Латыпова Ю.Р., Заводов А.А., Чупина А.В., Дронзик А.Б.</t>
  </si>
  <si>
    <t>Киров</t>
  </si>
  <si>
    <t>6 класс (Старчак Илья, Жуков Вася, Гречко Маша, Михайлов Вадим, Муковозов Вася, Огарева Аня)
7 класс (Молдавчук Саша, Андросов Илья, Бобылькова Света, Плаксин Артем, Мусатов Глеб, Рубин Илья)
8 класс (Парфенов Ваня, Витлицкая Алиса, Борисов Руслан, Мухлисуллин Марат)</t>
  </si>
  <si>
    <t>4 место
26-27 место
18 место</t>
  </si>
  <si>
    <t>https://turmath.ru/</t>
  </si>
  <si>
    <t>Московская командная олимпиада по Робототехнике. Московский этап RRO 2023</t>
  </si>
  <si>
    <t>https://sportrobotics.ru/event/info/results/id/894/cid/5596</t>
  </si>
  <si>
    <t>Чемпионат и Первенство ЦФО и СЗФО по русским шашкам</t>
  </si>
  <si>
    <t>Ярославль</t>
  </si>
  <si>
    <t>Шашки</t>
  </si>
  <si>
    <t>Шумский Лев</t>
  </si>
  <si>
    <t>https://shashki.ru/tournaments/2023/tsfo_b_m14/tournament_table_acc_places.html</t>
  </si>
  <si>
    <t>LIX Уральский турнир юных математиков</t>
  </si>
  <si>
    <t>Владимир</t>
  </si>
  <si>
    <t>6 класс (Старчак Илья, Жуков Вася, Гречко Маша, Жук Стас, Михайлов Вадим, Мартынов Степа)
7 класс (Молдавчук Саша, Андросов Илья, Бобылькова Света, Плаксин Артем, Саначев Ваня, Рубин Илья)
8 класс (Парфенов Ваня, Полозов Никита, Витлицкая Алиса, Борисов Руслан, Мухлисуллин Марат)</t>
  </si>
  <si>
    <t>13-15 место
25 место
21-24 место</t>
  </si>
  <si>
    <t>https://turmath.ru/uraltur/archive.php</t>
  </si>
  <si>
    <t>Ученые будущего</t>
  </si>
  <si>
    <t>Белоусова И.Н,</t>
  </si>
  <si>
    <t>Кушнарева Дарья,
Подмазо Наталья</t>
  </si>
  <si>
    <t>Диплом 3 степени</t>
  </si>
  <si>
    <t>https://ub.festivalnauki.ru/</t>
  </si>
  <si>
    <t>Внедрение IT-технологий в ветеринарную лабораторную диагностику</t>
  </si>
  <si>
    <t>Старунова О.А.</t>
  </si>
  <si>
    <t>Инфо</t>
  </si>
  <si>
    <t>Артюшков Павел,
СаргинЯрослав</t>
  </si>
  <si>
    <t>Диплом 4 степени,
Диплом молодежного жюри</t>
  </si>
  <si>
    <t>Улучшение результатов фотограмметрии используя нейронные сети</t>
  </si>
  <si>
    <t>"Курчатовский проект" конкурс на обучение  по тематической дополнительной общеразвивающей программе  «Познание мира будущего через науку настоящего»</t>
  </si>
  <si>
    <t>Белоусова И.Н.</t>
  </si>
  <si>
    <t>Туапсе</t>
  </si>
  <si>
    <t>Гаврилова Таисия,
Наровлянская Кира</t>
  </si>
  <si>
    <t>Победители</t>
  </si>
  <si>
    <t>Конкурсы 2022 года - «Орлёнок»</t>
  </si>
  <si>
    <t>июль 2022</t>
  </si>
  <si>
    <t>Финал 11 сезона Воздушно-инжененрной школы</t>
  </si>
  <si>
    <t>Димплом 3 степени</t>
  </si>
  <si>
    <t>Легошин Егор</t>
  </si>
  <si>
    <t>Полозов Никита</t>
  </si>
  <si>
    <t>Спецприз за волю к победе</t>
  </si>
  <si>
    <t>Стажировки</t>
  </si>
  <si>
    <t>февр-апр 2023</t>
  </si>
  <si>
    <t>КРОК "Марафон ИТ-профессий для старшеклассников "Skills journey map"</t>
  </si>
  <si>
    <t>май-июнь 2023</t>
  </si>
  <si>
    <t>Летняя практика с КРОК</t>
  </si>
  <si>
    <t>Старунова О.А., Воронцов И.Е., Алларкон Е.Х.</t>
  </si>
  <si>
    <t>Статьи и Творческие продукты</t>
  </si>
  <si>
    <t>Статья в журнале "Молодой ученый"</t>
  </si>
  <si>
    <t>Социология, психология</t>
  </si>
  <si>
    <t>Наровлянская Кира</t>
  </si>
  <si>
    <t>публикация статьи в журнале</t>
  </si>
  <si>
    <t>https://moluch.ru/young/archive/59/3135/</t>
  </si>
  <si>
    <t>Профильные лагеря</t>
  </si>
  <si>
    <t>Сириус, смена по математике</t>
  </si>
  <si>
    <t>математика</t>
  </si>
  <si>
    <t>Сириус, проектная смена</t>
  </si>
  <si>
    <t>Сайгак Алла</t>
  </si>
  <si>
    <t>Орленок, смена по технике</t>
  </si>
  <si>
    <t>физика, робототехника</t>
  </si>
  <si>
    <t>Полозов Никита
Наровлянская Кира</t>
  </si>
  <si>
    <t>в</t>
  </si>
  <si>
    <t>Отчество</t>
  </si>
  <si>
    <t>Дата рождения</t>
  </si>
  <si>
    <t>С кем из родителей предпочтительно связаться по школьным оргвопросам</t>
  </si>
  <si>
    <t>ФИО матери</t>
  </si>
  <si>
    <t>Моб. тел. матери</t>
  </si>
  <si>
    <t>e-mail матери</t>
  </si>
  <si>
    <t>ФИО отца</t>
  </si>
  <si>
    <t>Моб.тел. отца</t>
  </si>
  <si>
    <t>e-mail отца</t>
  </si>
  <si>
    <t>Моб. тел-н ребенка</t>
  </si>
  <si>
    <t>e-mail ребенка</t>
  </si>
  <si>
    <t>св-во/паспорт</t>
  </si>
  <si>
    <t>медполис</t>
  </si>
  <si>
    <t>снилс</t>
  </si>
  <si>
    <t>фото-видео</t>
  </si>
  <si>
    <t>Соц</t>
  </si>
  <si>
    <t>Владислав</t>
  </si>
  <si>
    <t>12.07.2012</t>
  </si>
  <si>
    <t>с отцом, с матерью</t>
  </si>
  <si>
    <t>Александрова Светлана Александровна</t>
  </si>
  <si>
    <t>89268700085</t>
  </si>
  <si>
    <t>Svetlana8785@mail.ru</t>
  </si>
  <si>
    <t>Покотило Александр Викторович</t>
  </si>
  <si>
    <t>89104252362</t>
  </si>
  <si>
    <t>89104252362@mail.ru</t>
  </si>
  <si>
    <t>89890463784</t>
  </si>
  <si>
    <t>vladislav120712@mail.ru</t>
  </si>
  <si>
    <t>Вадимович</t>
  </si>
  <si>
    <t>06.04.2011</t>
  </si>
  <si>
    <t>с матерью</t>
  </si>
  <si>
    <t>Наджмудинова Анжелика Таджидиновна</t>
  </si>
  <si>
    <t>+79652611290</t>
  </si>
  <si>
    <t>angel265@list.ru</t>
  </si>
  <si>
    <t>Артемьев Вадим Евгеньевич</t>
  </si>
  <si>
    <t>+79636084743</t>
  </si>
  <si>
    <t>veart@list.ru</t>
  </si>
  <si>
    <t>+79022339304</t>
  </si>
  <si>
    <t>dim060411@mail.ru</t>
  </si>
  <si>
    <t>12.04.2011</t>
  </si>
  <si>
    <t>Бирюкова Надежда Юрьевна</t>
  </si>
  <si>
    <t>+79652080431</t>
  </si>
  <si>
    <t>bn2.718@gmail.com</t>
  </si>
  <si>
    <t>Бирюков Алексей Владимирович</t>
  </si>
  <si>
    <t>+7 985 871-99-31</t>
  </si>
  <si>
    <t>+79197675357</t>
  </si>
  <si>
    <t>Денисович</t>
  </si>
  <si>
    <t>Буслаева Ирина Сергеевна</t>
  </si>
  <si>
    <t>+79202454565</t>
  </si>
  <si>
    <t>irina.buslaeva@gmail.com</t>
  </si>
  <si>
    <t>Буслаев Денис Иванович</t>
  </si>
  <si>
    <t>+79205010785</t>
  </si>
  <si>
    <t>denis.buslaev@gmail.com</t>
  </si>
  <si>
    <t>+79205058448</t>
  </si>
  <si>
    <t>ilia.buslaev@gmail.com</t>
  </si>
  <si>
    <t>Елисей</t>
  </si>
  <si>
    <t>Васильевич</t>
  </si>
  <si>
    <t>Вильдяева Любовь Анатольевна</t>
  </si>
  <si>
    <t>8-915-152-89-25</t>
  </si>
  <si>
    <t>2009Lubov@gmail.com</t>
  </si>
  <si>
    <t>Софья</t>
  </si>
  <si>
    <t>25.06.2012</t>
  </si>
  <si>
    <t>Кулагина Ирина Валерьевна</t>
  </si>
  <si>
    <t>89163981092</t>
  </si>
  <si>
    <t>irunchik2007@mail.ru</t>
  </si>
  <si>
    <t>Гамаюнов Александр Александрович</t>
  </si>
  <si>
    <t>89653981092</t>
  </si>
  <si>
    <t/>
  </si>
  <si>
    <t>89104331323</t>
  </si>
  <si>
    <t>gamaunovasona@gmail.com</t>
  </si>
  <si>
    <t>30.06.2011</t>
  </si>
  <si>
    <t>Шахназарова Карина Андрониковна</t>
  </si>
  <si>
    <t>89686299887</t>
  </si>
  <si>
    <t>karina25@mail.ru</t>
  </si>
  <si>
    <t>Горюшин Игорь Олегович</t>
  </si>
  <si>
    <t>89165284155</t>
  </si>
  <si>
    <t>anetsoft@mail.ru</t>
  </si>
  <si>
    <t>89151451893</t>
  </si>
  <si>
    <t>e_gor11@inbox.ru</t>
  </si>
  <si>
    <t xml:space="preserve">Артём </t>
  </si>
  <si>
    <t xml:space="preserve">Алексеевич </t>
  </si>
  <si>
    <t>Гусева Наталья Анатольевна</t>
  </si>
  <si>
    <t xml:space="preserve">8(909)921-55-64 </t>
  </si>
  <si>
    <t xml:space="preserve">n_guseva07@mail.ru </t>
  </si>
  <si>
    <t>Гусев Алексей Николаевич</t>
  </si>
  <si>
    <t>8(903)551-40-26</t>
  </si>
  <si>
    <t>angusev75@mail.ru</t>
  </si>
  <si>
    <t>8(965)196-89-88</t>
  </si>
  <si>
    <t xml:space="preserve">agusev2311@mail.ru </t>
  </si>
  <si>
    <t>Генинг Марина Леонидовна</t>
  </si>
  <si>
    <t>+79037494856</t>
  </si>
  <si>
    <t>marina@mcl.ru</t>
  </si>
  <si>
    <t>Душенков Сергей Анатольевич</t>
  </si>
  <si>
    <t>+79037601601</t>
  </si>
  <si>
    <t>dusha@mcl.ru</t>
  </si>
  <si>
    <t>+7 926 289-62-41</t>
  </si>
  <si>
    <t>nikdushenkov@gmail.com</t>
  </si>
  <si>
    <t>Фёдор</t>
  </si>
  <si>
    <t>Иванова Екатерина Александровна</t>
  </si>
  <si>
    <t>+7-916-595-42-50</t>
  </si>
  <si>
    <t>Ivanovaea79@mail.ru</t>
  </si>
  <si>
    <t>Иванов Дмитрий Юрьевич</t>
  </si>
  <si>
    <t>+7-915-135-98-22</t>
  </si>
  <si>
    <t>Ivanovdu@gmail.com</t>
  </si>
  <si>
    <t>+7-985-346-99-98</t>
  </si>
  <si>
    <t>Nnn</t>
  </si>
  <si>
    <t>Вероника</t>
  </si>
  <si>
    <t>15.02.2012</t>
  </si>
  <si>
    <t>Симонова Екатерина Викторовна</t>
  </si>
  <si>
    <t>+79262836235</t>
  </si>
  <si>
    <t>ksimonova@gmail.com</t>
  </si>
  <si>
    <t>Иванов Алексей Михайлович</t>
  </si>
  <si>
    <t>+7(926)115-11-67</t>
  </si>
  <si>
    <t>lolhunter121@gmail.com</t>
  </si>
  <si>
    <t>+7(926)926-52-62</t>
  </si>
  <si>
    <t>i.veronika.alekseevna@gmail.com</t>
  </si>
  <si>
    <t>01.12.2011</t>
  </si>
  <si>
    <t>Качалова Ольга Борисовна</t>
  </si>
  <si>
    <t>89162937180</t>
  </si>
  <si>
    <t>olga_kach@mail.ru</t>
  </si>
  <si>
    <t>Качалов Михаил Михайлович</t>
  </si>
  <si>
    <t>89055687726</t>
  </si>
  <si>
    <t>8 (985) 248-67-49</t>
  </si>
  <si>
    <t>ivan.kachalov.11@mail.ru</t>
  </si>
  <si>
    <t xml:space="preserve">Алексей </t>
  </si>
  <si>
    <t xml:space="preserve">Витальевич </t>
  </si>
  <si>
    <t xml:space="preserve">Колисова Ольга Александровна </t>
  </si>
  <si>
    <t>8(965)187-1111</t>
  </si>
  <si>
    <t>O.k.10@yandex.ru</t>
  </si>
  <si>
    <t xml:space="preserve">Колисов Виталий Владимирович </t>
  </si>
  <si>
    <t>8(967)189-0000</t>
  </si>
  <si>
    <t>8(965)187-1110</t>
  </si>
  <si>
    <t>K.a.16@yandex.ru</t>
  </si>
  <si>
    <t>Миша</t>
  </si>
  <si>
    <t>7(916)27-88-255</t>
  </si>
  <si>
    <t>lu.khits@gmail.com</t>
  </si>
  <si>
    <t>kuzkarapuzz@gmail.com</t>
  </si>
  <si>
    <t>Мартанова Лилия Сагитовна</t>
  </si>
  <si>
    <t>+79163404867</t>
  </si>
  <si>
    <t>lil2020@ya.ru</t>
  </si>
  <si>
    <t>Мартанов Сергей Викторович</t>
  </si>
  <si>
    <t>+79153473392</t>
  </si>
  <si>
    <t>Grand82@mail.ru</t>
  </si>
  <si>
    <t>+7 (916) 967-54-78</t>
  </si>
  <si>
    <t>back33226@gmail.com</t>
  </si>
  <si>
    <t>Антонович</t>
  </si>
  <si>
    <t>17.05.2011</t>
  </si>
  <si>
    <t>Пестова Ольга Анатольевна</t>
  </si>
  <si>
    <t>+79773407080, +79151876559</t>
  </si>
  <si>
    <t>8857091o@mail.ru</t>
  </si>
  <si>
    <t>Мартьянов Антон Владимирович</t>
  </si>
  <si>
    <t>+79773406991</t>
  </si>
  <si>
    <t>+79852532624</t>
  </si>
  <si>
    <t>Nikita.Turbo2011@yandex.ru</t>
  </si>
  <si>
    <t>Матюшина Ирина Владимировна</t>
  </si>
  <si>
    <t>a_iren@mail.ru</t>
  </si>
  <si>
    <t>Матюшин Александр Степанович</t>
  </si>
  <si>
    <t>masprt@mail.ru</t>
  </si>
  <si>
    <t>Георгий</t>
  </si>
  <si>
    <t>05.04.2011</t>
  </si>
  <si>
    <t>Лопаткина Юлия Александровна</t>
  </si>
  <si>
    <t>8(910) 477-78-70</t>
  </si>
  <si>
    <t>yul.07@mail.ru</t>
  </si>
  <si>
    <t>Мельников Роман Петрович</t>
  </si>
  <si>
    <t>8(985) 490-60-85</t>
  </si>
  <si>
    <t>8(915) 231-32-75</t>
  </si>
  <si>
    <t>Вячеслав</t>
  </si>
  <si>
    <t>Нониашвили Ирина Игоревна</t>
  </si>
  <si>
    <t>Karpovairann@yandex.ru</t>
  </si>
  <si>
    <t>Нониашвили Алексей Ильич</t>
  </si>
  <si>
    <t>Ain.st1984.@mail.ru</t>
  </si>
  <si>
    <t>+79252571546</t>
  </si>
  <si>
    <t>13.08.2011</t>
  </si>
  <si>
    <t>Данилова Людмила Ивановна</t>
  </si>
  <si>
    <t>+79268327748</t>
  </si>
  <si>
    <t>astrid@bk.ru</t>
  </si>
  <si>
    <t>Плотников Александр Михайлович</t>
  </si>
  <si>
    <t>+79260684922</t>
  </si>
  <si>
    <t>plotnikov1981@mail.ru</t>
  </si>
  <si>
    <t>+79262796609</t>
  </si>
  <si>
    <t>fedorplotnikov11@gmail.com</t>
  </si>
  <si>
    <t>Жамшидович</t>
  </si>
  <si>
    <t>17.03.2011</t>
  </si>
  <si>
    <t>Маматкулова Гюльшан Шодиëровна</t>
  </si>
  <si>
    <t>+79163635208</t>
  </si>
  <si>
    <t>G.mamatkulova@gmail.com</t>
  </si>
  <si>
    <t>Рвхмонов Жамшид Бахромович</t>
  </si>
  <si>
    <t>+79032471127</t>
  </si>
  <si>
    <t>Rahmonov_j@mail.ru</t>
  </si>
  <si>
    <t>+79687535170</t>
  </si>
  <si>
    <t>Нет</t>
  </si>
  <si>
    <t>Павлович</t>
  </si>
  <si>
    <t>Синило Марина Валерьевна</t>
  </si>
  <si>
    <t>+79166058989</t>
  </si>
  <si>
    <t>marinasinilo2016@yandex.ru</t>
  </si>
  <si>
    <t>Синило Павел Викторович</t>
  </si>
  <si>
    <t>+79262001636</t>
  </si>
  <si>
    <t>pavel.sinilo@yandex.com</t>
  </si>
  <si>
    <t>siniloip2011@gmail.com</t>
  </si>
  <si>
    <t>Сомина Ольга Владимировна</t>
  </si>
  <si>
    <t>olga.somina@gmail.com</t>
  </si>
  <si>
    <t>Савкин Александр Валерьевич</t>
  </si>
  <si>
    <t>savkinalexandr@gmail.com</t>
  </si>
  <si>
    <t>eugen.somin@gmail.com</t>
  </si>
  <si>
    <t>Артемий</t>
  </si>
  <si>
    <t>02.05.2011</t>
  </si>
  <si>
    <t>Сошникова Елена Игоревна</t>
  </si>
  <si>
    <t>+79636777620</t>
  </si>
  <si>
    <t>vbn-1989@mail.ru</t>
  </si>
  <si>
    <t>Сошников Владимир Анатольевич</t>
  </si>
  <si>
    <t>+79265192011</t>
  </si>
  <si>
    <t>Лидия</t>
  </si>
  <si>
    <t>Дмитриевна</t>
  </si>
  <si>
    <t>Шумакова Надежда Сергеевна</t>
  </si>
  <si>
    <t>Nadynady@mail.ru</t>
  </si>
  <si>
    <t>Трошин Дмитрий Георгиевич</t>
  </si>
  <si>
    <t>Богдан</t>
  </si>
  <si>
    <t>21.11.2011</t>
  </si>
  <si>
    <t>Фленкина Елена Генриховна</t>
  </si>
  <si>
    <t>8(916) 330 33 60</t>
  </si>
  <si>
    <t>flenkina@gmail.com</t>
  </si>
  <si>
    <t>Фленкин Михаил Николаевич</t>
  </si>
  <si>
    <t>8(985)226 69 60</t>
  </si>
  <si>
    <t>8(916) 493 93 18</t>
  </si>
  <si>
    <t>flenkbm@gmail.com</t>
  </si>
  <si>
    <t>Альбина</t>
  </si>
  <si>
    <t>26.04.2011</t>
  </si>
  <si>
    <t>Собенникова Ольга Александровна</t>
  </si>
  <si>
    <t>+7 926 258-26-93</t>
  </si>
  <si>
    <t>olding@mail.ru</t>
  </si>
  <si>
    <t>Харламов Алексей Андреевич</t>
  </si>
  <si>
    <t>+7 926 411-11-39</t>
  </si>
  <si>
    <t>omckharlamov@gmail.com</t>
  </si>
  <si>
    <t>+7 926 356-48-26</t>
  </si>
  <si>
    <t>albiin4ik@gmail.ru</t>
  </si>
  <si>
    <t>02.07.2011</t>
  </si>
  <si>
    <t>Максимова Александра Борисовна</t>
  </si>
  <si>
    <t>+79035880201</t>
  </si>
  <si>
    <t>meraviglia@mail.ru</t>
  </si>
  <si>
    <t>Максимов Константин Юрьевич</t>
  </si>
  <si>
    <t>+79160395949</t>
  </si>
  <si>
    <t>Lanaion3@gmail.com</t>
  </si>
  <si>
    <t>+79779148262</t>
  </si>
  <si>
    <t>Shulakov11@bk.ru</t>
  </si>
  <si>
    <t xml:space="preserve">Романович </t>
  </si>
  <si>
    <t xml:space="preserve">Вакатова Татьяна Георгиевна </t>
  </si>
  <si>
    <t>Vakatik23@yandex.ru</t>
  </si>
  <si>
    <t xml:space="preserve">Ютяев Роман Анатольевич </t>
  </si>
  <si>
    <t xml:space="preserve">Levutaev@gmail.com </t>
  </si>
  <si>
    <t xml:space="preserve">Александрович </t>
  </si>
  <si>
    <t>Ирина Анатольевна Яковлева</t>
  </si>
  <si>
    <t>+79036258194</t>
  </si>
  <si>
    <t>Iayakovleva@mail.ru</t>
  </si>
  <si>
    <t xml:space="preserve">Яковлев Александр Владимирович </t>
  </si>
  <si>
    <t>8(968)7287990</t>
  </si>
  <si>
    <t>Dmitryak2011@gmail.com</t>
  </si>
  <si>
    <t>Боровицкая Наталья Викторовна</t>
  </si>
  <si>
    <t>borovitskaya_nv@mail.ru</t>
  </si>
  <si>
    <t>Гречко Владимир Витальевич</t>
  </si>
  <si>
    <t>v-v-grechko@list.ru</t>
  </si>
  <si>
    <t>masha.grechko.school@gmail.com</t>
  </si>
  <si>
    <t>Дьяконова Екатерина Сергеевна</t>
  </si>
  <si>
    <t>Ekaterinasd@mail.ru</t>
  </si>
  <si>
    <t>-</t>
  </si>
  <si>
    <t>SashaDyakonov2010@yandex.ru</t>
  </si>
  <si>
    <t>Чернова Александра Дмитриевна</t>
  </si>
  <si>
    <t>a.d.chernova@gmail.com</t>
  </si>
  <si>
    <t>Жук Дмитрий Николаевич</t>
  </si>
  <si>
    <t>Zhuk.dmitriy@gmail.com</t>
  </si>
  <si>
    <t>Zhuchok.stas@yandex.ru</t>
  </si>
  <si>
    <t>Жукова Наталья Львовна</t>
  </si>
  <si>
    <t>Nzhukova06@mail.ru</t>
  </si>
  <si>
    <t>Жуков Владислав Викторович</t>
  </si>
  <si>
    <t>zhvlvi@mail.ru</t>
  </si>
  <si>
    <t>vzukov623@gmail.com</t>
  </si>
  <si>
    <t>Короткова Евгения Владимировна</t>
  </si>
  <si>
    <t>jsherina@gmail.com</t>
  </si>
  <si>
    <t>Коротков Олег Михайлович</t>
  </si>
  <si>
    <t>oleg.korotkov@gmail.com</t>
  </si>
  <si>
    <t>Костенок</t>
  </si>
  <si>
    <t>Константинович</t>
  </si>
  <si>
    <t>Иващенко Ирина Николаевна</t>
  </si>
  <si>
    <t>sufrom@bk.ru</t>
  </si>
  <si>
    <t>Костенок Константин Александрович</t>
  </si>
  <si>
    <t>tim_kostenok@mail.ru</t>
  </si>
  <si>
    <t>Кушнирская Ася Анатольевна</t>
  </si>
  <si>
    <t>aci-k@yandex.ru</t>
  </si>
  <si>
    <t>Куклич Роман Игоревич</t>
  </si>
  <si>
    <t>kuklishr@yandex.ru</t>
  </si>
  <si>
    <t>ekuklich@yandex.ru</t>
  </si>
  <si>
    <t>Лебедев</t>
  </si>
  <si>
    <t>Глеб</t>
  </si>
  <si>
    <t>Вячеславович</t>
  </si>
  <si>
    <t>с отцом</t>
  </si>
  <si>
    <t>Синькова Елена Владимировна</t>
  </si>
  <si>
    <t>go771@yandex.ru</t>
  </si>
  <si>
    <t>Вячеслав Лебедев</t>
  </si>
  <si>
    <t>с отцом, с матерью, мать - основной контакт, но просьба информацию дублировать и отцу</t>
  </si>
  <si>
    <t>Николенко Любовь Владимировна</t>
  </si>
  <si>
    <t>ai.salome@gmail.com</t>
  </si>
  <si>
    <t>Левков Евгений Владимирович</t>
  </si>
  <si>
    <t>ellevkov@gmail.com</t>
  </si>
  <si>
    <t>ai.salome@yahoo.com</t>
  </si>
  <si>
    <t>Лунёв</t>
  </si>
  <si>
    <t>Лунёва Светлана Павловна</t>
  </si>
  <si>
    <t>79261121047@ya.ru</t>
  </si>
  <si>
    <t>Лунёв Максим Сергеевич</t>
  </si>
  <si>
    <t>ms_2704@mail.ru</t>
  </si>
  <si>
    <t>a.m.lunev@yandex.ru</t>
  </si>
  <si>
    <t>Манакова Анастасия Валерьевна</t>
  </si>
  <si>
    <t>av.manakova@gmail.com</t>
  </si>
  <si>
    <t>Манаков Андрей Геннадьевич</t>
  </si>
  <si>
    <t>andrey.manakov@gmail.com</t>
  </si>
  <si>
    <t>step3212m@gmail.com</t>
  </si>
  <si>
    <t>Мартынова Марина Андреевна</t>
  </si>
  <si>
    <t>Tumanova.m@mail.ru</t>
  </si>
  <si>
    <t>Мартынов Евгений Валентинович</t>
  </si>
  <si>
    <t>Emartynov@mail.ru</t>
  </si>
  <si>
    <t>Stephan.martynov@gmail.ru</t>
  </si>
  <si>
    <t>Михайлова Оксана Сергеевна</t>
  </si>
  <si>
    <t>oksanak446@mail.ru</t>
  </si>
  <si>
    <t>Михайлов Александр Сергеевич</t>
  </si>
  <si>
    <t>3640943@bk.ru</t>
  </si>
  <si>
    <t>vadimm1015@mail.ru</t>
  </si>
  <si>
    <t>Муковозова Анна Станимировна</t>
  </si>
  <si>
    <t>Cluivert@ya.ru</t>
  </si>
  <si>
    <t>Муковозов Михаил Васильевич</t>
  </si>
  <si>
    <t>Teddyebear@ya.ru</t>
  </si>
  <si>
    <t>Vasilymukovozov@yandex.ru</t>
  </si>
  <si>
    <t>Огарёва Екатерина Мануэлевна</t>
  </si>
  <si>
    <t>jauregui@mail.ru</t>
  </si>
  <si>
    <t>Огарёв Евгений Валерьевич</t>
  </si>
  <si>
    <t>ev.ogarev@gmail.com</t>
  </si>
  <si>
    <t>veogarev@mail.ru</t>
  </si>
  <si>
    <t>deogarev@mail.ru</t>
  </si>
  <si>
    <t>aeogareva@mail.ru</t>
  </si>
  <si>
    <t>Осипенко Валерия Сергеевна</t>
  </si>
  <si>
    <t>osvaleria20@gmail.com</t>
  </si>
  <si>
    <t>Осипенко Алексей Геннадьевич</t>
  </si>
  <si>
    <t>aosipenko@gmail.com</t>
  </si>
  <si>
    <t>osipenkoLev888@gmail.com</t>
  </si>
  <si>
    <t>Парфенов</t>
  </si>
  <si>
    <t>Ерохина Мария Александровна</t>
  </si>
  <si>
    <t>merokhina75@mail.ru</t>
  </si>
  <si>
    <t>Парфенов Константин Владимирович</t>
  </si>
  <si>
    <t>parfenov@physics.msu.ru</t>
  </si>
  <si>
    <t>пока нет</t>
  </si>
  <si>
    <t>alka_parf@mail.ru</t>
  </si>
  <si>
    <t>Марина Александровна Подрез</t>
  </si>
  <si>
    <t>mar_nik2000@mail.ru</t>
  </si>
  <si>
    <t>Иван Юрьевич Подрез</t>
  </si>
  <si>
    <t>schamrai@mail.ru</t>
  </si>
  <si>
    <t>petrpodrez@gmail.com</t>
  </si>
  <si>
    <t>Ревюк Юлия Юрьевна</t>
  </si>
  <si>
    <t>yulia.revyuk@gmail.com</t>
  </si>
  <si>
    <t>Ревюк Ростислав Александрович</t>
  </si>
  <si>
    <t>r_rostislav@mail.ru</t>
  </si>
  <si>
    <t>David.revyuk@gmail.com</t>
  </si>
  <si>
    <t>Риннэ</t>
  </si>
  <si>
    <t>Артурович</t>
  </si>
  <si>
    <t>Риннэ Анна Вячеславовна</t>
  </si>
  <si>
    <t>rinne.anya@gmail.com</t>
  </si>
  <si>
    <t>Риннэ Артур Валерьевич</t>
  </si>
  <si>
    <t>yksnolla@gmail.com</t>
  </si>
  <si>
    <t>rinne.ilya@gmail.com</t>
  </si>
  <si>
    <t>Самсонов</t>
  </si>
  <si>
    <t>Игорь</t>
  </si>
  <si>
    <t>с матерью, irinasamsonova72@gmail.com</t>
  </si>
  <si>
    <t>Самсонова Ирина Евгеньевна</t>
  </si>
  <si>
    <t>irinasamsonova72@gmail.com</t>
  </si>
  <si>
    <t>Самсонов Олег Николаевич</t>
  </si>
  <si>
    <t>Samsonovol@yandex.ru</t>
  </si>
  <si>
    <t>Ig.samsonov10@yandex.ru</t>
  </si>
  <si>
    <t>Старчак</t>
  </si>
  <si>
    <t>Старчак Мария Валерьевна</t>
  </si>
  <si>
    <t>mariach@rambler.ru</t>
  </si>
  <si>
    <t>Старчак Александр Иванович</t>
  </si>
  <si>
    <t>Starchac@gmail.com</t>
  </si>
  <si>
    <t>star.ilusha@gmail.com</t>
  </si>
  <si>
    <t>Асхадуллина Миляуша Бинусовна</t>
  </si>
  <si>
    <t>miliaa@yandex.ru</t>
  </si>
  <si>
    <t>Сыровенко Тарас Борисович</t>
  </si>
  <si>
    <t>tarasorama@gmail.com</t>
  </si>
  <si>
    <t>Denis.Syrovenko@gmail.com</t>
  </si>
  <si>
    <t>Сыцко Галина Михайловна</t>
  </si>
  <si>
    <t>gkaskova@gmail.com</t>
  </si>
  <si>
    <t>Сыцко Андрей Викторович</t>
  </si>
  <si>
    <t>andropol@gmail.com</t>
  </si>
  <si>
    <t>tima.sytsko@gmail.com</t>
  </si>
  <si>
    <t>Тягунов</t>
  </si>
  <si>
    <t>Бабанская Екатерина Михайловна</t>
  </si>
  <si>
    <t>ekaterina.babanskaya@gmail.com</t>
  </si>
  <si>
    <t>Тягунов Андрей Викторович</t>
  </si>
  <si>
    <t>a.tyagunov@gmail.com</t>
  </si>
  <si>
    <t>a.tyagunov@icloud.com</t>
  </si>
  <si>
    <t>Усова Екатерина Николаевна</t>
  </si>
  <si>
    <t>u_e_n@list.ru</t>
  </si>
  <si>
    <t>Усов Владислав Валерьевич</t>
  </si>
  <si>
    <t>u_v_v@list.ru</t>
  </si>
  <si>
    <t>15032011ilya@mail.ru</t>
  </si>
  <si>
    <t>Хлебникова Юлия Валентиновна</t>
  </si>
  <si>
    <t>jkh7806@mail.ru</t>
  </si>
  <si>
    <t>roman.khlebnikov4126@mail.ru</t>
  </si>
  <si>
    <t>Цветков</t>
  </si>
  <si>
    <t>Агентова Елизавета Васильевна</t>
  </si>
  <si>
    <t>lizzzok@mail.ru</t>
  </si>
  <si>
    <t>Цветков Олег Станиславович</t>
  </si>
  <si>
    <t>Oz2000@mail.ru</t>
  </si>
  <si>
    <t>voz2000@inbox.ru</t>
  </si>
  <si>
    <t>Елена Андреевна Чернышева</t>
  </si>
  <si>
    <t>centurion43@mail.ru</t>
  </si>
  <si>
    <t>Чернышев Вячеслав Юрьевич</t>
  </si>
  <si>
    <t>mila.chan1@yandex.ru</t>
  </si>
  <si>
    <t>Шашкина</t>
  </si>
  <si>
    <t>Василиса</t>
  </si>
  <si>
    <t>Шашкина Варвара Юрьевна</t>
  </si>
  <si>
    <t>barbara_lisa@mail.ru</t>
  </si>
  <si>
    <t>Шашкин Владимир Викторович</t>
  </si>
  <si>
    <t>chess@mail.ru</t>
  </si>
  <si>
    <t>Шумский</t>
  </si>
  <si>
    <t>Шумская Елизавета Александровна</t>
  </si>
  <si>
    <t>yislie@gmail.com</t>
  </si>
  <si>
    <t>Шумский Александр Юрьевич</t>
  </si>
  <si>
    <t>Shumski@gmail.com</t>
  </si>
  <si>
    <t>levshumski@gmail.com</t>
  </si>
  <si>
    <t>Якунина Екатерина Альбертовна</t>
  </si>
  <si>
    <t>katerinapush@mail.ru</t>
  </si>
  <si>
    <t>Якунин Виктор Николаевич</t>
  </si>
  <si>
    <t>soilios@mail.ru</t>
  </si>
  <si>
    <t>romashkaviktorovich@gmail.com</t>
  </si>
  <si>
    <t>7С</t>
  </si>
  <si>
    <t>Чудина Светлана Сергеевна</t>
  </si>
  <si>
    <t>13621@bk.ru</t>
  </si>
  <si>
    <t>Александров Иван Леонидович</t>
  </si>
  <si>
    <t>Всеволод</t>
  </si>
  <si>
    <t>Яковлевич</t>
  </si>
  <si>
    <t>Александрова Регина Анатольевна</t>
  </si>
  <si>
    <t>alera2004@mail.ru</t>
  </si>
  <si>
    <t>Александров Яков Анатольевич</t>
  </si>
  <si>
    <t>jakovaa@mail.ru</t>
  </si>
  <si>
    <t>a_vsevolod@icloud.com</t>
  </si>
  <si>
    <t>Андросов</t>
  </si>
  <si>
    <t>Андросова Валерия Марковна</t>
  </si>
  <si>
    <t>val_mic@mail.ru</t>
  </si>
  <si>
    <t>Андросов Алексей Викторович</t>
  </si>
  <si>
    <t>alexeymoscow@mail.ru</t>
  </si>
  <si>
    <t>Белозеров</t>
  </si>
  <si>
    <t>Белозерова Анастасия Александровна</t>
  </si>
  <si>
    <t>a.belozerova@inbox.ru</t>
  </si>
  <si>
    <t>Белозеров Максим Николаевич</t>
  </si>
  <si>
    <t>mnbelozyorov@gmail.com</t>
  </si>
  <si>
    <t>+79999754459</t>
  </si>
  <si>
    <t>imbelozyorov@gmail.com</t>
  </si>
  <si>
    <t>Кирилловна</t>
  </si>
  <si>
    <t>Бобылькова Ольга Александровна</t>
  </si>
  <si>
    <t>Oaksenova@yandex.ru</t>
  </si>
  <si>
    <t>Бобыльков Кирилл Леонидович</t>
  </si>
  <si>
    <t>Kirill.bobylkov@gmail.com</t>
  </si>
  <si>
    <t>Svetlana.bobylkova@yandex.ru</t>
  </si>
  <si>
    <t>Васильева Татьяна Александровна</t>
  </si>
  <si>
    <t>kalibry_@mail.ru</t>
  </si>
  <si>
    <t>Васильев Михаил Леонидович</t>
  </si>
  <si>
    <t>vmlmsc@yandex.ru</t>
  </si>
  <si>
    <t>vasiliev.alexey.0210@yandex.ru</t>
  </si>
  <si>
    <t>Горбунов</t>
  </si>
  <si>
    <t>Горбунова Екатерина Сергеевна</t>
  </si>
  <si>
    <t>katrin.ges@gmail.com</t>
  </si>
  <si>
    <t>jinjich@yandex.ru</t>
  </si>
  <si>
    <t>mitriyVovaGor@yandex.ru</t>
  </si>
  <si>
    <t>Ивлеев</t>
  </si>
  <si>
    <t>Максим</t>
  </si>
  <si>
    <t>Афанасьева Елена Владимировна</t>
  </si>
  <si>
    <t>hbox@bk.ru</t>
  </si>
  <si>
    <t>Ивлеев Сергей Евгеньевич</t>
  </si>
  <si>
    <t>Курицын</t>
  </si>
  <si>
    <t>Семён</t>
  </si>
  <si>
    <t xml:space="preserve">Белова Елена Алексеевна </t>
  </si>
  <si>
    <t>belova-elena1@yandex.ru</t>
  </si>
  <si>
    <t xml:space="preserve">Курицын Андрей Семёнович </t>
  </si>
  <si>
    <t>a.kuritsyn@mail.ru</t>
  </si>
  <si>
    <t>+7(902)987-70-30</t>
  </si>
  <si>
    <t>Semyon.Kuritsyn@ya.ru</t>
  </si>
  <si>
    <t>Кушнарев</t>
  </si>
  <si>
    <t>Кириллович</t>
  </si>
  <si>
    <t>Дубовицкая Мария Александровна</t>
  </si>
  <si>
    <t>dubovitskayam@mail.ru</t>
  </si>
  <si>
    <t>Кушнарев Кирилл Викторович</t>
  </si>
  <si>
    <t>kirill.kushnarev@gmail.com</t>
  </si>
  <si>
    <t>kushnarev.vanya@gmail.com</t>
  </si>
  <si>
    <t>Мусатов</t>
  </si>
  <si>
    <t>Мусатова Анастасия Игоревна</t>
  </si>
  <si>
    <t>proizvodstvo-ru@ya.ru</t>
  </si>
  <si>
    <t>Мусатов Алексей Алексеевич</t>
  </si>
  <si>
    <t>a5683793@yandex.ru</t>
  </si>
  <si>
    <t>musatov09@yandex.ru</t>
  </si>
  <si>
    <t>Новикова</t>
  </si>
  <si>
    <t>Новикова Мария Владимировна</t>
  </si>
  <si>
    <t>Masha199@mail.ru</t>
  </si>
  <si>
    <t>Новиков Дмитрий Геннадиевич</t>
  </si>
  <si>
    <t>Панкратов</t>
  </si>
  <si>
    <t>Кривошей София Вячеславна</t>
  </si>
  <si>
    <t>skrivoshey@mail.ru</t>
  </si>
  <si>
    <t>Панкратов Дмитрий Васильевич</t>
  </si>
  <si>
    <t>pan.dv.msk@mail.ru</t>
  </si>
  <si>
    <t>idpankratov@mail.ru</t>
  </si>
  <si>
    <t>Попова</t>
  </si>
  <si>
    <t>Юрьевна</t>
  </si>
  <si>
    <t>Шипко Елена Васильевна</t>
  </si>
  <si>
    <t>waikiki-25@yandex.ru</t>
  </si>
  <si>
    <t>Попов Юрий Алексеевич</t>
  </si>
  <si>
    <t>yuropa68@mail.ru</t>
  </si>
  <si>
    <t>popova.mas4u1ya@yandex.ru</t>
  </si>
  <si>
    <t>Рахметуллин</t>
  </si>
  <si>
    <t>Тимур</t>
  </si>
  <si>
    <t>Айдарович</t>
  </si>
  <si>
    <t>Винокурова Екатерина Александровна</t>
  </si>
  <si>
    <t>vinokurovaea@gmail.com</t>
  </si>
  <si>
    <t>Рахметуллин Айдар Жамсапович</t>
  </si>
  <si>
    <t>rakhmetullinag@gmail.com</t>
  </si>
  <si>
    <t>Рендиков</t>
  </si>
  <si>
    <t>Терещенко Наталья Васильевна</t>
  </si>
  <si>
    <t>nega904@mail.ru</t>
  </si>
  <si>
    <t>Рендиков Владимир Валерьевич</t>
  </si>
  <si>
    <t>rendikovv@mail.ru</t>
  </si>
  <si>
    <t>Basicat30@gmail.com</t>
  </si>
  <si>
    <t>Рубин</t>
  </si>
  <si>
    <t>Рубина Мария Андреевна</t>
  </si>
  <si>
    <t>4mariarubina@gmail.com</t>
  </si>
  <si>
    <t>Рубин Олег Вячеславович</t>
  </si>
  <si>
    <t>4olegrubin@gmail.com</t>
  </si>
  <si>
    <t>4iliarubin@gmail.com</t>
  </si>
  <si>
    <t>Саенко</t>
  </si>
  <si>
    <t>Михалева Анастасия Игоревна</t>
  </si>
  <si>
    <t>sauro@inbox.ru</t>
  </si>
  <si>
    <t>Саенко Олег Викторович</t>
  </si>
  <si>
    <t>saenko@global.komatsu</t>
  </si>
  <si>
    <t>Свиридова</t>
  </si>
  <si>
    <t>Андреевна</t>
  </si>
  <si>
    <t>Свиридова Оксана Александровна</t>
  </si>
  <si>
    <t>osviridova@systematica-consulting.ru</t>
  </si>
  <si>
    <t>Свиридов Андрей Владимирович</t>
  </si>
  <si>
    <t>sv_sviridov@hotmail.com</t>
  </si>
  <si>
    <t>8-985-625-13-47</t>
  </si>
  <si>
    <t>13.rei.0@gmail.com</t>
  </si>
  <si>
    <t>Семёнова</t>
  </si>
  <si>
    <t>Антонина</t>
  </si>
  <si>
    <t>Павловна</t>
  </si>
  <si>
    <t>Макарова Татьяна Васильевна</t>
  </si>
  <si>
    <t>tanita.makarova@gmail.com</t>
  </si>
  <si>
    <t>Семёнов Павел Александрович</t>
  </si>
  <si>
    <t>admin@mero.ru</t>
  </si>
  <si>
    <t>Antonina.Semyenova@gmail.com</t>
  </si>
  <si>
    <t>Сухарев</t>
  </si>
  <si>
    <t>Павел</t>
  </si>
  <si>
    <t>Янкина Юлия Владимировна</t>
  </si>
  <si>
    <t>yyankina@yandex.ru</t>
  </si>
  <si>
    <t>Сухарев Максим Сергеевич</t>
  </si>
  <si>
    <t>max-131@yandex.ru</t>
  </si>
  <si>
    <t>+7916-513-07-34</t>
  </si>
  <si>
    <t>pavelsuharev721@gmail.com</t>
  </si>
  <si>
    <t>Таран</t>
  </si>
  <si>
    <t>Таран Вера Владимировна</t>
  </si>
  <si>
    <t>kanavo.work@gmail.com</t>
  </si>
  <si>
    <t>Таран Владимир Сергеевич</t>
  </si>
  <si>
    <t>ognivo777@gmail.com</t>
  </si>
  <si>
    <t>+79255810446</t>
  </si>
  <si>
    <t>tmasik.t.210@gmail.com</t>
  </si>
  <si>
    <t>Удачина</t>
  </si>
  <si>
    <t>Кира</t>
  </si>
  <si>
    <t>Удачина Светлана Александровна</t>
  </si>
  <si>
    <t>msaenator@gmail.com</t>
  </si>
  <si>
    <t>Удачин Сергей Андреевич</t>
  </si>
  <si>
    <t>S.udachin@mail.ru</t>
  </si>
  <si>
    <t>kiraprof90@gmail.com</t>
  </si>
  <si>
    <t>Федорова</t>
  </si>
  <si>
    <t>Олеговна</t>
  </si>
  <si>
    <t>Федорова Наталья Евгеньевна</t>
  </si>
  <si>
    <t>nelusova@mail.ru</t>
  </si>
  <si>
    <t>Федоров Олег Александрович</t>
  </si>
  <si>
    <t>ostos2006@mail.ru</t>
  </si>
  <si>
    <t>eo-fedorova@mail.ru</t>
  </si>
  <si>
    <t>Фомина</t>
  </si>
  <si>
    <t>Станиславовна</t>
  </si>
  <si>
    <t>Фомина Юстина Александровна</t>
  </si>
  <si>
    <t>maury77@mail.ru</t>
  </si>
  <si>
    <t>Фомин Станислав Николаевич</t>
  </si>
  <si>
    <t>Bereg17@ya.ru</t>
  </si>
  <si>
    <t>Anikfomina@gmail.com</t>
  </si>
  <si>
    <t>Яковлева Ольга Александровна</t>
  </si>
  <si>
    <t>sokolova.o@mail.ru</t>
  </si>
  <si>
    <t>Яковлев Александр Михайлович</t>
  </si>
  <si>
    <t>allyak@mail.ru</t>
  </si>
  <si>
    <t>+7(985)694-55-80</t>
  </si>
  <si>
    <t>7Т</t>
  </si>
  <si>
    <t>Агеев</t>
  </si>
  <si>
    <t>Юрий</t>
  </si>
  <si>
    <t>Анна Владимировна</t>
  </si>
  <si>
    <t>achehlova@yandex.ru</t>
  </si>
  <si>
    <t>Алабин</t>
  </si>
  <si>
    <t>Алабина Александра Сергеевна</t>
  </si>
  <si>
    <t>uslugigos@mail.ru</t>
  </si>
  <si>
    <t>Алабин Александр Юрьевич</t>
  </si>
  <si>
    <t>san@bk.ru</t>
  </si>
  <si>
    <t>alabinmaxim@gmail.com</t>
  </si>
  <si>
    <t>Андреенко</t>
  </si>
  <si>
    <t>Владиславовна</t>
  </si>
  <si>
    <t>Андреенко Юлия Александровна</t>
  </si>
  <si>
    <t>juuulya@mail.ru</t>
  </si>
  <si>
    <t>Андреенко Владислав Николаевич</t>
  </si>
  <si>
    <t>vladsn@live.ru</t>
  </si>
  <si>
    <t>mandreenko2009@mail.ru</t>
  </si>
  <si>
    <t xml:space="preserve">Андреевна </t>
  </si>
  <si>
    <t xml:space="preserve">Басацкая Екатерина Михайловна </t>
  </si>
  <si>
    <t>Basatskaya.em@mail.ru</t>
  </si>
  <si>
    <t xml:space="preserve">Басацкий Андрей Владимирович </t>
  </si>
  <si>
    <t>Basatskiy@mail.ru</t>
  </si>
  <si>
    <t>8 (966) 189-50-73</t>
  </si>
  <si>
    <t>Basatskaya_k@mail.ru</t>
  </si>
  <si>
    <t>Вихров</t>
  </si>
  <si>
    <t>Леонид</t>
  </si>
  <si>
    <t>Вихрова Наталья Владимировна</t>
  </si>
  <si>
    <t>Viapost@mail.ru</t>
  </si>
  <si>
    <t>Вихров Иван Александрович</t>
  </si>
  <si>
    <t>Via_post@mail.ru</t>
  </si>
  <si>
    <t>Володин</t>
  </si>
  <si>
    <t>Любина Юлия Леонидовна</t>
  </si>
  <si>
    <t>julialeonidovna@rambler.ru</t>
  </si>
  <si>
    <t>Володин Сергей Вениаминович</t>
  </si>
  <si>
    <t>1123sergejj@rambler.ru</t>
  </si>
  <si>
    <t>a.svolodin@yandex.ru</t>
  </si>
  <si>
    <t>Галлямов</t>
  </si>
  <si>
    <t>Русланович</t>
  </si>
  <si>
    <t>Галлямова Юлия Олеговна</t>
  </si>
  <si>
    <t>bx1207@gmail.com</t>
  </si>
  <si>
    <t>Галлямов Руслан Ахтямович</t>
  </si>
  <si>
    <t>nimble@mail.ru</t>
  </si>
  <si>
    <t>bx0227@mail.ru</t>
  </si>
  <si>
    <t xml:space="preserve">Грицаюк Елена Борисовна </t>
  </si>
  <si>
    <t>jahroma@bk.ru</t>
  </si>
  <si>
    <t xml:space="preserve">Грицаюк Александр Борисович </t>
  </si>
  <si>
    <t>+79254417155</t>
  </si>
  <si>
    <t>seva1408@yandex.ru</t>
  </si>
  <si>
    <t>Дударева</t>
  </si>
  <si>
    <t>Дарья</t>
  </si>
  <si>
    <t>Игоревна</t>
  </si>
  <si>
    <t>Новикова Юлия Викторовна</t>
  </si>
  <si>
    <t>yu51389@yandex.ru</t>
  </si>
  <si>
    <t>Дударев Игорь Владимирович</t>
  </si>
  <si>
    <t>mkertc@yandex.ru</t>
  </si>
  <si>
    <t>dudarevadi22@yandex.ru</t>
  </si>
  <si>
    <t>Зверков</t>
  </si>
  <si>
    <t>Журавлева Инга Александровна</t>
  </si>
  <si>
    <t>ingarsm3@gmail.com</t>
  </si>
  <si>
    <t>Зверков Андрей Викторович</t>
  </si>
  <si>
    <t>andrey.zverkovv@mail.ru</t>
  </si>
  <si>
    <t>azocean@mail.ru</t>
  </si>
  <si>
    <t>Золотарев</t>
  </si>
  <si>
    <t xml:space="preserve">Сергеевич </t>
  </si>
  <si>
    <t xml:space="preserve">Золотарева Мария Викторовна </t>
  </si>
  <si>
    <t xml:space="preserve">Uslatha@mail.ru </t>
  </si>
  <si>
    <t>Золотарев Сергей Юрьевич</t>
  </si>
  <si>
    <t xml:space="preserve">Poi2@rambler.ru </t>
  </si>
  <si>
    <t>Маргарита</t>
  </si>
  <si>
    <t>Лебедева Лидия Юрьевна</t>
  </si>
  <si>
    <t>lidik2001@mail.ru</t>
  </si>
  <si>
    <t>Лебедев Олег Вадимович</t>
  </si>
  <si>
    <t>olegleb@gmail.com</t>
  </si>
  <si>
    <t>margoleb2010@gmail.com</t>
  </si>
  <si>
    <t>Матюнин</t>
  </si>
  <si>
    <t xml:space="preserve">Игоревич </t>
  </si>
  <si>
    <t xml:space="preserve">Матюнина Анжелика Викторовна </t>
  </si>
  <si>
    <t xml:space="preserve">angelika.matyunina@gmail.com </t>
  </si>
  <si>
    <t xml:space="preserve">Матюнин Игорь Николаевич </t>
  </si>
  <si>
    <t xml:space="preserve">serf585@gmail.com </t>
  </si>
  <si>
    <t xml:space="preserve">8-952-930-40-61 </t>
  </si>
  <si>
    <t xml:space="preserve">yaro01072009@gmail.com </t>
  </si>
  <si>
    <t>alexasey2009@mail.ru</t>
  </si>
  <si>
    <t>Милицкая</t>
  </si>
  <si>
    <t>Александра</t>
  </si>
  <si>
    <t>Милицкая Екатерина Игоревна</t>
  </si>
  <si>
    <t>katya.militskaya@gmail.com</t>
  </si>
  <si>
    <t>Милицкий Александр Юрьевич</t>
  </si>
  <si>
    <t>sanches@sanches.ru</t>
  </si>
  <si>
    <t>militskayas@gmail.com</t>
  </si>
  <si>
    <t>Молдавчук</t>
  </si>
  <si>
    <t>Молдавчук Оксана Александровна</t>
  </si>
  <si>
    <t>soxana2008@mail.ru</t>
  </si>
  <si>
    <t>Марков Сергей Михайлович</t>
  </si>
  <si>
    <t>msm167@mail.ru</t>
  </si>
  <si>
    <t>moldavchuk2009@mail.ru</t>
  </si>
  <si>
    <t>Орехов</t>
  </si>
  <si>
    <t>Филипп</t>
  </si>
  <si>
    <t>Высоцкая Анна Александровна</t>
  </si>
  <si>
    <t>anna.androshina@gmail.com</t>
  </si>
  <si>
    <t>Орехов Андрей Евгеньевич</t>
  </si>
  <si>
    <t>hq79@yandex.ru</t>
  </si>
  <si>
    <t>Папазов</t>
  </si>
  <si>
    <t>Папазова Наталья Ивановна</t>
  </si>
  <si>
    <t>wildcat-80@mail.ru</t>
  </si>
  <si>
    <t>papazovvladimir88@gmail.com</t>
  </si>
  <si>
    <t>Первак</t>
  </si>
  <si>
    <t>Первак Татьяна Владимировна</t>
  </si>
  <si>
    <t>alexfirst@yandex.ru</t>
  </si>
  <si>
    <t>Первак Александр Дмитриевич</t>
  </si>
  <si>
    <t>pervakmasha3k@gmail.com</t>
  </si>
  <si>
    <t>Артем</t>
  </si>
  <si>
    <t>с матерью, и с бабушкой (Усенина Виктория Владиславовна)</t>
  </si>
  <si>
    <t>Плаксина Елена Александровна</t>
  </si>
  <si>
    <t>elen.plaksina@yandex.ru</t>
  </si>
  <si>
    <t>Плаксин Дмитрий Андреевич</t>
  </si>
  <si>
    <t>dmitry.a.plaksin@gmail.com</t>
  </si>
  <si>
    <t>plaksindr.tema@yandex.ru</t>
  </si>
  <si>
    <t>Покорская</t>
  </si>
  <si>
    <t>Алина</t>
  </si>
  <si>
    <t>Покорская Ирмна Борисовна</t>
  </si>
  <si>
    <t>Savoirina@yandex.ru</t>
  </si>
  <si>
    <t>Покорский Александр Николаевич</t>
  </si>
  <si>
    <t>alina.pokor@yandex.ru</t>
  </si>
  <si>
    <t>Саначев</t>
  </si>
  <si>
    <t>Станиславович</t>
  </si>
  <si>
    <t>Москалева Анастасия Сергеевна</t>
  </si>
  <si>
    <t>M.a.seregovna@gmail.com</t>
  </si>
  <si>
    <t>Саначев Станислав Владимирович</t>
  </si>
  <si>
    <t>Graagm@gmail.com</t>
  </si>
  <si>
    <t>Ivan.sprr@gmail.com</t>
  </si>
  <si>
    <t>Ставропольцев</t>
  </si>
  <si>
    <t>Ставропольцева Елена Вячеславовна</t>
  </si>
  <si>
    <t>sev7778@mail.ru</t>
  </si>
  <si>
    <t>Ставропольцев Сергей Юрьевич</t>
  </si>
  <si>
    <t>sy3373@mail.ru</t>
  </si>
  <si>
    <t>stavropoltsevivan2@gmail.com</t>
  </si>
  <si>
    <t>София</t>
  </si>
  <si>
    <t>Геннадьевна</t>
  </si>
  <si>
    <t>Старунов Геннадий Владимирович</t>
  </si>
  <si>
    <t>ranitor@mail.ru</t>
  </si>
  <si>
    <t>sonya.starunova.1329@mail.ru</t>
  </si>
  <si>
    <t>Тер-Оганесьян</t>
  </si>
  <si>
    <t>Тер-Оганесьян Мария Сергеевна</t>
  </si>
  <si>
    <t>m.kopets@gmail.com</t>
  </si>
  <si>
    <t>Тер-Оганесьян Алексей Евгеньевич</t>
  </si>
  <si>
    <t>ter1979@gmail.com</t>
  </si>
  <si>
    <t>+79686627420</t>
  </si>
  <si>
    <t>stepater2009@gmail.com</t>
  </si>
  <si>
    <t>Шиляев</t>
  </si>
  <si>
    <t>Артёмович</t>
  </si>
  <si>
    <t>с отцом, Шиляев</t>
  </si>
  <si>
    <t>Шиляева Ирина Владимировна</t>
  </si>
  <si>
    <t>ira.shil2014@yandex.ru</t>
  </si>
  <si>
    <t>Шиляев Артём Владимирович</t>
  </si>
  <si>
    <t>artem.shi@gmail.com</t>
  </si>
  <si>
    <t>gagakalnyiss@hotmail.com</t>
  </si>
  <si>
    <t>Борисов</t>
  </si>
  <si>
    <t>Руслан</t>
  </si>
  <si>
    <t>Стрюкова Ирина Владимировна</t>
  </si>
  <si>
    <t>stryukovaiv@mail.ru</t>
  </si>
  <si>
    <t>Борисов Ростислав Русланович</t>
  </si>
  <si>
    <t>borisovrr@mail.ru</t>
  </si>
  <si>
    <t>borisovruslanr@mail.ru</t>
  </si>
  <si>
    <t>Витвицкая</t>
  </si>
  <si>
    <t>Алиса</t>
  </si>
  <si>
    <t>Антоновна</t>
  </si>
  <si>
    <t>Витвицкая Анна Александровна</t>
  </si>
  <si>
    <t>vitvitskayaanna@gmail.com</t>
  </si>
  <si>
    <t>Витвицкий Антон Дмитриевич</t>
  </si>
  <si>
    <t>zoobrik@mail.ru</t>
  </si>
  <si>
    <t>alisiamsk@gmail.com</t>
  </si>
  <si>
    <t>Военкова</t>
  </si>
  <si>
    <t>Каркушевская Татьяна Геннадьевна</t>
  </si>
  <si>
    <t>tat906@gmail.com</t>
  </si>
  <si>
    <t>Военков Николай Григорьевич</t>
  </si>
  <si>
    <t>env906@gmail.com</t>
  </si>
  <si>
    <t>Гаврилова</t>
  </si>
  <si>
    <t>Таисия</t>
  </si>
  <si>
    <t>Гаврилова Юлия Анатольевна</t>
  </si>
  <si>
    <t>juliainsh@mail.ru</t>
  </si>
  <si>
    <t>Гаврилов Александр Николаевич</t>
  </si>
  <si>
    <t>gavrilov.kngf@mail.ru</t>
  </si>
  <si>
    <t>teisy26@mail.ru</t>
  </si>
  <si>
    <t>Демаков</t>
  </si>
  <si>
    <t>Кирилл</t>
  </si>
  <si>
    <t>Войнова Ольга Борисовна</t>
  </si>
  <si>
    <t>olga.voinova@mail.ru</t>
  </si>
  <si>
    <t>Демаков Евгений Александрович</t>
  </si>
  <si>
    <t>demakov1@mail.ru</t>
  </si>
  <si>
    <t>animatronik7777@gmail.com</t>
  </si>
  <si>
    <t>Козлов</t>
  </si>
  <si>
    <t>Сергей</t>
  </si>
  <si>
    <t>Витальевич</t>
  </si>
  <si>
    <t>Козлова Елена Викторовна</t>
  </si>
  <si>
    <t>1986lenas@mail.ru</t>
  </si>
  <si>
    <t>Козлов Виталий Вячеславович</t>
  </si>
  <si>
    <t>vitalccon@yandex.ru</t>
  </si>
  <si>
    <t>serg15kv@gmail.com</t>
  </si>
  <si>
    <t>Копаев</t>
  </si>
  <si>
    <t>Георгиевич</t>
  </si>
  <si>
    <t>Копаева Елена Александровна</t>
  </si>
  <si>
    <t>Vasuo.mailbox@gmail.com</t>
  </si>
  <si>
    <t>Копаев Георгий Владимирович</t>
  </si>
  <si>
    <t>Kopaev.work@mail.ru</t>
  </si>
  <si>
    <t>V.kopayev@mail.ru</t>
  </si>
  <si>
    <t>Кузнецов</t>
  </si>
  <si>
    <t>Егор</t>
  </si>
  <si>
    <t>Кузнецова Ксения Викторовна</t>
  </si>
  <si>
    <t>kseniasmith@list.ru</t>
  </si>
  <si>
    <t>Кузнецов Артём Александрович</t>
  </si>
  <si>
    <t>Kaa01@inbox.ru</t>
  </si>
  <si>
    <t>egorsmith08@mail.ru</t>
  </si>
  <si>
    <t>Черных Наталья Владимировна</t>
  </si>
  <si>
    <t>lebedev.lom@yandex.ru</t>
  </si>
  <si>
    <t>Лебедев Олег Евгеньевич</t>
  </si>
  <si>
    <t>Левковцев</t>
  </si>
  <si>
    <t>Левковцева Анна Вячеславовна</t>
  </si>
  <si>
    <t>uujazz@gmail.com</t>
  </si>
  <si>
    <t>Levkovtsev@gmail.com</t>
  </si>
  <si>
    <t>Лукьянов</t>
  </si>
  <si>
    <t>Савелий</t>
  </si>
  <si>
    <t>Лукьянова Юлия Леонидовна</t>
  </si>
  <si>
    <t>ylasavi@rambler.ru</t>
  </si>
  <si>
    <t>Лукьянов Роман Александрович</t>
  </si>
  <si>
    <t>Мухлисуллин</t>
  </si>
  <si>
    <t>Марат</t>
  </si>
  <si>
    <t>Рамилевич</t>
  </si>
  <si>
    <t>Эльдемель Елена Владимировна</t>
  </si>
  <si>
    <t>eldemel@mail.ru</t>
  </si>
  <si>
    <t>Мухлисуллин Рамиль Шамилович</t>
  </si>
  <si>
    <t>marat.furgon@mail.ru</t>
  </si>
  <si>
    <t>Наровлянская</t>
  </si>
  <si>
    <t>Наровлянский Александр Владимирович</t>
  </si>
  <si>
    <t>2538487@mail.ru</t>
  </si>
  <si>
    <t>kira.narovlianskaia@gmail.com</t>
  </si>
  <si>
    <t>Парфёнов</t>
  </si>
  <si>
    <t>Парфенова Ирина Владимировна</t>
  </si>
  <si>
    <t>irinon@yandex.ru</t>
  </si>
  <si>
    <t>Парфёнов Артём Игоревич</t>
  </si>
  <si>
    <t>iparfenov776@gmail.com</t>
  </si>
  <si>
    <t>Полозов</t>
  </si>
  <si>
    <t>Полозова Надежда Николаевна</t>
  </si>
  <si>
    <t>denada2@yandex.ru</t>
  </si>
  <si>
    <t>Полозов Денис Валерьевич</t>
  </si>
  <si>
    <t>polozovdenis@gmail.com</t>
  </si>
  <si>
    <t>Свирский</t>
  </si>
  <si>
    <t>Свирская Анна Ивановна</t>
  </si>
  <si>
    <t>Annaswee@gmail.com</t>
  </si>
  <si>
    <t>Свирский Алексей Ростиславович</t>
  </si>
  <si>
    <t>Alsvirskiy@gmail.com</t>
  </si>
  <si>
    <t>ilyacoolest@gmail.com</t>
  </si>
  <si>
    <t>Титов</t>
  </si>
  <si>
    <t>Титова Евгения Владимировна</t>
  </si>
  <si>
    <t>jane-kit@ya.ru</t>
  </si>
  <si>
    <t>Будко Артем Вячеславович</t>
  </si>
  <si>
    <t>budko220881@mail.ru</t>
  </si>
  <si>
    <t>titovik.com@rambler.ru</t>
  </si>
  <si>
    <t>Тлепбергенов</t>
  </si>
  <si>
    <t>Джамбекович</t>
  </si>
  <si>
    <t>Тлепбергенова Кристина Павловна</t>
  </si>
  <si>
    <t>kristinacolta@gmail.com</t>
  </si>
  <si>
    <t>Тлепбергенов Джамбек Джамбекович</t>
  </si>
  <si>
    <t>djambek@gmail.com</t>
  </si>
  <si>
    <t>0204.amir@gmail.com</t>
  </si>
  <si>
    <t>Аминахон</t>
  </si>
  <si>
    <t>Баходировна</t>
  </si>
  <si>
    <t>Тухтаева Екатерина Андреевна</t>
  </si>
  <si>
    <t>et9104462947@gmail.com</t>
  </si>
  <si>
    <t>Тухтаев Баходир Бобобекович</t>
  </si>
  <si>
    <t>btuhtaev@list.ru</t>
  </si>
  <si>
    <t>aminakhon09@mail.ru</t>
  </si>
  <si>
    <t>Угольников</t>
  </si>
  <si>
    <t>Шахворостова Надежда</t>
  </si>
  <si>
    <t>nadya.shakh@gmail.com</t>
  </si>
  <si>
    <t>Угольников Олег Станиславович</t>
  </si>
  <si>
    <t>ougolnikov@gmail.com</t>
  </si>
  <si>
    <t>george.ugolnikov@gmail.com</t>
  </si>
  <si>
    <t>Холодов</t>
  </si>
  <si>
    <t>Холодова Анна Сергеевна</t>
  </si>
  <si>
    <t>vs.kholodova@gmail.com</t>
  </si>
  <si>
    <t>Холодов Сергей Владимирович</t>
  </si>
  <si>
    <t>Serkholodov@yandex.ru</t>
  </si>
  <si>
    <t>fedorkhol214@gmail.com</t>
  </si>
  <si>
    <t>Царев</t>
  </si>
  <si>
    <t>Григорий</t>
  </si>
  <si>
    <t>Царёва Евгения Сергеевна</t>
  </si>
  <si>
    <t>Tsarevgenia@gmail.com</t>
  </si>
  <si>
    <t>Царёв Михаил Александрович</t>
  </si>
  <si>
    <t>Tcarev@mail.ru</t>
  </si>
  <si>
    <t>Gritcarev@gmail.com</t>
  </si>
  <si>
    <t>Шешелев</t>
  </si>
  <si>
    <t>Шешелева Наталия Ивановна</t>
  </si>
  <si>
    <t>ukrotitel77@mail.ru</t>
  </si>
  <si>
    <t>Шешелев Дмитрий Анатольевич</t>
  </si>
  <si>
    <t>Sheshelev2008@mail.ru</t>
  </si>
  <si>
    <t>Львович</t>
  </si>
  <si>
    <t>Шумская Юлия Анатольевна</t>
  </si>
  <si>
    <t>public4contact@inbox.ru</t>
  </si>
  <si>
    <t>Шумский Лев Станиславович</t>
  </si>
  <si>
    <t>Public4contact@ya.ru</t>
  </si>
  <si>
    <t>lls2084learning@gmail.com</t>
  </si>
  <si>
    <t>Агранович</t>
  </si>
  <si>
    <t>Виктория</t>
  </si>
  <si>
    <t>Денисовна</t>
  </si>
  <si>
    <t>Агранович Наталия Юрьевна</t>
  </si>
  <si>
    <t>wild_honeyf@mail.ru</t>
  </si>
  <si>
    <t>Агранович Денис Евгеньевич</t>
  </si>
  <si>
    <t>ned-a@mail.ru</t>
  </si>
  <si>
    <t>vika.agranovich.03@mail.ru</t>
  </si>
  <si>
    <t>Айсина</t>
  </si>
  <si>
    <t>Лилия</t>
  </si>
  <si>
    <t>Шамилевна</t>
  </si>
  <si>
    <t>Айсина Асия Максотовна</t>
  </si>
  <si>
    <t>Asyasy79@gmail.com</t>
  </si>
  <si>
    <t>Айсин Шамиль Зиннурович</t>
  </si>
  <si>
    <t>Shamil.Aysin@gmail.com</t>
  </si>
  <si>
    <t>3026583@gmail.com</t>
  </si>
  <si>
    <t>Амельченков</t>
  </si>
  <si>
    <t>Сафронова Марина Анатольевна</t>
  </si>
  <si>
    <t>che-shira@yandex.ru</t>
  </si>
  <si>
    <t>Амельченков Константин Александорович</t>
  </si>
  <si>
    <t>mrHiron@yandex.ru</t>
  </si>
  <si>
    <t>Балашов</t>
  </si>
  <si>
    <t>Соболь Юлия Витальевна</t>
  </si>
  <si>
    <t>julia.v.sobol@gmail.com</t>
  </si>
  <si>
    <t>Балашов Евгений Владимирович</t>
  </si>
  <si>
    <t>georgiy.e.balashov@gmail.com</t>
  </si>
  <si>
    <t>Борисенко</t>
  </si>
  <si>
    <t>с матерью, с отцом</t>
  </si>
  <si>
    <t>Борисенко Моника Владимировна</t>
  </si>
  <si>
    <t>879296197870 879296197879</t>
  </si>
  <si>
    <t>monikabor70@gmail.com</t>
  </si>
  <si>
    <t>Борисенко Виталий Евгеньевич</t>
  </si>
  <si>
    <t>vit-bor.new@mail.ru</t>
  </si>
  <si>
    <t>misha.boris07@gmail.com</t>
  </si>
  <si>
    <t>Бродская</t>
  </si>
  <si>
    <t>Константиновна</t>
  </si>
  <si>
    <t>Башкина Анастасия Владимировна</t>
  </si>
  <si>
    <t>stasyl@rambler.ru</t>
  </si>
  <si>
    <t>Бродский Константин Юрьевич</t>
  </si>
  <si>
    <t>bksenia224@gmail.com</t>
  </si>
  <si>
    <t>Дейнега</t>
  </si>
  <si>
    <t>Дейнега Елена Игоревна</t>
  </si>
  <si>
    <t>elenadeinega@yandex.ru</t>
  </si>
  <si>
    <t>Дейнега Евгений Викторович</t>
  </si>
  <si>
    <t>evgenijdeinega@yandex.ru</t>
  </si>
  <si>
    <t>kirdeinega@yandex.ru</t>
  </si>
  <si>
    <t>Дудоров</t>
  </si>
  <si>
    <t>Григорьевич</t>
  </si>
  <si>
    <t>Минасуева Татьяна Николаевна</t>
  </si>
  <si>
    <t>1509180@mail.ru</t>
  </si>
  <si>
    <t>Дудоров Григорий Юрьевич</t>
  </si>
  <si>
    <t>grigory.dudorov@gmail.com</t>
  </si>
  <si>
    <t>gleb.dudorov@gmail.ru</t>
  </si>
  <si>
    <t>Кабанов</t>
  </si>
  <si>
    <t>Кабанова Татьяна Николаевна</t>
  </si>
  <si>
    <t>89299110416</t>
  </si>
  <si>
    <t>zak175@mail.ru</t>
  </si>
  <si>
    <t>Кабанов Виталий Владимирович</t>
  </si>
  <si>
    <t>89264677511</t>
  </si>
  <si>
    <t>red010@mail.ru</t>
  </si>
  <si>
    <t>roman175roman@gmail.com</t>
  </si>
  <si>
    <t>Кеелус</t>
  </si>
  <si>
    <t>Милена</t>
  </si>
  <si>
    <t>Кеелус Лариса Васильевна</t>
  </si>
  <si>
    <t>lkeelus@mail.ru</t>
  </si>
  <si>
    <t>Кеелус Денис Владиславович</t>
  </si>
  <si>
    <t>keelus@mail.ru</t>
  </si>
  <si>
    <t>milstar2007@mail.ru</t>
  </si>
  <si>
    <t>Киселев</t>
  </si>
  <si>
    <t>Семен</t>
  </si>
  <si>
    <t>Киселева Ольга Юрьевна</t>
  </si>
  <si>
    <t>kem2000@mail.ru</t>
  </si>
  <si>
    <t>Киселев Евгений Михайлович</t>
  </si>
  <si>
    <t>Кудрявцев</t>
  </si>
  <si>
    <t>Кудрявцева Наталья Александровна</t>
  </si>
  <si>
    <t>tulay2@rambler.ru</t>
  </si>
  <si>
    <t>Кудрявцев Алексей Александрович</t>
  </si>
  <si>
    <t>kudryavtsev2006@rambler.ru</t>
  </si>
  <si>
    <t>Куликов</t>
  </si>
  <si>
    <t>Дементьева Ольга Александровна</t>
  </si>
  <si>
    <t>defcoun@mail.ru</t>
  </si>
  <si>
    <t>Куликов Александр Владимирович</t>
  </si>
  <si>
    <t>defcoun@gmail.com</t>
  </si>
  <si>
    <t>d9269039403@gmail.com</t>
  </si>
  <si>
    <t>Михайлова Юлия Витальевна</t>
  </si>
  <si>
    <t>Utah-ha-ha@mail.ru</t>
  </si>
  <si>
    <t>Михайлов Артур Юрьевич</t>
  </si>
  <si>
    <t>Dobermant@mail.ru</t>
  </si>
  <si>
    <t>Igormihailov100@gmail.com</t>
  </si>
  <si>
    <t>Мосягин</t>
  </si>
  <si>
    <t>Матвей</t>
  </si>
  <si>
    <t>Мосягина Наталья Валентиновна</t>
  </si>
  <si>
    <t>mosyaginan@yandex.ru</t>
  </si>
  <si>
    <t>Мосягин Александр Николаевич</t>
  </si>
  <si>
    <t>an.1077@yandex.ru</t>
  </si>
  <si>
    <t>mosmat1303@gmail.com</t>
  </si>
  <si>
    <t>Ревская Ирина Николаевна</t>
  </si>
  <si>
    <t>irchina@mail.ru</t>
  </si>
  <si>
    <t>Ревский Дмитрий Борисович</t>
  </si>
  <si>
    <t>newpoezd16@mail.ru</t>
  </si>
  <si>
    <t>zebragepard@mail.ru</t>
  </si>
  <si>
    <t>Савиных</t>
  </si>
  <si>
    <t>mamalyla@yandex.ru</t>
  </si>
  <si>
    <t>savalex17@gmail.com</t>
  </si>
  <si>
    <t>stevevets1000000@gmail.com</t>
  </si>
  <si>
    <t>Сухарева Екатерина Викторовна</t>
  </si>
  <si>
    <t>eksukhareva@yandex.ru</t>
  </si>
  <si>
    <t>darjushckas@yandex.ru</t>
  </si>
  <si>
    <t>Хоменко</t>
  </si>
  <si>
    <t>Михайловна</t>
  </si>
  <si>
    <t>Хоменко Наталия Викторовна</t>
  </si>
  <si>
    <t>nathom@bk.ru</t>
  </si>
  <si>
    <t>Хоменко Михаил Валерьевич</t>
  </si>
  <si>
    <t>Hmv260675@mail.ru</t>
  </si>
  <si>
    <t>nastahomenko54543@gmail.com</t>
  </si>
  <si>
    <t>Чураков</t>
  </si>
  <si>
    <t>Чуракова Ольга Сергеевна</t>
  </si>
  <si>
    <t>mos2804@maiil.ru</t>
  </si>
  <si>
    <t>Чураков Евгений Викторович</t>
  </si>
  <si>
    <t>cevmos@mail.ru</t>
  </si>
  <si>
    <t>g_churakov@list.ru</t>
  </si>
  <si>
    <t>Шершунова</t>
  </si>
  <si>
    <t>Шершунова Екатерина Александровна</t>
  </si>
  <si>
    <t>eshershunova@gmail.com</t>
  </si>
  <si>
    <t>Шершунов Михаил Александрович</t>
  </si>
  <si>
    <t>micsher@mail.ru</t>
  </si>
  <si>
    <t>sofiasher105@gmail.com</t>
  </si>
  <si>
    <t>Шуйгина</t>
  </si>
  <si>
    <t>Яковлевна</t>
  </si>
  <si>
    <t>Игнашкова Анна Александровна</t>
  </si>
  <si>
    <t>anna.ignashkova@gmail.com</t>
  </si>
  <si>
    <t>Шуйгин Яков Анатольевич</t>
  </si>
  <si>
    <t>jakobs2000@gmail.com</t>
  </si>
  <si>
    <t>sashashuygina@gmail.com</t>
  </si>
  <si>
    <t>Артюшков</t>
  </si>
  <si>
    <t>Николаевич</t>
  </si>
  <si>
    <t>Артюшков Елизавета Александровна</t>
  </si>
  <si>
    <t>Eartushkova@gmail.com</t>
  </si>
  <si>
    <t>Артюшков Николай Юрьевич</t>
  </si>
  <si>
    <t>Artushkov@gmail.com</t>
  </si>
  <si>
    <t>Pavtiger@gmail.com</t>
  </si>
  <si>
    <t>Алёна</t>
  </si>
  <si>
    <t>Белоусова Ольга Анатольевна</t>
  </si>
  <si>
    <t>ol-belousova@mail.ru</t>
  </si>
  <si>
    <t>Белоусов Евгений Владиславович</t>
  </si>
  <si>
    <t>zuk76@mail.ru</t>
  </si>
  <si>
    <t>al_belousova@mail.ru</t>
  </si>
  <si>
    <t>соц</t>
  </si>
  <si>
    <t>Глухова</t>
  </si>
  <si>
    <t>Глухова Екатерина Сергеевна</t>
  </si>
  <si>
    <t>8(917)5145187</t>
  </si>
  <si>
    <t>ges75@yandex.ru</t>
  </si>
  <si>
    <t>Глухов Алексей Борисович</t>
  </si>
  <si>
    <t>(926)748 09 33</t>
  </si>
  <si>
    <t>(916)742 31 03</t>
  </si>
  <si>
    <t>не знаю</t>
  </si>
  <si>
    <t>Гребенников</t>
  </si>
  <si>
    <t>Борисова Галина Рафаэлевна</t>
  </si>
  <si>
    <t>cheshircatgalka@gmail.com</t>
  </si>
  <si>
    <t>Гребенников Константин Викторович</t>
  </si>
  <si>
    <t>grebennikoff@yandex.ru</t>
  </si>
  <si>
    <t>grebennikovsa8@gmail.com</t>
  </si>
  <si>
    <t>Даугелло</t>
  </si>
  <si>
    <t>Афанасий</t>
  </si>
  <si>
    <t>Ковалева Светлана Валерьевна</t>
  </si>
  <si>
    <t>sve.kov@gmail.com</t>
  </si>
  <si>
    <t>Даугелло Виталий Антонович</t>
  </si>
  <si>
    <t>dauvitan@gmail.com</t>
  </si>
  <si>
    <t>afdaugello@gmail.com</t>
  </si>
  <si>
    <t>Довганик</t>
  </si>
  <si>
    <t>Довганик Наталия Николаевна</t>
  </si>
  <si>
    <t>grinnn@inbox.ru</t>
  </si>
  <si>
    <t>Довганик Алексей Иванивич</t>
  </si>
  <si>
    <t>qad003@mail.ru</t>
  </si>
  <si>
    <t>5864maria@gmail.com</t>
  </si>
  <si>
    <t>Жабер</t>
  </si>
  <si>
    <t>Анварович</t>
  </si>
  <si>
    <t xml:space="preserve">Жабер Наиля Равильевна </t>
  </si>
  <si>
    <t>nailya-jaber@mail.ru</t>
  </si>
  <si>
    <t>Жабер Анвар Фадлунович</t>
  </si>
  <si>
    <t>ilya.jaber54@gmail.com</t>
  </si>
  <si>
    <t>Каткова</t>
  </si>
  <si>
    <t>Каткова Наталья Анатольевна</t>
  </si>
  <si>
    <t>nk-mk@yandex.ru</t>
  </si>
  <si>
    <t>Катков Михаил Владимирович</t>
  </si>
  <si>
    <t>Mikel-mk@yandex.ru</t>
  </si>
  <si>
    <t>katya.katkova.07@mail.ru</t>
  </si>
  <si>
    <t>Киргинцева</t>
  </si>
  <si>
    <t>Киргинцева Дина Анатольевна</t>
  </si>
  <si>
    <t>dina.kirgintseva@gmail.com</t>
  </si>
  <si>
    <t>Киргинцев Олег Геннадьевич</t>
  </si>
  <si>
    <t>oleg.kirgintsev@gmail.com</t>
  </si>
  <si>
    <t>kira.kirgintseva@gmal.com</t>
  </si>
  <si>
    <t>Купряков</t>
  </si>
  <si>
    <t>Маркина Наталья Анатольевна</t>
  </si>
  <si>
    <t>nmarkpost@mail.ru</t>
  </si>
  <si>
    <t>Купряков Игорь Игоревич</t>
  </si>
  <si>
    <t>vladimirkupryakov2006@gmail.com</t>
  </si>
  <si>
    <t>Купцов</t>
  </si>
  <si>
    <t>Купцова Любовь Васильевна</t>
  </si>
  <si>
    <t>Lovsun@yandex.ru</t>
  </si>
  <si>
    <t>Купцов Дмитрий Викторович</t>
  </si>
  <si>
    <t>kapsul386@gmail.com</t>
  </si>
  <si>
    <t>Лебедева Ирина Анатольевна</t>
  </si>
  <si>
    <t>kadatowa@mail.ru</t>
  </si>
  <si>
    <t>Лебедев Роман Евгеньевич</t>
  </si>
  <si>
    <t>lebedevkrll@gmail.com</t>
  </si>
  <si>
    <t>Макаруша</t>
  </si>
  <si>
    <t>Макаруша Ирина Вячеславовна</t>
  </si>
  <si>
    <t>imakarusha@gmail.com</t>
  </si>
  <si>
    <t>Макаруша Сергей Владимирович</t>
  </si>
  <si>
    <t>smakarusha@gmail.com</t>
  </si>
  <si>
    <t>ilmakarusha@gmail.com</t>
  </si>
  <si>
    <t>Маскалева</t>
  </si>
  <si>
    <t>Зятикова Ирина Владимировна</t>
  </si>
  <si>
    <t>endokrinolog76@mail.ru</t>
  </si>
  <si>
    <t>Маскалева Юрий Алексеевич</t>
  </si>
  <si>
    <t>maskaleva2006@mail.ru</t>
  </si>
  <si>
    <t>Петров</t>
  </si>
  <si>
    <t>01.12.2006</t>
  </si>
  <si>
    <t>Петрова Мария Федоровна</t>
  </si>
  <si>
    <t>+7(926)7803970</t>
  </si>
  <si>
    <t>mfpetrova06@gmail.com</t>
  </si>
  <si>
    <t>Петров Андрей Николаевич</t>
  </si>
  <si>
    <t>+7(985)0774751</t>
  </si>
  <si>
    <t>Andreynpetrov@gmail.com</t>
  </si>
  <si>
    <t>+7(916)405 3149</t>
  </si>
  <si>
    <t>yaroslavpetrov@gmail.com</t>
  </si>
  <si>
    <t>Проскуряков</t>
  </si>
  <si>
    <t>с матерью, С бабушкой</t>
  </si>
  <si>
    <t>Сапотко Марина Александровна</t>
  </si>
  <si>
    <t>8(916) 161-61-85</t>
  </si>
  <si>
    <t>Marina.Sapotko@mail.ru</t>
  </si>
  <si>
    <t>(985) 310-63-65</t>
  </si>
  <si>
    <t>dmitri.proskuriakov@gmail.com</t>
  </si>
  <si>
    <t>Пудовикова</t>
  </si>
  <si>
    <t>Пудовикова Анна Сергеевна</t>
  </si>
  <si>
    <t>globetroter@inbox.ru</t>
  </si>
  <si>
    <t>Пудовиков Олег Евгеньевич</t>
  </si>
  <si>
    <t>olegep@mail.ru</t>
  </si>
  <si>
    <t>polianna.06@yandex.ru</t>
  </si>
  <si>
    <t>Румянцева</t>
  </si>
  <si>
    <t>Румянцева Яна Викторовна</t>
  </si>
  <si>
    <t>rum_yana@mail.ru</t>
  </si>
  <si>
    <t>Румянцев Евгений Евгеньевич</t>
  </si>
  <si>
    <t>jo_74@bk.ru</t>
  </si>
  <si>
    <t>ellygold1524@gmail.com</t>
  </si>
  <si>
    <t>Елизавета</t>
  </si>
  <si>
    <t>andropol@mail.ru</t>
  </si>
  <si>
    <t>liza.sytsko@gmai.com</t>
  </si>
  <si>
    <t>Фомичев</t>
  </si>
  <si>
    <t>Фомичева Татьяна Сергеевна</t>
  </si>
  <si>
    <t>fomitat@mail.ru</t>
  </si>
  <si>
    <t>Дементьев Александр Васильевич</t>
  </si>
  <si>
    <t>fomitim@mail.ru</t>
  </si>
  <si>
    <t>Артём</t>
  </si>
  <si>
    <t>+7-903-594-07-47</t>
  </si>
  <si>
    <t>8-903-161-02-26</t>
  </si>
  <si>
    <t>8-903-245-94-43</t>
  </si>
  <si>
    <t>sheshelev2006@mail.ru</t>
  </si>
  <si>
    <t>Шишкин</t>
  </si>
  <si>
    <t>Шишкина Екатерина Ивановна</t>
  </si>
  <si>
    <t>Esh2008@mail.ru</t>
  </si>
  <si>
    <t>Шишкин Сергей Валерьевич</t>
  </si>
  <si>
    <t>nik.shishkin.b@gmail.com</t>
  </si>
  <si>
    <t>Леонард</t>
  </si>
  <si>
    <t>Шумский Лев Станислав</t>
  </si>
  <si>
    <t>public4contact@yandex.ru</t>
  </si>
  <si>
    <t>leon19019m@gmail.com</t>
  </si>
  <si>
    <t>Щербаков</t>
  </si>
  <si>
    <t>Щербакова Светлана Михайловна</t>
  </si>
  <si>
    <t>shchalal@mail.ru</t>
  </si>
  <si>
    <t>vesilgame2006@gmail.com</t>
  </si>
  <si>
    <t>Аллахвердов</t>
  </si>
  <si>
    <t>Арменович</t>
  </si>
  <si>
    <t>18.07.2005</t>
  </si>
  <si>
    <t>Березина Ольга Валерьевна</t>
  </si>
  <si>
    <t>+7(916)487-24-07</t>
  </si>
  <si>
    <t>Berezinaov@rambler.ru</t>
  </si>
  <si>
    <t>Аллахвердов Армен Валерьевич</t>
  </si>
  <si>
    <t>+7(917)579-17-19</t>
  </si>
  <si>
    <t>armen@eurocom.su</t>
  </si>
  <si>
    <t>+7(916)288-18-57</t>
  </si>
  <si>
    <t>all.andrey77@gmail.com</t>
  </si>
  <si>
    <t>Бенца</t>
  </si>
  <si>
    <t>29.04.2005</t>
  </si>
  <si>
    <t>Бенца Дарья Владимировна</t>
  </si>
  <si>
    <t>89151604876</t>
  </si>
  <si>
    <t>darya.bentsa@mail.ru</t>
  </si>
  <si>
    <t>Бенца Игорь Васильевич</t>
  </si>
  <si>
    <t>89151604765</t>
  </si>
  <si>
    <t>igor.bentsa@gmail.com</t>
  </si>
  <si>
    <t>89152364247</t>
  </si>
  <si>
    <t>danben0429@gmail.com</t>
  </si>
  <si>
    <t>Деребенский</t>
  </si>
  <si>
    <t>Константин</t>
  </si>
  <si>
    <t>19.05.2005</t>
  </si>
  <si>
    <t>Зозуля Оксана Александровна</t>
  </si>
  <si>
    <t>89168442575</t>
  </si>
  <si>
    <t>oksenchik@gmail.com</t>
  </si>
  <si>
    <t>Деребенский Евгений Васильевич</t>
  </si>
  <si>
    <t>89161012003</t>
  </si>
  <si>
    <t>flintbox@gmail.com</t>
  </si>
  <si>
    <t>89161101720</t>
  </si>
  <si>
    <t>dkostya05@gmail.com</t>
  </si>
  <si>
    <t>Елушов</t>
  </si>
  <si>
    <t>Валерьевич</t>
  </si>
  <si>
    <t>17.03.2006</t>
  </si>
  <si>
    <t>Елушова Ирина Галимовна</t>
  </si>
  <si>
    <t>89683399618</t>
  </si>
  <si>
    <t>arisha.zafesova@gmail.com</t>
  </si>
  <si>
    <t>Елушов Валерий Борисович</t>
  </si>
  <si>
    <t>89689399618</t>
  </si>
  <si>
    <t>elushov@newmail.ru</t>
  </si>
  <si>
    <t>89689396189</t>
  </si>
  <si>
    <t>gleelu@yandex.ru</t>
  </si>
  <si>
    <t>Еськова</t>
  </si>
  <si>
    <t>Ульяна</t>
  </si>
  <si>
    <t>01.03.2006</t>
  </si>
  <si>
    <t>Молчанова Ольга Александровна</t>
  </si>
  <si>
    <t>79267118997</t>
  </si>
  <si>
    <t>o_molchanova@mail.ru</t>
  </si>
  <si>
    <t>Еськов Дмитрий Викторович</t>
  </si>
  <si>
    <t>89261600127</t>
  </si>
  <si>
    <t>deskov@mail.ru</t>
  </si>
  <si>
    <t>89250408994</t>
  </si>
  <si>
    <t>uliana.eskova@gmail.com</t>
  </si>
  <si>
    <t>15.08.2005</t>
  </si>
  <si>
    <t>89264551690</t>
  </si>
  <si>
    <t>michael.kabanov4@gmail.com</t>
  </si>
  <si>
    <t>Кирюшин</t>
  </si>
  <si>
    <t>Анатолий</t>
  </si>
  <si>
    <t>08.05.2005</t>
  </si>
  <si>
    <t>Ларченко Ольга Евгеньевна</t>
  </si>
  <si>
    <t>79265608733</t>
  </si>
  <si>
    <t>Кирюшин Андрей Анатольевич</t>
  </si>
  <si>
    <t>79057048488</t>
  </si>
  <si>
    <t>kiryushin06@mail.ru</t>
  </si>
  <si>
    <t>89255317424</t>
  </si>
  <si>
    <t>kirushintoly@gmail.com</t>
  </si>
  <si>
    <t>Кушнарева</t>
  </si>
  <si>
    <t>06.02.2006</t>
  </si>
  <si>
    <t>89160932744</t>
  </si>
  <si>
    <t>89161601216</t>
  </si>
  <si>
    <t>89153102022</t>
  </si>
  <si>
    <t>kushnareva.daria@gmail.com</t>
  </si>
  <si>
    <t>06.11.2005</t>
  </si>
  <si>
    <t>Лебедева Анна Сергеевна</t>
  </si>
  <si>
    <t>89161001631</t>
  </si>
  <si>
    <t>Lebedeva_as2010@mail.ru</t>
  </si>
  <si>
    <t>Лебедев Кирилл Игоревич</t>
  </si>
  <si>
    <t>89169980816</t>
  </si>
  <si>
    <t>89161858495</t>
  </si>
  <si>
    <t>Ilya.silaedr1@gmail.com</t>
  </si>
  <si>
    <t>Легошин</t>
  </si>
  <si>
    <t>08.03.2005</t>
  </si>
  <si>
    <t>Легошина Ирина Николаевна</t>
  </si>
  <si>
    <t>89067978453</t>
  </si>
  <si>
    <t>irina.legoshina@mail.ru</t>
  </si>
  <si>
    <t>Легошин Александр Евгеньевич</t>
  </si>
  <si>
    <t>89263816739</t>
  </si>
  <si>
    <t>89251560470</t>
  </si>
  <si>
    <t>legoshin_05@mail.ru</t>
  </si>
  <si>
    <t>Логинов</t>
  </si>
  <si>
    <t>Логинова Наталья Викторовна</t>
  </si>
  <si>
    <t>giga.byte3018@gmail.com</t>
  </si>
  <si>
    <t>Малованова</t>
  </si>
  <si>
    <t>10.04.2005</t>
  </si>
  <si>
    <t>Медведева Юлия Михайловна</t>
  </si>
  <si>
    <t>Маренков</t>
  </si>
  <si>
    <t>01.04.2005</t>
  </si>
  <si>
    <t>Маренкова Татьяна Васильевна</t>
  </si>
  <si>
    <t>89104805910</t>
  </si>
  <si>
    <t>justaladyforever@gmail.com</t>
  </si>
  <si>
    <t>Маренков Андрей Михайлович</t>
  </si>
  <si>
    <t>89166210640</t>
  </si>
  <si>
    <t>marenkov.andreym13@gmail.com</t>
  </si>
  <si>
    <t>89167851956</t>
  </si>
  <si>
    <t>lehatrutenb@gmail.com</t>
  </si>
  <si>
    <t>Дина</t>
  </si>
  <si>
    <t>Орлова</t>
  </si>
  <si>
    <t>Лилиана</t>
  </si>
  <si>
    <t>Тимофеевна</t>
  </si>
  <si>
    <t>05.02.2005</t>
  </si>
  <si>
    <t>Орлова Ольга Юрьевна</t>
  </si>
  <si>
    <t>89253708909</t>
  </si>
  <si>
    <t>sunineyes2073@yandex.ru</t>
  </si>
  <si>
    <t>Орлов Тимофей Сергеевич</t>
  </si>
  <si>
    <t>89067209995</t>
  </si>
  <si>
    <t>tim-orlov@yandex.ru</t>
  </si>
  <si>
    <t>89036224797</t>
  </si>
  <si>
    <t>lililiana.orlova@gmail.com</t>
  </si>
  <si>
    <t>Патрикеева</t>
  </si>
  <si>
    <t>24.06.2005</t>
  </si>
  <si>
    <t>Патрикеева Ирина Владимировна</t>
  </si>
  <si>
    <t>+79104520289</t>
  </si>
  <si>
    <t>drat@inbox.ru</t>
  </si>
  <si>
    <t>Патрикеев Вячеслав Олегович</t>
  </si>
  <si>
    <t>+79104000079</t>
  </si>
  <si>
    <t>+79104645000</t>
  </si>
  <si>
    <t>olga_patr@inbox.ru</t>
  </si>
  <si>
    <t>28.08.2005</t>
  </si>
  <si>
    <t>89629870430</t>
  </si>
  <si>
    <t>89857668652</t>
  </si>
  <si>
    <t>89588034474</t>
  </si>
  <si>
    <t>pervakegor@gmail.com</t>
  </si>
  <si>
    <t>Подворный</t>
  </si>
  <si>
    <t>27.10.2005</t>
  </si>
  <si>
    <t>Я не хочу давать свои данные через форму</t>
  </si>
  <si>
    <t>ivan.podvorniy@yandex.ru</t>
  </si>
  <si>
    <t>Подмазо</t>
  </si>
  <si>
    <t>29.12.2004</t>
  </si>
  <si>
    <t>Мельникова Любовь Владимировна</t>
  </si>
  <si>
    <t>+79096247775</t>
  </si>
  <si>
    <t>melnikova-lv@mail.ru</t>
  </si>
  <si>
    <t>Подмазо Александр Александрович</t>
  </si>
  <si>
    <t>+79267794021</t>
  </si>
  <si>
    <t>podmazo@list.ru</t>
  </si>
  <si>
    <t>+79251545190</t>
  </si>
  <si>
    <t>yfugbinomo@gmail.com</t>
  </si>
  <si>
    <t>Сайгак</t>
  </si>
  <si>
    <t>Алла</t>
  </si>
  <si>
    <t>Сайгак Анна Витальевна</t>
  </si>
  <si>
    <t>Anna.saygak79@mail.ru</t>
  </si>
  <si>
    <t>Саргин</t>
  </si>
  <si>
    <t>09.07.2005</t>
  </si>
  <si>
    <t>Екатерина Викторовна Саргина</t>
  </si>
  <si>
    <t>89267025459</t>
  </si>
  <si>
    <t>k_kr@mail.ru</t>
  </si>
  <si>
    <t>Сергей Александрович Саргин</t>
  </si>
  <si>
    <t>89167117995</t>
  </si>
  <si>
    <t>Gmc2009@mail.ru</t>
  </si>
  <si>
    <t>89957075630</t>
  </si>
  <si>
    <t>ysatts@gmail.com</t>
  </si>
  <si>
    <t>Сильвестров</t>
  </si>
  <si>
    <t xml:space="preserve">xv </t>
  </si>
  <si>
    <t>Сильвестрова Ольна Вадимовна</t>
  </si>
  <si>
    <t>silvvasil@mail.ru</t>
  </si>
  <si>
    <t>Сторожев</t>
  </si>
  <si>
    <t>Сторожева Татьяна Александровна</t>
  </si>
  <si>
    <t>Tatiana7797@inbox.ru</t>
  </si>
  <si>
    <t>rashka048yura@gmail.com</t>
  </si>
  <si>
    <t>Джамбек</t>
  </si>
  <si>
    <t>07.08.2006</t>
  </si>
  <si>
    <t>+79167109233</t>
  </si>
  <si>
    <t>+79167014078</t>
  </si>
  <si>
    <t>+79154929440</t>
  </si>
  <si>
    <t>d.d.tlepbergenov@gmail.com</t>
  </si>
  <si>
    <t>Третьякова</t>
  </si>
  <si>
    <t>Львовна</t>
  </si>
  <si>
    <t>20.02.2006</t>
  </si>
  <si>
    <t>Татьяна Васильевна Цветкова</t>
  </si>
  <si>
    <t>89166450868</t>
  </si>
  <si>
    <t>ttsvetkova@ya.ru</t>
  </si>
  <si>
    <t>Третьяков Лев Вячеславович</t>
  </si>
  <si>
    <t>89037164817</t>
  </si>
  <si>
    <t>ltret@mail.ru</t>
  </si>
  <si>
    <t>89259259920</t>
  </si>
  <si>
    <t>masha.tret.2006@yandex.ru</t>
  </si>
  <si>
    <t>Федоренко</t>
  </si>
  <si>
    <t>01.11.2005</t>
  </si>
  <si>
    <t>Федоренко Елена Сергеевна</t>
  </si>
  <si>
    <t>+79267599804</t>
  </si>
  <si>
    <t>fes030693@mail.ru</t>
  </si>
  <si>
    <t>Федоренко Сергей Анатольевич</t>
  </si>
  <si>
    <t>+79161164036</t>
  </si>
  <si>
    <t>fsa030693@mail.ru</t>
  </si>
  <si>
    <t>+79164733710</t>
  </si>
  <si>
    <t>dimafedkk@mail.ru</t>
  </si>
  <si>
    <t>Фокаиди</t>
  </si>
  <si>
    <t>Виктор</t>
  </si>
  <si>
    <t>Фокаиди Надежда Станиславовна</t>
  </si>
  <si>
    <t>Fokaidi@list.ru</t>
  </si>
  <si>
    <t>endrviking@gmail.com</t>
  </si>
  <si>
    <t>Поступающие</t>
  </si>
  <si>
    <t>учителя</t>
  </si>
  <si>
    <t>Август</t>
  </si>
  <si>
    <t>Летняя городская добровольная математическая школа "Преображение"</t>
  </si>
  <si>
    <t>Летний педсовет</t>
  </si>
  <si>
    <t>сентябрь</t>
  </si>
  <si>
    <t>ТЗН</t>
  </si>
  <si>
    <t>Кубок Москвы по го</t>
  </si>
  <si>
    <t>18:00 Родительское собрание (отв. АБ Дронзик)</t>
  </si>
  <si>
    <t>Тестирование по английскому для определения уровня и распределения по группам</t>
  </si>
  <si>
    <t xml:space="preserve">Последний день подачи заявок на "Ученые будущего" (Отв. АБ Дронзик) </t>
  </si>
  <si>
    <t>зоопарк</t>
  </si>
  <si>
    <t>День спорта на свежем воздухе (футбол, волейбол)</t>
  </si>
  <si>
    <t>музей физики Земли (экскурсия, проекты)</t>
  </si>
  <si>
    <t>футбол, волейбол</t>
  </si>
  <si>
    <t>Тренировочные матбои</t>
  </si>
  <si>
    <t>Визит мексиканской коллеги-биолога Laura Elidedt Rodríguez в Силаэдр (отв. ОА Старунова)</t>
  </si>
  <si>
    <t>16-18 ВсОШ</t>
  </si>
  <si>
    <t>Творческий конкурс учителей математики МЦНМО</t>
  </si>
  <si>
    <t>ВсОШ, русский язык, школьный этап</t>
  </si>
  <si>
    <t>ВОШ (школьный этап) по физике, биологии, английскому, ОБЖ, обществознание, физкультура</t>
  </si>
  <si>
    <t>ВОШ (муниципальный этап) по физике, биологии, английскому, литературе, ОБЖ, обществознание, физкультура</t>
  </si>
  <si>
    <t>Всероссийская метапредметная олимпиада "Команда большой страны"</t>
  </si>
  <si>
    <t>Осенняя олимпиада "Силаэдр"</t>
  </si>
  <si>
    <t>Турнир Ломоносова (онлайн)</t>
  </si>
  <si>
    <t>I тур Межпредметной олимпиады для учителей (1 тур Учителя Года)</t>
  </si>
  <si>
    <t>театр</t>
  </si>
  <si>
    <t>Читательская коференция</t>
  </si>
  <si>
    <t>октябрь</t>
  </si>
  <si>
    <t xml:space="preserve">Объявление результатов "Осенней олимпиады "Силаэдра" </t>
  </si>
  <si>
    <t>Концерт, посвященный Дню Учителя</t>
  </si>
  <si>
    <t>Читательская конференция</t>
  </si>
  <si>
    <t>19:30 Род.собр. (отв. ИН Белоусова)</t>
  </si>
  <si>
    <t>2-8 декабря Воздущно-инженерная школа, финал Рогацкина ЕА</t>
  </si>
  <si>
    <t>Читательская конференция, Родительское собрание 8С</t>
  </si>
  <si>
    <t>Старт Футбольной Лиги Большой Перемены</t>
  </si>
  <si>
    <t xml:space="preserve">Конференция "УЧЕНЫЕ БУДУЩЕГО" в МГУ. Финал (online) </t>
  </si>
  <si>
    <t>Турнир городов</t>
  </si>
  <si>
    <t>18:00 Родительское собрание (отв. А.Г.Репнев)</t>
  </si>
  <si>
    <t>18:00 Родительское собрание (отв. ЕИ Краснова)</t>
  </si>
  <si>
    <t>18:00 Родительское собрание (отв. И.Н.Белоусова)</t>
  </si>
  <si>
    <t>18:00 Родительское собрание (отв. А.В.Шерашова)</t>
  </si>
  <si>
    <t>Крайний срок подачи работ на ММКШ с рецензией (отв. АА Заводов)</t>
  </si>
  <si>
    <t>Московская командная олимпиада</t>
  </si>
  <si>
    <t>МАТЕМАТИКА 5-6 кл. Шк. этап ВсОШ (онлайн)</t>
  </si>
  <si>
    <t>МАТЕМАТИКА 7-11кл. Шк. этап ВсОШ (онлайн)</t>
  </si>
  <si>
    <t>УТЮМ</t>
  </si>
  <si>
    <t>Конец регистрации на Ural CTF (отв. 10c)</t>
  </si>
  <si>
    <t>Праздник дней рождений</t>
  </si>
  <si>
    <t>ИНФО 7-11кл. Шк. этап ВсОШ (онлайн)</t>
  </si>
  <si>
    <t>ИНФО 5-6 кл. Шк. этап ВсОШ (онлайн)</t>
  </si>
  <si>
    <t>Лекция ОА про проекты в области информатики</t>
  </si>
  <si>
    <t>ВОШ (школьный этап) по математике, информатике, русскому языку, астрономии, истории</t>
  </si>
  <si>
    <t>Проектная неделя</t>
  </si>
  <si>
    <t>Игра "Киллер"</t>
  </si>
  <si>
    <t>Конференция проектных работ по  результатам Проектной недели (очно и онлайн - с трансляцией)</t>
  </si>
  <si>
    <t>ноябрь</t>
  </si>
  <si>
    <t>JSSF (онлайн)</t>
  </si>
  <si>
    <t>Матбой с учениками из Летова</t>
  </si>
  <si>
    <t>Муниципальный этап ВОШ по разным предметам</t>
  </si>
  <si>
    <t>Игра "Наставничество" (НМ Долгова)</t>
  </si>
  <si>
    <t xml:space="preserve">декабрь    </t>
  </si>
  <si>
    <t>Муниципальный этап ВОШ по математике, физике, информатике, технологии, биологии</t>
  </si>
  <si>
    <t>Командный чемпионат Москвы по го</t>
  </si>
  <si>
    <t>10:00 - 12:00 Мат.игра со школой Дважды два</t>
  </si>
  <si>
    <t>Чемпионат Московской области</t>
  </si>
  <si>
    <t>Новогоднее соревнование воздушных пушек</t>
  </si>
  <si>
    <t>Новогодний праздник КВИЗ-ТРИЗ</t>
  </si>
  <si>
    <t>I этап олимпиады "Флагманы образования"</t>
  </si>
  <si>
    <t>TED Talks на англ. (отв. Слоневская С.В.)</t>
  </si>
  <si>
    <t>Короткометражные фильмы на англ. (отв.Слоневская С.В.)</t>
  </si>
  <si>
    <t>Неделя английского языка</t>
  </si>
  <si>
    <t>Концерт (мюзикл Краснова ЕИ)</t>
  </si>
  <si>
    <t>Контрольные мероприятия (отв. А,Б. Дронзик)</t>
  </si>
  <si>
    <t>Тайный санта (Куницын АА)</t>
  </si>
  <si>
    <t>3-я Конференция "Силаэдр" (отв. АБ Дронзик)</t>
  </si>
  <si>
    <t>Педсовет</t>
  </si>
  <si>
    <t>январь</t>
  </si>
  <si>
    <t xml:space="preserve">http://mos.olimpiada.ru/ московская олимпиада школьников </t>
  </si>
  <si>
    <t>ПЕРЕСДАЧИ</t>
  </si>
  <si>
    <t>Мастер-класс по WEB-дизайну от преподавателей из МТУСИ (Курчатовский проект)
А.В. Шерашова</t>
  </si>
  <si>
    <t>Экскурсия в Центр Космонавтики и авиации
А.Б. Дронзик и А.С.Хуснутдинов</t>
  </si>
  <si>
    <t>Экскурсия в ТЗН
Н.М. Долгова и А.Э. Исмаилов</t>
  </si>
  <si>
    <t>Экскурсия в Музей Музыки
Е.И. Краснова</t>
  </si>
  <si>
    <t>Родительское собрание
(Дронзик АБ)</t>
  </si>
  <si>
    <t>Онлайн конференция с Международной Арктической Школой (Якутия): документальные фильмы школьников и открытая дисскуссиия на английском языке 
(Слоневская СВ)</t>
  </si>
  <si>
    <t>Турнир Архимеда (Попович АЛ)</t>
  </si>
  <si>
    <t>Моск. филол. олимп-да, отбороч. тур</t>
  </si>
  <si>
    <t>Зимний турнир по Робототехнике МФТИ</t>
  </si>
  <si>
    <t>Конкурс чтецов франц. поэзии. Регистация до 31.01.</t>
  </si>
  <si>
    <t>Регистрация на Городской конкурс проектных и исследовательских работ (отв. АБ Дронзик)</t>
  </si>
  <si>
    <t>Турнир Архимеда</t>
  </si>
  <si>
    <t>"Первая медпомощь" на англ. языке (интерактивная лекция врача+практ. занятие)</t>
  </si>
  <si>
    <t>8: 30-10:30 (утра) Родительское собрание (отв. ГВ Старунов)</t>
  </si>
  <si>
    <t>МАТРЕГАТА (отв. Латыпова, Попович, Заводов)</t>
  </si>
  <si>
    <t>концерт в больнице Краснова Е.И. Никулова И.В., Старунова О.А.</t>
  </si>
  <si>
    <t>Занятие в Дойче Банке (выезд из школы 14:15. Окончание 19:00)</t>
  </si>
  <si>
    <t>февраль</t>
  </si>
  <si>
    <t>Участие в международном конкурсе видеороликов "How much I love"
Слоневская СВ, Домбровская НС</t>
  </si>
  <si>
    <t>Английский театр. Спектакль по пьесе О. Уальда "The importance of being earnest"
Слоневская СВ, Домбровская НС, Шерашова АВ</t>
  </si>
  <si>
    <t>март</t>
  </si>
  <si>
    <t>ДЕНЬ СИЛАЭДРА</t>
  </si>
  <si>
    <t>практический этап МОШ по робототехнике</t>
  </si>
  <si>
    <t>Турнир Юных Математиков, Минск (отв. ЮР Латыпова)</t>
  </si>
  <si>
    <t>Московская Математическая олимпиада (МГУ)</t>
  </si>
  <si>
    <t>Маршрут “На Марс!” (Полушкино — Театральная) – 26,3 км – 1-2 дня отв. Старунов Г.В.</t>
  </si>
  <si>
    <t>Педсовет (отв. АА Лысова, техподдержка Косенко ВМ)</t>
  </si>
  <si>
    <t>Конкурс Орфограф</t>
  </si>
  <si>
    <t>Встреча со студентом Иннополиса, сб, 9:00</t>
  </si>
  <si>
    <t>Конкурс художественного перевода (Институт перевода, библ-ка иностр. л-ры)</t>
  </si>
  <si>
    <t>Турнир Архимеда (отв. АЛ Попович)</t>
  </si>
  <si>
    <t>Spelling Bee 1 этап 
Слоневская СВ, Домбровская НС</t>
  </si>
  <si>
    <t>Апрель 2022</t>
  </si>
  <si>
    <t>Конференция на английском языке с лицеем МГИМО
отв.Слоневская СВ</t>
  </si>
  <si>
    <t>Парламентские дебаты на английском языке
Слоневская СВ, Домбровская НС</t>
  </si>
  <si>
    <t>English Speaking Week: Easter Quest</t>
  </si>
  <si>
    <t>Spelling Bee 2 этап 
Слоневская СВ, Домбровская НС</t>
  </si>
  <si>
    <t>День спорта в парке Люблино 10.00</t>
  </si>
  <si>
    <t>Диаскинтест и прививки по списку в медкабинете с 9.00</t>
  </si>
  <si>
    <t>Игра по СКРАМ-технологии (Старунова ОА, Дронзик АБ)</t>
  </si>
  <si>
    <t>Диагностика чит.гр. 7 чел. 9.00 406 каб</t>
  </si>
  <si>
    <t>Диагностика по информатике 11.00 406.408</t>
  </si>
  <si>
    <t>Диагностика Русяз 9.00 406 и 408</t>
  </si>
  <si>
    <t>Май</t>
  </si>
  <si>
    <t>Заочный тур математика (Попович)</t>
  </si>
  <si>
    <t xml:space="preserve">УТЮМ для участников (Попович, Заводов) </t>
  </si>
  <si>
    <t>Рассылка результатов (Старунова)</t>
  </si>
  <si>
    <t>Письменный тур математика (отв.Старунова)</t>
  </si>
  <si>
    <t>выезд с 13.45 КРОК 10С и учителя: Попович АЛ, Дронзик АБ, Старунова ОА, Репнев АГ, Белоус КВ, Шерашова АВ, Куницын АА, Исмаилов АЭ</t>
  </si>
  <si>
    <t>13.00 в 406 Диагност Мат Доп (Борисов, Демаков, Наровлянская)</t>
  </si>
  <si>
    <t>Ассемблер 10.00 402 каб</t>
  </si>
  <si>
    <r>
      <rPr>
        <rFont val="arial,sans,sans-serif"/>
        <b/>
        <color theme="1"/>
      </rPr>
      <t xml:space="preserve">с 8.30 по приходу Портретная Фотосессия на первом этаже все-все-все (отв. Артюшков) </t>
    </r>
    <r>
      <rPr>
        <rFont val="arial,sans,sans-serif"/>
        <b/>
        <color rgb="FFCC0000"/>
      </rPr>
      <t>с 15 до 19 КРОК обучение в КЗ</t>
    </r>
  </si>
  <si>
    <t>9.00 в 406 Диагност Русс (Дайнега) остальные по расписанию</t>
  </si>
  <si>
    <r>
      <rPr>
        <rFont val="arial,sans,sans-serif"/>
        <b/>
        <color theme="1"/>
      </rPr>
      <t xml:space="preserve">с 8.30 по приходу Портретная Фотосессия на первом этаже все-все-все (отв. Артюшков) </t>
    </r>
    <r>
      <rPr>
        <rFont val="arial,sans,sans-serif"/>
        <b/>
        <color rgb="FFCC0000"/>
      </rPr>
      <t>с 15 до 19 КРОК обучение в КЗ</t>
    </r>
  </si>
  <si>
    <t>Белоусова сдает ОГЭ по литре (отв.Шерашова) Род.собрание 19.00 КЗ</t>
  </si>
  <si>
    <t>Диспансеризация в школе. Обязательно принести согласие или отказ от родителей до 15.05.22 и положить под дверь медкабинета или в 105 каб</t>
  </si>
  <si>
    <t>Старунова с 18 по 23 на Лиге Лекторов</t>
  </si>
  <si>
    <t>ОГЭ Английский (Артюшков, Довганик, Фомичев, Шишкин)</t>
  </si>
  <si>
    <t>19.06 Куницын ОГЭ</t>
  </si>
  <si>
    <t>Театральные постановки по книге на английском языке
Слоневская СВ, Домбровская НС</t>
  </si>
  <si>
    <t>ОГЭ Английский (Белоусова, Даугелло, Купцов)</t>
  </si>
  <si>
    <t>Устный тур математика (Попович)</t>
  </si>
  <si>
    <t>Летняя сессия с 23 по 27 мая 2022 года</t>
  </si>
  <si>
    <t>ОГЭ математика (ВСЕ) Шерашова отв. Хуснутдинов</t>
  </si>
  <si>
    <t>с 16.00 Награждение у мэра Старунова, Попович, Лосев, Пичугова, Подворный, Просвирин, Сайгак, Сильвестров</t>
  </si>
  <si>
    <t>18.00 Род.собрание в КЗ</t>
  </si>
  <si>
    <t>ОГЭ общество (Глухова, Довганик, Каткова, Купряков)</t>
  </si>
  <si>
    <t>11.30 Квест и родительское собрание КЗ (Старунова)</t>
  </si>
  <si>
    <t>14:30 - 15:30 Разговор о том, зачем мы учим (географию, физику, математику, далее со всеми) "Пространства логики, или Тот самый остров.." КЗ (Колечкин И.С.)</t>
  </si>
  <si>
    <t>Июнь</t>
  </si>
  <si>
    <t>Показ по театральному творчеству учебной работы 10.00 6С (зрители 5С), 11.00 (6Т зрителя 8С) , 12.00 7 С (зрители 6СТ) АЗ</t>
  </si>
  <si>
    <t>Городская проектная школа для учеников "Силаэдра"</t>
  </si>
  <si>
    <t>30.05. Шерашова егэ</t>
  </si>
  <si>
    <t>ОГЭ биология отв.Таможенный(Пичугова, Петров, Злотник) , физика отв.Шерашова  (Гребеньков, Лебедев, Проскуряков, Шешелев, Шумский)</t>
  </si>
  <si>
    <t>ОГЭ русский ВСЕ Шерашова, хуснутдинов отв.</t>
  </si>
  <si>
    <t>Открытая конференция проектных работ школьников "Силаэдра" АЗ (Дронзик)</t>
  </si>
  <si>
    <t>Конференция в КРОКЕ для всех учеников</t>
  </si>
  <si>
    <t>ОГЭ информатика (Артюшков, Гребенников, Даугелло, Каткова, Купцов, Проскуряков, Фомичев, Шешелев) , химия (Злотник, Петров, Пичугова)</t>
  </si>
  <si>
    <t>Педсовет Сенеж</t>
  </si>
  <si>
    <t>ОГЭ информатика (Купряков, Лебедев, Шишкин, Шумский) ОГЭ литература (Глухова)</t>
  </si>
  <si>
    <t>Июль</t>
  </si>
  <si>
    <t>Выездная научная школа (Московская обл.)</t>
  </si>
  <si>
    <t>Август 2022</t>
  </si>
  <si>
    <t>Добор в 8-10 классы в 12.00 отв.Попович</t>
  </si>
  <si>
    <t>16.00 Род.собрание и чит.конференция (отв. Харитонов)</t>
  </si>
  <si>
    <t>10.00-15.00 Встреча с родителями про вуз и поступление по графику (отв. Белоус, Попович, Старунова)</t>
  </si>
  <si>
    <t>20.00 Род.собрание ОНЛАЙН по сссылке</t>
  </si>
  <si>
    <t>11.00 Педсовет всем быть обязательно     20.00 Встреча кафедры информатики</t>
  </si>
  <si>
    <t>Репетиция театр в 11.</t>
  </si>
  <si>
    <t>Репетиция хор 10.00</t>
  </si>
  <si>
    <t>Репетиция  мероприятий на 01.09 сентября  (участники по списку)</t>
  </si>
  <si>
    <r>
      <rPr>
        <rFont val="Arial"/>
        <b/>
        <color theme="1"/>
      </rPr>
      <t xml:space="preserve">11.00 Встреча гуманитарной кафедры </t>
    </r>
    <r>
      <rPr>
        <rFont val="Arial"/>
        <b/>
        <color rgb="FFFF0000"/>
      </rPr>
      <t>210</t>
    </r>
  </si>
  <si>
    <t>Репетиция театр в 16.00</t>
  </si>
  <si>
    <t>Встреча кафедры математики</t>
  </si>
  <si>
    <t>Сентябрь 2022</t>
  </si>
  <si>
    <t>8.45 Торжественная линейка см.программу и расписание</t>
  </si>
  <si>
    <t>10.00 Читательская конференция по летней книге (удаленный формат в зуме)</t>
  </si>
  <si>
    <t>11.00 Практикум "Искусственный интеллект в промышленности и геологии" Иван Максимов</t>
  </si>
  <si>
    <t>Родсобрание очно в 18.00 (отв.Краснова) 210</t>
  </si>
  <si>
    <r>
      <rPr>
        <rFont val="Arial"/>
        <b/>
        <color theme="1"/>
        <sz val="12.0"/>
      </rPr>
      <t xml:space="preserve">Род.собрание 18.00 очно (отв. Дронзик) </t>
    </r>
    <r>
      <rPr>
        <rFont val="Arial"/>
        <b/>
        <color rgb="FFFF0000"/>
        <sz val="12.0"/>
      </rPr>
      <t>210</t>
    </r>
  </si>
  <si>
    <t>Пробный урок CTF 16.30 406 каб</t>
  </si>
  <si>
    <t>Род.собрание 17.00 очно (отв. Белоусова) 408</t>
  </si>
  <si>
    <t>Родсобрание 19.00 ОНЛАЙН по ссылке</t>
  </si>
  <si>
    <t>Выездной день, мероприятия вне школы в связи с работой избирательной комиссии</t>
  </si>
  <si>
    <t>Однодневный поход в Кузьминский парк (Харитонов, Латыпова)</t>
  </si>
  <si>
    <t>Геологический музей сбор у школы  в 10.15 (Дронзик, Слоневская, Решетников Н.)</t>
  </si>
  <si>
    <t>День спорта и пикник в Кузьминках сбор у школы в 11.00 (Репнев, Хуснутдинов, Латыпова, Заводов)</t>
  </si>
  <si>
    <t>11.00 Пешеходная экскурсия по Волхонке (Краснова, Никулова, Куницын)</t>
  </si>
  <si>
    <t>13.45 Экскурсия в Абрамцево (Белоусова, Старунова)</t>
  </si>
  <si>
    <t>Спортивный лазертаг 10.00 (Шерашова, Исмаилов)</t>
  </si>
  <si>
    <t>День спорта и пикник в Кузьминках сбор у школы в 11.00 (Белоус)</t>
  </si>
  <si>
    <t>Читательская конференция онлайн. Два дня. Начало 19:00</t>
  </si>
  <si>
    <t>10.45 Диагностика тест по математике 60 минут бум.версия (отв. Белоус, набл. Устинов Н.Н.)</t>
  </si>
  <si>
    <t>Мастеркласс Сценическая речь от Леонида Куцера АЗ</t>
  </si>
  <si>
    <t>11.00. Матигры (Заводов) 209</t>
  </si>
  <si>
    <t>Диагностика тест по математике 60 минут бум.версия (отв. Белоус, набл. Устинов Н.Н.)</t>
  </si>
  <si>
    <t>19.00 Род.собрание (Харитонов) 201</t>
  </si>
  <si>
    <t>Октябрь 2022</t>
  </si>
  <si>
    <t>Вакцинация от гриппа</t>
  </si>
  <si>
    <t>Родсобрание в ЗУМ в 19.00</t>
  </si>
  <si>
    <t xml:space="preserve">Театр рок опера "Иисус Христос супезвезда" </t>
  </si>
  <si>
    <t>Родсобрание КЗ и ЗУМе (Репнев)</t>
  </si>
  <si>
    <t>КРОК - проектная конференция</t>
  </si>
  <si>
    <t>Матбой 6С (Исмаилов)</t>
  </si>
  <si>
    <t>Матрегата в ВШЭ (отв.Попович)</t>
  </si>
  <si>
    <t>Поход в Полушкино</t>
  </si>
  <si>
    <t>English Speaking Week. Apple Quest (НС Домбровская, СВ Слоневская)
19.10 - Школьный этап ВсОШ по математике</t>
  </si>
  <si>
    <t>Осенняя проектная школа (АБ Дронзик)
26.10 - 31.10 - Выездная биологическая школа в Калининграде (ИН Белоусова)</t>
  </si>
  <si>
    <t>Конференция по результатам проектной школы  (АБ Дронзик)</t>
  </si>
  <si>
    <t>Каникулы 29.10.22 - 07.11.22</t>
  </si>
  <si>
    <t>Ноябрь 2022</t>
  </si>
  <si>
    <t>Каникулы 29.10.22 - 07.11.22
04.11 Выступление на театральном фестивале "Верескового меда" - 7-8 класс, Обидина И.Л., Носкова П.А.
 06.11- 12.11 Уральский турнир. 6-8 классы</t>
  </si>
  <si>
    <t>06.11- 12.11 Уральский турнир. 6-8 классы</t>
  </si>
  <si>
    <t xml:space="preserve">Театр занимат.науки </t>
  </si>
  <si>
    <t>Гамлет в ММТ</t>
  </si>
  <si>
    <t>Оружейная палата 11.00</t>
  </si>
  <si>
    <r>
      <rPr>
        <rFont val="Arial"/>
        <b/>
        <color theme="1"/>
        <sz val="12.0"/>
      </rPr>
      <t xml:space="preserve">World Hello Day. </t>
    </r>
    <r>
      <rPr>
        <rFont val="Arial"/>
        <b/>
        <color theme="1"/>
        <sz val="12.0"/>
      </rPr>
      <t>Международный флэшмоб (Слоневская СВ)</t>
    </r>
  </si>
  <si>
    <t>10.00 ГИА Рус.яз ул.Шумилова (Белоус)</t>
  </si>
  <si>
    <t>Кубок Колмогорова, 28.11 - 5.12, Тверь (Попович)</t>
  </si>
  <si>
    <t>Декабрь 2022</t>
  </si>
  <si>
    <t>Театр Занимательной Науки (Репнев А.Г.)</t>
  </si>
  <si>
    <t>Кубок Колмогорова, 28.11 - 5.12, Тверь</t>
  </si>
  <si>
    <r>
      <rPr>
        <rFont val="Arial"/>
        <b/>
        <color theme="1"/>
        <sz val="12.0"/>
      </rPr>
      <t xml:space="preserve">on-line </t>
    </r>
    <r>
      <rPr>
        <rFont val="Arial"/>
        <b/>
        <color theme="1"/>
        <sz val="12.0"/>
      </rPr>
      <t>Quiz</t>
    </r>
    <r>
      <rPr>
        <rFont val="Arial"/>
        <b/>
        <color theme="1"/>
        <sz val="12.0"/>
      </rPr>
      <t xml:space="preserve"> совместно с международной Арктической школой (Слоневская СВ)</t>
    </r>
  </si>
  <si>
    <t>17.00 мюзикл Дюймовочка 5С</t>
  </si>
  <si>
    <t>Сессия</t>
  </si>
  <si>
    <r>
      <rPr>
        <rFont val="Arial"/>
        <b/>
        <color theme="1"/>
        <sz val="24.0"/>
      </rPr>
      <t xml:space="preserve">Сессия
</t>
    </r>
    <r>
      <rPr>
        <rFont val="Arial"/>
        <b/>
        <color theme="1"/>
        <sz val="12.0"/>
      </rPr>
      <t>МЮЗИКЛ "Морозко" (ЕИ Краснова, ИВ Никулова)
16:00</t>
    </r>
  </si>
  <si>
    <t>4-я Конференция Силаэдр (отв. А.Б. Дронзик)</t>
  </si>
  <si>
    <t>СЕССИЯ</t>
  </si>
  <si>
    <t>31.12 - 08.01</t>
  </si>
  <si>
    <t>Каникулы 31.12.22 - 08.01.23</t>
  </si>
  <si>
    <t>Январь 2023</t>
  </si>
  <si>
    <t>10.00 Турнир Архимеда</t>
  </si>
  <si>
    <t>Февраль 2023</t>
  </si>
  <si>
    <t>Экскурсия в Алмазный фонд (Дронзик А.Б, Белоус К.В., Старунова О.А., Хуснутдинов А.С.)</t>
  </si>
  <si>
    <t>Диагностика МЦКО Физика 406, 408 (9.00 )</t>
  </si>
  <si>
    <t>Итоговое собеседование ГИА в 9.00 409 каб</t>
  </si>
  <si>
    <t>Диагностика МЦКО Биология 406, 408 (9.00 и 11.00)</t>
  </si>
  <si>
    <t xml:space="preserve">Олимпиада Эйлера </t>
  </si>
  <si>
    <t>Диагностика МЦКО406, 408 (9.00 7С и 11.00 7Т)</t>
  </si>
  <si>
    <t>Математический праздник</t>
  </si>
  <si>
    <t>Зимняя Школа 2023 в Огниково заезд 20.02.23 выезд 25.02.23</t>
  </si>
  <si>
    <t xml:space="preserve">Каникулы 18.02.23 - 26.02.23 </t>
  </si>
  <si>
    <r>
      <rPr>
        <rFont val="Arial"/>
        <b/>
        <color rgb="FF000000"/>
        <sz val="14.0"/>
      </rPr>
      <t>Театральные постановки и квиз по книге</t>
    </r>
    <r>
      <rPr>
        <rFont val="Arial"/>
        <b/>
        <color rgb="FF000000"/>
        <sz val="18.0"/>
      </rPr>
      <t xml:space="preserve">
</t>
    </r>
    <r>
      <rPr>
        <rFont val="Arial"/>
        <b val="0"/>
        <color rgb="FF000000"/>
        <sz val="12.0"/>
      </rPr>
      <t>Слоневская СВ, Домбровская НС</t>
    </r>
  </si>
  <si>
    <t>Мат.письм. тур</t>
  </si>
  <si>
    <t>Поступашки письм. тур</t>
  </si>
  <si>
    <t>Московская Математическая Олимпиада</t>
  </si>
  <si>
    <t>Мат. уст. тур</t>
  </si>
  <si>
    <t>Поступашки уст. тур</t>
  </si>
  <si>
    <t>11.45 Сватовство гусара АЗ</t>
  </si>
  <si>
    <t>16.00 Сватовство гусара АЗ</t>
  </si>
  <si>
    <t>Апрель 2023</t>
  </si>
  <si>
    <r>
      <rPr>
        <rFont val="Arial"/>
        <b/>
        <color theme="1"/>
        <sz val="12.0"/>
      </rPr>
      <t xml:space="preserve">Экскурсия в Исторический музей 
</t>
    </r>
    <r>
      <rPr>
        <rFont val="Arial"/>
        <b val="0"/>
        <color theme="1"/>
        <sz val="12.0"/>
      </rPr>
      <t>Белоус К.В. Дронзик А.Б., Репнев А.Г.</t>
    </r>
  </si>
  <si>
    <t>Фестиваль первоапрельских шляп и костюмов</t>
  </si>
  <si>
    <t>День самоуправления на английском - Take Over Day</t>
  </si>
  <si>
    <t>Каникулы 08.04.23 - 16.04.23</t>
  </si>
  <si>
    <t>20-21</t>
  </si>
  <si>
    <r>
      <rPr>
        <rFont val="Arial"/>
        <b/>
        <color theme="1"/>
        <sz val="12.0"/>
      </rPr>
      <t xml:space="preserve">Spelling Bee (1 тур)
</t>
    </r>
    <r>
      <rPr>
        <rFont val="Arial"/>
        <b val="0"/>
        <color theme="1"/>
        <sz val="12.0"/>
      </rPr>
      <t>Слоневская СВ, Домбровская НС</t>
    </r>
  </si>
  <si>
    <t>16.00 Ролевая игра "В гостях у лорда Рейвевиза" АЗ, 504 (Пипйекина)</t>
  </si>
  <si>
    <t>27-28</t>
  </si>
  <si>
    <r>
      <rPr>
        <rFont val="Arial"/>
        <b/>
        <color theme="1"/>
        <sz val="12.0"/>
      </rPr>
      <t xml:space="preserve">Spelling Bee (2 тур)
</t>
    </r>
    <r>
      <rPr>
        <rFont val="Arial"/>
        <b val="0"/>
        <color theme="1"/>
        <sz val="12.0"/>
      </rPr>
      <t>Слоневская СВ, Домбровская НС</t>
    </r>
  </si>
  <si>
    <t>10.40 Дети Синего Фламинго показ спектакля 2 части</t>
  </si>
  <si>
    <t>Май 2023</t>
  </si>
  <si>
    <t>19.00 Родсобрание 201
Харитонов ОС</t>
  </si>
  <si>
    <t>Письменный тур 2 поток</t>
  </si>
  <si>
    <t>Spelling Bee (финал)
Слоневская СВ, Домбровская НС</t>
  </si>
  <si>
    <t>15-19</t>
  </si>
  <si>
    <r>
      <rPr>
        <rFont val="Arial"/>
        <b/>
        <color rgb="FF000000"/>
        <sz val="12.0"/>
      </rPr>
      <t xml:space="preserve">Film Festival
</t>
    </r>
    <r>
      <rPr>
        <rFont val="Arial"/>
        <b val="0"/>
        <color rgb="FF000000"/>
        <sz val="12.0"/>
      </rPr>
      <t>Слоневская СВ, Домбровская НС</t>
    </r>
  </si>
  <si>
    <r>
      <rPr>
        <rFont val="Arial"/>
        <b/>
        <color rgb="FF000000"/>
        <sz val="12.0"/>
      </rPr>
      <t xml:space="preserve">Parliamentary Debate
</t>
    </r>
    <r>
      <rPr>
        <rFont val="Arial"/>
        <b val="0"/>
        <color rgb="FF000000"/>
        <sz val="12.0"/>
      </rPr>
      <t>Слоневская СВ, Домбровская НС</t>
    </r>
  </si>
  <si>
    <t>Последний звонок</t>
  </si>
  <si>
    <t>20.05.23 - 27.05.23</t>
  </si>
  <si>
    <t>Летняя сессия 20.05.23 - 27.05.23</t>
  </si>
  <si>
    <t>Устный тур 2 поток</t>
  </si>
  <si>
    <t>Квест и день откр.дверей</t>
  </si>
  <si>
    <t>14.30 Каштанка показ</t>
  </si>
  <si>
    <t>Летняя практика с 29.05.23 - 09.06.23</t>
  </si>
  <si>
    <t>Июнь 2023</t>
  </si>
  <si>
    <t>Показ отрывка "Кошки"</t>
  </si>
  <si>
    <t>ГИА МАТ.ПР Есениниский д.14 к.2 ГИА МАТ ОБ. Волгоградский 66 к.5</t>
  </si>
  <si>
    <t>ГИА ФИЗ  Шумилова д.9</t>
  </si>
  <si>
    <t>ГИА ОБЩ Есенинский д.14 к.2</t>
  </si>
  <si>
    <t>ГИА АНГ Краснодарская д.9 ГИА БИО Мячковский б-р 21 ГИА НЕМ. Перерва 44</t>
  </si>
  <si>
    <t>Показ спектакля 11С класса</t>
  </si>
  <si>
    <t>ГИА ИНФ. Шумилова д.9</t>
  </si>
  <si>
    <t>ГИА ИНФ. Еськова</t>
  </si>
  <si>
    <t>Июль 2023</t>
  </si>
  <si>
    <t>15-30</t>
  </si>
  <si>
    <t>Летняя Выездная Школа</t>
  </si>
  <si>
    <t>№</t>
  </si>
  <si>
    <t>Описание</t>
  </si>
  <si>
    <t>Ссылка</t>
  </si>
  <si>
    <t>Фотографии детей и учителей</t>
  </si>
  <si>
    <t>https://drive.google.com/drive/u/0/folders/1ziKMGwnd9N2B8sWy4MsCn2o728mKQHkn</t>
  </si>
  <si>
    <t>Посещаемость учеников</t>
  </si>
  <si>
    <t>https://docs.google.com/spreadsheets/d/1gewSO9Nc7JzniLjbW6GdBiqry8_wSEsRYBbMn2cZn3w/edit#gid=208798197</t>
  </si>
  <si>
    <t>Плюсник информатика 5-10</t>
  </si>
  <si>
    <t>https://docs.google.com/spreadsheets/d/13R-wt-C4RElxYmps05j1KJhtkAISCA6nQdwk5kkKeok/edit#gid=583043136</t>
  </si>
  <si>
    <t>Плюсник матпрактикума 5-10 классы</t>
  </si>
  <si>
    <t>https://docs.google.com/spreadsheets/d/1GfRGWH9PzMkfqhCmgNSN2ejj7ih-W97caYd9QPSgM9c/edit?usp=sharing</t>
  </si>
  <si>
    <t>Плюсник математика 5с</t>
  </si>
  <si>
    <t>https://docs.google.com/spreadsheets/d/1_IlLVs2Ka0GgN_OZJLktB93_EmMl3g4fhMrgXRkfIwA/edit</t>
  </si>
  <si>
    <t>Плюсник МатМоделирования 10 класс 2021-2022</t>
  </si>
  <si>
    <t>https://docs.google.com/spreadsheets/d/e/2PACX-1vQPX_GYCt-nZwVC_PzCB-HvR7O0yRLpRhtCgkfULkYzTlPpw2t2XQunB15Dl6VM2WAdGhFu2sQi_0Os/pubhtml</t>
  </si>
  <si>
    <t>Плюсник 8С по алгебре и геометрии 2021-2022</t>
  </si>
  <si>
    <t>https://docs.google.com/spreadsheets/d/e/2PACX-1vTc0-Q1nmIGo8PJlWQ__RiAxDn88uk8XhRitwujU-Yf0wXkdicx1kFhmmI_UOdkml6B2iyeA3yrD35Y/pubhtml</t>
  </si>
  <si>
    <t>Плюсник 7с класса по геометрии</t>
  </si>
  <si>
    <t>https://docs.google.com/spreadsheets/d/10cC_oSHPNb8e_rg2gW-CFeO9SGQvHWbT0QAJVfjPWWI/edit#gid=0</t>
  </si>
  <si>
    <t>Журнал с оценками и домашкой по физике 22-23</t>
  </si>
  <si>
    <t>https://docs.google.com/spreadsheets/d/1PaJ-6QTZFF1Ivciz8UVjTCeeEQbbyEfXo8o05HcD-yU/edit?usp=sharing</t>
  </si>
  <si>
    <t>Темы проектов (не все разобраны)</t>
  </si>
  <si>
    <t>https://docs.google.com/spreadsheets/d/1GA_STxV7_E_zximkcBRvKjfjSWOCdQ3REm4eAxz6YCk/edit#gid=792827499</t>
  </si>
  <si>
    <t>План работ по проектам 10С</t>
  </si>
  <si>
    <t>https://docs.google.com/spreadsheets/d/1nv2NzcQ8KcXxJVC5G_mMuirW6WXDJYut6FoTXHAhnFQ/edit#gid=0</t>
  </si>
  <si>
    <t>Результаты зимней сессии 2019</t>
  </si>
  <si>
    <t>https://docs.google.com/spreadsheets/d/1ufkz8B2EGU5hSRq4MCrUAh4Ow_EMAJsIJF_UsPfzLwE/edit?usp=sharing</t>
  </si>
  <si>
    <t>Рекомендации по изготовлению постеров</t>
  </si>
  <si>
    <t>https://docs.google.com/document/d/1VxUPYTSUzIpM1gu7llnxOXnBZWLVL1f2lbG7ktGQkcQ/edit?usp=sharing</t>
  </si>
  <si>
    <t>Проекты. Весна 2020</t>
  </si>
  <si>
    <t>https://docs.google.com/spreadsheets/d/179s2SvYcyjMXHWhuhhHzCBSs9iuQmM04uvh-ci41d0k/edit?usp=sharing</t>
  </si>
  <si>
    <t>Таблица Учительская</t>
  </si>
  <si>
    <t>https://docs.google.com/spreadsheets/d/1UBW-Z9Lkwh85FNHKxMNExdaoVcRMK10kEwQg__1zX9Y/edit#gid=430160196</t>
  </si>
  <si>
    <t>МатИгры 7 и 8 классов. 2020-21</t>
  </si>
  <si>
    <t>https://docs.google.com/spreadsheets/d/1AOWXgbxOtBgSldb6wK6mK1HNddGUi99EYYus84ilFiw/edit?ts=5f533110#gid=0</t>
  </si>
  <si>
    <t>Результаты контрольных мероприятий. Зима 2020</t>
  </si>
  <si>
    <t>https://docs.google.com/spreadsheets/d/1pzdOaMN5-EA1YExUqJG1AjzLJ2UQR9A9kbFViwuH1ZE/edit?usp=sharing</t>
  </si>
  <si>
    <r>
      <rPr>
        <rFont val="Arial"/>
        <b/>
        <color rgb="FFCC0000"/>
      </rPr>
      <t xml:space="preserve">Заявление </t>
    </r>
    <r>
      <rPr>
        <rFont val="Arial"/>
        <b/>
        <color rgb="FFCC0000"/>
      </rPr>
      <t>на отсутвие или ранний уход ребёнка из школы отправляем</t>
    </r>
    <r>
      <rPr>
        <rFont val="Arial"/>
        <b/>
        <color rgb="FFCC0000"/>
      </rPr>
      <t xml:space="preserve"> </t>
    </r>
    <r>
      <rPr>
        <rFont val="Arial"/>
        <b/>
        <color rgb="FFCC0000"/>
      </rPr>
      <t>на почту</t>
    </r>
    <r>
      <rPr>
        <rFont val="Arial"/>
        <b/>
        <color rgb="FFCC0000"/>
      </rPr>
      <t xml:space="preserve"> s29-info@lgkuv.ru и кл.руководителю</t>
    </r>
  </si>
  <si>
    <t>https://drive.google.com/file/d/1OrQpG8P8-buk0fFzgWQjWT5HHSZISHmN/view?usp=sharing</t>
  </si>
  <si>
    <t>Заказать справку о том что учитесь в школе</t>
  </si>
  <si>
    <t>https://forms.yandex.ru/cloud/623209ed4cc03d80793c5479/</t>
  </si>
  <si>
    <t>Расписание каникул</t>
  </si>
  <si>
    <t>https://drive.google.com/file/d/1-znlCwIZ-T3Xjn4WugZB7n5ZrXZZ8pOb/view?usp=sharing</t>
  </si>
  <si>
    <t>Результаты контрольных мероприятий. Лето 2021</t>
  </si>
  <si>
    <t>https://docs.google.com/spreadsheets/d/1h5uEmhbbcZkG9a9jWZ93tr8wQ3aRC-z9RTgL3f2So9U/edit?usp=sharing</t>
  </si>
  <si>
    <t>Летняя Практика 2021</t>
  </si>
  <si>
    <t>https://docs.google.com/spreadsheets/d/1MYZZlxIEnb332rZTcZ3nrsJ_IBWbnCL8m7Mf08uJ19s/edit?usp=sharing</t>
  </si>
  <si>
    <t>Результаты контрольных мероприятий. Зима 2021</t>
  </si>
  <si>
    <t>https://docs.google.com/spreadsheets/d/1bby9ljD86JN7zdAX24IwkyqqAvawOAf6WvhpGyRW91o/edit#gid=1296000754</t>
  </si>
  <si>
    <t>Участие учеников Силаэдра по годам в "Курчатовский Проект, Наука для жизни, Старат в медицину и Инженеры Будущего"</t>
  </si>
  <si>
    <t>https://docs.google.com/spreadsheets/d/1_K4x7QSQTYRC6-rze8zYboP4B1ZnOe54BL_GbbmQ2wk/edit?usp=sharing</t>
  </si>
  <si>
    <t>Сессия. Лето 2022</t>
  </si>
  <si>
    <t>https://docs.google.com/spreadsheets/d/1CcRJ6B6JIPPWwjhx2zmRA8Q8hvQkdJwaBLHw0HoF_AI/edit?usp=sharing</t>
  </si>
  <si>
    <t>Материалы  Заводова базовая математика 6 и 9 класс</t>
  </si>
  <si>
    <t>https://drive.google.com/drive/folders/1gPGsfOhBuBx9x43-0em7WAuojvqVcpGS?usp=sharing</t>
  </si>
  <si>
    <t>Музеи и места для посещения (городских школ)</t>
  </si>
  <si>
    <t>https://docs.google.com/document/d/1aXrsXO3-xW6uOig13Ko9iIDQJzrFCyQgXgdkSyL4Lms/edit</t>
  </si>
  <si>
    <t>Материалы  Заводова 10 класс АА 2021-2022</t>
  </si>
  <si>
    <t>https://drive.google.com/drive/folders/1VzfJy0Sfa_gSxf1z-1Rg9W150zk7RToV?usp=sharing</t>
  </si>
  <si>
    <t>Материалы Заводова 7 класс математика 2021-2022</t>
  </si>
  <si>
    <t>https://drive.google.com/drive/folders/17BT4FOgRuu8dOXOmMIoLCP0xELz2DZli?usp=sharing</t>
  </si>
  <si>
    <t>Заявление на платное питание</t>
  </si>
  <si>
    <t>https://docs.google.com/document/d/1tskjyygiWoYXRB87y-Ax8vhEseY1X_3p/edit?usp=sharing&amp;ouid=104810515155624067949&amp;rtpof=true&amp;sd=true</t>
  </si>
  <si>
    <t>Заказ меддокументов (выписки, карты, для лагеря)</t>
  </si>
  <si>
    <t>Необходимо писать или звонить медсестре (Ноздрина Светлана Николаевна +7 905 507-97-11)</t>
  </si>
  <si>
    <t>График сессии по классам</t>
  </si>
  <si>
    <t>https://docs.google.com/spreadsheets/d/1Um8Qfgx-ED6Pm2obRQMDPI7slWKMiawOtAoXaNf5UAw/edit?usp=sharing</t>
  </si>
  <si>
    <t>Список звонков</t>
  </si>
  <si>
    <t>https://docs.google.com/spreadsheets/d/16fsPjRAuC4J43w8l9im8LspMG5T4D_ok7IavTexm2G0/edit#gid=179024524</t>
  </si>
  <si>
    <t>Памятка родителям</t>
  </si>
  <si>
    <t>https://docs.google.com/document/d/13Ik26s2Szlhp8ysyIuE440eRX_vdavRM/edit?usp=sharing&amp;ouid=104810515155624067949&amp;rtpof=true&amp;sd=true</t>
  </si>
  <si>
    <t xml:space="preserve">Согласие фото-видео съемки </t>
  </si>
  <si>
    <t>https://docs.google.com/document/d/1n2x8qUh6NCOu8bKgzZGWGhuuxWJn1o7G/edit?usp=sharing&amp;ouid=104810515155624067949&amp;rtpof=true&amp;sd=true</t>
  </si>
  <si>
    <t>11 класс математика</t>
  </si>
  <si>
    <t>https://drive.google.com/drive/folders/1IXotFFDVZsiCRKuGcd4AhBBHiIKjZSWT?usp=sharing</t>
  </si>
  <si>
    <t>10 класс геометрия</t>
  </si>
  <si>
    <t>https://drive.google.com/drive/folders/1o4lJqOQIinWFA-TjicFgAUY7ORmP_IHM?usp=sharing</t>
  </si>
  <si>
    <t>8 класс математика</t>
  </si>
  <si>
    <t>https://drive.google.com/drive/folders/1sHeuK1ylCrhph9MJdRz_pMivWxey8miy?usp=sharing</t>
  </si>
  <si>
    <t>6 класс математика база</t>
  </si>
  <si>
    <t>https://docs.google.com/spreadsheets/d/1GM1_DIGz_2OkrtiXt_uDfXiR1EGjhs2Ibd-PDNNXySo/edit#gid=345492160</t>
  </si>
  <si>
    <t>5 класс математика база</t>
  </si>
  <si>
    <t>https://docs.google.com/spreadsheets/d/1zC_WjSBGsDYL76q02xXDyIhvLrlNk3CIJwZmvKgRrlg/edit#gid=0</t>
  </si>
  <si>
    <t>Результаты зимней сессии 2022</t>
  </si>
  <si>
    <t>https://docs.google.com/spreadsheets/d/1RaVqHZTx3R3_fViCeA1Zkr-OYMdC3e3EklWIDbOGbZE/edit?usp=sharing</t>
  </si>
  <si>
    <t>https://drive.google.com/drive/folders/1X59DtxKp5H7ncBFxVw8U-nZDPddvkwNy?usp=share_link</t>
  </si>
  <si>
    <r>
      <rPr>
        <rFont val="Arial"/>
        <color theme="1"/>
        <sz val="10.0"/>
      </rPr>
      <t xml:space="preserve">ДИАЛОГИ О ВАЖНОМ (Харитонов) </t>
    </r>
    <r>
      <rPr>
        <rFont val="Arial"/>
        <b/>
        <color theme="1"/>
        <sz val="10.0"/>
      </rPr>
      <t>201</t>
    </r>
  </si>
  <si>
    <r>
      <rPr>
        <rFont val="Arial"/>
        <color theme="1"/>
        <sz val="10.0"/>
      </rPr>
      <t xml:space="preserve">ДИАЛОГИ О ВАЖНОМ (Дронзик) </t>
    </r>
    <r>
      <rPr>
        <rFont val="Arial"/>
        <b/>
        <color theme="1"/>
        <sz val="10.0"/>
      </rPr>
      <t>210 / Экзамен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</si>
  <si>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</si>
  <si>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402</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</si>
  <si>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</si>
  <si>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</si>
  <si>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КЗ</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</si>
  <si>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</si>
  <si>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409</t>
    </r>
  </si>
  <si>
    <t>Математика (Митев) 201/ Экзамен олинфо 202</t>
  </si>
  <si>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</si>
  <si>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</si>
  <si>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</si>
  <si>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</si>
  <si>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</si>
  <si>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</si>
  <si>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t>ЗАЧЁТ Мат (база) АА
КЗ
9.45-13.45</t>
  </si>
  <si>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</si>
  <si>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</si>
  <si>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</si>
  <si>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</si>
  <si>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</si>
  <si>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</si>
  <si>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</si>
  <si>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</si>
  <si>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</si>
  <si>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</si>
  <si>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</si>
  <si>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</si>
  <si>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Матпрак (Митев) </t>
    </r>
    <r>
      <rPr>
        <rFont val="Arial"/>
        <b/>
        <color theme="1"/>
        <sz val="10.0"/>
      </rPr>
      <t>202</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</si>
  <si>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</si>
  <si>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</si>
  <si>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</si>
  <si>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</si>
  <si>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</si>
  <si>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</si>
  <si>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</si>
  <si>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</si>
  <si>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</si>
  <si>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</si>
  <si>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</si>
  <si>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</si>
  <si>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</si>
  <si>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</si>
  <si>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401</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</si>
  <si>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</si>
  <si>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</si>
  <si>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театр </t>
    </r>
    <r>
      <rPr>
        <rFont val="Arial"/>
        <b/>
        <color theme="1"/>
        <sz val="10.0"/>
      </rPr>
      <t>АЗ</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</si>
  <si>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</si>
  <si>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503               </t>
    </r>
  </si>
  <si>
    <r>
      <rPr>
        <rFont val="Arial"/>
        <color theme="1"/>
        <sz val="10.0"/>
      </rPr>
      <t xml:space="preserve">Матпрак (Митев) </t>
    </r>
    <r>
      <rPr>
        <rFont val="Arial"/>
        <b/>
        <color theme="1"/>
        <sz val="10.0"/>
      </rPr>
      <t>202</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</si>
  <si>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</si>
  <si>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</si>
  <si>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</si>
  <si>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</si>
  <si>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</si>
  <si>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</si>
  <si>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</si>
  <si>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</si>
  <si>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</si>
  <si>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</si>
  <si>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театр (Обидина, Носкова) </t>
    </r>
    <r>
      <rPr>
        <rFont val="Arial"/>
        <b/>
        <color theme="1"/>
      </rPr>
      <t>АЗ</t>
    </r>
  </si>
  <si>
    <r>
      <rPr>
        <rFont val="Arial"/>
        <color theme="1"/>
      </rPr>
      <t xml:space="preserve">Анлийский клуб (Пипейкина) </t>
    </r>
    <r>
      <rPr>
        <rFont val="Arial"/>
        <b/>
        <color theme="1"/>
      </rPr>
      <t>403</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</si>
  <si>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</si>
  <si>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</si>
  <si>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</si>
  <si>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</si>
  <si>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</si>
  <si>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</si>
  <si>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</si>
  <si>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</si>
  <si>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</si>
  <si>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</si>
  <si>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rPr>
      <t xml:space="preserve">театр (Обидина, Носкова) </t>
    </r>
    <r>
      <rPr>
        <rFont val="Arial"/>
        <b/>
        <color theme="1"/>
      </rPr>
      <t>АЗ</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</si>
  <si>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</si>
  <si>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</si>
  <si>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</si>
  <si>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</si>
  <si>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</si>
  <si>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</si>
  <si>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</si>
  <si>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</si>
  <si>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</si>
  <si>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</si>
  <si>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</si>
  <si>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</si>
  <si>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</si>
  <si>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</si>
  <si>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</si>
  <si>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</si>
  <si>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</si>
  <si>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</si>
  <si>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</si>
  <si>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</si>
  <si>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</si>
  <si>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</si>
  <si>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</si>
  <si>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</si>
  <si>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</si>
  <si>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</si>
  <si>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</si>
  <si>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</si>
  <si>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</si>
  <si>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</si>
  <si>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</si>
  <si>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</si>
  <si>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</si>
  <si>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</si>
  <si>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</si>
  <si>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</si>
  <si>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</si>
  <si>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 xml:space="preserve">406     </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</si>
  <si>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</si>
  <si>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</si>
  <si>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</si>
  <si>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</si>
  <si>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</si>
  <si>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</si>
  <si>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</si>
  <si>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</si>
  <si>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406</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</si>
  <si>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</si>
  <si>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</si>
  <si>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</si>
  <si>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</si>
  <si>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</si>
  <si>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</si>
  <si>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</si>
  <si>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</si>
  <si>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</si>
  <si>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</si>
  <si>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</si>
  <si>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</si>
  <si>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</si>
  <si>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</si>
  <si>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</si>
  <si>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История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</si>
  <si>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</si>
  <si>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</si>
  <si>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</si>
  <si>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</si>
  <si>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</si>
  <si>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</si>
  <si>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</si>
  <si>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</si>
  <si>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</si>
  <si>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</si>
  <si>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</si>
  <si>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</si>
  <si>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</si>
  <si>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</si>
  <si>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</si>
  <si>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</si>
  <si>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</si>
  <si>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</si>
  <si>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Диагностика школьная англ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</si>
  <si>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</si>
  <si>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</si>
  <si>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</si>
  <si>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</si>
  <si>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</si>
  <si>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</si>
  <si>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</si>
  <si>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</si>
  <si>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</si>
  <si>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</si>
  <si>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</si>
  <si>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</si>
  <si>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</si>
  <si>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</si>
  <si>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t>17.00 Мюзикл Дюймовочка  (Краснова) КЗ</t>
  </si>
  <si>
    <t>Мюзикл Дюймовочка (Краснова) КЗ, 3D моделирование 7-9 (Легошин) 410</t>
  </si>
  <si>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</si>
  <si>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</si>
  <si>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</si>
  <si>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</si>
  <si>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</si>
  <si>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</si>
  <si>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t>СЕССИЯ (СМ.РАСПИСАНИЕ СЕССИИ И МЕРОПРИЯТИЙ)</t>
  </si>
  <si>
    <t>5C</t>
  </si>
  <si>
    <t>Шевелев ДВ</t>
  </si>
  <si>
    <t>Алехина ЕА</t>
  </si>
  <si>
    <t>Домбровская НС</t>
  </si>
  <si>
    <t>Слоневская СВ</t>
  </si>
  <si>
    <t>Eyes Open 3</t>
  </si>
  <si>
    <t>Eyes Open 2</t>
  </si>
  <si>
    <t>Wider World 4</t>
  </si>
  <si>
    <t>Wider World 3</t>
  </si>
  <si>
    <t>Wider World 2</t>
  </si>
  <si>
    <t>Solutions Inter</t>
  </si>
  <si>
    <t>Focus 5</t>
  </si>
  <si>
    <t>Focus 4</t>
  </si>
  <si>
    <t>Буслаев И</t>
  </si>
  <si>
    <t>Гамаюнова С</t>
  </si>
  <si>
    <t>Левков И</t>
  </si>
  <si>
    <t>Михайлов В</t>
  </si>
  <si>
    <t>Сыровенко Д</t>
  </si>
  <si>
    <t>Александров С</t>
  </si>
  <si>
    <t>Алабин М</t>
  </si>
  <si>
    <t>Кушнарев И</t>
  </si>
  <si>
    <t>Левковцев Г</t>
  </si>
  <si>
    <t>Козлов С</t>
  </si>
  <si>
    <t>Балашов Г</t>
  </si>
  <si>
    <t>Агранович В</t>
  </si>
  <si>
    <t>Киргинцева К</t>
  </si>
  <si>
    <t>Белоусова Алёна</t>
  </si>
  <si>
    <t xml:space="preserve">Аллахвердов </t>
  </si>
  <si>
    <t>Колисов А.</t>
  </si>
  <si>
    <t>Рахмонов Д</t>
  </si>
  <si>
    <t>Костенок Т</t>
  </si>
  <si>
    <t>Мартынов С</t>
  </si>
  <si>
    <t>Семенова А</t>
  </si>
  <si>
    <t xml:space="preserve">Матюшин А </t>
  </si>
  <si>
    <t>Орехов Ф</t>
  </si>
  <si>
    <t>Лебедев М</t>
  </si>
  <si>
    <t>Копаев В</t>
  </si>
  <si>
    <t>Ревская М</t>
  </si>
  <si>
    <t>Мосягин М</t>
  </si>
  <si>
    <t>Артюшков П</t>
  </si>
  <si>
    <t>Макаруша И</t>
  </si>
  <si>
    <t>Душенков Н</t>
  </si>
  <si>
    <t>Яковлев Д</t>
  </si>
  <si>
    <t>Жуков В</t>
  </si>
  <si>
    <t>Цветков В</t>
  </si>
  <si>
    <t>Ринне И</t>
  </si>
  <si>
    <t>Горбунов Д</t>
  </si>
  <si>
    <t>Рендиков А</t>
  </si>
  <si>
    <t>Володин А</t>
  </si>
  <si>
    <t>Басацкая К</t>
  </si>
  <si>
    <t>Шумский Л</t>
  </si>
  <si>
    <t>Демаков К</t>
  </si>
  <si>
    <t>Куликов Д</t>
  </si>
  <si>
    <t>Борисенко М</t>
  </si>
  <si>
    <t>Фомичев Т</t>
  </si>
  <si>
    <t>Купцов Д</t>
  </si>
  <si>
    <t xml:space="preserve">Кирюшин </t>
  </si>
  <si>
    <t>Качалов И</t>
  </si>
  <si>
    <t>Мартьянов Н</t>
  </si>
  <si>
    <t>Хлебников Р</t>
  </si>
  <si>
    <t>Лунев А</t>
  </si>
  <si>
    <t>Ревюк Д</t>
  </si>
  <si>
    <t>Шиляев М</t>
  </si>
  <si>
    <t>Федорова Ж</t>
  </si>
  <si>
    <t>Рубин И</t>
  </si>
  <si>
    <t>Попова М</t>
  </si>
  <si>
    <t>Свирский И</t>
  </si>
  <si>
    <t>Угольников Е</t>
  </si>
  <si>
    <t>Шуйгина А</t>
  </si>
  <si>
    <t>Кабанов Р</t>
  </si>
  <si>
    <t>Пудовикова П</t>
  </si>
  <si>
    <t>Мартанов А</t>
  </si>
  <si>
    <t>Иванов Ф</t>
  </si>
  <si>
    <t>Сыцко Т</t>
  </si>
  <si>
    <t>Старчак И</t>
  </si>
  <si>
    <t>Манаков С</t>
  </si>
  <si>
    <t>Папазов В</t>
  </si>
  <si>
    <t>Андреенко М</t>
  </si>
  <si>
    <t xml:space="preserve">Сухарев </t>
  </si>
  <si>
    <t>Новикова К</t>
  </si>
  <si>
    <t>Военкова К</t>
  </si>
  <si>
    <t>Холодов Ф</t>
  </si>
  <si>
    <t>Савиных Д</t>
  </si>
  <si>
    <t>Михайлов И</t>
  </si>
  <si>
    <t>Даугелло А</t>
  </si>
  <si>
    <t>Сыцко Л</t>
  </si>
  <si>
    <t>Фленкин Б</t>
  </si>
  <si>
    <t>Артемьев Д</t>
  </si>
  <si>
    <t>Осипенко Л</t>
  </si>
  <si>
    <t>Шашкина В</t>
  </si>
  <si>
    <t>Муковозов В</t>
  </si>
  <si>
    <t>Плаксин А</t>
  </si>
  <si>
    <t xml:space="preserve">Курицын </t>
  </si>
  <si>
    <t>Яковлев Н</t>
  </si>
  <si>
    <t>Старунова С</t>
  </si>
  <si>
    <t>Кузнецов Е</t>
  </si>
  <si>
    <t>Тухтаева А</t>
  </si>
  <si>
    <t>Амельченков М</t>
  </si>
  <si>
    <t>Киселев С</t>
  </si>
  <si>
    <t>Гребенников А</t>
  </si>
  <si>
    <t>Шишкин Н</t>
  </si>
  <si>
    <t>Сошников А</t>
  </si>
  <si>
    <t>Торкшин Е</t>
  </si>
  <si>
    <t>Огарев В</t>
  </si>
  <si>
    <t>Якунин Р</t>
  </si>
  <si>
    <t>Куклич Е</t>
  </si>
  <si>
    <t>Андросов И</t>
  </si>
  <si>
    <t>Ставропольцев И</t>
  </si>
  <si>
    <t>Грицюк С</t>
  </si>
  <si>
    <t xml:space="preserve">Ивлеев </t>
  </si>
  <si>
    <t>Полозов Н</t>
  </si>
  <si>
    <t>Шешелев К</t>
  </si>
  <si>
    <t>Кеелус М</t>
  </si>
  <si>
    <t>Чураков Г</t>
  </si>
  <si>
    <t>Глухова В</t>
  </si>
  <si>
    <t>Щербаков В</t>
  </si>
  <si>
    <t>Шулаков А</t>
  </si>
  <si>
    <t>Александров Влад</t>
  </si>
  <si>
    <t>Огарев Д</t>
  </si>
  <si>
    <t>Чернышева А</t>
  </si>
  <si>
    <t>Тягунов А</t>
  </si>
  <si>
    <t>Удачина К</t>
  </si>
  <si>
    <t>Александров В</t>
  </si>
  <si>
    <t>Зверков А</t>
  </si>
  <si>
    <t>Галямов Т</t>
  </si>
  <si>
    <t>Витвицкая А</t>
  </si>
  <si>
    <t>Тлепбергенов А</t>
  </si>
  <si>
    <t>Шершунова С</t>
  </si>
  <si>
    <t>Бродская К</t>
  </si>
  <si>
    <t xml:space="preserve">Проскуряков </t>
  </si>
  <si>
    <t>Шешелев А</t>
  </si>
  <si>
    <t xml:space="preserve">Легошин </t>
  </si>
  <si>
    <t>Иванова В</t>
  </si>
  <si>
    <t>Мельников Г</t>
  </si>
  <si>
    <t>Гречко М</t>
  </si>
  <si>
    <t>Усов И</t>
  </si>
  <si>
    <t>Жук Станислав</t>
  </si>
  <si>
    <t>Бобылкова</t>
  </si>
  <si>
    <t>Первак М</t>
  </si>
  <si>
    <t>Белозеров И</t>
  </si>
  <si>
    <t>Наровлянская К</t>
  </si>
  <si>
    <t>Борисов Р</t>
  </si>
  <si>
    <t>Айсина Л</t>
  </si>
  <si>
    <t>Дудоров Г</t>
  </si>
  <si>
    <t>Довганик М</t>
  </si>
  <si>
    <t>Маскалева П</t>
  </si>
  <si>
    <t>Бирюков Я</t>
  </si>
  <si>
    <t>Гусев А</t>
  </si>
  <si>
    <t>Огарева А</t>
  </si>
  <si>
    <t>Лебедев Г</t>
  </si>
  <si>
    <t>Парфенов А</t>
  </si>
  <si>
    <t>Молдавчук А</t>
  </si>
  <si>
    <t>Рахметуллин Т</t>
  </si>
  <si>
    <t>Вихров Л</t>
  </si>
  <si>
    <t xml:space="preserve">Матюнин </t>
  </si>
  <si>
    <t>Гаврилова Т</t>
  </si>
  <si>
    <t>Титов И</t>
  </si>
  <si>
    <t>Сухарева Д</t>
  </si>
  <si>
    <t>Дейнега К.</t>
  </si>
  <si>
    <t>Жабер И</t>
  </si>
  <si>
    <t>Купряков В</t>
  </si>
  <si>
    <t>Плотников Ф</t>
  </si>
  <si>
    <t>Вильдяев Е</t>
  </si>
  <si>
    <t>Коротков М</t>
  </si>
  <si>
    <t>Дьяконов А</t>
  </si>
  <si>
    <t>Дударева Д</t>
  </si>
  <si>
    <t>Мусатов Г</t>
  </si>
  <si>
    <t>Панкратов И</t>
  </si>
  <si>
    <t>Фомина А</t>
  </si>
  <si>
    <t>Парфенов И</t>
  </si>
  <si>
    <t>Царев Г</t>
  </si>
  <si>
    <t>Хоменко Н</t>
  </si>
  <si>
    <t>Каткова К</t>
  </si>
  <si>
    <t>Сомин Е</t>
  </si>
  <si>
    <t>Харламова А</t>
  </si>
  <si>
    <t>Подрез П</t>
  </si>
  <si>
    <t>Таран М</t>
  </si>
  <si>
    <t xml:space="preserve">Васильев </t>
  </si>
  <si>
    <t>Агеев Ю</t>
  </si>
  <si>
    <t>Лукьянов С</t>
  </si>
  <si>
    <t>Кудрявцев А</t>
  </si>
  <si>
    <t>Румянцева М</t>
  </si>
  <si>
    <t xml:space="preserve">Орлова </t>
  </si>
  <si>
    <t>Ютяев Л</t>
  </si>
  <si>
    <t>Трошина Л</t>
  </si>
  <si>
    <t>Покорская А</t>
  </si>
  <si>
    <t>Золотарев  А</t>
  </si>
  <si>
    <t>Саенко Г</t>
  </si>
  <si>
    <t>Мухлисуллин М</t>
  </si>
  <si>
    <t>Петров Я</t>
  </si>
  <si>
    <t>Нониашвили Вяч</t>
  </si>
  <si>
    <t>Матюшин Т.</t>
  </si>
  <si>
    <t>Лебедева М</t>
  </si>
  <si>
    <t>Лебедев К</t>
  </si>
  <si>
    <t>Тер-Оганесьян С</t>
  </si>
  <si>
    <t xml:space="preserve">Синило Иван </t>
  </si>
  <si>
    <r>
      <rPr>
        <rFont val="Arial"/>
        <color theme="1"/>
        <sz val="10.0"/>
      </rPr>
      <t xml:space="preserve">ДИАЛОГИ О ВАЖНОМ (Харитонов) </t>
    </r>
    <r>
      <rPr>
        <rFont val="Arial"/>
        <b/>
        <color theme="1"/>
        <sz val="10.0"/>
      </rPr>
      <t>201</t>
    </r>
  </si>
  <si>
    <r>
      <t xml:space="preserve">ДИАЛОГИ О ВАЖНОМ (Дронзик) </t>
    </r>
    <r>
      <rPr>
        <rFont val="Arial"/>
        <b/>
        <color theme="1"/>
        <sz val="10.0"/>
      </rPr>
      <t>210 / олинфо 202</t>
    </r>
  </si>
  <si>
    <r>
      <rPr>
        <rFont val="Arial"/>
        <color theme="1"/>
        <sz val="10.0"/>
      </rPr>
      <t xml:space="preserve">ДИАЛОГИ О ВАЖНОМ (Репнев) </t>
    </r>
    <r>
      <rPr>
        <rFont val="Arial"/>
        <b/>
        <color theme="1"/>
        <sz val="10.0"/>
      </rPr>
      <t>АЗ</t>
    </r>
  </si>
  <si>
    <r>
      <rPr>
        <rFont val="Arial"/>
        <color theme="1"/>
        <sz val="10.0"/>
      </rPr>
      <t xml:space="preserve">ДИАЛОГИ О ВАЖНОМ (Краснова ЕИ) </t>
    </r>
    <r>
      <rPr>
        <rFont val="Arial"/>
        <b/>
        <color theme="1"/>
        <sz val="10.0"/>
      </rPr>
      <t>КЗ</t>
    </r>
  </si>
  <si>
    <r>
      <rPr>
        <rFont val="Arial"/>
        <color theme="1"/>
        <sz val="10.0"/>
      </rPr>
      <t xml:space="preserve">ДИАЛОГИ О ВАЖНОМ (Белоусова) </t>
    </r>
    <r>
      <rPr>
        <rFont val="Arial"/>
        <b/>
        <color theme="1"/>
        <sz val="10.0"/>
      </rPr>
      <t>206</t>
    </r>
  </si>
  <si>
    <r>
      <rPr>
        <rFont val="Arial"/>
        <color theme="1"/>
        <sz val="10.0"/>
      </rPr>
      <t xml:space="preserve">ДИАЛОГИ О ВАЖНОМ (Шерашова) </t>
    </r>
    <r>
      <rPr>
        <rFont val="Arial"/>
        <b/>
        <color theme="1"/>
        <sz val="10.0"/>
      </rPr>
      <t>401</t>
    </r>
  </si>
  <si>
    <r>
      <rPr>
        <rFont val="Arial"/>
        <color theme="1"/>
        <sz val="10.0"/>
      </rPr>
      <t xml:space="preserve">ДИАЛОГИ О ВАЖНОМ (Белоус)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</si>
  <si>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</si>
  <si>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</si>
  <si>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Геометрия (Абрамов)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</si>
  <si>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</si>
  <si>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</si>
  <si>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</si>
  <si>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</si>
  <si>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</si>
  <si>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</si>
  <si>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</si>
  <si>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</si>
  <si>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</si>
  <si>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</si>
  <si>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Roboto, RobotoDraft, Helvetica, Arial, sans-serif"/>
        <color rgb="FF000000"/>
      </rPr>
      <t xml:space="preserve">Общество (Белоус) </t>
    </r>
    <r>
      <rPr>
        <rFont val="Roboto, RobotoDraft, Helvetica, Arial, sans-serif"/>
        <b/>
        <color rgb="FF000000"/>
      </rPr>
      <t>503</t>
    </r>
  </si>
  <si>
    <r>
      <rPr>
        <rFont val="Arial"/>
        <color theme="1"/>
        <sz val="10.0"/>
      </rPr>
      <t xml:space="preserve">Геометрия (Абрамов)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</si>
  <si>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</si>
  <si>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</si>
  <si>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Геом. (Заводов) </t>
    </r>
    <r>
      <rPr>
        <rFont val="Arial"/>
        <b/>
        <color theme="1"/>
        <sz val="10.0"/>
      </rPr>
      <t>209</t>
    </r>
  </si>
  <si>
    <r>
      <rPr>
        <rFont val="Arial"/>
        <color theme="1"/>
        <sz val="10.0"/>
      </rPr>
      <t xml:space="preserve">Алгебра (Шерашова) </t>
    </r>
    <r>
      <rPr>
        <rFont val="Arial"/>
        <b/>
        <color theme="1"/>
        <sz val="10.0"/>
      </rPr>
      <t>401</t>
    </r>
  </si>
  <si>
    <r>
      <rPr>
        <rFont val="Arial"/>
        <color theme="1"/>
        <sz val="10.0"/>
      </rPr>
      <t xml:space="preserve">Робо (Рогацкина) </t>
    </r>
    <r>
      <rPr>
        <rFont val="Arial"/>
        <b/>
        <color theme="1"/>
        <sz val="10.0"/>
      </rPr>
      <t>410</t>
    </r>
  </si>
  <si>
    <r>
      <rPr>
        <rFont val="Arial"/>
        <color theme="1"/>
        <sz val="10.0"/>
      </rPr>
      <t xml:space="preserve">Информатика (Старунова) </t>
    </r>
    <r>
      <rPr>
        <rFont val="Arial"/>
        <b/>
        <color theme="1"/>
        <sz val="10.0"/>
      </rPr>
      <t>408</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</si>
  <si>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</si>
  <si>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</si>
  <si>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</si>
  <si>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</si>
  <si>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</si>
  <si>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</si>
  <si>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</si>
  <si>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</si>
  <si>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</si>
  <si>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</si>
  <si>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</si>
  <si>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Матпрак (Исмаилов, Латыпова)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</si>
  <si>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</si>
  <si>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</si>
  <si>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</si>
  <si>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</si>
  <si>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sz val="10.0"/>
      </rPr>
      <t xml:space="preserve">Физика (Репнев) </t>
    </r>
    <r>
      <rPr>
        <rFont val="Arial"/>
        <b/>
        <color theme="1"/>
        <sz val="10.0"/>
      </rPr>
      <t>402</t>
    </r>
  </si>
  <si>
    <r>
      <rPr>
        <rFont val="Arial"/>
        <color theme="1"/>
      </rPr>
      <t xml:space="preserve">Литература (Белоус)  </t>
    </r>
    <r>
      <rPr>
        <rFont val="Arial"/>
        <b/>
        <color theme="1"/>
      </rPr>
      <t xml:space="preserve">401    </t>
    </r>
  </si>
  <si>
    <r>
      <rPr>
        <rFont val="Arial"/>
        <color theme="1"/>
        <sz val="10.0"/>
      </rPr>
      <t xml:space="preserve">Математика (Заводов) </t>
    </r>
    <r>
      <rPr>
        <rFont val="Arial"/>
        <b/>
        <color theme="1"/>
        <sz val="10.0"/>
      </rPr>
      <t>209</t>
    </r>
  </si>
  <si>
    <r>
      <rPr>
        <rFont val="Arial"/>
        <color theme="1"/>
        <sz val="10.0"/>
      </rPr>
      <t xml:space="preserve">Информатика (Старунова) </t>
    </r>
    <r>
      <rPr>
        <rFont val="Arial"/>
        <b/>
        <color theme="1"/>
        <sz val="10.0"/>
      </rPr>
      <t>408</t>
    </r>
  </si>
  <si>
    <r>
      <rPr>
        <rFont val="Arial"/>
        <color theme="1"/>
        <sz val="10.0"/>
      </rPr>
      <t xml:space="preserve">Робо (Рогацкина) </t>
    </r>
    <r>
      <rPr>
        <rFont val="Arial"/>
        <b/>
        <color theme="1"/>
        <sz val="10.0"/>
      </rPr>
      <t>410</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</si>
  <si>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</si>
  <si>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</si>
  <si>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</si>
  <si>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</si>
  <si>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</si>
  <si>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</si>
  <si>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rPr>
      <t xml:space="preserve">ОБЖ (Носкова) </t>
    </r>
    <r>
      <rPr>
        <rFont val="Arial"/>
        <b/>
        <color theme="1"/>
      </rPr>
      <t>409</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</si>
  <si>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</si>
  <si>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</si>
  <si>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rPr>
      <t xml:space="preserve">Анлийский клуб (Пипейкина) </t>
    </r>
    <r>
      <rPr>
        <rFont val="Arial"/>
        <b/>
        <color theme="1"/>
      </rPr>
      <t>403</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</si>
  <si>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</si>
  <si>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</si>
  <si>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Матпрак (Исмаилов, Латыпова)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</si>
  <si>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</si>
  <si>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Физра (Ларченко) </t>
    </r>
    <r>
      <rPr>
        <rFont val="Arial"/>
        <b/>
        <color theme="1"/>
        <sz val="10.0"/>
      </rPr>
      <t>СЗ</t>
    </r>
  </si>
  <si>
    <r>
      <rPr>
        <rFont val="Arial"/>
        <color theme="1"/>
        <sz val="10.0"/>
      </rPr>
      <t xml:space="preserve">Русский (Хуснутдинов)  </t>
    </r>
    <r>
      <rPr>
        <rFont val="Arial"/>
        <b/>
        <color theme="1"/>
        <sz val="10.0"/>
      </rPr>
      <t xml:space="preserve">401  </t>
    </r>
  </si>
  <si>
    <r>
      <rPr>
        <rFont val="Arial"/>
        <color theme="1"/>
        <sz val="10.0"/>
      </rPr>
      <t xml:space="preserve">Алгебра (Абрамов) </t>
    </r>
    <r>
      <rPr>
        <rFont val="Arial"/>
        <b/>
        <color theme="1"/>
        <sz val="10.0"/>
      </rPr>
      <t>209</t>
    </r>
  </si>
  <si>
    <r>
      <rPr>
        <rFont val="Arial"/>
        <color theme="1"/>
        <sz val="10.0"/>
      </rPr>
      <t xml:space="preserve">Психология (Шерашова) </t>
    </r>
    <r>
      <rPr>
        <rFont val="Arial"/>
        <b/>
        <color theme="1"/>
        <sz val="10.0"/>
      </rPr>
      <t>503</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</si>
  <si>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</si>
  <si>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</si>
  <si>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Информатика (Старунова) </t>
    </r>
    <r>
      <rPr>
        <rFont val="Arial"/>
        <b/>
        <color theme="1"/>
        <sz val="10.0"/>
      </rPr>
      <t>408</t>
    </r>
  </si>
  <si>
    <r>
      <rPr>
        <rFont val="Arial"/>
        <color theme="1"/>
      </rPr>
      <t xml:space="preserve">Анлийский клуб (Пипейкина) </t>
    </r>
    <r>
      <rPr>
        <rFont val="Arial"/>
        <b/>
        <color theme="1"/>
      </rPr>
      <t>403</t>
    </r>
  </si>
  <si>
    <r>
      <rPr>
        <rFont val="Arial"/>
        <color theme="1"/>
        <sz val="10.0"/>
      </rPr>
      <t xml:space="preserve">ОМН (Караванова) </t>
    </r>
    <r>
      <rPr>
        <rFont val="Arial"/>
        <b/>
        <color theme="1"/>
        <sz val="10.0"/>
      </rPr>
      <t>201</t>
    </r>
  </si>
  <si>
    <r>
      <rPr>
        <rFont val="Arial"/>
        <color theme="1"/>
        <sz val="10.0"/>
      </rPr>
      <t xml:space="preserve">Русский (Хуснутдинов) </t>
    </r>
    <r>
      <rPr>
        <rFont val="Arial"/>
        <b/>
        <color theme="1"/>
        <sz val="10.0"/>
      </rPr>
      <t xml:space="preserve">401   </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</si>
  <si>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</si>
  <si>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</si>
  <si>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</si>
  <si>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</si>
  <si>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Англ ОГЭ (Слоневская) </t>
    </r>
    <r>
      <rPr>
        <rFont val="Arial"/>
        <b/>
        <color theme="1"/>
        <sz val="10.0"/>
      </rPr>
      <t>404</t>
    </r>
  </si>
  <si>
    <r>
      <rPr>
        <rFont val="Arial"/>
        <color theme="1"/>
      </rPr>
      <t xml:space="preserve">Практическая электроника (BEAM-роботы) (Рогацкина) </t>
    </r>
    <r>
      <rPr>
        <rFont val="Arial"/>
        <b/>
        <color theme="1"/>
      </rPr>
      <t>410</t>
    </r>
  </si>
  <si>
    <r>
      <rPr>
        <rFont val="Arial"/>
        <color theme="1"/>
        <sz val="10.0"/>
      </rPr>
      <t xml:space="preserve">Русский (Хуснутдинов)  </t>
    </r>
    <r>
      <rPr>
        <rFont val="Arial"/>
        <b/>
        <color theme="1"/>
        <sz val="10.0"/>
      </rPr>
      <t xml:space="preserve">401     </t>
    </r>
  </si>
  <si>
    <r>
      <rPr>
        <rFont val="Arial"/>
        <color theme="1"/>
        <sz val="10.0"/>
      </rPr>
      <t xml:space="preserve">ОМН (Караванова) </t>
    </r>
    <r>
      <rPr>
        <rFont val="Arial"/>
        <b/>
        <color theme="1"/>
        <sz val="10.0"/>
      </rPr>
      <t>201</t>
    </r>
  </si>
  <si>
    <r>
      <rPr>
        <rFont val="Arial"/>
        <color theme="1"/>
        <sz val="10.0"/>
      </rPr>
      <t xml:space="preserve">Физра (Ларченко) </t>
    </r>
    <r>
      <rPr>
        <rFont val="Arial"/>
        <b/>
        <color theme="1"/>
        <sz val="10.0"/>
      </rPr>
      <t>СЗ</t>
    </r>
  </si>
  <si>
    <r>
      <rPr>
        <rFont val="Arial"/>
        <color theme="1"/>
        <sz val="10.0"/>
      </rPr>
      <t xml:space="preserve">Физика (Репнев) </t>
    </r>
    <r>
      <rPr>
        <rFont val="Arial"/>
        <b/>
        <color theme="1"/>
        <sz val="10.0"/>
      </rPr>
      <t>402</t>
    </r>
  </si>
  <si>
    <r>
      <rPr>
        <rFont val="Arial"/>
        <color theme="1"/>
        <sz val="10.0"/>
      </rPr>
      <t xml:space="preserve">Математика (Заводов) </t>
    </r>
    <r>
      <rPr>
        <rFont val="Arial"/>
        <b/>
        <color theme="1"/>
        <sz val="10.0"/>
      </rPr>
      <t>209</t>
    </r>
  </si>
  <si>
    <r>
      <rPr>
        <rFont val="Arial"/>
        <color theme="1"/>
        <sz val="10.0"/>
      </rPr>
      <t xml:space="preserve">Матпрак (Латыпова) </t>
    </r>
    <r>
      <rPr>
        <rFont val="Arial"/>
        <b/>
        <color theme="1"/>
        <sz val="10.0"/>
      </rPr>
      <t>202</t>
    </r>
  </si>
  <si>
    <r>
      <rPr>
        <rFont val="Arial"/>
        <color theme="1"/>
        <sz val="10.0"/>
      </rPr>
      <t xml:space="preserve">Психология (Шерашова) </t>
    </r>
    <r>
      <rPr>
        <rFont val="Arial"/>
        <b/>
        <color theme="1"/>
        <sz val="10.0"/>
      </rPr>
      <t>503</t>
    </r>
  </si>
  <si>
    <r>
      <rPr>
        <rFont val="Arial"/>
        <color theme="1"/>
        <sz val="10.0"/>
      </rPr>
      <t xml:space="preserve">Исторические танцы (Пипейкина) </t>
    </r>
    <r>
      <rPr>
        <rFont val="Arial"/>
        <b/>
        <color theme="1"/>
        <sz val="10.0"/>
      </rPr>
      <t>504</t>
    </r>
  </si>
  <si>
    <r>
      <rPr>
        <rFont val="Arial"/>
        <color theme="1"/>
        <sz val="10.0"/>
      </rPr>
      <t xml:space="preserve">Театр Клинкова </t>
    </r>
    <r>
      <rPr>
        <rFont val="Arial"/>
        <b/>
        <color theme="1"/>
        <sz val="10.0"/>
      </rPr>
      <t>АЗ (с нового года)</t>
    </r>
  </si>
  <si>
    <r>
      <rPr>
        <rFont val="Arial"/>
        <color theme="1"/>
        <sz val="10.0"/>
      </rPr>
      <t xml:space="preserve">Математика (Дронзик) </t>
    </r>
    <r>
      <rPr>
        <rFont val="Arial"/>
        <b/>
        <color theme="1"/>
        <sz val="10.0"/>
      </rPr>
      <t>210</t>
    </r>
  </si>
  <si>
    <r>
      <rPr>
        <rFont val="Arial"/>
        <color theme="1"/>
      </rPr>
      <t xml:space="preserve">Биология (Носкова) </t>
    </r>
    <r>
      <rPr>
        <rFont val="Arial"/>
        <b/>
        <color theme="1"/>
      </rPr>
      <t>408</t>
    </r>
  </si>
  <si>
    <r>
      <rPr>
        <rFont val="Arial"/>
        <color theme="1"/>
        <sz val="10.0"/>
      </rPr>
      <t xml:space="preserve">Общество (Белоус)  </t>
    </r>
    <r>
      <rPr>
        <rFont val="Arial"/>
        <b/>
        <color theme="1"/>
        <sz val="10.0"/>
      </rPr>
      <t xml:space="preserve">406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</si>
  <si>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</si>
  <si>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</si>
  <si>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</si>
  <si>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</si>
  <si>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</si>
  <si>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</si>
  <si>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</si>
  <si>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(Дронзик) </t>
    </r>
    <r>
      <rPr>
        <rFont val="Arial"/>
        <b/>
        <color theme="1"/>
        <sz val="10.0"/>
      </rPr>
      <t>210</t>
    </r>
  </si>
  <si>
    <r>
      <rPr>
        <rFont val="Roboto, RobotoDraft, Helvetica, Arial, sans-serif"/>
        <color rgb="FF000000"/>
      </rPr>
      <t xml:space="preserve">Общество (Белоус) </t>
    </r>
    <r>
      <rPr>
        <rFont val="Roboto, RobotoDraft, Helvetica, Arial, sans-serif"/>
        <b/>
        <color rgb="FF000000"/>
      </rPr>
      <t>406</t>
    </r>
  </si>
  <si>
    <r>
      <rPr>
        <rFont val="Arial"/>
        <color theme="1"/>
        <sz val="10.0"/>
      </rPr>
      <t xml:space="preserve">Биология (Носкова)  </t>
    </r>
    <r>
      <rPr>
        <rFont val="Arial"/>
        <b/>
        <color theme="1"/>
        <sz val="10.0"/>
      </rPr>
      <t xml:space="preserve">408 </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</si>
  <si>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</si>
  <si>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</si>
  <si>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Arial"/>
        <color theme="1"/>
        <sz val="10.0"/>
      </rPr>
      <t xml:space="preserve">Математика (Заводов) </t>
    </r>
    <r>
      <rPr>
        <rFont val="Arial"/>
        <b/>
        <color theme="1"/>
        <sz val="10.0"/>
      </rPr>
      <t>209</t>
    </r>
  </si>
  <si>
    <r>
      <rPr>
        <rFont val="Arial"/>
        <color theme="1"/>
        <sz val="10.0"/>
      </rPr>
      <t xml:space="preserve">Литра (Хуснутдинов) </t>
    </r>
    <r>
      <rPr>
        <rFont val="Arial"/>
        <b/>
        <color theme="1"/>
        <sz val="10.0"/>
      </rPr>
      <t>409</t>
    </r>
  </si>
  <si>
    <r>
      <rPr>
        <rFont val="Arial"/>
        <color theme="1"/>
        <sz val="10.0"/>
      </rPr>
      <t xml:space="preserve">Русский (Харитонов) </t>
    </r>
    <r>
      <rPr>
        <rFont val="Arial"/>
        <b/>
        <color theme="1"/>
        <sz val="10.0"/>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</si>
  <si>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</si>
  <si>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</si>
  <si>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</si>
  <si>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</si>
  <si>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</si>
  <si>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</si>
  <si>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</si>
  <si>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sz val="10.0"/>
      </rPr>
      <t xml:space="preserve">Русский (Хуснутдинов)  </t>
    </r>
    <r>
      <rPr>
        <rFont val="Arial"/>
        <b/>
        <color theme="1"/>
        <sz val="10.0"/>
      </rPr>
      <t>409</t>
    </r>
  </si>
  <si>
    <r>
      <rPr>
        <rFont val="Arial"/>
        <color theme="1"/>
      </rPr>
      <t xml:space="preserve">Матпрак (Молькова) </t>
    </r>
    <r>
      <rPr>
        <rFont val="Arial"/>
        <b/>
        <color theme="1"/>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</si>
  <si>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</si>
  <si>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</si>
  <si>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</si>
  <si>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История (Белоус)   </t>
    </r>
    <r>
      <rPr>
        <rFont val="Arial"/>
        <b/>
        <color theme="1"/>
        <sz val="10.0"/>
      </rPr>
      <t>210</t>
    </r>
  </si>
  <si>
    <r>
      <rPr>
        <rFont val="Arial"/>
        <color theme="1"/>
        <sz val="10.0"/>
      </rPr>
      <t xml:space="preserve">Физра (Ларченко) </t>
    </r>
    <r>
      <rPr>
        <rFont val="Arial"/>
        <b/>
        <color theme="1"/>
        <sz val="10.0"/>
      </rPr>
      <t>СЗ</t>
    </r>
  </si>
  <si>
    <r>
      <rPr>
        <rFont val="Arial"/>
        <color theme="1"/>
        <sz val="10.0"/>
      </rPr>
      <t xml:space="preserve">Алгебра (Шерашова) </t>
    </r>
    <r>
      <rPr>
        <rFont val="Arial"/>
        <b/>
        <color theme="1"/>
        <sz val="10.0"/>
      </rPr>
      <t>401</t>
    </r>
  </si>
  <si>
    <r>
      <rPr>
        <rFont val="Arial"/>
        <color theme="1"/>
        <sz val="10.0"/>
      </rPr>
      <t xml:space="preserve">Физика (Репнев) </t>
    </r>
    <r>
      <rPr>
        <rFont val="Arial"/>
        <b/>
        <color theme="1"/>
        <sz val="10.0"/>
      </rPr>
      <t>402</t>
    </r>
  </si>
  <si>
    <r>
      <rPr>
        <rFont val="Arial"/>
        <color theme="1"/>
      </rPr>
      <t xml:space="preserve">История (Куницын) </t>
    </r>
    <r>
      <rPr>
        <rFont val="Arial"/>
        <b/>
        <color theme="1"/>
      </rPr>
      <t>202</t>
    </r>
  </si>
  <si>
    <r>
      <rPr>
        <rFont val="Arial"/>
        <color theme="1"/>
      </rPr>
      <t xml:space="preserve">Матпрак (Молькова) </t>
    </r>
    <r>
      <rPr>
        <rFont val="Arial"/>
        <b/>
        <color theme="1"/>
      </rPr>
      <t>201</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</si>
  <si>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</si>
  <si>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</si>
  <si>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</si>
  <si>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</si>
  <si>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</si>
  <si>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</si>
  <si>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</si>
  <si>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</si>
  <si>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</si>
  <si>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</si>
  <si>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</si>
  <si>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</si>
  <si>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</si>
  <si>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</si>
  <si>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sz val="10.0"/>
      </rPr>
      <t xml:space="preserve">Хор (Краснова и Никулова)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</si>
  <si>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</si>
  <si>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Русский (Хуснутдинов)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</si>
  <si>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</si>
  <si>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История (Белоус)  </t>
    </r>
    <r>
      <rPr>
        <rFont val="Arial"/>
        <b/>
        <color theme="1"/>
        <sz val="10.0"/>
      </rPr>
      <t xml:space="preserve">409      </t>
    </r>
  </si>
  <si>
    <r>
      <rPr>
        <rFont val="Arial"/>
        <color theme="1"/>
        <sz val="10.0"/>
      </rPr>
      <t xml:space="preserve">Физика (Репнев) </t>
    </r>
    <r>
      <rPr>
        <rFont val="Arial"/>
        <b/>
        <color theme="1"/>
        <sz val="10.0"/>
      </rPr>
      <t>402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</si>
  <si>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</si>
  <si>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</si>
  <si>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Матпрак (Молькова) </t>
    </r>
    <r>
      <rPr>
        <rFont val="Arial"/>
        <b/>
        <color theme="1"/>
      </rPr>
      <t>202</t>
    </r>
  </si>
  <si>
    <r>
      <rPr>
        <rFont val="Arial"/>
        <color theme="1"/>
        <sz val="10.0"/>
      </rPr>
      <t xml:space="preserve">Геом. (Шерашова) </t>
    </r>
    <r>
      <rPr>
        <rFont val="Arial"/>
        <b/>
        <color theme="1"/>
        <sz val="10.0"/>
      </rPr>
      <t>401</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</si>
  <si>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</si>
  <si>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</si>
  <si>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</si>
  <si>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</si>
  <si>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</si>
  <si>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</si>
  <si>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</si>
  <si>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</si>
  <si>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</si>
  <si>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</si>
  <si>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</si>
  <si>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rPr>
      <t xml:space="preserve">Биология (Носкова) </t>
    </r>
    <r>
      <rPr>
        <rFont val="Arial"/>
        <b/>
        <color theme="1"/>
      </rPr>
      <t>408</t>
    </r>
  </si>
  <si>
    <r>
      <rPr>
        <rFont val="Arial"/>
        <color theme="1"/>
        <sz val="10.0"/>
      </rPr>
      <t xml:space="preserve">Русский (Хуснутдинов)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</si>
  <si>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</si>
  <si>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409      </t>
    </r>
  </si>
  <si>
    <r>
      <rPr>
        <rFont val="Arial"/>
        <color theme="1"/>
        <sz val="10.0"/>
      </rPr>
      <t xml:space="preserve">Русский (Харитонов) </t>
    </r>
    <r>
      <rPr>
        <rFont val="Arial"/>
        <b/>
        <color theme="1"/>
        <sz val="10.0"/>
      </rPr>
      <t>201</t>
    </r>
  </si>
  <si>
    <r>
      <rPr>
        <rFont val="Arial"/>
        <color theme="1"/>
        <sz val="10.0"/>
      </rPr>
      <t xml:space="preserve">Хор (Краснова и Никулова) </t>
    </r>
    <r>
      <rPr>
        <rFont val="Arial"/>
        <b/>
        <color theme="1"/>
        <sz val="10.0"/>
      </rPr>
      <t>КЗ</t>
    </r>
  </si>
  <si>
    <r>
      <rPr>
        <rFont val="Arial"/>
        <color theme="1"/>
        <sz val="10.0"/>
      </rPr>
      <t xml:space="preserve">Физика (Репнев) </t>
    </r>
    <r>
      <rPr>
        <rFont val="Arial"/>
        <b/>
        <color theme="1"/>
        <sz val="10.0"/>
      </rPr>
      <t>402</t>
    </r>
  </si>
  <si>
    <r>
      <rPr>
        <rFont val="Arial"/>
        <color theme="1"/>
        <sz val="10.0"/>
      </rPr>
      <t xml:space="preserve">Алгебра (Шерашова) </t>
    </r>
    <r>
      <rPr>
        <rFont val="Arial"/>
        <b/>
        <color theme="1"/>
        <sz val="10.0"/>
      </rPr>
      <t>401</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</si>
  <si>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</si>
  <si>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Информатика (Климов) </t>
    </r>
    <r>
      <rPr>
        <rFont val="Arial"/>
        <b/>
        <color theme="1"/>
        <sz val="10.0"/>
      </rPr>
      <t>406</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</si>
  <si>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</si>
  <si>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Roboto, RobotoDraft, Helvetica, Arial, sans-serif"/>
        <color rgb="FF000000"/>
      </rPr>
      <t xml:space="preserve">Общество (Куницын) </t>
    </r>
    <r>
      <rPr>
        <rFont val="Roboto, RobotoDraft, Helvetica, Arial, sans-serif"/>
        <b/>
        <color rgb="FF000000"/>
      </rPr>
      <t>202</t>
    </r>
  </si>
  <si>
    <r>
      <rPr>
        <rFont val="Arial"/>
        <color theme="1"/>
        <sz val="10.0"/>
      </rPr>
      <t xml:space="preserve">Физра (Ларченко) </t>
    </r>
    <r>
      <rPr>
        <rFont val="Arial"/>
        <b/>
        <color theme="1"/>
        <sz val="10.0"/>
      </rPr>
      <t>СЗ</t>
    </r>
  </si>
  <si>
    <r>
      <rPr>
        <rFont val="Roboto, RobotoDraft, Helvetica, Arial, sans-serif"/>
        <color rgb="FF000000"/>
      </rPr>
      <t xml:space="preserve">Литература (Белоус) </t>
    </r>
    <r>
      <rPr>
        <rFont val="Roboto, RobotoDraft, Helvetica, Arial, sans-serif"/>
        <b/>
        <color rgb="FF000000"/>
      </rPr>
      <t>409</t>
    </r>
  </si>
  <si>
    <r>
      <rPr>
        <rFont val="Arial"/>
        <color theme="1"/>
        <sz val="10.0"/>
      </rPr>
      <t>ОЛИМП ФИЗИКА 8С</t>
    </r>
    <r>
      <rPr>
        <rFont val="Arial"/>
        <b/>
        <color theme="1"/>
        <sz val="10.0"/>
      </rPr>
      <t xml:space="preserve"> 402 </t>
    </r>
    <r>
      <rPr>
        <rFont val="Arial"/>
        <color theme="1"/>
        <sz val="10.0"/>
      </rPr>
      <t xml:space="preserve">/ хор </t>
    </r>
    <r>
      <rPr>
        <rFont val="Arial"/>
        <b/>
        <color theme="1"/>
        <sz val="10.0"/>
      </rPr>
      <t>КЗ</t>
    </r>
  </si>
  <si>
    <r>
      <rPr>
        <rFont val="Arial"/>
        <color theme="1"/>
      </rPr>
      <t xml:space="preserve">Физра (Ларченко) СЗ / хор </t>
    </r>
    <r>
      <rPr>
        <rFont val="Arial"/>
        <b/>
        <color theme="1"/>
      </rPr>
      <t>КЗ</t>
    </r>
  </si>
  <si>
    <r>
      <rPr>
        <rFont val="Arial"/>
        <b/>
        <color theme="1"/>
        <sz val="12.0"/>
      </rPr>
      <t xml:space="preserve">Волейбол 10-11 (Ларченко) </t>
    </r>
    <r>
      <rPr>
        <rFont val="Arial"/>
        <b/>
        <color theme="1"/>
        <sz val="12.0"/>
      </rPr>
      <t>СЗ</t>
    </r>
  </si>
  <si>
    <r>
      <rPr>
        <rFont val="Arial"/>
        <color theme="1"/>
        <sz val="10.0"/>
      </rPr>
      <t xml:space="preserve">Русский (Харитонов) </t>
    </r>
    <r>
      <rPr>
        <rFont val="Arial"/>
        <b/>
        <color theme="1"/>
        <sz val="10.0"/>
      </rPr>
      <t>201</t>
    </r>
  </si>
  <si>
    <r>
      <rPr>
        <rFont val="Arial"/>
        <color theme="1"/>
        <sz val="10.0"/>
      </rPr>
      <t xml:space="preserve">Литература (Решетников) </t>
    </r>
    <r>
      <rPr>
        <rFont val="Arial"/>
        <b/>
        <color theme="1"/>
        <sz val="10.0"/>
      </rPr>
      <t>202</t>
    </r>
  </si>
  <si>
    <r>
      <rPr>
        <rFont val="Arial"/>
        <color theme="1"/>
        <sz val="10.0"/>
      </rPr>
      <t xml:space="preserve">Информатика (Старунова) </t>
    </r>
    <r>
      <rPr>
        <rFont val="Arial"/>
        <b/>
        <color theme="1"/>
        <sz val="10.0"/>
      </rPr>
      <t>408</t>
    </r>
  </si>
  <si>
    <r>
      <rPr>
        <rFont val="Arial"/>
        <color theme="1"/>
        <sz val="10.0"/>
      </rPr>
      <t xml:space="preserve">Русский (Хуснутдинов)  </t>
    </r>
    <r>
      <rPr>
        <rFont val="Arial"/>
        <b/>
        <color theme="1"/>
        <sz val="10.0"/>
      </rPr>
      <t xml:space="preserve">209  </t>
    </r>
  </si>
  <si>
    <r>
      <rPr>
        <rFont val="Arial"/>
        <color theme="1"/>
        <sz val="12.0"/>
      </rPr>
      <t xml:space="preserve">География (Колечкин) </t>
    </r>
    <r>
      <rPr>
        <rFont val="Arial"/>
        <b/>
        <color theme="1"/>
        <sz val="12.0"/>
      </rPr>
      <t>КЗ</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</si>
  <si>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</si>
  <si>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rPr>
      <t xml:space="preserve">География (Колечкин)   </t>
    </r>
    <r>
      <rPr>
        <rFont val="Arial"/>
        <b/>
        <color theme="1"/>
      </rPr>
      <t xml:space="preserve">409             </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</si>
  <si>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</si>
  <si>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</si>
  <si>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</si>
  <si>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sz val="10.0"/>
      </rPr>
      <t xml:space="preserve">Алгебра и стат.(Шерашова) </t>
    </r>
    <r>
      <rPr>
        <rFont val="Arial"/>
        <b/>
        <color theme="1"/>
        <sz val="10.0"/>
      </rPr>
      <t>401</t>
    </r>
  </si>
  <si>
    <r>
      <rPr>
        <rFont val="Arial"/>
        <color theme="1"/>
        <sz val="10.0"/>
      </rPr>
      <t xml:space="preserve">Алгебра (Абрамов) </t>
    </r>
    <r>
      <rPr>
        <rFont val="Arial"/>
        <b/>
        <color theme="1"/>
        <sz val="10.0"/>
      </rPr>
      <t>501</t>
    </r>
  </si>
  <si>
    <r>
      <rPr>
        <rFont val="Arial"/>
        <color rgb="FFFFFFFF"/>
        <sz val="10.0"/>
      </rPr>
      <t xml:space="preserve">История (Куницын) </t>
    </r>
    <r>
      <rPr>
        <rFont val="Arial"/>
        <b/>
        <color rgb="FFFFFFFF"/>
        <sz val="10.0"/>
      </rPr>
      <t>402</t>
    </r>
  </si>
  <si>
    <r>
      <rPr>
        <rFont val="Roboto, RobotoDraft, Helvetica, Arial, sans-serif"/>
        <color rgb="FF000000"/>
      </rPr>
      <t xml:space="preserve">Литература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</si>
  <si>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</si>
  <si>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</si>
  <si>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Алгебра и стат.(Шерашова) </t>
    </r>
    <r>
      <rPr>
        <rFont val="Arial"/>
        <b/>
        <color theme="1"/>
        <sz val="10.0"/>
      </rPr>
      <t>401</t>
    </r>
  </si>
  <si>
    <r>
      <rPr>
        <rFont val="Arial"/>
        <color theme="1"/>
      </rPr>
      <t xml:space="preserve">Литература (Решетников) </t>
    </r>
    <r>
      <rPr>
        <rFont val="Arial"/>
        <b/>
        <color theme="1"/>
      </rPr>
      <t xml:space="preserve">202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</si>
  <si>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</si>
  <si>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402</t>
    </r>
  </si>
  <si>
    <r>
      <rPr>
        <rFont val="Arial"/>
        <color theme="1"/>
      </rPr>
      <t xml:space="preserve">Литература (Белоус) </t>
    </r>
    <r>
      <rPr>
        <rFont val="Arial"/>
        <b/>
        <color theme="1"/>
      </rPr>
      <t xml:space="preserve">503               </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</si>
  <si>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</si>
  <si>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</si>
  <si>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</si>
  <si>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</si>
  <si>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</si>
  <si>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География (Колечкин) </t>
    </r>
    <r>
      <rPr>
        <rFont val="Arial"/>
        <b/>
        <color theme="1"/>
      </rPr>
      <t xml:space="preserve">409             </t>
    </r>
  </si>
  <si>
    <r>
      <rPr>
        <rFont val="Arial"/>
        <color theme="1"/>
        <sz val="10.0"/>
      </rPr>
      <t xml:space="preserve">Русский (Харитонов)  </t>
    </r>
    <r>
      <rPr>
        <rFont val="Arial"/>
        <b/>
        <color theme="1"/>
        <sz val="10.0"/>
      </rPr>
      <t>201</t>
    </r>
  </si>
  <si>
    <r>
      <rPr>
        <rFont val="Arial"/>
        <color rgb="FFFF0000"/>
      </rPr>
      <t xml:space="preserve">Общество (Куницын)   </t>
    </r>
    <r>
      <rPr>
        <rFont val="Arial"/>
        <b/>
        <color rgb="FFFF0000"/>
      </rPr>
      <t>503</t>
    </r>
  </si>
  <si>
    <r>
      <rPr>
        <rFont val="Arial"/>
        <color theme="1"/>
        <sz val="10.0"/>
      </rPr>
      <t xml:space="preserve">Алгебра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</si>
  <si>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</si>
  <si>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</si>
  <si>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</si>
  <si>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</si>
  <si>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Матпрак (Митев) </t>
    </r>
    <r>
      <rPr>
        <rFont val="Arial"/>
        <b/>
        <color theme="1"/>
        <sz val="10.0"/>
      </rPr>
      <t>405</t>
    </r>
  </si>
  <si>
    <r>
      <rPr>
        <rFont val="Arial"/>
        <color theme="1"/>
        <sz val="10.0"/>
      </rPr>
      <t xml:space="preserve">Русский (Хуснутдинов)   </t>
    </r>
    <r>
      <rPr>
        <rFont val="Arial"/>
        <b/>
        <color theme="1"/>
        <sz val="10.0"/>
      </rPr>
      <t xml:space="preserve">406     </t>
    </r>
  </si>
  <si>
    <r>
      <rPr>
        <rFont val="Arial"/>
        <color theme="1"/>
        <sz val="10.0"/>
      </rPr>
      <t xml:space="preserve">История (Белоус)  </t>
    </r>
    <r>
      <rPr>
        <rFont val="Arial"/>
        <b/>
        <color theme="1"/>
        <sz val="10.0"/>
      </rPr>
      <t xml:space="preserve">402     </t>
    </r>
  </si>
  <si>
    <r>
      <rPr>
        <rFont val="Arial"/>
        <color theme="1"/>
      </rPr>
      <t xml:space="preserve">Литература (Решетников) </t>
    </r>
    <r>
      <rPr>
        <rFont val="Arial"/>
        <b/>
        <color theme="1"/>
      </rPr>
      <t xml:space="preserve">202   </t>
    </r>
  </si>
  <si>
    <r>
      <rPr>
        <rFont val="Arial"/>
        <color theme="1"/>
        <sz val="10.0"/>
      </rPr>
      <t xml:space="preserve">Русский (Харитонов)  </t>
    </r>
    <r>
      <rPr>
        <rFont val="Arial"/>
        <b/>
        <color theme="1"/>
        <sz val="10.0"/>
      </rPr>
      <t>201</t>
    </r>
  </si>
  <si>
    <r>
      <rPr>
        <rFont val="Arial"/>
        <color theme="1"/>
      </rPr>
      <t xml:space="preserve">География (Колечкин) </t>
    </r>
    <r>
      <rPr>
        <rFont val="Arial"/>
        <b/>
        <color theme="1"/>
      </rPr>
      <t xml:space="preserve">409             </t>
    </r>
  </si>
  <si>
    <r>
      <rPr>
        <rFont val="Arial"/>
        <color theme="1"/>
        <sz val="10.0"/>
      </rPr>
      <t xml:space="preserve">Геометрия (Абрамов) </t>
    </r>
    <r>
      <rPr>
        <rFont val="Arial"/>
        <b/>
        <color theme="1"/>
        <sz val="10.0"/>
      </rPr>
      <t>501</t>
    </r>
  </si>
  <si>
    <r>
      <rPr>
        <rFont val="Arial"/>
        <color rgb="FFFFFFFF"/>
        <sz val="10.0"/>
      </rPr>
      <t xml:space="preserve">История (Куницын) </t>
    </r>
    <r>
      <rPr>
        <rFont val="Arial"/>
        <b/>
        <color rgb="FFFFFFFF"/>
        <sz val="10.0"/>
      </rPr>
      <t>503</t>
    </r>
  </si>
  <si>
    <r>
      <rPr>
        <rFont val="Arial"/>
        <color theme="1"/>
        <sz val="10.0"/>
      </rPr>
      <t xml:space="preserve">Алгебра (Шерашова) </t>
    </r>
    <r>
      <rPr>
        <rFont val="Arial"/>
        <b/>
        <color theme="1"/>
        <sz val="10.0"/>
      </rPr>
      <t>401</t>
    </r>
  </si>
  <si>
    <r>
      <rPr>
        <rFont val="Arial"/>
        <color theme="1"/>
        <sz val="10.0"/>
      </rPr>
      <t xml:space="preserve">Биология (Белоусова) через неделю соц и мат </t>
    </r>
    <r>
      <rPr>
        <rFont val="Arial"/>
        <b/>
        <color theme="1"/>
        <sz val="10.0"/>
      </rPr>
      <t>КЗ</t>
    </r>
  </si>
  <si>
    <r>
      <rPr>
        <rFont val="Arial"/>
        <color theme="1"/>
        <sz val="10.0"/>
      </rPr>
      <t xml:space="preserve">ТЕАТР </t>
    </r>
    <r>
      <rPr>
        <rFont val="Arial"/>
        <b/>
        <color theme="1"/>
        <sz val="10.0"/>
      </rPr>
      <t>АЗ (Клинкова)</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</si>
  <si>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</si>
  <si>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</si>
  <si>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</si>
  <si>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</si>
  <si>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rPr>
      <t xml:space="preserve">Литература (Решетников) </t>
    </r>
    <r>
      <rPr>
        <rFont val="Arial"/>
        <b/>
        <color theme="1"/>
      </rPr>
      <t xml:space="preserve">202   </t>
    </r>
  </si>
  <si>
    <r>
      <rPr>
        <rFont val="Arial"/>
        <color theme="1"/>
      </rPr>
      <t xml:space="preserve">География (Колечкин) </t>
    </r>
    <r>
      <rPr>
        <rFont val="Arial"/>
        <b/>
        <color theme="1"/>
      </rPr>
      <t xml:space="preserve">409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</si>
  <si>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</si>
  <si>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</si>
  <si>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</si>
  <si>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</si>
  <si>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Arial"/>
        <color theme="1"/>
        <sz val="10.0"/>
      </rPr>
      <t xml:space="preserve">Матпрак (Митев) </t>
    </r>
    <r>
      <rPr>
        <rFont val="Arial"/>
        <b/>
        <color theme="1"/>
        <sz val="10.0"/>
      </rPr>
      <t>КЗ</t>
    </r>
  </si>
  <si>
    <r>
      <rPr>
        <rFont val="Arial"/>
        <color theme="1"/>
        <sz val="10.0"/>
      </rPr>
      <t xml:space="preserve">Математика (Дронзик) </t>
    </r>
    <r>
      <rPr>
        <rFont val="Arial"/>
        <b/>
        <color theme="1"/>
        <sz val="10.0"/>
      </rPr>
      <t>210</t>
    </r>
  </si>
  <si>
    <r>
      <rPr>
        <rFont val="Arial"/>
        <color theme="1"/>
        <sz val="10.0"/>
      </rPr>
      <t xml:space="preserve">История (Белоус)  </t>
    </r>
    <r>
      <rPr>
        <rFont val="Arial"/>
        <b/>
        <color theme="1"/>
        <sz val="10.0"/>
      </rPr>
      <t xml:space="preserve">402     </t>
    </r>
  </si>
  <si>
    <r>
      <rPr>
        <rFont val="Arial"/>
        <color theme="1"/>
        <sz val="10.0"/>
      </rPr>
      <t xml:space="preserve">Русский (Хуснутдинов)  </t>
    </r>
    <r>
      <rPr>
        <rFont val="Arial"/>
        <b/>
        <color theme="1"/>
        <sz val="10.0"/>
      </rPr>
      <t xml:space="preserve">406 </t>
    </r>
  </si>
  <si>
    <r>
      <rPr>
        <rFont val="Arial"/>
        <color theme="1"/>
        <sz val="10.0"/>
      </rPr>
      <t xml:space="preserve">Русский (Харитонов)  </t>
    </r>
    <r>
      <rPr>
        <rFont val="Arial"/>
        <b/>
        <color theme="1"/>
        <sz val="10.0"/>
      </rPr>
      <t>201</t>
    </r>
  </si>
  <si>
    <r>
      <rPr>
        <rFont val="Arial"/>
        <color theme="1"/>
      </rPr>
      <t xml:space="preserve">Литература (Решетников) </t>
    </r>
    <r>
      <rPr>
        <rFont val="Arial"/>
        <b/>
        <color theme="1"/>
      </rPr>
      <t xml:space="preserve">202   </t>
    </r>
  </si>
  <si>
    <r>
      <rPr>
        <rFont val="Arial"/>
        <color theme="1"/>
        <sz val="10.0"/>
      </rPr>
      <t xml:space="preserve">Математика (Заводов) </t>
    </r>
    <r>
      <rPr>
        <rFont val="Arial"/>
        <b/>
        <color theme="1"/>
        <sz val="10.0"/>
      </rPr>
      <t>209</t>
    </r>
  </si>
  <si>
    <r>
      <rPr>
        <rFont val="Arial"/>
        <color rgb="FFFFFFFF"/>
        <sz val="10.0"/>
      </rPr>
      <t xml:space="preserve">История (Куницын) </t>
    </r>
    <r>
      <rPr>
        <rFont val="Arial"/>
        <b/>
        <color rgb="FFFFFFFF"/>
        <sz val="10.0"/>
      </rPr>
      <t>503</t>
    </r>
  </si>
  <si>
    <r>
      <rPr>
        <rFont val="Arial"/>
        <color theme="1"/>
        <sz val="10.0"/>
      </rPr>
      <t xml:space="preserve">Геометрия (Абрамов) </t>
    </r>
    <r>
      <rPr>
        <rFont val="Arial"/>
        <b/>
        <color theme="1"/>
        <sz val="10.0"/>
      </rPr>
      <t>501</t>
    </r>
  </si>
  <si>
    <r>
      <rPr>
        <rFont val="Arial"/>
        <color theme="1"/>
        <sz val="10.0"/>
      </rPr>
      <t xml:space="preserve">Алгебра (Шерашова) </t>
    </r>
    <r>
      <rPr>
        <rFont val="Arial"/>
        <b/>
        <color theme="1"/>
        <sz val="10.0"/>
      </rPr>
      <t>401</t>
    </r>
  </si>
  <si>
    <r>
      <rPr>
        <rFont val="Roboto, RobotoDraft, Helvetica, Arial, sans-serif"/>
        <color rgb="FF000000"/>
      </rPr>
      <t xml:space="preserve">ОДНКР (Белоус) </t>
    </r>
    <r>
      <rPr>
        <rFont val="Roboto, RobotoDraft, Helvetica, Arial, sans-serif"/>
        <b/>
        <color rgb="FF000000"/>
      </rPr>
      <t>402</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</si>
  <si>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</si>
  <si>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</si>
  <si>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</si>
  <si>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Математический анализ (Попович) </t>
    </r>
    <r>
      <rPr>
        <rFont val="Arial"/>
        <b/>
        <color theme="1"/>
        <sz val="10.0"/>
      </rPr>
      <t>210</t>
    </r>
  </si>
  <si>
    <r>
      <rPr>
        <rFont val="Arial"/>
        <color theme="1"/>
        <sz val="10.0"/>
      </rPr>
      <t xml:space="preserve">Олимпиадная робототехника (Кадыкова, Сенин) </t>
    </r>
    <r>
      <rPr>
        <rFont val="Arial"/>
        <b/>
        <color theme="1"/>
        <sz val="10.0"/>
      </rPr>
      <t>410</t>
    </r>
  </si>
  <si>
    <r>
      <rPr>
        <rFont val="Arial"/>
        <color rgb="FF000000"/>
        <sz val="10.0"/>
      </rPr>
      <t xml:space="preserve">Доп. Матпрак (Латыпова) </t>
    </r>
    <r>
      <rPr>
        <rFont val="Arial"/>
        <b/>
        <color rgb="FF000000"/>
        <sz val="10.0"/>
      </rPr>
      <t>202</t>
    </r>
  </si>
  <si>
    <r>
      <rPr>
        <rFont val="Arial"/>
        <color theme="1"/>
        <sz val="10.0"/>
      </rPr>
      <t xml:space="preserve">Литра (Хуснутдинов) </t>
    </r>
    <r>
      <rPr>
        <rFont val="Arial"/>
        <b/>
        <color theme="1"/>
        <sz val="10.0"/>
      </rPr>
      <t xml:space="preserve">209       </t>
    </r>
  </si>
  <si>
    <r>
      <rPr>
        <rFont val="Arial"/>
        <color theme="1"/>
        <sz val="10.0"/>
      </rPr>
      <t xml:space="preserve">Олимпиадная робототехника (Кадыкова, Сенин) </t>
    </r>
    <r>
      <rPr>
        <rFont val="Arial"/>
        <b/>
        <color theme="1"/>
        <sz val="10.0"/>
      </rPr>
      <t>410</t>
    </r>
  </si>
  <si>
    <r>
      <rPr>
        <rFont val="Arial"/>
        <color theme="1"/>
        <sz val="10.0"/>
      </rPr>
      <t xml:space="preserve">Олимпиадная робототехника (Кадыкова, Сенин) </t>
    </r>
    <r>
      <rPr>
        <rFont val="Arial"/>
        <b/>
        <color theme="1"/>
        <sz val="10.0"/>
      </rPr>
      <t>410</t>
    </r>
  </si>
  <si>
    <t>Четверг</t>
  </si>
  <si>
    <r>
      <rPr>
        <rFont val="Arial"/>
        <color theme="1"/>
        <sz val="10.0"/>
      </rPr>
      <t xml:space="preserve">ОЛИМП РУС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</si>
  <si>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</si>
  <si>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Информатика (Старунова) </t>
    </r>
    <r>
      <rPr>
        <rFont val="Arial"/>
        <b/>
        <color theme="1"/>
        <sz val="10.0"/>
      </rPr>
      <t>403</t>
    </r>
  </si>
  <si>
    <r>
      <rPr>
        <rFont val="Arial"/>
        <color theme="1"/>
        <sz val="10.0"/>
      </rPr>
      <t xml:space="preserve">Информатика (Аларкон) </t>
    </r>
    <r>
      <rPr>
        <rFont val="Arial"/>
        <b/>
        <color theme="1"/>
        <sz val="10.0"/>
      </rPr>
      <t>408</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</si>
  <si>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</si>
  <si>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</si>
  <si>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Химия (Караванова) </t>
    </r>
    <r>
      <rPr>
        <rFont val="Arial"/>
        <b/>
        <color theme="1"/>
        <sz val="10.0"/>
      </rPr>
      <t>409</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</si>
  <si>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</si>
  <si>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</si>
  <si>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</si>
  <si>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rPr>
      <t xml:space="preserve">Доп. История (Куницын) </t>
    </r>
    <r>
      <rPr>
        <rFont val="Arial"/>
        <b/>
        <color theme="1"/>
      </rPr>
      <t>КЗ</t>
    </r>
  </si>
  <si>
    <r>
      <rPr>
        <rFont val="Arial"/>
        <color theme="1"/>
        <sz val="10.0"/>
      </rPr>
      <t xml:space="preserve">МатПрак (Заводов)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</si>
  <si>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</si>
  <si>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</si>
  <si>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t>Матем (трес) Шерашова 4</t>
    </r>
    <r>
      <rPr>
        <rFont val="Arial"/>
        <b/>
        <color theme="1"/>
        <sz val="10.0"/>
      </rPr>
      <t>01</t>
    </r>
  </si>
  <si>
    <r>
      <t xml:space="preserve">Матпрак (кватро) Исмаилов, Панюнин </t>
    </r>
    <r>
      <rPr>
        <rFont val="Arial"/>
        <b/>
        <color theme="1"/>
        <sz val="10.0"/>
      </rPr>
      <t>202</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</si>
  <si>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</si>
  <si>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</si>
  <si>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408</t>
    </r>
    <r>
      <rPr>
        <rFont val="Arial"/>
        <color theme="1"/>
      </rPr>
      <t xml:space="preserve">) / (Воронцов  </t>
    </r>
    <r>
      <rPr>
        <rFont val="Arial"/>
        <b/>
        <color theme="1"/>
      </rPr>
      <t xml:space="preserve">402)     </t>
    </r>
  </si>
  <si>
    <r>
      <rPr>
        <rFont val="Arial"/>
        <color theme="1"/>
        <sz val="10.0"/>
      </rPr>
      <t xml:space="preserve">МатПрак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</si>
  <si>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</si>
  <si>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</si>
  <si>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</si>
  <si>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</si>
  <si>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</si>
  <si>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</si>
  <si>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402</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</si>
  <si>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</si>
  <si>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</si>
  <si>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</si>
  <si>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Физра (Ларченко) </t>
    </r>
    <r>
      <rPr>
        <rFont val="Arial"/>
        <b/>
        <color theme="1"/>
        <sz val="10.0"/>
      </rPr>
      <t>СЗ</t>
    </r>
  </si>
  <si>
    <r>
      <rPr>
        <rFont val="Arial"/>
        <color theme="1"/>
        <sz val="10.0"/>
      </rPr>
      <t xml:space="preserve">Информатика (Старунова) </t>
    </r>
    <r>
      <rPr>
        <rFont val="Arial"/>
        <b/>
        <color theme="1"/>
        <sz val="10.0"/>
      </rPr>
      <t>408</t>
    </r>
  </si>
  <si>
    <r>
      <rPr>
        <rFont val="Arial"/>
        <color theme="1"/>
        <sz val="10.0"/>
      </rPr>
      <t xml:space="preserve">Математика (Дронзик) </t>
    </r>
    <r>
      <rPr>
        <rFont val="Arial"/>
        <b/>
        <color theme="1"/>
        <sz val="10.0"/>
      </rPr>
      <t>210</t>
    </r>
  </si>
  <si>
    <r>
      <rPr>
        <rFont val="Arial"/>
        <color theme="1"/>
        <sz val="10.0"/>
      </rPr>
      <t xml:space="preserve">Биология (Белоусова) </t>
    </r>
    <r>
      <rPr>
        <rFont val="Arial"/>
        <b/>
        <color theme="1"/>
        <sz val="10.0"/>
      </rPr>
      <t>409</t>
    </r>
  </si>
  <si>
    <r>
      <t xml:space="preserve">Матпрак (трес) Исмаилов, Панюнин </t>
    </r>
    <r>
      <rPr>
        <rFont val="Arial"/>
        <b/>
        <color theme="1"/>
        <sz val="10.0"/>
      </rPr>
      <t>202</t>
    </r>
  </si>
  <si>
    <r>
      <t xml:space="preserve">Матем (кватро) Шерашова </t>
    </r>
    <r>
      <rPr>
        <rFont val="Arial"/>
        <b/>
        <color theme="1"/>
        <sz val="10.0"/>
      </rPr>
      <t>401</t>
    </r>
  </si>
  <si>
    <r>
      <rPr>
        <rFont val="Arial"/>
        <color theme="1"/>
      </rPr>
      <t xml:space="preserve">Информатика (Воронцов </t>
    </r>
    <r>
      <rPr>
        <rFont val="Arial"/>
        <b/>
        <color theme="1"/>
      </rPr>
      <t xml:space="preserve">402 </t>
    </r>
    <r>
      <rPr>
        <rFont val="Arial"/>
        <color theme="1"/>
      </rPr>
      <t xml:space="preserve">/ Аларкон </t>
    </r>
    <r>
      <rPr>
        <rFont val="Arial"/>
        <b/>
        <color theme="1"/>
      </rPr>
      <t>201</t>
    </r>
    <r>
      <rPr>
        <rFont val="Arial"/>
        <color theme="1"/>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</si>
  <si>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</si>
  <si>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</si>
  <si>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Математика (Заводов) </t>
    </r>
    <r>
      <rPr>
        <rFont val="Arial"/>
        <b/>
        <color theme="1"/>
        <sz val="10.0"/>
      </rPr>
      <t>209</t>
    </r>
  </si>
  <si>
    <r>
      <rPr>
        <rFont val="Arial"/>
        <color theme="1"/>
        <sz val="10.0"/>
      </rPr>
      <t xml:space="preserve">Математика (Дронзик) </t>
    </r>
    <r>
      <rPr>
        <rFont val="Arial"/>
        <b/>
        <color theme="1"/>
        <sz val="10.0"/>
      </rPr>
      <t>210</t>
    </r>
  </si>
  <si>
    <r>
      <rPr>
        <rFont val="Arial"/>
        <color theme="1"/>
        <sz val="10.0"/>
      </rPr>
      <t xml:space="preserve">Робо(Рогацкина) </t>
    </r>
    <r>
      <rPr>
        <rFont val="Arial"/>
        <b/>
        <color theme="1"/>
        <sz val="10.0"/>
      </rPr>
      <t>410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</si>
  <si>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</si>
  <si>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</si>
  <si>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</si>
  <si>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</si>
  <si>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</si>
  <si>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</si>
  <si>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</si>
  <si>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</si>
  <si>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</si>
  <si>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</si>
  <si>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Математика (Дронзик) </t>
    </r>
    <r>
      <rPr>
        <rFont val="Arial"/>
        <b/>
        <color theme="1"/>
        <sz val="10.0"/>
      </rPr>
      <t>210</t>
    </r>
  </si>
  <si>
    <r>
      <rPr>
        <rFont val="Arial"/>
        <color theme="1"/>
        <sz val="10.0"/>
      </rPr>
      <t xml:space="preserve">Физика (Репнев) </t>
    </r>
    <r>
      <rPr>
        <rFont val="Arial"/>
        <b/>
        <color theme="1"/>
        <sz val="10.0"/>
      </rPr>
      <t>402</t>
    </r>
  </si>
  <si>
    <r>
      <rPr>
        <rFont val="Arial"/>
        <color theme="1"/>
        <sz val="10.0"/>
      </rPr>
      <t xml:space="preserve">Матпрак (Уно) Исмаилов, Панюнин </t>
    </r>
    <r>
      <rPr>
        <rFont val="Arial"/>
        <b/>
        <color theme="1"/>
        <sz val="10.0"/>
      </rPr>
      <t>202</t>
    </r>
  </si>
  <si>
    <r>
      <rPr>
        <rFont val="Arial"/>
        <color theme="1"/>
        <sz val="10.0"/>
      </rPr>
      <t xml:space="preserve">Матем (Дос) Шерашова </t>
    </r>
    <r>
      <rPr>
        <rFont val="Arial"/>
        <b/>
        <color theme="1"/>
        <sz val="10.0"/>
      </rPr>
      <t>401</t>
    </r>
  </si>
  <si>
    <r>
      <rPr>
        <rFont val="Arial"/>
        <color theme="1"/>
        <sz val="10.0"/>
      </rPr>
      <t xml:space="preserve">Информатика (Воронцов, Старунова) </t>
    </r>
    <r>
      <rPr>
        <rFont val="Arial"/>
        <b/>
        <color theme="1"/>
        <sz val="10.0"/>
      </rPr>
      <t>408</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</si>
  <si>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</si>
  <si>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</si>
  <si>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Биология (Белоусова) </t>
    </r>
    <r>
      <rPr>
        <rFont val="Arial"/>
        <b/>
        <color theme="1"/>
        <sz val="10.0"/>
      </rPr>
      <t>409</t>
    </r>
  </si>
  <si>
    <r>
      <rPr>
        <rFont val="Arial"/>
        <color theme="1"/>
        <sz val="10.0"/>
      </rPr>
      <t xml:space="preserve">Геом. (Заводов) </t>
    </r>
    <r>
      <rPr>
        <rFont val="Arial"/>
        <b/>
        <color theme="1"/>
        <sz val="10.0"/>
      </rPr>
      <t>209</t>
    </r>
  </si>
  <si>
    <r>
      <rPr>
        <rFont val="Arial"/>
        <color theme="1"/>
        <sz val="10.0"/>
      </rPr>
      <t xml:space="preserve">Философия (Белоус) </t>
    </r>
    <r>
      <rPr>
        <rFont val="Arial"/>
        <b/>
        <color theme="1"/>
        <sz val="10.0"/>
      </rPr>
      <t xml:space="preserve">503              </t>
    </r>
  </si>
  <si>
    <r>
      <rPr>
        <rFont val="Arial"/>
        <color theme="1"/>
        <sz val="10.0"/>
      </rPr>
      <t xml:space="preserve">Русский (Харитонов)  </t>
    </r>
    <r>
      <rPr>
        <rFont val="Arial"/>
        <b/>
        <color theme="1"/>
        <sz val="10.0"/>
      </rPr>
      <t>201</t>
    </r>
  </si>
  <si>
    <r>
      <rPr>
        <rFont val="Arial"/>
        <color theme="1"/>
        <sz val="10.0"/>
      </rPr>
      <t xml:space="preserve">Русский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</si>
  <si>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</si>
  <si>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Робототехника (Рогацкина) </t>
    </r>
    <r>
      <rPr>
        <rFont val="Arial"/>
        <b/>
        <color theme="1"/>
        <sz val="10.0"/>
      </rPr>
      <t>410</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</si>
  <si>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</si>
  <si>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</si>
  <si>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</si>
  <si>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</si>
  <si>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</si>
  <si>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Arial"/>
        <color theme="1"/>
        <sz val="10.0"/>
      </rPr>
      <t xml:space="preserve">Англ ДО МАТ(Домбровская) </t>
    </r>
    <r>
      <rPr>
        <rFont val="Arial"/>
        <b/>
        <color theme="1"/>
        <sz val="10.0"/>
      </rPr>
      <t>405</t>
    </r>
  </si>
  <si>
    <r>
      <rPr>
        <rFont val="Arial"/>
        <color theme="1"/>
        <sz val="10.0"/>
      </rPr>
      <t xml:space="preserve">Англ СОЦЭК (Слоневская) </t>
    </r>
    <r>
      <rPr>
        <rFont val="Arial"/>
        <b/>
        <color theme="1"/>
        <sz val="10.0"/>
      </rPr>
      <t>404</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</si>
  <si>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</si>
  <si>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Литература (Харитонов)  </t>
    </r>
    <r>
      <rPr>
        <rFont val="Arial"/>
        <b/>
        <color theme="1"/>
        <sz val="10.0"/>
      </rPr>
      <t>201</t>
    </r>
  </si>
  <si>
    <r>
      <rPr>
        <rFont val="Arial"/>
        <color theme="1"/>
        <sz val="10.0"/>
      </rPr>
      <t xml:space="preserve">Физика (Репнев) </t>
    </r>
    <r>
      <rPr>
        <rFont val="Arial"/>
        <b/>
        <color theme="1"/>
        <sz val="10.0"/>
      </rPr>
      <t>402</t>
    </r>
  </si>
  <si>
    <r>
      <rPr>
        <rFont val="Arial"/>
        <color theme="1"/>
        <sz val="10.0"/>
      </rPr>
      <t xml:space="preserve">Матем (Уно) Шерашова </t>
    </r>
    <r>
      <rPr>
        <rFont val="Arial"/>
        <b/>
        <color theme="1"/>
        <sz val="10.0"/>
      </rPr>
      <t>401</t>
    </r>
  </si>
  <si>
    <r>
      <rPr>
        <rFont val="Arial"/>
        <color theme="1"/>
        <sz val="10.0"/>
      </rPr>
      <t xml:space="preserve">Матпрак (Дос) Исмаилов, Панюнин </t>
    </r>
    <r>
      <rPr>
        <rFont val="Arial"/>
        <b/>
        <color theme="1"/>
        <sz val="10.0"/>
      </rPr>
      <t>202</t>
    </r>
  </si>
  <si>
    <r>
      <rPr>
        <rFont val="Arial"/>
        <color theme="1"/>
        <sz val="10.0"/>
      </rPr>
      <t xml:space="preserve">Биология (Белоусова) </t>
    </r>
    <r>
      <rPr>
        <rFont val="Arial"/>
        <b/>
        <color theme="1"/>
        <sz val="10.0"/>
      </rPr>
      <t>409</t>
    </r>
  </si>
  <si>
    <r>
      <rPr>
        <rFont val="Arial"/>
        <color theme="1"/>
        <sz val="10.0"/>
      </rPr>
      <t xml:space="preserve">Математика (Заводов) </t>
    </r>
    <r>
      <rPr>
        <rFont val="Arial"/>
        <b/>
        <color theme="1"/>
        <sz val="10.0"/>
      </rPr>
      <t>209</t>
    </r>
  </si>
  <si>
    <r>
      <rPr>
        <rFont val="Arial"/>
        <color theme="1"/>
        <sz val="10.0"/>
      </rPr>
      <t xml:space="preserve">Химия (Караванова) </t>
    </r>
    <r>
      <rPr>
        <rFont val="Arial"/>
        <b/>
        <color theme="1"/>
        <sz val="10.0"/>
      </rPr>
      <t>408</t>
    </r>
  </si>
  <si>
    <r>
      <rPr>
        <rFont val="Roboto, RobotoDraft, Helvetica, Arial, sans-serif"/>
        <color rgb="FF000000"/>
      </rPr>
      <t xml:space="preserve">История (Белоус) </t>
    </r>
    <r>
      <rPr>
        <rFont val="Roboto, RobotoDraft, Helvetica, Arial, sans-serif"/>
        <b/>
        <color rgb="FF000000"/>
      </rPr>
      <t>503</t>
    </r>
  </si>
  <si>
    <r>
      <rPr>
        <rFont val="Arial"/>
        <color theme="1"/>
        <sz val="10.0"/>
      </rPr>
      <t xml:space="preserve">Инженерные мастерилки (Рогацкина) </t>
    </r>
    <r>
      <rPr>
        <rFont val="Arial"/>
        <b/>
        <color theme="1"/>
        <sz val="10.0"/>
      </rPr>
      <t>410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</si>
  <si>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</si>
  <si>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</si>
  <si>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</si>
  <si>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Roboto, RobotoDraft, Helvetica, Arial, sans-serif"/>
        <color rgb="FF000000"/>
      </rPr>
      <t xml:space="preserve">ОЛИМП ФИЗИКА 6-7 класс (Репнев) </t>
    </r>
    <r>
      <rPr>
        <rFont val="Roboto, RobotoDraft, Helvetica, Arial, sans-serif"/>
        <b/>
        <color rgb="FF000000"/>
      </rPr>
      <t>402</t>
    </r>
  </si>
  <si>
    <r>
      <rPr>
        <rFont val="Arial"/>
        <color theme="1"/>
        <sz val="10.0"/>
      </rPr>
      <t xml:space="preserve">Физра (Ларченко) </t>
    </r>
    <r>
      <rPr>
        <rFont val="Arial"/>
        <b/>
        <color theme="1"/>
        <sz val="10.0"/>
      </rPr>
      <t xml:space="preserve">СЗ </t>
    </r>
    <r>
      <rPr>
        <rFont val="Arial"/>
        <color theme="1"/>
        <sz val="10.0"/>
      </rPr>
      <t>/ олимп.геом (Решeтников, Сайгак) - начинающие</t>
    </r>
  </si>
  <si>
    <r>
      <rPr>
        <rFont val="Arial"/>
        <color theme="1"/>
        <sz val="10.0"/>
      </rPr>
      <t xml:space="preserve">Подготовка к ОГЭ по биологии + проекты Белоусова </t>
    </r>
    <r>
      <rPr>
        <rFont val="Arial"/>
        <b/>
        <color theme="1"/>
        <sz val="10.0"/>
      </rPr>
      <t>210</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</si>
  <si>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</si>
  <si>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</si>
  <si>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</si>
  <si>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Театр (Обидина, Носкова) </t>
    </r>
    <r>
      <rPr>
        <rFont val="Arial"/>
        <b/>
        <color theme="1"/>
        <sz val="10.0"/>
      </rPr>
      <t>АЗ</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</si>
  <si>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</si>
  <si>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</si>
  <si>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</si>
  <si>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</si>
  <si>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</si>
  <si>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Русский (Харитонов)  </t>
    </r>
    <r>
      <rPr>
        <rFont val="Arial"/>
        <b/>
        <color theme="1"/>
        <sz val="10.0"/>
      </rPr>
      <t>201</t>
    </r>
  </si>
  <si>
    <r>
      <rPr>
        <rFont val="Arial"/>
        <color theme="1"/>
        <sz val="10.0"/>
      </rPr>
      <t xml:space="preserve">Общество  (Куницын) </t>
    </r>
    <r>
      <rPr>
        <rFont val="Arial"/>
        <b/>
        <color theme="1"/>
        <sz val="10.0"/>
      </rPr>
      <t>503</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</si>
  <si>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</si>
  <si>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</si>
  <si>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Литература (Решетников) </t>
    </r>
    <r>
      <rPr>
        <rFont val="Arial"/>
        <b/>
        <color theme="1"/>
        <sz val="10.0"/>
      </rPr>
      <t>202</t>
    </r>
  </si>
  <si>
    <r>
      <rPr>
        <rFont val="Arial"/>
        <color theme="1"/>
        <sz val="10.0"/>
      </rPr>
      <t xml:space="preserve">Информатика (Аларкон </t>
    </r>
    <r>
      <rPr>
        <rFont val="Arial"/>
        <b/>
        <color theme="1"/>
        <sz val="10.0"/>
      </rPr>
      <t>401</t>
    </r>
    <r>
      <rPr>
        <rFont val="Arial"/>
        <color theme="1"/>
        <sz val="10.0"/>
      </rPr>
      <t>)</t>
    </r>
  </si>
  <si>
    <r>
      <rPr>
        <rFont val="Arial"/>
        <color theme="1"/>
        <sz val="10.0"/>
      </rPr>
      <t xml:space="preserve">Информатика (Воронцов, Старунова </t>
    </r>
    <r>
      <rPr>
        <rFont val="Arial"/>
        <b/>
        <color theme="1"/>
        <sz val="10.0"/>
      </rPr>
      <t>406</t>
    </r>
    <r>
      <rPr>
        <rFont val="Arial"/>
        <color theme="1"/>
        <sz val="10.0"/>
      </rPr>
      <t>)</t>
    </r>
  </si>
  <si>
    <r>
      <rPr>
        <rFont val="Arial"/>
        <color theme="1"/>
        <sz val="10.0"/>
      </rPr>
      <t xml:space="preserve">Англ (Слоневская) </t>
    </r>
    <r>
      <rPr>
        <rFont val="Arial"/>
        <b/>
        <color theme="1"/>
        <sz val="10.0"/>
      </rPr>
      <t>404</t>
    </r>
  </si>
  <si>
    <r>
      <rPr>
        <rFont val="Arial"/>
        <color theme="1"/>
        <sz val="10.0"/>
      </rPr>
      <t xml:space="preserve">Англ (Домбровская) </t>
    </r>
    <r>
      <rPr>
        <rFont val="Arial"/>
        <b/>
        <color theme="1"/>
        <sz val="10.0"/>
      </rPr>
      <t>405</t>
    </r>
  </si>
  <si>
    <r>
      <rPr>
        <rFont val="Arial"/>
        <color theme="1"/>
        <sz val="10.0"/>
      </rPr>
      <t xml:space="preserve">Алгебра (Абрамов) </t>
    </r>
    <r>
      <rPr>
        <rFont val="Arial"/>
        <b/>
        <color theme="1"/>
        <sz val="10.0"/>
      </rPr>
      <t>209</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</si>
  <si>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</si>
  <si>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</si>
  <si>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</si>
  <si>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</si>
  <si>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sz val="10.0"/>
      </rPr>
      <t xml:space="preserve">Театр (Обидина, Носкова) </t>
    </r>
    <r>
      <rPr>
        <rFont val="Arial"/>
        <b/>
        <color theme="1"/>
        <sz val="10.0"/>
      </rPr>
      <t>АЗ</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</si>
  <si>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</si>
  <si>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</si>
  <si>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</si>
  <si>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</si>
  <si>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</si>
  <si>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</si>
  <si>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Arial"/>
        <color theme="1"/>
        <sz val="10.0"/>
      </rPr>
      <t xml:space="preserve">Физика  (Репнев) </t>
    </r>
    <r>
      <rPr>
        <rFont val="Arial"/>
        <b/>
        <color theme="1"/>
        <sz val="10.0"/>
      </rPr>
      <t>402</t>
    </r>
  </si>
  <si>
    <r>
      <rPr>
        <rFont val="Arial"/>
        <color theme="1"/>
      </rPr>
      <t xml:space="preserve">Право (Куницын) </t>
    </r>
    <r>
      <rPr>
        <rFont val="Arial"/>
        <b/>
        <color theme="1"/>
      </rPr>
      <t>503</t>
    </r>
  </si>
  <si>
    <r>
      <rPr>
        <rFont val="Arial"/>
        <color theme="1"/>
        <sz val="10.0"/>
      </rPr>
      <t xml:space="preserve">Русский (Харитонов)  </t>
    </r>
    <r>
      <rPr>
        <rFont val="Arial"/>
        <b/>
        <color theme="1"/>
        <sz val="10.0"/>
      </rPr>
      <t>201</t>
    </r>
  </si>
  <si>
    <r>
      <rPr>
        <rFont val="Arial"/>
        <color theme="1"/>
        <sz val="10.0"/>
      </rPr>
      <t xml:space="preserve">Информатика (Старунова) </t>
    </r>
    <r>
      <rPr>
        <rFont val="Arial"/>
        <b/>
        <color theme="1"/>
        <sz val="10.0"/>
      </rPr>
      <t>408</t>
    </r>
  </si>
  <si>
    <r>
      <rPr>
        <rFont val="Arial"/>
        <color theme="1"/>
      </rPr>
      <t xml:space="preserve">Литература (Решетников) </t>
    </r>
    <r>
      <rPr>
        <rFont val="Arial"/>
        <b/>
        <color theme="1"/>
      </rPr>
      <t>202</t>
    </r>
    <r>
      <rPr>
        <rFont val="Arial"/>
        <color theme="1"/>
      </rPr>
      <t xml:space="preserve">   </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</si>
  <si>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</si>
  <si>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</si>
  <si>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</si>
  <si>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Англ (Слоневская) </t>
    </r>
    <r>
      <rPr>
        <rFont val="Arial"/>
        <b/>
        <color theme="1"/>
        <sz val="10.0"/>
      </rPr>
      <t>404</t>
    </r>
  </si>
  <si>
    <r>
      <rPr>
        <rFont val="Arial"/>
        <color theme="1"/>
      </rPr>
      <t xml:space="preserve">Информатика (Аларкон </t>
    </r>
    <r>
      <rPr>
        <rFont val="Arial"/>
        <b/>
        <color theme="1"/>
      </rPr>
      <t>401</t>
    </r>
    <r>
      <rPr>
        <rFont val="Arial"/>
        <color theme="1"/>
      </rPr>
      <t xml:space="preserve">) / (Воронцов </t>
    </r>
    <r>
      <rPr>
        <rFont val="Arial"/>
        <b/>
        <color theme="1"/>
      </rPr>
      <t>406</t>
    </r>
    <r>
      <rPr>
        <rFont val="Arial"/>
        <color theme="1"/>
      </rPr>
      <t xml:space="preserve"> )</t>
    </r>
    <r>
      <rPr>
        <rFont val="Arial"/>
        <b/>
        <color theme="1"/>
      </rPr>
      <t xml:space="preserve">     </t>
    </r>
  </si>
  <si>
    <r>
      <rPr>
        <rFont val="Roboto, RobotoDraft, Helvetica, Arial, sans-serif"/>
        <color rgb="FF222222"/>
      </rPr>
      <t xml:space="preserve">История </t>
    </r>
    <r>
      <rPr>
        <rFont val="Roboto, RobotoDraft, Helvetica, Arial, sans-serif"/>
        <color rgb="FF000000"/>
      </rPr>
      <t xml:space="preserve">(Куницын)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</si>
  <si>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</si>
  <si>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</si>
  <si>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</si>
  <si>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</si>
  <si>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</si>
  <si>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</si>
  <si>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Геометрия (Абрамов) </t>
    </r>
    <r>
      <rPr>
        <rFont val="Arial"/>
        <b/>
        <color theme="1"/>
        <sz val="10.0"/>
      </rPr>
      <t>209</t>
    </r>
  </si>
  <si>
    <r>
      <rPr>
        <rFont val="Arial"/>
        <color theme="1"/>
        <sz val="10.0"/>
      </rPr>
      <t xml:space="preserve">Театр (Обидина, Носкова) </t>
    </r>
    <r>
      <rPr>
        <rFont val="Arial"/>
        <b/>
        <color theme="1"/>
        <sz val="10.0"/>
      </rPr>
      <t>АЗ</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</si>
  <si>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</si>
  <si>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</si>
  <si>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</si>
  <si>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Roboto, RobotoDraft, Helvetica, Arial, sans-serif"/>
        <color rgb="FF000000"/>
      </rPr>
      <t xml:space="preserve">Общество (Куницын) </t>
    </r>
    <r>
      <rPr>
        <rFont val="Roboto, RobotoDraft, Helvetica, Arial, sans-serif"/>
        <b/>
        <color rgb="FF000000"/>
      </rPr>
      <t>209</t>
    </r>
  </si>
  <si>
    <r>
      <rPr>
        <rFont val="Roboto, RobotoDraft, Helvetica, Arial, sans-serif"/>
        <color rgb="FF000000"/>
      </rPr>
      <t xml:space="preserve">Общество (Куницын) </t>
    </r>
    <r>
      <rPr>
        <rFont val="Roboto, RobotoDraft, Helvetica, Arial, sans-serif"/>
        <b/>
        <color rgb="FF000000"/>
      </rPr>
      <t>503</t>
    </r>
  </si>
  <si>
    <r>
      <rPr>
        <rFont val="Arial"/>
        <color theme="1"/>
        <sz val="10.0"/>
      </rPr>
      <t xml:space="preserve">Физика (Репнев) </t>
    </r>
    <r>
      <rPr>
        <rFont val="Arial"/>
        <b/>
        <color theme="1"/>
        <sz val="10.0"/>
      </rPr>
      <t>402</t>
    </r>
  </si>
  <si>
    <r>
      <rPr>
        <rFont val="Arial"/>
        <color theme="1"/>
        <sz val="10.0"/>
      </rPr>
      <t xml:space="preserve">Русский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</si>
  <si>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</si>
  <si>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</si>
  <si>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</si>
  <si>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Театр (Обидина, Носкова) </t>
    </r>
    <r>
      <rPr>
        <rFont val="Arial"/>
        <b/>
        <color theme="1"/>
        <sz val="10.0"/>
      </rPr>
      <t>АЗ</t>
    </r>
  </si>
  <si>
    <r>
      <rPr>
        <rFont val="Arial"/>
        <color theme="1"/>
        <sz val="10.0"/>
      </rPr>
      <t xml:space="preserve">Геометрия (Абрамов) </t>
    </r>
    <r>
      <rPr>
        <rFont val="Arial"/>
        <b/>
        <color theme="1"/>
        <sz val="10.0"/>
      </rPr>
      <t>209</t>
    </r>
  </si>
  <si>
    <r>
      <rPr>
        <rFont val="Arial"/>
        <color theme="1"/>
        <sz val="10.0"/>
      </rPr>
      <t xml:space="preserve">Матпрак (Исмаилов, Латыпова) </t>
    </r>
    <r>
      <rPr>
        <rFont val="Arial"/>
        <b/>
        <color theme="1"/>
        <sz val="10.0"/>
      </rPr>
      <t>501</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</si>
  <si>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</si>
  <si>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r>
      <rPr>
        <rFont val="Arial"/>
        <color theme="1"/>
        <sz val="10.0"/>
      </rPr>
      <t xml:space="preserve">    </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</si>
  <si>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</si>
  <si>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rgb="FFFF0000"/>
        <sz val="10.0"/>
      </rPr>
      <t xml:space="preserve">Экономика (Куницын) </t>
    </r>
    <r>
      <rPr>
        <rFont val="Arial"/>
        <b/>
        <color rgb="FFFF0000"/>
        <sz val="10.0"/>
      </rPr>
      <t>503</t>
    </r>
  </si>
  <si>
    <r>
      <rPr>
        <rFont val="Arial"/>
        <color theme="1"/>
        <sz val="10.0"/>
      </rPr>
      <t xml:space="preserve">Физика ЕГЭ Репнев </t>
    </r>
    <r>
      <rPr>
        <rFont val="Arial"/>
        <b/>
        <color theme="1"/>
        <sz val="10.0"/>
      </rPr>
      <t>402</t>
    </r>
  </si>
  <si>
    <r>
      <rPr>
        <rFont val="Arial"/>
        <color theme="1"/>
        <sz val="10.0"/>
      </rPr>
      <t xml:space="preserve">Хор (Краснова и Никулова) </t>
    </r>
    <r>
      <rPr>
        <rFont val="Arial"/>
        <b/>
        <color theme="1"/>
        <sz val="10.0"/>
      </rPr>
      <t>КЗ</t>
    </r>
  </si>
  <si>
    <r>
      <rPr>
        <rFont val="Arial"/>
        <color theme="1"/>
        <sz val="10.0"/>
      </rPr>
      <t xml:space="preserve">Литература (Харитонов)  </t>
    </r>
    <r>
      <rPr>
        <rFont val="Arial"/>
        <b/>
        <color theme="1"/>
        <sz val="10.0"/>
      </rPr>
      <t>201</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</si>
  <si>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</si>
  <si>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</si>
  <si>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Англ (Домбровская) </t>
    </r>
    <r>
      <rPr>
        <rFont val="Arial"/>
        <b/>
        <color theme="1"/>
        <sz val="10.0"/>
      </rPr>
      <t>405</t>
    </r>
  </si>
  <si>
    <r>
      <rPr>
        <rFont val="Arial"/>
        <color theme="1"/>
        <sz val="10.0"/>
      </rPr>
      <t xml:space="preserve">Хор (Краснова и Никулова) </t>
    </r>
    <r>
      <rPr>
        <rFont val="Arial"/>
        <b/>
        <color theme="1"/>
        <sz val="10.0"/>
      </rPr>
      <t>КЗ</t>
    </r>
  </si>
  <si>
    <r>
      <rPr>
        <rFont val="Arial"/>
        <color theme="1"/>
        <sz val="10.0"/>
      </rPr>
      <t xml:space="preserve">Геометрия (Абрамов) </t>
    </r>
    <r>
      <rPr>
        <rFont val="Arial"/>
        <b/>
        <color theme="1"/>
        <sz val="10.0"/>
      </rPr>
      <t>209</t>
    </r>
  </si>
  <si>
    <r>
      <rPr>
        <rFont val="Arial"/>
        <color theme="1"/>
        <sz val="10.0"/>
      </rPr>
      <t xml:space="preserve">ОБЖ (Носкова) </t>
    </r>
    <r>
      <rPr>
        <rFont val="Arial"/>
        <b/>
        <color theme="1"/>
        <sz val="10.0"/>
      </rPr>
      <t>406</t>
    </r>
  </si>
  <si>
    <r>
      <rPr>
        <rFont val="Arial"/>
        <color rgb="FFFFFFFF"/>
        <sz val="10.0"/>
      </rPr>
      <t xml:space="preserve">Доп. Матпрак (Попович) </t>
    </r>
    <r>
      <rPr>
        <rFont val="Arial"/>
        <b/>
        <color rgb="FFFFFFFF"/>
        <sz val="10.0"/>
      </rPr>
      <t>202</t>
    </r>
  </si>
  <si>
    <r>
      <rPr>
        <rFont val="Arial"/>
        <color theme="1"/>
        <sz val="10.0"/>
      </rPr>
      <t xml:space="preserve">Русский (Хуснутдинов)  </t>
    </r>
    <r>
      <rPr>
        <rFont val="Arial"/>
        <b/>
        <color theme="1"/>
        <sz val="10.0"/>
      </rPr>
      <t>409</t>
    </r>
  </si>
  <si>
    <r>
      <rPr>
        <rFont val="Arial"/>
        <color theme="1"/>
      </rPr>
      <t xml:space="preserve">Информатика (Аларкон </t>
    </r>
    <r>
      <rPr>
        <rFont val="Arial"/>
        <b/>
        <color theme="1"/>
      </rPr>
      <t>401</t>
    </r>
    <r>
      <rPr>
        <rFont val="Arial"/>
        <color theme="1"/>
      </rPr>
      <t xml:space="preserve">) / (Воронцов </t>
    </r>
    <r>
      <rPr>
        <rFont val="Arial"/>
        <b/>
        <color theme="1"/>
      </rPr>
      <t>408</t>
    </r>
    <r>
      <rPr>
        <rFont val="Arial"/>
        <color theme="1"/>
      </rPr>
      <t>)</t>
    </r>
    <r>
      <rPr>
        <rFont val="Arial"/>
        <b/>
        <color theme="1"/>
      </rPr>
      <t xml:space="preserve">     </t>
    </r>
  </si>
  <si>
    <r>
      <rPr>
        <rFont val="Arial"/>
        <color theme="1"/>
        <sz val="10.0"/>
      </rPr>
      <t xml:space="preserve">Театр (Обидина) </t>
    </r>
    <r>
      <rPr>
        <rFont val="Arial"/>
        <b/>
        <color theme="1"/>
        <sz val="10.0"/>
      </rPr>
      <t>АЗ</t>
    </r>
  </si>
  <si>
    <r>
      <rPr>
        <rFont val="Arial"/>
        <color theme="1"/>
        <sz val="10.0"/>
      </rPr>
      <t xml:space="preserve">Англ (Алехина) </t>
    </r>
    <r>
      <rPr>
        <rFont val="Arial"/>
        <b/>
        <color theme="1"/>
        <sz val="10.0"/>
      </rPr>
      <t>403</t>
    </r>
  </si>
  <si>
    <r>
      <rPr>
        <rFont val="Arial"/>
        <color theme="1"/>
        <sz val="10.0"/>
      </rPr>
      <t xml:space="preserve">Англ (Шевелев) </t>
    </r>
    <r>
      <rPr>
        <rFont val="Arial"/>
        <b/>
        <color theme="1"/>
        <sz val="10.0"/>
      </rPr>
      <t>210</t>
    </r>
  </si>
  <si>
    <r>
      <rPr>
        <rFont val="Arial"/>
        <color theme="1"/>
        <sz val="10.0"/>
      </rPr>
      <t xml:space="preserve">Биология (Носкова)  </t>
    </r>
    <r>
      <rPr>
        <rFont val="Arial"/>
        <b/>
        <color theme="1"/>
        <sz val="10.0"/>
      </rPr>
      <t>406</t>
    </r>
    <r>
      <rPr>
        <rFont val="Arial"/>
        <color theme="1"/>
        <sz val="10.0"/>
      </rPr>
      <t xml:space="preserve">    </t>
    </r>
  </si>
  <si>
    <r>
      <rPr>
        <rFont val="Arial"/>
        <color theme="1"/>
        <sz val="10.0"/>
      </rPr>
      <t xml:space="preserve">Геометрия (Абрамов) </t>
    </r>
    <r>
      <rPr>
        <rFont val="Arial"/>
        <b/>
        <color theme="1"/>
        <sz val="10.0"/>
      </rPr>
      <t>209</t>
    </r>
  </si>
  <si>
    <r>
      <rPr>
        <rFont val="Arial"/>
        <color theme="1"/>
        <sz val="10.0"/>
      </rPr>
      <t xml:space="preserve">Хор (Краснова и Никулова) </t>
    </r>
    <r>
      <rPr>
        <rFont val="Arial"/>
        <b/>
        <color theme="1"/>
        <sz val="10.0"/>
      </rPr>
      <t>КЗ</t>
    </r>
  </si>
  <si>
    <r>
      <rPr>
        <rFont val="Arial"/>
        <color theme="1"/>
        <sz val="10.0"/>
      </rPr>
      <t xml:space="preserve">Матпрак (Исмаилов, Латыпова) </t>
    </r>
    <r>
      <rPr>
        <rFont val="Arial"/>
        <b/>
        <color theme="1"/>
        <sz val="10.0"/>
      </rPr>
      <t>401</t>
    </r>
  </si>
  <si>
    <r>
      <rPr>
        <rFont val="Arial"/>
        <color rgb="FFFFFFFF"/>
        <sz val="10.0"/>
      </rPr>
      <t xml:space="preserve">Доп. Матпрак (Попович) </t>
    </r>
    <r>
      <rPr>
        <rFont val="Arial"/>
        <b/>
        <color rgb="FFFFFFFF"/>
        <sz val="10.0"/>
      </rPr>
      <t>202</t>
    </r>
  </si>
  <si>
    <r>
      <rPr>
        <rFont val="Arial"/>
        <color theme="1"/>
        <sz val="10.0"/>
      </rPr>
      <t xml:space="preserve">Физический практикум (подготовка к ГИА) Репнев </t>
    </r>
    <r>
      <rPr>
        <rFont val="Arial"/>
        <b/>
        <color theme="1"/>
        <sz val="10.0"/>
      </rPr>
      <t>402</t>
    </r>
  </si>
  <si>
    <r>
      <rPr>
        <rFont val="Arial"/>
        <color theme="1"/>
        <sz val="10.0"/>
      </rPr>
      <t xml:space="preserve">Театр (Обидина) </t>
    </r>
    <r>
      <rPr>
        <rFont val="Arial"/>
        <b/>
        <color theme="1"/>
        <sz val="10.0"/>
      </rPr>
      <t>АЗ</t>
    </r>
  </si>
  <si>
    <t>Суббота</t>
  </si>
  <si>
    <t>Ученики и учителя</t>
  </si>
  <si>
    <t>Ответственный</t>
  </si>
  <si>
    <t>Техподдержка</t>
  </si>
  <si>
    <t>Гости и родители</t>
  </si>
  <si>
    <t>Торжественная линейка на улице у флагштока</t>
  </si>
  <si>
    <t>АЛ, Сайгак</t>
  </si>
  <si>
    <t>Ярик</t>
  </si>
  <si>
    <t>АЛ</t>
  </si>
  <si>
    <t>Дети и учителя идут в акт зал</t>
  </si>
  <si>
    <t>АГ, ОА</t>
  </si>
  <si>
    <t>Гости идут на 4 этаж в сопровождении АБ (дети представляют проекты в 406 и 410)</t>
  </si>
  <si>
    <t>АБ, ОА</t>
  </si>
  <si>
    <t>Спектакль</t>
  </si>
  <si>
    <t>ИЛ, ПС</t>
  </si>
  <si>
    <t>Паша, Дима П.</t>
  </si>
  <si>
    <t>Концерт</t>
  </si>
  <si>
    <t>ЕИ, ИВ</t>
  </si>
  <si>
    <t>Оргсобрание, силаэдр гори!, представление кружков (Робототехника, Экономика, СТF, История, Символы Средневековья, Го)</t>
  </si>
  <si>
    <t>АГ, ОА, АЛ</t>
  </si>
  <si>
    <t>Торжественные фото по классам на сцене АЗ</t>
  </si>
  <si>
    <t>АГ, Дина</t>
  </si>
  <si>
    <t>Завтрак у 5-7С</t>
  </si>
  <si>
    <t>кл.рук.</t>
  </si>
  <si>
    <t>Классные часы по классам у всех кроме завтракающих</t>
  </si>
  <si>
    <t>Завтрак у 7Т-11</t>
  </si>
  <si>
    <t xml:space="preserve">Начало урока. Учимся два урока с переменой 5 минут см. расписание 01.09 </t>
  </si>
  <si>
    <t>У 5С квест-знакомство для новеньких</t>
  </si>
  <si>
    <t>АГ, ОС, все учителя</t>
  </si>
  <si>
    <t>все идут домой (8С получает учебники в АЗ)</t>
  </si>
  <si>
    <t>Техподдержка ответственные</t>
  </si>
  <si>
    <t>Трансляция</t>
  </si>
  <si>
    <t>Паша, Дима П</t>
  </si>
  <si>
    <t>Микрофоны</t>
  </si>
  <si>
    <t>Паша</t>
  </si>
  <si>
    <t>Микрофоны на улице</t>
  </si>
  <si>
    <t>Прожектора</t>
  </si>
  <si>
    <t>Дима Ф</t>
  </si>
  <si>
    <t>Камеры</t>
  </si>
  <si>
    <t>Дима П</t>
  </si>
  <si>
    <t>Мониторинг чата и трансляции</t>
  </si>
  <si>
    <t>Ярик?</t>
  </si>
  <si>
    <t>уточнить</t>
  </si>
  <si>
    <t>Дата и месяц</t>
  </si>
  <si>
    <t>поступающие</t>
  </si>
  <si>
    <t>10СТ</t>
  </si>
  <si>
    <t>начало</t>
  </si>
  <si>
    <t>18-20</t>
  </si>
  <si>
    <t>24-30</t>
  </si>
  <si>
    <t>27-29</t>
  </si>
  <si>
    <t>18-22</t>
  </si>
  <si>
    <t>15-22</t>
  </si>
  <si>
    <t>20-25</t>
  </si>
  <si>
    <t>10-15</t>
  </si>
  <si>
    <t>18-25</t>
  </si>
  <si>
    <t>17.00 Показ мюзикла Дюймовочка -- 5С (Краснова ЕИ, Никулова ИВ)</t>
  </si>
  <si>
    <t>Май 2022</t>
  </si>
  <si>
    <r>
      <rPr>
        <rFont val="arial,sans,sans-serif"/>
        <b/>
        <color theme="1"/>
      </rPr>
      <t xml:space="preserve">с 8.30 по приходу Портретная Фотосессия на первом этаже все-все-все (отв. Артюшков) </t>
    </r>
    <r>
      <rPr>
        <rFont val="arial,sans,sans-serif"/>
        <b/>
        <color rgb="FFCC0000"/>
      </rPr>
      <t>с 15 до 19 КРОК обучение в КЗ</t>
    </r>
  </si>
  <si>
    <r>
      <rPr>
        <rFont val="arial,sans,sans-serif"/>
        <b/>
        <color theme="1"/>
      </rPr>
      <t xml:space="preserve">с 8.30 по приходу Портретная Фотосессия на первом этаже все-все-все (отв. Артюшков) </t>
    </r>
    <r>
      <rPr>
        <rFont val="arial,sans,sans-serif"/>
        <b/>
        <color rgb="FFCC0000"/>
      </rPr>
      <t>с 15 до 19 КРОК обучение в КЗ</t>
    </r>
  </si>
  <si>
    <t>09.06 Шерашова егэ</t>
  </si>
  <si>
    <t>27.06 -08.08</t>
  </si>
  <si>
    <t>20-30</t>
  </si>
  <si>
    <t xml:space="preserve">Летний педсовет на берегу </t>
  </si>
  <si>
    <t>Сентябрь</t>
  </si>
  <si>
    <t>05.09-09.09</t>
  </si>
  <si>
    <t>Октябрь</t>
  </si>
  <si>
    <t>24.10-28.10</t>
  </si>
  <si>
    <t>English Speaking Week. Apple Quest</t>
  </si>
  <si>
    <t>Ноябрь</t>
  </si>
  <si>
    <t>29.10 - 07.11</t>
  </si>
  <si>
    <t>Декабрь</t>
  </si>
  <si>
    <t>23.12.22 - 29.12.22</t>
  </si>
  <si>
    <t>Зимняя сессия 23.12.22-29.12.22</t>
  </si>
  <si>
    <t>IIII Конференция Силаэдр</t>
  </si>
  <si>
    <t>Январь</t>
  </si>
  <si>
    <t>Февраль</t>
  </si>
  <si>
    <t>18.02 - 26.02</t>
  </si>
  <si>
    <t>Каникулы 18.02.23 - 26.02.23</t>
  </si>
  <si>
    <r>
      <rPr>
        <rFont val="Arial"/>
        <b/>
        <color rgb="FF000000"/>
        <sz val="14.0"/>
      </rPr>
      <t>Film festival</t>
    </r>
    <r>
      <rPr>
        <rFont val="Arial"/>
        <color rgb="FF000000"/>
        <sz val="14.0"/>
      </rPr>
      <t xml:space="preserve">
Слоневская СВ, Домбровская НС</t>
    </r>
  </si>
  <si>
    <t>Март</t>
  </si>
  <si>
    <t>Апрель</t>
  </si>
  <si>
    <t>03.04-07.04</t>
  </si>
  <si>
    <r>
      <t xml:space="preserve">Spelling Bee
</t>
    </r>
    <r>
      <rPr>
        <rFont val="Arial"/>
        <b val="0"/>
        <color theme="1"/>
        <sz val="12.0"/>
      </rPr>
      <t>Слоневская СВ, Домбровская НС</t>
    </r>
  </si>
  <si>
    <t>08.04 - 16.04</t>
  </si>
  <si>
    <t>10.05-12.05</t>
  </si>
  <si>
    <r>
      <t xml:space="preserve">Театральные постановки по книге на английском языке
</t>
    </r>
    <r>
      <rPr>
        <rFont val="Arial"/>
        <b val="0"/>
        <color theme="1"/>
        <sz val="12.0"/>
      </rPr>
      <t>Слоневская СВ, Домбровская НС</t>
    </r>
  </si>
  <si>
    <t>Что?</t>
  </si>
  <si>
    <t>Кто?</t>
  </si>
  <si>
    <t>Где?</t>
  </si>
  <si>
    <t>Макет</t>
  </si>
  <si>
    <t>Орлова, Покорская</t>
  </si>
  <si>
    <t>1 этаж</t>
  </si>
  <si>
    <t>Кансат</t>
  </si>
  <si>
    <t>Легошин, Полозов</t>
  </si>
  <si>
    <t>инж класс</t>
  </si>
  <si>
    <t>Влияние короновируса</t>
  </si>
  <si>
    <t>Кровь верблюда</t>
  </si>
  <si>
    <t>Кушнарева, Подмазо</t>
  </si>
  <si>
    <t>Олимпинфо</t>
  </si>
  <si>
    <t>Подворный, Сайгак</t>
  </si>
  <si>
    <t>Лента времени</t>
  </si>
  <si>
    <t>коридор 4 этажа</t>
  </si>
  <si>
    <t>Страна, которой нет</t>
  </si>
  <si>
    <t>Ответы на вопросы</t>
  </si>
  <si>
    <t>Анна Борисовна</t>
  </si>
  <si>
    <t>Год выпуска</t>
  </si>
  <si>
    <t>ВУЗ</t>
  </si>
  <si>
    <t>Факультет</t>
  </si>
  <si>
    <t>Акиньшин</t>
  </si>
  <si>
    <t>stepanakinshin1@mail.ru</t>
  </si>
  <si>
    <t>МИФИ</t>
  </si>
  <si>
    <t>инженерно-физический институт биомедицины, отделение Биотехнологий</t>
  </si>
  <si>
    <t>Высоцкая</t>
  </si>
  <si>
    <t>Германовна</t>
  </si>
  <si>
    <t>vysotskayadarya@list.ru</t>
  </si>
  <si>
    <t>МГУ им.Ломоносова</t>
  </si>
  <si>
    <t>физический, направление "Фундаментальная и прикладная физика"</t>
  </si>
  <si>
    <t>Зебельян</t>
  </si>
  <si>
    <t>Андраник</t>
  </si>
  <si>
    <t>Заренович</t>
  </si>
  <si>
    <t>+79651289075</t>
  </si>
  <si>
    <t xml:space="preserve"> lalnka2014@ya.ru</t>
  </si>
  <si>
    <t>МАИ</t>
  </si>
  <si>
    <t>Авиационная техника</t>
  </si>
  <si>
    <t>Кадыкова</t>
  </si>
  <si>
    <t>@tanya-kta</t>
  </si>
  <si>
    <t>tanya-kta@bk.ru</t>
  </si>
  <si>
    <t>НИУ ВШЭ</t>
  </si>
  <si>
    <t>Факультет компьютерных наук, направление "Программная инженерия"</t>
  </si>
  <si>
    <t>Китаева</t>
  </si>
  <si>
    <t>Эллина</t>
  </si>
  <si>
    <t>Рашидовна</t>
  </si>
  <si>
    <t>ellinakitaeva@yandex.ru</t>
  </si>
  <si>
    <t>МЭИ</t>
  </si>
  <si>
    <t>Корякин</t>
  </si>
  <si>
    <t>8-910-4433264</t>
  </si>
  <si>
    <t>footbolistvova@mail.ru</t>
  </si>
  <si>
    <t>Крылова</t>
  </si>
  <si>
    <t>okrylova322@gmail.com</t>
  </si>
  <si>
    <t>Университет ИТМО (СПб)</t>
  </si>
  <si>
    <t>ф-т безопасности информационных технологий</t>
  </si>
  <si>
    <t>Ларин</t>
  </si>
  <si>
    <t>allarin03@gmail.com</t>
  </si>
  <si>
    <t>МГТУ им.Баумана</t>
  </si>
  <si>
    <t>Факультет ИУ, кафедра ИУ6, направление "Компьютерные системы и сети"</t>
  </si>
  <si>
    <t>Людикайнен</t>
  </si>
  <si>
    <t>7(909)921-02-81</t>
  </si>
  <si>
    <t>klyudikaynen@mail.ru</t>
  </si>
  <si>
    <t>Ульяновский институт гражданской авиации</t>
  </si>
  <si>
    <t>Факультет эксплуатации воздушных судов и организации воздушного движения</t>
  </si>
  <si>
    <t>Малков</t>
  </si>
  <si>
    <t xml:space="preserve">Московская ветеринарная академия </t>
  </si>
  <si>
    <t>ВБФ</t>
  </si>
  <si>
    <t>+79851144689</t>
  </si>
  <si>
    <t>Нечаев</t>
  </si>
  <si>
    <t>https://t.me/kolayne</t>
  </si>
  <si>
    <t>nikolay_nechaev@mail.ru</t>
  </si>
  <si>
    <t>Университет Иннополис (Казань)</t>
  </si>
  <si>
    <t>"Информатика и вычислительная техника"</t>
  </si>
  <si>
    <t>Сенин</t>
  </si>
  <si>
    <t>+79067691200</t>
  </si>
  <si>
    <t>goric2605@gmail.com</t>
  </si>
  <si>
    <t>Филатов</t>
  </si>
  <si>
    <t>Борисович</t>
  </si>
  <si>
    <t>EgorFilatov2002@yandex.ru</t>
  </si>
  <si>
    <t>Старунова ОА</t>
  </si>
  <si>
    <t>Аларкон ЕХ</t>
  </si>
  <si>
    <t>Воронцов, Старунова</t>
  </si>
  <si>
    <t>паскаль</t>
  </si>
  <si>
    <t>питон</t>
  </si>
  <si>
    <t>pygame</t>
  </si>
  <si>
    <t>web</t>
  </si>
  <si>
    <t>биоинформатика</t>
  </si>
  <si>
    <t>Александров Владислав</t>
  </si>
  <si>
    <t>Мартанов Андрей</t>
  </si>
  <si>
    <t>Дьяконов Александр</t>
  </si>
  <si>
    <t>Гречко Мария</t>
  </si>
  <si>
    <t>Покорская Алина</t>
  </si>
  <si>
    <t>Холодов Федя</t>
  </si>
  <si>
    <t>Шершунова Соня</t>
  </si>
  <si>
    <t>Агранович Вика</t>
  </si>
  <si>
    <t>Шешелев Артем</t>
  </si>
  <si>
    <t>Артюшков Павел</t>
  </si>
  <si>
    <t>Артемьев Дмитрий</t>
  </si>
  <si>
    <t>Мартьянов Никита</t>
  </si>
  <si>
    <t>Жуков Василий</t>
  </si>
  <si>
    <t>Александров Всеволод</t>
  </si>
  <si>
    <t>уно</t>
  </si>
  <si>
    <t>Алабин Максим</t>
  </si>
  <si>
    <t xml:space="preserve">трес </t>
  </si>
  <si>
    <t>Копаев Вася</t>
  </si>
  <si>
    <t>Айсина Лиля</t>
  </si>
  <si>
    <t>Амельченков Миша</t>
  </si>
  <si>
    <t>Купцов Дмитрий</t>
  </si>
  <si>
    <t>Бирюков Ярослав</t>
  </si>
  <si>
    <t>Мельников Георгий</t>
  </si>
  <si>
    <t>Лебедев Глеб</t>
  </si>
  <si>
    <t>Коротков Михаил</t>
  </si>
  <si>
    <t>Андреенко Маша</t>
  </si>
  <si>
    <t>Андросов Илья</t>
  </si>
  <si>
    <t>Козлов Сережа</t>
  </si>
  <si>
    <t>Демаков Кирилл</t>
  </si>
  <si>
    <t>Балашов Гарри</t>
  </si>
  <si>
    <t>Даугелло Афанасий</t>
  </si>
  <si>
    <t>Жабер Илья</t>
  </si>
  <si>
    <t>Буслаев Илья</t>
  </si>
  <si>
    <t>Нониашвили  Вячеслав</t>
  </si>
  <si>
    <t>Костенок Тимофей</t>
  </si>
  <si>
    <t>Басацкая Ксения</t>
  </si>
  <si>
    <t>Белозеров Иван</t>
  </si>
  <si>
    <t>Военкова Катя</t>
  </si>
  <si>
    <t>Борисенко Михаил</t>
  </si>
  <si>
    <t>Шишкин Никита</t>
  </si>
  <si>
    <t>Лебедев Кирилл</t>
  </si>
  <si>
    <t>Вильдяев Елисей</t>
  </si>
  <si>
    <t>Плотников Фёдор</t>
  </si>
  <si>
    <t>Лунёв Андрей</t>
  </si>
  <si>
    <t>Куклич Евгений</t>
  </si>
  <si>
    <t>Милицкая Александра</t>
  </si>
  <si>
    <t>Бобылькова Светлана</t>
  </si>
  <si>
    <t>Лукьянов Савелий</t>
  </si>
  <si>
    <t>Левковцев Георгий</t>
  </si>
  <si>
    <t>Бродская Ксюша</t>
  </si>
  <si>
    <t>Макаруша Илья</t>
  </si>
  <si>
    <t>Гамаюнова Софья</t>
  </si>
  <si>
    <t>Рахмонов Давид</t>
  </si>
  <si>
    <t>Михайлов Вадим</t>
  </si>
  <si>
    <t>Манаков Степан</t>
  </si>
  <si>
    <t>Васильев Алексей</t>
  </si>
  <si>
    <t>Кузнецов Егор</t>
  </si>
  <si>
    <t>Витвицкая Алиса</t>
  </si>
  <si>
    <t>Дейнега Кирилл</t>
  </si>
  <si>
    <t>Горюшин Евгений</t>
  </si>
  <si>
    <t>Синило Иван</t>
  </si>
  <si>
    <t>Муковозов Василий</t>
  </si>
  <si>
    <t>Мартынов Степан</t>
  </si>
  <si>
    <t>Золотарев Андрей</t>
  </si>
  <si>
    <t>Вихров Леонид</t>
  </si>
  <si>
    <t>Шешелев Кирилл</t>
  </si>
  <si>
    <t>Свирский Илья</t>
  </si>
  <si>
    <t>Дудоров Глеб</t>
  </si>
  <si>
    <t>Проскуряков Дмитрий</t>
  </si>
  <si>
    <t xml:space="preserve">Гусев Артём </t>
  </si>
  <si>
    <t>Сомин Евгений</t>
  </si>
  <si>
    <t>Огарёв Вадим</t>
  </si>
  <si>
    <t>Осипенко Лев</t>
  </si>
  <si>
    <t>Курицын Семен</t>
  </si>
  <si>
    <t>Володин Александр</t>
  </si>
  <si>
    <t>Тухтаева Амина</t>
  </si>
  <si>
    <t>Кабанов Роман</t>
  </si>
  <si>
    <t>Пудовикова Полина</t>
  </si>
  <si>
    <t>Душенков Никита</t>
  </si>
  <si>
    <t>Сошников Артемий</t>
  </si>
  <si>
    <t>Огарёв Даниил</t>
  </si>
  <si>
    <t>Парфенов Александр</t>
  </si>
  <si>
    <t>Кушнарев Иван</t>
  </si>
  <si>
    <t>Галлямов Тимур</t>
  </si>
  <si>
    <t>Царев Гриша</t>
  </si>
  <si>
    <t>Шумский Леонид</t>
  </si>
  <si>
    <t>Кеелус Милена</t>
  </si>
  <si>
    <t>Сыцко Елизавета</t>
  </si>
  <si>
    <t>Иванов Фёдор</t>
  </si>
  <si>
    <t>Трошина Лидия</t>
  </si>
  <si>
    <t>Огарёва Анна</t>
  </si>
  <si>
    <t>Самсонов Игорь</t>
  </si>
  <si>
    <t>Лебедева Марго</t>
  </si>
  <si>
    <t>Дударева Дарья</t>
  </si>
  <si>
    <t>Угольников Егор</t>
  </si>
  <si>
    <t>Лебедев Михаил</t>
  </si>
  <si>
    <t>Киселев Семен</t>
  </si>
  <si>
    <t>Иванова Вероника</t>
  </si>
  <si>
    <t>Фленкин Богдан</t>
  </si>
  <si>
    <t>Подрез Пётр</t>
  </si>
  <si>
    <t>Матюнин Ярослав</t>
  </si>
  <si>
    <t>Титов Илья</t>
  </si>
  <si>
    <t>Кудрявцев Александр</t>
  </si>
  <si>
    <t>Шумский Леонард</t>
  </si>
  <si>
    <t>Качалов Иван</t>
  </si>
  <si>
    <t>Харламова Альбина</t>
  </si>
  <si>
    <t>Ревюк Давид</t>
  </si>
  <si>
    <t>Сыцко Тимофей</t>
  </si>
  <si>
    <t>Мусатов Глеб</t>
  </si>
  <si>
    <t>Ставропольцев Иван</t>
  </si>
  <si>
    <t>Куликов Денис</t>
  </si>
  <si>
    <t>Щербаков Василий</t>
  </si>
  <si>
    <t xml:space="preserve">Колисов Алексей </t>
  </si>
  <si>
    <t>Шулаков Артемий</t>
  </si>
  <si>
    <t>Риннэ Илья</t>
  </si>
  <si>
    <t>Усов Илья</t>
  </si>
  <si>
    <t>Агеев Юрий</t>
  </si>
  <si>
    <t>Матюшин Алексей</t>
  </si>
  <si>
    <t>Михайлов Игорь</t>
  </si>
  <si>
    <t>Ютяев  Леа</t>
  </si>
  <si>
    <t>Сыровенко Денис</t>
  </si>
  <si>
    <t>Тягунов Александр</t>
  </si>
  <si>
    <t>Новикова Ксения</t>
  </si>
  <si>
    <t>дос</t>
  </si>
  <si>
    <t>Молдавчук Александр</t>
  </si>
  <si>
    <t>Мосягин Матвей</t>
  </si>
  <si>
    <t>Яковлев Дмитрий</t>
  </si>
  <si>
    <t>Шашкина Василиса</t>
  </si>
  <si>
    <t>Попова Мария</t>
  </si>
  <si>
    <t>Александров Владимир</t>
  </si>
  <si>
    <t>кватро</t>
  </si>
  <si>
    <t>Ревская Мария</t>
  </si>
  <si>
    <t>Чернышева Анастасия</t>
  </si>
  <si>
    <t>Горбунов Дмитрий</t>
  </si>
  <si>
    <t>Папазов Владимир</t>
  </si>
  <si>
    <t>Савиных Дмитрий</t>
  </si>
  <si>
    <t>Цветков Владимир</t>
  </si>
  <si>
    <t>Якунин Роман</t>
  </si>
  <si>
    <t>Тер-Оганесьян Степан</t>
  </si>
  <si>
    <t>Первак Мария</t>
  </si>
  <si>
    <t>Сухарева Даша</t>
  </si>
  <si>
    <t>Фомина Анна</t>
  </si>
  <si>
    <t>Плаксин Артем</t>
  </si>
  <si>
    <t>Хоменко Настя</t>
  </si>
  <si>
    <t>Яковлев Никита</t>
  </si>
  <si>
    <t>Рахметуллин Тимур</t>
  </si>
  <si>
    <t>Чураков Гоша</t>
  </si>
  <si>
    <t>Сухарев Павел</t>
  </si>
  <si>
    <t>Рубин Илья</t>
  </si>
  <si>
    <t>Шуйгина Шася</t>
  </si>
  <si>
    <t>Саначев Иван</t>
  </si>
  <si>
    <t>Рендиков Алексей</t>
  </si>
  <si>
    <t>Свиридова Полина</t>
  </si>
  <si>
    <t>Панкратов Игорь</t>
  </si>
  <si>
    <t>Семёнова Антонина</t>
  </si>
  <si>
    <t>Орехов Филипп</t>
  </si>
  <si>
    <t>Саенко Георгий</t>
  </si>
  <si>
    <t>Ивлеев Максим</t>
  </si>
  <si>
    <t>Таран Максим</t>
  </si>
  <si>
    <t>Удачина Кира</t>
  </si>
  <si>
    <t>Федорова Евгения</t>
  </si>
  <si>
    <t>Конференц-Зал</t>
  </si>
  <si>
    <t>Преподаватели: Репнев АГ, Исмаилов АЭ</t>
  </si>
  <si>
    <t xml:space="preserve">Ведущие: Лиза Сыцко и Афанасий Даугелло </t>
  </si>
  <si>
    <t>Илья Андросов</t>
  </si>
  <si>
    <t>Аэрохоккей</t>
  </si>
  <si>
    <t>Орда карапузов разных размеров</t>
  </si>
  <si>
    <t>Курс НАСТОЯЩИЙ УЧЕНЫЙ</t>
  </si>
  <si>
    <t>Петр Подрез, Тимур Галлямов, Глеб Лебедев, Андрей Лунев</t>
  </si>
  <si>
    <t>Drift Project Game</t>
  </si>
  <si>
    <t>Егор Угольников, Савелий Лукьянов</t>
  </si>
  <si>
    <t>Машина на встречке</t>
  </si>
  <si>
    <t>Евгений Куклич, Ярослав Бирюков</t>
  </si>
  <si>
    <t>ФАНТАСТИК платформер (ИГРА НА PYGAME)</t>
  </si>
  <si>
    <t>Сева Александров, Максим Таран, Роман Якунин</t>
  </si>
  <si>
    <t>Scary World</t>
  </si>
  <si>
    <t>Дима Горбунов, Ваня Кушнарев</t>
  </si>
  <si>
    <t>Escape from sewerage (игра на pygame)</t>
  </si>
  <si>
    <t>Семен Курицын</t>
  </si>
  <si>
    <t>Создание игр с помощью Pygame на Python</t>
  </si>
  <si>
    <t>Василий Копаев</t>
  </si>
  <si>
    <t>Ремикс игры "Ноита"</t>
  </si>
  <si>
    <t>Александр Тягунов, Илья Усов</t>
  </si>
  <si>
    <t>Игра Марио</t>
  </si>
  <si>
    <t>Game of Volleyball</t>
  </si>
  <si>
    <t>Алексей Васильев, Иван Белозёров, Павел Сухарев</t>
  </si>
  <si>
    <t>Road Of Life</t>
  </si>
  <si>
    <t xml:space="preserve">Иван Синило, Шима Кузьминых, Влад Александров </t>
  </si>
  <si>
    <t>Конфигурации вершин паркетов</t>
  </si>
  <si>
    <t xml:space="preserve">Софья Гамаюнова, Елисей Вильдяев, Артем Гусев </t>
  </si>
  <si>
    <t>Каскады многогранников</t>
  </si>
  <si>
    <t>Тренер по умножению</t>
  </si>
  <si>
    <t xml:space="preserve">Георгий Саенко </t>
  </si>
  <si>
    <t>Discord bot</t>
  </si>
  <si>
    <t xml:space="preserve">Душенков Никита и Буслаев Илья </t>
  </si>
  <si>
    <t xml:space="preserve">Владимир Папазов </t>
  </si>
  <si>
    <t>Калькулятор многочленов</t>
  </si>
  <si>
    <t>Дарья Дударева, Алексей Матюшин, Мария Первак</t>
  </si>
  <si>
    <t>Визуализатор алгоритмов</t>
  </si>
  <si>
    <t>Тим Рахметуллин</t>
  </si>
  <si>
    <t>TG бот с игрой «Сталкер»</t>
  </si>
  <si>
    <t>Игорь Панкратов</t>
  </si>
  <si>
    <t>Телеграм бот для подготовки к экзаменам</t>
  </si>
  <si>
    <t>Актовый Зал</t>
  </si>
  <si>
    <t>Преподаватели: Попович АЛ, Заводов АА, Дронзик АБ</t>
  </si>
  <si>
    <t>Ведущие: Гарри Балашов, Наровлянская Кира, Гаврилова Таисия</t>
  </si>
  <si>
    <t>Мосягин Матвей, Сухарева Дарья</t>
  </si>
  <si>
    <t>Asciinema Live</t>
  </si>
  <si>
    <t>Анатолий Кирюшин, Алексей Рендиков</t>
  </si>
  <si>
    <t>Кривая Филлипса</t>
  </si>
  <si>
    <t xml:space="preserve">Александр Володин </t>
  </si>
  <si>
    <t>Шахматы</t>
  </si>
  <si>
    <t xml:space="preserve">Светлана Бобылькова </t>
  </si>
  <si>
    <t>Практический анализ олимпиадных задач</t>
  </si>
  <si>
    <t>Анастасия Хоменко, Милена Кеелус</t>
  </si>
  <si>
    <t>Решетки максимальных антицепей 2</t>
  </si>
  <si>
    <t>Марат Мухлисуллин</t>
  </si>
  <si>
    <t>Свободные дистрибутивные решетки</t>
  </si>
  <si>
    <t>Иван Парфенов</t>
  </si>
  <si>
    <t>Антипараллельность</t>
  </si>
  <si>
    <t>Военкова Екатерина, Наровлянская Кира</t>
  </si>
  <si>
    <t>Аликвотные дроби</t>
  </si>
  <si>
    <t>Гаврилова Таисия</t>
  </si>
  <si>
    <t>Клеточная комбинаторика</t>
  </si>
  <si>
    <t>Денис Куликов</t>
  </si>
  <si>
    <t>Телеграм-бот для рекомендации аниме</t>
  </si>
  <si>
    <t>Гарри Балашов</t>
  </si>
  <si>
    <t>Предсказание времени выполнения SQL-запросов</t>
  </si>
  <si>
    <t>Игорь Самсонов, Илья Старчак, Тим Костенок, Артём Сошников, Никита Мартьянов</t>
  </si>
  <si>
    <t>Сайт проектов Силаэдра</t>
  </si>
  <si>
    <t>Гоша Чураков</t>
  </si>
  <si>
    <t>Телеграм-бот для мониторинга состояния сервера</t>
  </si>
  <si>
    <t>Илья Жабер, Дмитрий Купцов</t>
  </si>
  <si>
    <t>Холодный ядерный синтез</t>
  </si>
  <si>
    <t>Мария Ревская</t>
  </si>
  <si>
    <t>Автостереограмма</t>
  </si>
  <si>
    <t>Леонид Шумский, Кирилл Демаков, Михаил Лебедев, Георгий Левковцев, Илья Свирский</t>
  </si>
  <si>
    <t>Шнобик</t>
  </si>
  <si>
    <t>Коротков Михаил, Илья Старчак</t>
  </si>
  <si>
    <t>Роботраффик</t>
  </si>
  <si>
    <t xml:space="preserve">Саша Гребенников </t>
  </si>
  <si>
    <t>Media Download Tool</t>
  </si>
  <si>
    <t>Василий Щербаков</t>
  </si>
  <si>
    <t>Статистическая геометрия</t>
  </si>
  <si>
    <t>Ведущие: Александра Александровна Пипейкина и Илья Лебедев</t>
  </si>
  <si>
    <t>Преподаватели: Слоневская СВ, Харитонов ОС, Пипейкина АА, Домбровская НС</t>
  </si>
  <si>
    <t>Иванова Вероника, Трошина Лидия, Харламова Альбина, Колисов Алексей</t>
  </si>
  <si>
    <t>Разведение улиток ахатин</t>
  </si>
  <si>
    <t xml:space="preserve">Леонид Вихров и Анна Фомина </t>
  </si>
  <si>
    <t>board games</t>
  </si>
  <si>
    <t>Ютяев Лев</t>
  </si>
  <si>
    <t>Секреты анимации</t>
  </si>
  <si>
    <t>Кира Удачина, Полина Свиридова</t>
  </si>
  <si>
    <t>Английские аббревиатуры в интернет общении</t>
  </si>
  <si>
    <t xml:space="preserve">Мария Андреенко, Дмитрий Артемьев, Роман Хлебников, Василиса Шашкина </t>
  </si>
  <si>
    <t>Древний Китай: династия Мин</t>
  </si>
  <si>
    <t xml:space="preserve">Маргарита Лебедева, Алина Покорская </t>
  </si>
  <si>
    <t>Помощник учителя для 7 класса</t>
  </si>
  <si>
    <t xml:space="preserve">Иван Левков </t>
  </si>
  <si>
    <t>К вопросу о восклицательных знаках</t>
  </si>
  <si>
    <t>Даниил Огарев и Вадим Огарев</t>
  </si>
  <si>
    <t>Исследование сообщества Силаэдр</t>
  </si>
  <si>
    <t>Софья Старунова, Софья Гамаюнова, Глеб Елушов</t>
  </si>
  <si>
    <t>Конфликт и коллизия. Подспорье для сторителлинга</t>
  </si>
  <si>
    <t xml:space="preserve">Юрий Агеев </t>
  </si>
  <si>
    <t>Аудиокнига</t>
  </si>
  <si>
    <t xml:space="preserve">Иван Качалов, Дмитрий Яковлев, Федор Плотников </t>
  </si>
  <si>
    <t>Тысячи дней</t>
  </si>
  <si>
    <t>Милицкая Александра, Агранович Виктория</t>
  </si>
  <si>
    <t>Выращивание Простейших</t>
  </si>
  <si>
    <t>Лев Осипенко</t>
  </si>
  <si>
    <t>Ритмика былин</t>
  </si>
  <si>
    <t>Дмитрий Савиных, Михаил Амельченков, Глеб Дудоров</t>
  </si>
  <si>
    <t>Распознавание пола человека по ФИО</t>
  </si>
  <si>
    <t>Степан Манаков</t>
  </si>
  <si>
    <t>Боевая настолка</t>
  </si>
  <si>
    <t>Амина Тухтаева, Гриша Царев</t>
  </si>
  <si>
    <t>Онлайн тренажер для русского языка(1-2 класс)</t>
  </si>
  <si>
    <t>Сева</t>
  </si>
  <si>
    <t>Road Races#154</t>
  </si>
  <si>
    <t>Калькулятор дробей на Pygame</t>
  </si>
  <si>
    <t>Саша Милицкая</t>
  </si>
  <si>
    <t>Приложение интеллектуальных игр на PyGame</t>
  </si>
  <si>
    <t>Саша Парфенов</t>
  </si>
  <si>
    <t>Лабиринт</t>
  </si>
  <si>
    <t>Илья Макаруша, Кира Киргинцева</t>
  </si>
  <si>
    <t>Изучение трудов Вицезимуса Нокса</t>
  </si>
  <si>
    <t>:</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</si>
</sst>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0.000000"/>
    <numFmt numFmtId="165" formatCode="dddd dd.mm.yy"/>
    <numFmt numFmtId="166" formatCode="d.m"/>
    <numFmt numFmtId="167" formatCode="dd.mm"/>
    <numFmt numFmtId="168" formatCode="dddd d.m"/>
    <numFmt numFmtId="169" formatCode="dddd d.m.yy"/>
    <numFmt numFmtId="170" formatCode="dddd d.m."/>
    <numFmt numFmtId="171" formatCode="dddd dd.mm.yyyy"/>
    <numFmt numFmtId="172" formatCode="dddd dd.mm"/>
    <numFmt numFmtId="173" formatCode="d mmmm"/>
    <numFmt numFmtId="174" formatCode="mmm yyyy"/>
    <numFmt numFmtId="175" formatCode="d, m, yyyy"/>
    <numFmt numFmtId="176" formatCode="d-m"/>
    <numFmt numFmtId="177" formatCode="dd.mm.yyyy"/>
    <numFmt numFmtId="178" formatCode="d.m.yyyy"/>
    <numFmt numFmtId="179" formatCode="dd.MM.yyyy"/>
    <numFmt numFmtId="180" formatCode="d.m.yy"/>
  </numFmts>
  <fonts count="158">
    <font>
      <sz val="10.0"/>
      <color rgb="FF000000"/>
      <name val="Arial"/>
      <scheme val="minor"/>
    </font>
    <font>
      <sz val="10.0"/>
      <color theme="1"/>
      <name val="Arial"/>
    </font>
    <font>
      <b/>
      <sz val="10.0"/>
      <color theme="1"/>
      <name val="Arial"/>
    </font>
    <font/>
    <font>
      <b/>
      <sz val="24.0"/>
      <color theme="1"/>
      <name val="Arial"/>
    </font>
    <font>
      <color theme="1"/>
      <name val="Arial"/>
    </font>
    <font>
      <color rgb="FF222222"/>
      <name val="Arial"/>
    </font>
    <font>
      <color rgb="FF000000"/>
      <name val="Roboto"/>
    </font>
    <font>
      <color theme="1"/>
      <name val="Arial"/>
      <scheme val="minor"/>
    </font>
    <font>
      <sz val="10.0"/>
      <color rgb="FF222222"/>
      <name val="Arial"/>
    </font>
    <font>
      <b/>
      <sz val="12.0"/>
      <color theme="1"/>
      <name val="Arial"/>
      <scheme val="minor"/>
    </font>
    <font>
      <b/>
      <sz val="11.0"/>
      <color rgb="FF990000"/>
      <name val="Arial"/>
    </font>
    <font>
      <b/>
      <sz val="12.0"/>
      <color theme="1"/>
      <name val="Arial"/>
    </font>
    <font>
      <sz val="10.0"/>
      <color rgb="FFFFFFFF"/>
      <name val="Arial"/>
    </font>
    <font>
      <b/>
      <sz val="11.0"/>
      <color rgb="FFCC0000"/>
      <name val="Arial"/>
    </font>
    <font>
      <sz val="12.0"/>
      <color theme="1"/>
      <name val="Arial"/>
    </font>
    <font>
      <color rgb="FFFF0000"/>
      <name val="Arial"/>
      <scheme val="minor"/>
    </font>
    <font>
      <b/>
      <sz val="11.0"/>
      <color rgb="FF000000"/>
      <name val="Arial"/>
    </font>
    <font>
      <sz val="10.0"/>
      <color rgb="FF000000"/>
      <name val="Arial"/>
    </font>
    <font>
      <b/>
      <sz val="10.0"/>
      <color rgb="FFCC0000"/>
      <name val="Arial"/>
    </font>
    <font>
      <sz val="10.0"/>
      <color rgb="FFFF0000"/>
      <name val="Arial"/>
    </font>
    <font>
      <color rgb="FFFF0000"/>
      <name val="Roboto"/>
    </font>
    <font>
      <b/>
      <sz val="11.0"/>
      <color theme="1"/>
      <name val="Arial"/>
    </font>
    <font>
      <sz val="10.0"/>
      <color theme="1"/>
      <name val="Arial"/>
      <scheme val="minor"/>
    </font>
    <font>
      <b/>
      <sz val="16.0"/>
      <color theme="1"/>
      <name val="Arial"/>
    </font>
    <font>
      <color rgb="FF666666"/>
      <name val="Arial"/>
    </font>
    <font>
      <color rgb="FFB7B7B7"/>
      <name val="Arial"/>
    </font>
    <font>
      <sz val="10.0"/>
      <color theme="0"/>
      <name val="Arial"/>
    </font>
    <font>
      <sz val="36.0"/>
      <color theme="1"/>
      <name val="Arial"/>
    </font>
    <font>
      <sz val="11.0"/>
      <color rgb="FF000000"/>
      <name val="Inconsolata"/>
    </font>
    <font>
      <sz val="14.0"/>
      <color theme="1"/>
      <name val="Arial"/>
    </font>
    <font>
      <b/>
      <color rgb="FFFF0000"/>
      <name val="Arial"/>
    </font>
    <font>
      <b/>
      <color theme="1"/>
      <name val="Arial"/>
      <scheme val="minor"/>
    </font>
    <font>
      <b/>
      <sz val="24.0"/>
      <color theme="1"/>
      <name val="Arial"/>
      <scheme val="minor"/>
    </font>
    <font>
      <b/>
      <color theme="1"/>
      <name val="Calibri"/>
    </font>
    <font>
      <sz val="26.0"/>
      <color theme="1"/>
      <name val="Arial"/>
    </font>
    <font>
      <b/>
      <sz val="14.0"/>
      <color theme="1"/>
      <name val="Arial"/>
    </font>
    <font>
      <b/>
      <color rgb="FFFF0000"/>
      <name val="Arial"/>
      <scheme val="minor"/>
    </font>
    <font>
      <b/>
      <color theme="1"/>
      <name val="Arial"/>
    </font>
    <font>
      <sz val="24.0"/>
      <color theme="1"/>
      <name val="Arial"/>
    </font>
    <font>
      <color theme="1"/>
      <name val="Calibri"/>
    </font>
    <font>
      <sz val="18.0"/>
      <color theme="1"/>
      <name val="Arial"/>
      <scheme val="minor"/>
    </font>
    <font>
      <sz val="18.0"/>
      <color theme="1"/>
      <name val="Arial"/>
    </font>
    <font>
      <sz val="11.0"/>
      <color theme="1"/>
      <name val="Arial"/>
    </font>
    <font>
      <sz val="36.0"/>
      <color rgb="FF000000"/>
      <name val="Arial"/>
    </font>
    <font>
      <b/>
      <sz val="10.0"/>
      <color rgb="FF000000"/>
      <name val="Arial"/>
    </font>
    <font>
      <b/>
      <color rgb="FF000000"/>
      <name val="Roboto"/>
    </font>
    <font>
      <color rgb="FF000000"/>
      <name val="Arial"/>
      <scheme val="minor"/>
    </font>
    <font>
      <b/>
      <sz val="12.0"/>
      <color rgb="FF000000"/>
      <name val="Roboto"/>
    </font>
    <font>
      <color rgb="FF000000"/>
      <name val="Arial"/>
    </font>
    <font>
      <b/>
      <color rgb="FFCC0000"/>
      <name val="Roboto"/>
    </font>
    <font>
      <b/>
      <sz val="10.0"/>
      <color rgb="FF990000"/>
      <name val="Arial"/>
    </font>
    <font>
      <b/>
      <color rgb="FFCC0000"/>
      <name val="Arial"/>
      <scheme val="minor"/>
    </font>
    <font>
      <sz val="10.0"/>
      <color rgb="FFCC0000"/>
      <name val="Arial"/>
    </font>
    <font>
      <b/>
      <sz val="12.0"/>
      <color rgb="FF990000"/>
      <name val="Arial"/>
    </font>
    <font>
      <b/>
      <sz val="12.0"/>
      <color rgb="FFCC0000"/>
      <name val="Arial"/>
    </font>
    <font>
      <sz val="12.0"/>
      <color rgb="FF000000"/>
      <name val="Arial"/>
    </font>
    <font>
      <color rgb="FF1155CC"/>
      <name val="Arial"/>
      <scheme val="minor"/>
    </font>
    <font>
      <sz val="14.0"/>
      <color theme="1"/>
      <name val="Calibri"/>
    </font>
    <font>
      <sz val="14.0"/>
      <color rgb="FF000000"/>
      <name val="Calibri"/>
    </font>
    <font>
      <b/>
      <sz val="14.0"/>
      <color theme="1"/>
      <name val="Calibri"/>
    </font>
    <font>
      <b/>
      <sz val="23.0"/>
      <color rgb="FF000000"/>
      <name val="Arial"/>
    </font>
    <font>
      <sz val="11.0"/>
      <color rgb="FF222222"/>
      <name val="Arial"/>
    </font>
    <font>
      <b/>
      <sz val="24.0"/>
      <color theme="1"/>
      <name val="Calibri"/>
    </font>
    <font>
      <b/>
      <sz val="14.0"/>
      <color rgb="FFCC0000"/>
      <name val="Calibri"/>
    </font>
    <font>
      <b/>
      <sz val="12.0"/>
      <color rgb="FF980000"/>
      <name val="Arial"/>
    </font>
    <font>
      <sz val="11.0"/>
      <color theme="1"/>
      <name val="Arial"/>
      <scheme val="minor"/>
    </font>
    <font>
      <b/>
      <sz val="11.0"/>
      <color rgb="FF990000"/>
      <name val="Arial"/>
      <scheme val="minor"/>
    </font>
    <font>
      <color rgb="FF222222"/>
      <name val="Roboto"/>
    </font>
    <font>
      <b/>
      <sz val="15.0"/>
      <color theme="1"/>
      <name val="Arial"/>
      <scheme val="minor"/>
    </font>
    <font>
      <b/>
      <sz val="14.0"/>
      <color rgb="FF000000"/>
      <name val="Arial"/>
    </font>
    <font>
      <b/>
      <sz val="25.0"/>
      <color theme="1"/>
      <name val="Arial"/>
    </font>
    <font>
      <b/>
      <sz val="27.0"/>
      <color rgb="FFCC0000"/>
      <name val="Arial"/>
    </font>
    <font>
      <b/>
      <sz val="13.0"/>
      <color rgb="FF990000"/>
      <name val="Arial"/>
      <scheme val="minor"/>
    </font>
    <font>
      <b/>
      <sz val="15.0"/>
      <color rgb="FF980000"/>
      <name val="Roboto"/>
    </font>
    <font>
      <b/>
      <sz val="12.0"/>
      <color rgb="FFFFFFFF"/>
      <name val="Arial"/>
      <scheme val="minor"/>
    </font>
    <font>
      <b/>
      <sz val="19.0"/>
      <color rgb="FFFFFFFF"/>
      <name val="Arial"/>
    </font>
    <font>
      <b/>
      <sz val="13.0"/>
      <color theme="1"/>
      <name val="Arial"/>
    </font>
    <font>
      <b/>
      <sz val="14.0"/>
      <color rgb="FF990000"/>
      <name val="Arial"/>
    </font>
    <font>
      <b/>
      <sz val="24.0"/>
      <color rgb="FFFFFFFF"/>
      <name val="Arial"/>
    </font>
    <font>
      <b/>
      <sz val="9.0"/>
      <color rgb="FFFFFFFF"/>
      <name val="Arial"/>
    </font>
    <font>
      <b/>
      <sz val="12.0"/>
      <color rgb="FFFFFFFF"/>
      <name val="Arial"/>
    </font>
    <font>
      <sz val="40.0"/>
      <color rgb="FFFFFFFF"/>
      <name val="Arial"/>
    </font>
    <font>
      <b/>
      <sz val="16.0"/>
      <color rgb="FFFFFFFF"/>
      <name val="Arial"/>
    </font>
    <font>
      <b/>
      <sz val="14.0"/>
      <color rgb="FF0B5394"/>
      <name val="Arial"/>
      <scheme val="minor"/>
    </font>
    <font>
      <color theme="1"/>
      <name val="UICTFontTextStyleBody"/>
    </font>
    <font>
      <b/>
      <sz val="14.0"/>
      <color rgb="FFCC0000"/>
      <name val="Arial"/>
    </font>
    <font>
      <b/>
      <sz val="14.0"/>
      <color rgb="FFFFFFFF"/>
      <name val="Arial"/>
    </font>
    <font>
      <b/>
      <i/>
      <sz val="11.0"/>
      <color theme="1"/>
      <name val="Montserrat"/>
    </font>
    <font>
      <b/>
      <sz val="12.0"/>
      <color theme="1"/>
      <name val="Montserrat"/>
    </font>
    <font>
      <b/>
      <sz val="11.0"/>
      <color theme="1"/>
      <name val="Montserrat"/>
    </font>
    <font>
      <b/>
      <color theme="1"/>
      <name val="Montserrat"/>
    </font>
    <font>
      <sz val="8.0"/>
      <color theme="1"/>
      <name val="Arial"/>
    </font>
    <font>
      <sz val="9.0"/>
      <color rgb="FF1F1F1F"/>
      <name val="&quot;Google Sans&quot;"/>
    </font>
    <font>
      <sz val="9.0"/>
      <color theme="1"/>
      <name val="Arial"/>
    </font>
    <font>
      <b/>
      <sz val="11.0"/>
      <color rgb="FFFF0000"/>
      <name val="Arial"/>
    </font>
    <font>
      <b/>
      <sz val="14.0"/>
      <color theme="1"/>
      <name val="Arial"/>
      <scheme val="minor"/>
    </font>
    <font>
      <sz val="14.0"/>
      <color theme="1"/>
      <name val="Arial"/>
      <scheme val="minor"/>
    </font>
    <font>
      <b/>
      <sz val="14.0"/>
      <color theme="1"/>
      <name val="Times New Roman"/>
    </font>
    <font>
      <sz val="14.0"/>
      <color theme="1"/>
      <name val="Times New Roman"/>
    </font>
    <font>
      <u/>
      <sz val="14.0"/>
      <color rgb="FF0000FF"/>
      <name val="Times New Roman"/>
    </font>
    <font>
      <u/>
      <sz val="14.0"/>
      <color rgb="FF0000FF"/>
      <name val="Times New Roman"/>
    </font>
    <font>
      <u/>
      <sz val="14.0"/>
      <color rgb="FF0000FF"/>
      <name val="Times New Roman"/>
    </font>
    <font>
      <u/>
      <sz val="14.0"/>
      <color rgb="FF1155CC"/>
      <name val="Times New Roman"/>
    </font>
    <font>
      <sz val="14.0"/>
      <color rgb="FF000000"/>
      <name val="Times New Roman"/>
    </font>
    <font>
      <u/>
      <sz val="14.0"/>
      <color rgb="FF0000FF"/>
      <name val="Times New Roman"/>
    </font>
    <font>
      <b/>
      <color rgb="FF000000"/>
      <name val="Arial"/>
      <scheme val="minor"/>
    </font>
    <font>
      <b/>
      <sz val="10.0"/>
      <color theme="1"/>
      <name val="Arial"/>
      <scheme val="minor"/>
    </font>
    <font>
      <sz val="36.0"/>
      <color rgb="FFFFFFFF"/>
      <name val="Arial"/>
      <scheme val="minor"/>
    </font>
    <font>
      <u/>
      <sz val="10.0"/>
      <color rgb="FF0000FF"/>
    </font>
    <font>
      <u/>
      <color rgb="FF0000FF"/>
    </font>
    <font>
      <u/>
      <color rgb="FF0000FF"/>
    </font>
    <font>
      <sz val="36.0"/>
      <color rgb="FFFFFFFF"/>
      <name val="Arial"/>
    </font>
    <font>
      <u/>
      <color rgb="FF1155CC"/>
      <name val="Arial"/>
    </font>
    <font>
      <u/>
      <color rgb="FF0000FF"/>
      <name val="Arial"/>
    </font>
    <font>
      <u/>
      <color rgb="FF1155CC"/>
      <name val="Arial"/>
    </font>
    <font>
      <u/>
      <color rgb="FF1155CC"/>
      <name val="Arial"/>
    </font>
    <font>
      <b/>
      <color rgb="FF000000"/>
      <name val="Arial"/>
    </font>
    <font>
      <u/>
      <color rgb="FF1155CC"/>
      <name val="Arial"/>
    </font>
    <font>
      <color rgb="FF1155CC"/>
      <name val="Arial"/>
    </font>
    <font>
      <u/>
      <color rgb="FF1155CC"/>
      <name val="Arial"/>
    </font>
    <font>
      <b/>
      <sz val="24.0"/>
      <color rgb="FF000000"/>
      <name val="Arial"/>
    </font>
    <font>
      <color rgb="FF6AA84F"/>
      <name val="Arial"/>
    </font>
    <font>
      <sz val="11.0"/>
      <color rgb="FF000000"/>
      <name val="Arial"/>
    </font>
    <font>
      <color rgb="FFFF0000"/>
      <name val="Arial"/>
    </font>
    <font>
      <b/>
      <sz val="9.0"/>
      <color rgb="FFFF0000"/>
      <name val="Arial"/>
    </font>
    <font>
      <b/>
      <sz val="9.0"/>
      <color theme="1"/>
      <name val="Arial"/>
    </font>
    <font>
      <b/>
      <sz val="12.0"/>
      <color rgb="FF000000"/>
      <name val="Arial"/>
    </font>
    <font>
      <sz val="12.0"/>
      <color theme="1"/>
      <name val="Arial"/>
      <scheme val="minor"/>
    </font>
    <font>
      <b/>
      <sz val="10.0"/>
      <color rgb="FFFF0000"/>
      <name val="Arial"/>
    </font>
    <font>
      <sz val="11.0"/>
      <color rgb="FF000000"/>
      <name val="Roboto"/>
    </font>
    <font>
      <b/>
      <sz val="14.0"/>
      <color rgb="FFFF0000"/>
      <name val="Arial"/>
    </font>
    <font>
      <b/>
      <sz val="18.0"/>
      <color theme="1"/>
      <name val="Arial"/>
    </font>
    <font>
      <b/>
      <sz val="18.0"/>
      <color rgb="FF000000"/>
      <name val="Arial"/>
    </font>
    <font>
      <b/>
      <sz val="14.0"/>
      <color rgb="FF000000"/>
      <name val="Roboto"/>
    </font>
    <font>
      <b/>
      <sz val="26.0"/>
      <color rgb="FF000000"/>
      <name val="Arial"/>
    </font>
    <font>
      <sz val="14.0"/>
      <color rgb="FF000000"/>
      <name val="Arial"/>
    </font>
    <font>
      <b/>
      <sz val="16.0"/>
      <color rgb="FF000000"/>
      <name val="Arial"/>
    </font>
    <font>
      <b/>
      <color rgb="FFFFFFFF"/>
      <name val="Arial"/>
    </font>
    <font>
      <u/>
      <color rgb="FF0000FF"/>
    </font>
    <font>
      <u/>
      <color rgb="FF0000FF"/>
    </font>
    <font>
      <u/>
      <color rgb="FF0000FF"/>
    </font>
    <font>
      <u/>
      <color rgb="FF1155CC"/>
    </font>
    <font>
      <u/>
      <color rgb="FF1155CC"/>
    </font>
    <font>
      <u/>
      <color rgb="FF0000FF"/>
    </font>
    <font>
      <u/>
      <color rgb="FF0000FF"/>
    </font>
    <font>
      <u/>
      <color rgb="FF1155CC"/>
    </font>
    <font>
      <b/>
      <u/>
      <color rgb="FFCC0000"/>
    </font>
    <font>
      <u/>
      <color rgb="FF0000FF"/>
    </font>
    <font>
      <u/>
      <color rgb="FF1155CC"/>
      <name val="Arial"/>
      <scheme val="minor"/>
    </font>
    <font>
      <u/>
      <color rgb="FF1155CC"/>
    </font>
    <font>
      <u/>
      <sz val="11.0"/>
      <color rgb="FF980000"/>
      <name val="Calibri"/>
    </font>
    <font>
      <u/>
      <color rgb="FF0000FF"/>
      <name val="Arial"/>
    </font>
    <font>
      <u/>
      <sz val="11.0"/>
      <color rgb="FF0563C1"/>
      <name val="Calibri"/>
    </font>
    <font>
      <u/>
      <sz val="11.0"/>
      <color rgb="FF000000"/>
      <name val="Calibri"/>
    </font>
    <font>
      <sz val="12.0"/>
      <color rgb="FF000000"/>
      <name val="Calibri"/>
    </font>
    <font>
      <b/>
      <color rgb="FFF4CCCC"/>
      <name val="Arial"/>
    </font>
    <font>
      <color rgb="FF000000"/>
      <name val="-apple-system"/>
    </font>
  </fonts>
  <fills count="65">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CFE2F3"/>
        <bgColor rgb="FFCFE2F3"/>
      </patternFill>
    </fill>
    <fill>
      <patternFill patternType="solid">
        <fgColor rgb="FFEAD1DC"/>
        <bgColor rgb="FFEAD1DC"/>
      </patternFill>
    </fill>
    <fill>
      <patternFill patternType="solid">
        <fgColor rgb="FF93C47D"/>
        <bgColor rgb="FF93C47D"/>
      </patternFill>
    </fill>
    <fill>
      <patternFill patternType="solid">
        <fgColor rgb="FF9FC5E8"/>
        <bgColor rgb="FF9FC5E8"/>
      </patternFill>
    </fill>
    <fill>
      <patternFill patternType="solid">
        <fgColor rgb="FFCCCCCC"/>
        <bgColor rgb="FFCCCCCC"/>
      </patternFill>
    </fill>
    <fill>
      <patternFill patternType="solid">
        <fgColor rgb="FF00FFC9"/>
        <bgColor rgb="FF00FFC9"/>
      </patternFill>
    </fill>
    <fill>
      <patternFill patternType="solid">
        <fgColor rgb="FFE8DBB8"/>
        <bgColor rgb="FFE8DBB8"/>
      </patternFill>
    </fill>
    <fill>
      <patternFill patternType="solid">
        <fgColor rgb="FFFFFA7E"/>
        <bgColor rgb="FFFFFA7E"/>
      </patternFill>
    </fill>
    <fill>
      <patternFill patternType="solid">
        <fgColor rgb="FFFCE5CD"/>
        <bgColor rgb="FFFCE5CD"/>
      </patternFill>
    </fill>
    <fill>
      <patternFill patternType="solid">
        <fgColor rgb="FF7F6000"/>
        <bgColor rgb="FF7F6000"/>
      </patternFill>
    </fill>
    <fill>
      <patternFill patternType="solid">
        <fgColor rgb="FFFFD966"/>
        <bgColor rgb="FFFFD966"/>
      </patternFill>
    </fill>
    <fill>
      <patternFill patternType="solid">
        <fgColor theme="1"/>
        <bgColor theme="1"/>
      </patternFill>
    </fill>
    <fill>
      <patternFill patternType="solid">
        <fgColor rgb="FFB4A7D6"/>
        <bgColor rgb="FFB4A7D6"/>
      </patternFill>
    </fill>
    <fill>
      <patternFill patternType="solid">
        <fgColor rgb="FFEA9999"/>
        <bgColor rgb="FFEA9999"/>
      </patternFill>
    </fill>
    <fill>
      <patternFill patternType="solid">
        <fgColor rgb="FFEFEFEF"/>
        <bgColor rgb="FFEFEFEF"/>
      </patternFill>
    </fill>
    <fill>
      <patternFill patternType="solid">
        <fgColor rgb="FF73FEBC"/>
        <bgColor rgb="FF73FEBC"/>
      </patternFill>
    </fill>
    <fill>
      <patternFill patternType="solid">
        <fgColor rgb="FF666666"/>
        <bgColor rgb="FF666666"/>
      </patternFill>
    </fill>
    <fill>
      <patternFill patternType="solid">
        <fgColor rgb="FF53E19E"/>
        <bgColor rgb="FF53E19E"/>
      </patternFill>
    </fill>
    <fill>
      <patternFill patternType="solid">
        <fgColor rgb="FFE06666"/>
        <bgColor rgb="FFE06666"/>
      </patternFill>
    </fill>
    <fill>
      <patternFill patternType="solid">
        <fgColor rgb="FFF4CCCC"/>
        <bgColor rgb="FFF4CCCC"/>
      </patternFill>
    </fill>
    <fill>
      <patternFill patternType="solid">
        <fgColor rgb="FF999999"/>
        <bgColor rgb="FF999999"/>
      </patternFill>
    </fill>
    <fill>
      <patternFill patternType="solid">
        <fgColor rgb="FF20F28F"/>
        <bgColor rgb="FF20F28F"/>
      </patternFill>
    </fill>
    <fill>
      <patternFill patternType="solid">
        <fgColor rgb="FFF6B26B"/>
        <bgColor rgb="FFF6B26B"/>
      </patternFill>
    </fill>
    <fill>
      <patternFill patternType="solid">
        <fgColor rgb="FFFFE599"/>
        <bgColor rgb="FFFFE599"/>
      </patternFill>
    </fill>
    <fill>
      <patternFill patternType="solid">
        <fgColor rgb="FFB7B7B7"/>
        <bgColor rgb="FFB7B7B7"/>
      </patternFill>
    </fill>
    <fill>
      <patternFill patternType="solid">
        <fgColor rgb="FFF9F97C"/>
        <bgColor rgb="FFF9F97C"/>
      </patternFill>
    </fill>
    <fill>
      <patternFill patternType="solid">
        <fgColor rgb="FFD9EAD3"/>
        <bgColor rgb="FFD9EAD3"/>
      </patternFill>
    </fill>
    <fill>
      <patternFill patternType="solid">
        <fgColor rgb="FFFFF2CC"/>
        <bgColor rgb="FFFFF2CC"/>
      </patternFill>
    </fill>
    <fill>
      <patternFill patternType="solid">
        <fgColor rgb="FFC9DAF8"/>
        <bgColor rgb="FFC9DAF8"/>
      </patternFill>
    </fill>
    <fill>
      <patternFill patternType="solid">
        <fgColor rgb="FFF9CB9C"/>
        <bgColor rgb="FFF9CB9C"/>
      </patternFill>
    </fill>
    <fill>
      <patternFill patternType="solid">
        <fgColor rgb="FFD9D2E9"/>
        <bgColor rgb="FFD9D2E9"/>
      </patternFill>
    </fill>
    <fill>
      <patternFill patternType="solid">
        <fgColor rgb="FF6D9EEB"/>
        <bgColor rgb="FF6D9EEB"/>
      </patternFill>
    </fill>
    <fill>
      <patternFill patternType="solid">
        <fgColor rgb="FFADFF5A"/>
        <bgColor rgb="FFADFF5A"/>
      </patternFill>
    </fill>
    <fill>
      <patternFill patternType="solid">
        <fgColor rgb="FFCC0000"/>
        <bgColor rgb="FFCC0000"/>
      </patternFill>
    </fill>
    <fill>
      <patternFill patternType="solid">
        <fgColor rgb="FF66BD5E"/>
        <bgColor rgb="FF66BD5E"/>
      </patternFill>
    </fill>
    <fill>
      <patternFill patternType="solid">
        <fgColor rgb="FFFFFF00"/>
        <bgColor rgb="FFFFFF00"/>
      </patternFill>
    </fill>
    <fill>
      <patternFill patternType="solid">
        <fgColor rgb="FFEE9DA5"/>
        <bgColor rgb="FFEE9DA5"/>
      </patternFill>
    </fill>
    <fill>
      <patternFill patternType="solid">
        <fgColor rgb="FFD9D9D9"/>
        <bgColor rgb="FFD9D9D9"/>
      </patternFill>
    </fill>
    <fill>
      <patternFill patternType="solid">
        <fgColor rgb="FFE2E27F"/>
        <bgColor rgb="FFE2E27F"/>
      </patternFill>
    </fill>
    <fill>
      <patternFill patternType="solid">
        <fgColor rgb="FFEBCA6A"/>
        <bgColor rgb="FFEBCA6A"/>
      </patternFill>
    </fill>
    <fill>
      <patternFill patternType="solid">
        <fgColor rgb="FFDCBB59"/>
        <bgColor rgb="FFDCBB59"/>
      </patternFill>
    </fill>
    <fill>
      <patternFill patternType="solid">
        <fgColor rgb="FF76AA5F"/>
        <bgColor rgb="FF76AA5F"/>
      </patternFill>
    </fill>
    <fill>
      <patternFill patternType="solid">
        <fgColor rgb="FFF4C7C3"/>
        <bgColor rgb="FFF4C7C3"/>
      </patternFill>
    </fill>
    <fill>
      <patternFill patternType="solid">
        <fgColor rgb="FFD5A6BD"/>
        <bgColor rgb="FFD5A6BD"/>
      </patternFill>
    </fill>
    <fill>
      <patternFill patternType="solid">
        <fgColor rgb="FF4A86E8"/>
        <bgColor rgb="FF4A86E8"/>
      </patternFill>
    </fill>
    <fill>
      <patternFill patternType="solid">
        <fgColor rgb="FF6FA8DC"/>
        <bgColor rgb="FF6FA8DC"/>
      </patternFill>
    </fill>
    <fill>
      <patternFill patternType="solid">
        <fgColor rgb="FF00FFFF"/>
        <bgColor rgb="FF00FFFF"/>
      </patternFill>
    </fill>
    <fill>
      <patternFill patternType="solid">
        <fgColor rgb="FFFF9900"/>
        <bgColor rgb="FFFF9900"/>
      </patternFill>
    </fill>
    <fill>
      <patternFill patternType="solid">
        <fgColor rgb="FFB7E1CD"/>
        <bgColor rgb="FFB7E1CD"/>
      </patternFill>
    </fill>
    <fill>
      <patternFill patternType="solid">
        <fgColor rgb="FFCF94F7"/>
        <bgColor rgb="FFCF94F7"/>
      </patternFill>
    </fill>
    <fill>
      <patternFill patternType="solid">
        <fgColor rgb="FF8CB7FE"/>
        <bgColor rgb="FF8CB7FE"/>
      </patternFill>
    </fill>
    <fill>
      <patternFill patternType="solid">
        <fgColor rgb="FF00FF00"/>
        <bgColor rgb="FF00FF00"/>
      </patternFill>
    </fill>
    <fill>
      <patternFill patternType="solid">
        <fgColor rgb="FFFBBC04"/>
        <bgColor rgb="FFFBBC04"/>
      </patternFill>
    </fill>
    <fill>
      <patternFill patternType="solid">
        <fgColor rgb="FF134F5C"/>
        <bgColor rgb="FF134F5C"/>
      </patternFill>
    </fill>
    <fill>
      <patternFill patternType="solid">
        <fgColor theme="6"/>
        <bgColor theme="6"/>
      </patternFill>
    </fill>
    <fill>
      <patternFill patternType="solid">
        <fgColor rgb="FFA4C2F4"/>
        <bgColor rgb="FFA4C2F4"/>
      </patternFill>
    </fill>
    <fill>
      <patternFill patternType="solid">
        <fgColor rgb="FFDD7E6B"/>
        <bgColor rgb="FFDD7E6B"/>
      </patternFill>
    </fill>
    <fill>
      <patternFill patternType="solid">
        <fgColor rgb="FFFF0000"/>
        <bgColor rgb="FFFF0000"/>
      </patternFill>
    </fill>
    <fill>
      <patternFill patternType="solid">
        <fgColor rgb="FFF3F3F3"/>
        <bgColor rgb="FFF3F3F3"/>
      </patternFill>
    </fill>
    <fill>
      <patternFill patternType="solid">
        <fgColor rgb="FFB6D7A8"/>
        <bgColor rgb="FFB6D7A8"/>
      </patternFill>
    </fill>
    <fill>
      <patternFill patternType="solid">
        <fgColor rgb="FFD0E0E3"/>
        <bgColor rgb="FFD0E0E3"/>
      </patternFill>
    </fill>
  </fills>
  <borders count="95">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left style="thick">
        <color rgb="FF000000"/>
      </left>
      <top style="thick">
        <color rgb="FF000000"/>
      </top>
    </border>
    <border>
      <right style="thick">
        <color rgb="FF000000"/>
      </right>
      <top style="thick">
        <color rgb="FF000000"/>
      </top>
    </border>
    <border>
      <top style="thin">
        <color rgb="FF000000"/>
      </top>
    </border>
    <border>
      <left style="thick">
        <color rgb="FF000000"/>
      </left>
      <top style="thin">
        <color rgb="FF000000"/>
      </top>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ck">
        <color rgb="FF000000"/>
      </left>
      <right style="thin">
        <color rgb="FF000000"/>
      </right>
      <top style="thick">
        <color rgb="FF000000"/>
      </top>
    </border>
    <border>
      <left style="thin">
        <color rgb="FF000000"/>
      </left>
      <right style="thin">
        <color rgb="FF000000"/>
      </right>
      <top style="thick">
        <color rgb="FF000000"/>
      </top>
      <bottom style="thin">
        <color rgb="FF000000"/>
      </bottom>
    </border>
    <border>
      <left style="thick">
        <color rgb="FF000000"/>
      </left>
      <top style="thick">
        <color rgb="FF000000"/>
      </top>
      <bottom style="thin">
        <color rgb="FF000000"/>
      </bottom>
    </border>
    <border>
      <right style="thick">
        <color rgb="FF000000"/>
      </righ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ck">
        <color rgb="FF000000"/>
      </left>
      <right style="thin">
        <color rgb="FF000000"/>
      </right>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top style="thin">
        <color rgb="FF000000"/>
      </top>
      <bottom style="thin">
        <color rgb="FF000000"/>
      </bottom>
    </border>
    <border>
      <left style="thick">
        <color rgb="FF000000"/>
      </left>
      <top style="thin">
        <color rgb="FF000000"/>
      </top>
      <bottom style="thin">
        <color rgb="FF000000"/>
      </bottom>
    </border>
    <border>
      <right style="thick">
        <color rgb="FF000000"/>
      </right>
      <top style="thin">
        <color rgb="FF000000"/>
      </top>
      <bottom style="thin">
        <color rgb="FF000000"/>
      </bottom>
    </border>
    <border>
      <bottom style="thin">
        <color rgb="FF000000"/>
      </bottom>
    </border>
    <border>
      <left style="thick">
        <color rgb="FF000000"/>
      </left>
      <top style="thin">
        <color rgb="FF000000"/>
      </top>
      <bottom style="thick">
        <color rgb="FF000000"/>
      </bottom>
    </border>
    <border>
      <right style="thick">
        <color rgb="FF000000"/>
      </right>
      <top style="thin">
        <color rgb="FF000000"/>
      </top>
      <bottom style="thick">
        <color rgb="FF000000"/>
      </bottom>
    </border>
    <border>
      <left style="thin">
        <color rgb="FF000000"/>
      </left>
      <bottom style="thin">
        <color rgb="FF000000"/>
      </bottom>
    </border>
    <border>
      <right style="thin">
        <color rgb="FF000000"/>
      </right>
      <bottom style="thin">
        <color rgb="FF000000"/>
      </bottom>
    </border>
    <border>
      <left style="thick">
        <color rgb="FF000000"/>
      </left>
      <right style="thin">
        <color rgb="FF000000"/>
      </right>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n">
        <color rgb="FF000000"/>
      </left>
      <top style="thick">
        <color rgb="FF000000"/>
      </top>
      <bottom style="thin">
        <color rgb="FF000000"/>
      </bottom>
    </border>
    <border>
      <top style="thick">
        <color rgb="FF000000"/>
      </top>
    </border>
    <border>
      <right style="thick">
        <color rgb="FF000000"/>
      </right>
      <bottom style="thin">
        <color rgb="FF000000"/>
      </bottom>
    </border>
    <border>
      <left style="thick">
        <color rgb="FF000000"/>
      </left>
      <right style="thin">
        <color rgb="FF000000"/>
      </right>
      <top style="thin">
        <color rgb="FF000000"/>
      </top>
    </border>
    <border>
      <left style="thick">
        <color rgb="FF000000"/>
      </left>
      <right style="thin">
        <color rgb="FF000000"/>
      </right>
      <bottom style="thin">
        <color rgb="FF000000"/>
      </bottom>
    </border>
    <border>
      <left style="thin">
        <color rgb="FF000000"/>
      </left>
      <top style="thin">
        <color rgb="FF000000"/>
      </top>
      <bottom style="thick">
        <color rgb="FF000000"/>
      </bottom>
    </border>
    <border>
      <left style="thick">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top style="thin">
        <color rgb="FF000000"/>
      </top>
      <bottom style="thick">
        <color rgb="FF000000"/>
      </bottom>
    </border>
    <border>
      <left style="thick">
        <color rgb="FF000000"/>
      </left>
      <right style="thin">
        <color rgb="FF000000"/>
      </right>
      <top style="thick">
        <color rgb="FF000000"/>
      </top>
      <bottom style="thin">
        <color rgb="FF000000"/>
      </bottom>
    </border>
    <border>
      <right style="thick">
        <color rgb="FF000000"/>
      </right>
      <top style="thin">
        <color rgb="FF000000"/>
      </top>
    </border>
    <border>
      <right style="thick">
        <color rgb="FF000000"/>
      </right>
    </border>
    <border>
      <right style="thin">
        <color rgb="FF000000"/>
      </right>
    </border>
    <border>
      <left style="thick">
        <color rgb="FF000000"/>
      </left>
      <bottom style="thin">
        <color rgb="FF000000"/>
      </bottom>
    </border>
    <border>
      <left style="thin">
        <color rgb="FF000000"/>
      </left>
      <right style="thin">
        <color rgb="FF000000"/>
      </right>
    </border>
    <border>
      <left style="thin">
        <color rgb="FF000000"/>
      </left>
      <right style="thick">
        <color rgb="FF000000"/>
      </right>
    </border>
    <border>
      <bottom style="thick">
        <color rgb="FF000000"/>
      </bottom>
    </border>
    <border>
      <right style="thin">
        <color rgb="FF000000"/>
      </right>
      <bottom style="thick">
        <color rgb="FF000000"/>
      </bottom>
    </border>
    <border>
      <left style="thin">
        <color rgb="FF000000"/>
      </left>
      <right style="thin">
        <color rgb="FF000000"/>
      </right>
      <bottom style="thick">
        <color rgb="FF000000"/>
      </bottom>
    </border>
    <border>
      <left style="thin">
        <color rgb="FF000000"/>
      </left>
      <right style="thick">
        <color rgb="FF000000"/>
      </right>
      <bottom style="thick">
        <color rgb="FF000000"/>
      </bottom>
    </border>
    <border>
      <left style="thin">
        <color rgb="FF000000"/>
      </left>
      <right style="thin">
        <color rgb="FF000000"/>
      </right>
      <bottom style="thin">
        <color rgb="FF000000"/>
      </bottom>
    </border>
    <border>
      <left style="thin">
        <color rgb="FF000000"/>
      </left>
    </border>
    <border>
      <right style="thin">
        <color rgb="FF000000"/>
      </right>
      <top style="thick">
        <color rgb="FF000000"/>
      </top>
    </border>
    <border>
      <left style="thin">
        <color rgb="FF000000"/>
      </left>
      <top style="thick">
        <color rgb="FF000000"/>
      </top>
    </border>
    <border>
      <left style="thin">
        <color rgb="FF000000"/>
      </left>
      <right style="thick">
        <color rgb="FF000000"/>
      </right>
      <top style="thin">
        <color rgb="FF000000"/>
      </top>
    </border>
    <border>
      <left style="thick">
        <color rgb="FF000000"/>
      </left>
      <right style="thick">
        <color rgb="FF000000"/>
      </right>
      <top style="thick">
        <color rgb="FF000000"/>
      </top>
    </border>
    <border>
      <left style="thin">
        <color rgb="FF000000"/>
      </left>
      <right style="thick">
        <color rgb="FF000000"/>
      </right>
      <top style="thick">
        <color rgb="FF000000"/>
      </top>
      <bottom style="thin">
        <color rgb="FF000000"/>
      </bottom>
    </border>
    <border>
      <left style="thin">
        <color rgb="FF000000"/>
      </left>
      <right style="thick">
        <color rgb="FF000000"/>
      </right>
      <top style="thick">
        <color rgb="FF000000"/>
      </top>
    </border>
    <border>
      <left style="thick">
        <color rgb="FF000000"/>
      </left>
      <right style="thick">
        <color rgb="FF000000"/>
      </right>
    </border>
    <border>
      <left style="thin">
        <color rgb="FF000000"/>
      </left>
      <right style="thick">
        <color rgb="FF000000"/>
      </right>
      <bottom style="thin">
        <color rgb="FF000000"/>
      </bottom>
    </border>
    <border>
      <left style="thick">
        <color rgb="FF000000"/>
      </left>
      <right style="thick">
        <color rgb="FF000000"/>
      </right>
      <bottom style="thick">
        <color rgb="FF000000"/>
      </bottom>
    </border>
    <border>
      <left style="thick">
        <color rgb="FF000000"/>
      </left>
    </border>
    <border>
      <left style="thick">
        <color rgb="FF999999"/>
      </left>
      <right style="thin">
        <color rgb="FF000000"/>
      </right>
      <top style="thick">
        <color rgb="FF999999"/>
      </top>
    </border>
    <border>
      <left style="thin">
        <color rgb="FF000000"/>
      </left>
      <right style="thin">
        <color rgb="FF000000"/>
      </right>
      <top style="thick">
        <color rgb="FF999999"/>
      </top>
    </border>
    <border>
      <left style="thin">
        <color rgb="FF000000"/>
      </left>
      <top style="thick">
        <color rgb="FF999999"/>
      </top>
      <bottom style="thin">
        <color rgb="FF000000"/>
      </bottom>
    </border>
    <border>
      <right style="thin">
        <color rgb="FF000000"/>
      </right>
      <top style="thick">
        <color rgb="FF999999"/>
      </top>
      <bottom style="thin">
        <color rgb="FF000000"/>
      </bottom>
    </border>
    <border>
      <left style="thick">
        <color rgb="FF000000"/>
      </left>
      <top style="thick">
        <color rgb="FF999999"/>
      </top>
    </border>
    <border>
      <right style="thick">
        <color rgb="FF000000"/>
      </right>
      <top style="thick">
        <color rgb="FF999999"/>
      </top>
    </border>
    <border>
      <top style="thick">
        <color rgb="FF999999"/>
      </top>
    </border>
    <border>
      <right style="thin">
        <color rgb="FF000000"/>
      </right>
      <top style="thick">
        <color rgb="FF999999"/>
      </top>
    </border>
    <border>
      <right style="thick">
        <color rgb="FF999999"/>
      </right>
      <top style="thick">
        <color rgb="FF999999"/>
      </top>
    </border>
    <border>
      <left style="thick">
        <color rgb="FF999999"/>
      </left>
      <right style="thin">
        <color rgb="FF000000"/>
      </right>
      <top style="thick">
        <color rgb="FF000000"/>
      </top>
    </border>
    <border>
      <right style="thick">
        <color rgb="FF999999"/>
      </right>
      <top style="thick">
        <color rgb="FF000000"/>
      </top>
      <bottom style="thin">
        <color rgb="FF000000"/>
      </bottom>
    </border>
    <border>
      <left style="thick">
        <color rgb="FF999999"/>
      </left>
      <right style="thin">
        <color rgb="FF000000"/>
      </right>
    </border>
    <border>
      <right style="thick">
        <color rgb="FF999999"/>
      </right>
      <top style="thin">
        <color rgb="FF000000"/>
      </top>
      <bottom style="thin">
        <color rgb="FF000000"/>
      </bottom>
    </border>
    <border>
      <left style="thick">
        <color rgb="FF999999"/>
      </left>
      <right style="thin">
        <color rgb="FF000000"/>
      </right>
      <bottom style="thick">
        <color rgb="FF000000"/>
      </bottom>
    </border>
    <border>
      <left style="thin">
        <color rgb="FF000000"/>
      </left>
      <right style="thick">
        <color rgb="FF999999"/>
      </right>
      <top style="thin">
        <color rgb="FF000000"/>
      </top>
      <bottom style="thick">
        <color rgb="FF000000"/>
      </bottom>
    </border>
    <border>
      <left style="thin">
        <color rgb="FF000000"/>
      </left>
      <right style="thin">
        <color rgb="FF000000"/>
      </right>
      <top style="thick">
        <color rgb="FF000000"/>
      </top>
    </border>
    <border>
      <left style="thick">
        <color rgb="FF000000"/>
      </left>
      <right style="thin">
        <color rgb="FF000000"/>
      </right>
      <top style="thick">
        <color rgb="FF000000"/>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n">
        <color rgb="FF000000"/>
      </left>
      <bottom style="thick">
        <color rgb="FF000000"/>
      </bottom>
    </border>
    <border>
      <right style="thick">
        <color rgb="FF000000"/>
      </right>
      <bottom style="thick">
        <color rgb="FF000000"/>
      </bottom>
    </border>
    <border>
      <left style="thick">
        <color rgb="FF000000"/>
      </left>
      <right style="thick">
        <color rgb="FF000000"/>
      </right>
      <top style="thin">
        <color rgb="FF000000"/>
      </top>
      <bottom style="thin">
        <color rgb="FF000000"/>
      </bottom>
    </border>
    <border>
      <left style="thick">
        <color rgb="FF000000"/>
      </left>
      <right style="thick">
        <color rgb="FF000000"/>
      </right>
      <bottom style="thin">
        <color rgb="FF000000"/>
      </bottom>
    </border>
    <border>
      <left style="thick">
        <color rgb="FF000000"/>
      </left>
      <bottom style="thick">
        <color rgb="FF000000"/>
      </bottom>
    </border>
    <border>
      <left style="thick">
        <color rgb="FF000000"/>
      </left>
      <right style="thick">
        <color rgb="FF000000"/>
      </right>
      <top style="thick">
        <color rgb="FF000000"/>
      </top>
      <bottom style="thick">
        <color rgb="FF000000"/>
      </bottom>
    </border>
    <border>
      <right style="medium">
        <color rgb="FF073763"/>
      </right>
      <top style="thin">
        <color rgb="FF000000"/>
      </top>
      <bottom style="thin">
        <color rgb="FF000000"/>
      </bottom>
    </border>
    <border>
      <left style="medium">
        <color rgb="FF073763"/>
      </left>
      <top style="medium">
        <color rgb="FF073763"/>
      </top>
      <bottom style="medium">
        <color rgb="FF073763"/>
      </bottom>
    </border>
    <border>
      <top style="medium">
        <color rgb="FF073763"/>
      </top>
      <bottom style="medium">
        <color rgb="FF073763"/>
      </bottom>
    </border>
    <border>
      <right style="medium">
        <color rgb="FF073763"/>
      </right>
      <top style="medium">
        <color rgb="FF073763"/>
      </top>
      <bottom style="medium">
        <color rgb="FF073763"/>
      </bottom>
    </border>
    <border>
      <left style="thin">
        <color rgb="FF000000"/>
      </left>
      <right style="thin">
        <color rgb="FF000000"/>
      </right>
      <top style="thick">
        <color rgb="FF000000"/>
      </top>
      <bottom style="thick">
        <color rgb="FF000000"/>
      </bottom>
    </border>
    <border>
      <left style="thin">
        <color rgb="FF000000"/>
      </left>
      <top style="thick">
        <color rgb="FF000000"/>
      </top>
      <bottom style="thick">
        <color rgb="FF000000"/>
      </bottom>
    </border>
  </borders>
  <cellStyleXfs count="1">
    <xf borderId="0" fillId="0" fontId="0" numFmtId="0" applyAlignment="1" applyFont="1"/>
  </cellStyleXfs>
  <cellXfs count="1858">
    <xf borderId="0" fillId="0" fontId="0" numFmtId="0" xfId="0" applyAlignment="1" applyFont="1">
      <alignment readingOrder="0" shrinkToFit="0" vertical="bottom" wrapText="0"/>
    </xf>
    <xf borderId="1" fillId="0" fontId="1" numFmtId="0" xfId="0" applyAlignment="1" applyBorder="1" applyFont="1">
      <alignment horizontal="center" textRotation="90" vertical="center"/>
    </xf>
    <xf borderId="1" fillId="0" fontId="1" numFmtId="0" xfId="0" applyBorder="1" applyFont="1"/>
    <xf borderId="2" fillId="0" fontId="2" numFmtId="0" xfId="0" applyAlignment="1" applyBorder="1" applyFont="1">
      <alignment horizontal="center" shrinkToFit="0" vertical="center" wrapText="1"/>
    </xf>
    <xf borderId="3" fillId="0" fontId="3" numFmtId="0" xfId="0" applyBorder="1" applyFont="1"/>
    <xf borderId="4" fillId="0" fontId="2" numFmtId="0" xfId="0" applyAlignment="1" applyBorder="1" applyFont="1">
      <alignment horizontal="center" shrinkToFit="0" vertical="center" wrapText="1"/>
    </xf>
    <xf borderId="5" fillId="0" fontId="3" numFmtId="0" xfId="0" applyBorder="1" applyFont="1"/>
    <xf borderId="6" fillId="0" fontId="2" numFmtId="0" xfId="0" applyAlignment="1" applyBorder="1" applyFont="1">
      <alignment horizontal="center" readingOrder="0" shrinkToFit="0" vertical="center" wrapText="1"/>
    </xf>
    <xf borderId="6" fillId="0" fontId="3" numFmtId="0" xfId="0" applyBorder="1" applyFont="1"/>
    <xf borderId="7" fillId="0" fontId="2" numFmtId="0" xfId="0" applyAlignment="1" applyBorder="1" applyFont="1">
      <alignment horizontal="center" readingOrder="0" shrinkToFit="0" vertical="center" wrapText="1"/>
    </xf>
    <xf borderId="7" fillId="0" fontId="2"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3" numFmtId="0" xfId="0" applyBorder="1" applyFont="1"/>
    <xf borderId="8" fillId="0" fontId="1" numFmtId="0" xfId="0" applyAlignment="1" applyBorder="1" applyFont="1">
      <alignment vertical="center"/>
    </xf>
    <xf borderId="8" fillId="0" fontId="1" numFmtId="0" xfId="0" applyAlignment="1" applyBorder="1" applyFont="1">
      <alignment horizontal="center" shrinkToFit="0" vertical="center" wrapText="1"/>
    </xf>
    <xf borderId="8" fillId="0" fontId="1" numFmtId="164" xfId="0" applyAlignment="1" applyBorder="1" applyFont="1" applyNumberFormat="1">
      <alignment horizontal="center" shrinkToFit="0" vertical="center" wrapText="1"/>
    </xf>
    <xf borderId="0" fillId="0" fontId="1" numFmtId="164" xfId="0" applyAlignment="1" applyFont="1" applyNumberFormat="1">
      <alignment horizontal="center" shrinkToFit="0" vertical="center" wrapText="1"/>
    </xf>
    <xf borderId="11" fillId="0" fontId="4" numFmtId="165" xfId="0" applyAlignment="1" applyBorder="1" applyFont="1" applyNumberFormat="1">
      <alignment horizontal="center" readingOrder="0" shrinkToFit="0" textRotation="90" vertical="center" wrapText="1"/>
    </xf>
    <xf borderId="12" fillId="0" fontId="1" numFmtId="0" xfId="0" applyAlignment="1" applyBorder="1" applyFont="1">
      <alignment horizontal="center" shrinkToFit="0" wrapText="1"/>
    </xf>
    <xf borderId="12" fillId="0" fontId="5" numFmtId="20" xfId="0" applyAlignment="1" applyBorder="1" applyFont="1" applyNumberFormat="1">
      <alignment horizontal="center" shrinkToFit="0" vertical="bottom" wrapText="1"/>
    </xf>
    <xf borderId="13" fillId="0" fontId="1" numFmtId="0" xfId="0" applyAlignment="1" applyBorder="1" applyFont="1">
      <alignment horizontal="center" readingOrder="0" shrinkToFit="0" vertical="center" wrapText="1"/>
    </xf>
    <xf borderId="14" fillId="0" fontId="3" numFmtId="0" xfId="0" applyBorder="1" applyFont="1"/>
    <xf borderId="15" fillId="0" fontId="1" numFmtId="0" xfId="0" applyAlignment="1" applyBorder="1" applyFont="1">
      <alignment horizontal="center" readingOrder="0" shrinkToFit="0" vertical="center" wrapText="1"/>
    </xf>
    <xf borderId="15" fillId="0" fontId="3" numFmtId="0" xfId="0" applyBorder="1" applyFont="1"/>
    <xf borderId="16" fillId="0" fontId="3" numFmtId="0" xfId="0" applyBorder="1" applyFont="1"/>
    <xf borderId="10" fillId="0" fontId="1" numFmtId="0" xfId="0" applyAlignment="1" applyBorder="1" applyFont="1">
      <alignment horizontal="center" shrinkToFit="0" vertical="center" wrapText="1"/>
    </xf>
    <xf borderId="12" fillId="0" fontId="6" numFmtId="20" xfId="0" applyAlignment="1" applyBorder="1" applyFont="1" applyNumberFormat="1">
      <alignment horizontal="center" shrinkToFit="0" vertical="bottom" wrapText="1"/>
    </xf>
    <xf borderId="8" fillId="0" fontId="2" numFmtId="0" xfId="0" applyAlignment="1" applyBorder="1" applyFont="1">
      <alignment vertical="center"/>
    </xf>
    <xf borderId="0" fillId="0" fontId="1" numFmtId="0" xfId="0" applyAlignment="1" applyFont="1">
      <alignment vertical="center"/>
    </xf>
    <xf borderId="17" fillId="0" fontId="3" numFmtId="0" xfId="0" applyBorder="1" applyFont="1"/>
    <xf borderId="8" fillId="0" fontId="1" numFmtId="0" xfId="0" applyAlignment="1" applyBorder="1" applyFont="1">
      <alignment horizontal="center" shrinkToFit="0" wrapText="1"/>
    </xf>
    <xf borderId="8" fillId="0" fontId="5" numFmtId="20" xfId="0" applyAlignment="1" applyBorder="1" applyFont="1" applyNumberFormat="1">
      <alignment horizontal="center" shrinkToFit="0" vertical="bottom" wrapText="1"/>
    </xf>
    <xf borderId="18" fillId="0" fontId="1" numFmtId="0" xfId="0" applyAlignment="1" applyBorder="1" applyFont="1">
      <alignment horizontal="center" readingOrder="0" shrinkToFit="0" vertical="center" wrapText="1"/>
    </xf>
    <xf borderId="19" fillId="0" fontId="1" numFmtId="0" xfId="0" applyAlignment="1" applyBorder="1" applyFont="1">
      <alignment horizontal="center" readingOrder="0" shrinkToFit="0" vertical="center" wrapText="1"/>
    </xf>
    <xf borderId="20" fillId="0" fontId="1" numFmtId="0" xfId="0" applyAlignment="1" applyBorder="1" applyFont="1">
      <alignment horizontal="center" readingOrder="0" shrinkToFit="0" vertical="center" wrapText="1"/>
    </xf>
    <xf borderId="20" fillId="0" fontId="3" numFmtId="0" xfId="0" applyBorder="1" applyFont="1"/>
    <xf borderId="21" fillId="0" fontId="1" numFmtId="0" xfId="0" applyAlignment="1" applyBorder="1" applyFont="1">
      <alignment horizontal="center" readingOrder="0" shrinkToFit="0" vertical="center" wrapText="1"/>
    </xf>
    <xf borderId="9" fillId="2" fontId="7" numFmtId="0" xfId="0" applyAlignment="1" applyBorder="1" applyFill="1" applyFont="1">
      <alignment horizontal="center" readingOrder="0" shrinkToFit="0" vertical="center" wrapText="1"/>
    </xf>
    <xf borderId="18" fillId="3" fontId="1" numFmtId="0" xfId="0" applyAlignment="1" applyBorder="1" applyFill="1" applyFont="1">
      <alignment horizontal="center" readingOrder="0" shrinkToFit="0" vertical="center" wrapText="1"/>
    </xf>
    <xf borderId="9" fillId="3" fontId="1" numFmtId="0" xfId="0" applyAlignment="1" applyBorder="1" applyFont="1">
      <alignment horizontal="center" readingOrder="0" shrinkToFit="0" vertical="center" wrapText="1"/>
    </xf>
    <xf borderId="22" fillId="0" fontId="3" numFmtId="0" xfId="0" applyBorder="1" applyFont="1"/>
    <xf borderId="8" fillId="0" fontId="6" numFmtId="20" xfId="0" applyAlignment="1" applyBorder="1" applyFont="1" applyNumberFormat="1">
      <alignment horizontal="center" shrinkToFit="0" vertical="bottom" wrapText="1"/>
    </xf>
    <xf borderId="10" fillId="0" fontId="1" numFmtId="0" xfId="0" applyAlignment="1" applyBorder="1" applyFont="1">
      <alignment horizontal="center" readingOrder="0" shrinkToFit="0" vertical="center" wrapText="1"/>
    </xf>
    <xf borderId="8" fillId="0" fontId="1" numFmtId="0" xfId="0" applyAlignment="1" applyBorder="1" applyFont="1">
      <alignment horizontal="center" readingOrder="0" shrinkToFit="0" vertical="center" wrapText="1"/>
    </xf>
    <xf borderId="9" fillId="0" fontId="1" numFmtId="0" xfId="0" applyAlignment="1" applyBorder="1" applyFont="1">
      <alignment horizontal="center" readingOrder="0" shrinkToFit="0" vertical="center" wrapText="1"/>
    </xf>
    <xf borderId="21" fillId="2" fontId="7" numFmtId="0" xfId="0" applyAlignment="1" applyBorder="1" applyFont="1">
      <alignment horizontal="center" readingOrder="0" vertical="center"/>
    </xf>
    <xf borderId="21" fillId="4" fontId="2" numFmtId="0" xfId="0" applyAlignment="1" applyBorder="1" applyFill="1" applyFont="1">
      <alignment horizontal="center" readingOrder="0" shrinkToFit="0" vertical="center" wrapText="1"/>
    </xf>
    <xf borderId="8" fillId="0" fontId="2" numFmtId="0" xfId="0" applyAlignment="1" applyBorder="1" applyFont="1">
      <alignment horizontal="center" readingOrder="0" shrinkToFit="0" vertical="center" wrapText="1"/>
    </xf>
    <xf borderId="18" fillId="5" fontId="2" numFmtId="0" xfId="0" applyAlignment="1" applyBorder="1" applyFill="1" applyFont="1">
      <alignment horizontal="center" readingOrder="0" shrinkToFit="0" vertical="center" wrapText="1"/>
    </xf>
    <xf borderId="21" fillId="5" fontId="2" numFmtId="0" xfId="0" applyAlignment="1" applyBorder="1" applyFont="1">
      <alignment horizontal="center" readingOrder="0" shrinkToFit="0" vertical="center" wrapText="1"/>
    </xf>
    <xf borderId="21" fillId="0" fontId="8" numFmtId="0" xfId="0" applyAlignment="1" applyBorder="1" applyFont="1">
      <alignment horizontal="center" readingOrder="0" vertical="center"/>
    </xf>
    <xf borderId="21" fillId="2" fontId="1" numFmtId="0" xfId="0" applyAlignment="1" applyBorder="1" applyFont="1">
      <alignment horizontal="center" readingOrder="0" shrinkToFit="0" vertical="center" wrapText="1"/>
    </xf>
    <xf borderId="8" fillId="0" fontId="5" numFmtId="166" xfId="0" applyAlignment="1" applyBorder="1" applyFont="1" applyNumberFormat="1">
      <alignment horizontal="center" shrinkToFit="0" vertical="bottom" wrapText="1"/>
    </xf>
    <xf borderId="8" fillId="0" fontId="6" numFmtId="166" xfId="0" applyAlignment="1" applyBorder="1" applyFont="1" applyNumberFormat="1">
      <alignment horizontal="center" shrinkToFit="0" vertical="bottom" wrapText="1"/>
    </xf>
    <xf borderId="8" fillId="0" fontId="5" numFmtId="0" xfId="0" applyAlignment="1" applyBorder="1" applyFont="1">
      <alignment horizontal="center" readingOrder="0" vertical="bottom"/>
    </xf>
    <xf borderId="8" fillId="0" fontId="5" numFmtId="0" xfId="0" applyAlignment="1" applyBorder="1" applyFont="1">
      <alignment horizontal="center" readingOrder="0" shrinkToFit="0" vertical="bottom" wrapText="1"/>
    </xf>
    <xf borderId="0" fillId="6" fontId="8" numFmtId="0" xfId="0" applyAlignment="1" applyFill="1" applyFont="1">
      <alignment horizontal="center" readingOrder="0" vertical="center"/>
    </xf>
    <xf borderId="8" fillId="0" fontId="6" numFmtId="0" xfId="0" applyAlignment="1" applyBorder="1" applyFont="1">
      <alignment horizontal="center" readingOrder="0" vertical="bottom"/>
    </xf>
    <xf borderId="8" fillId="0" fontId="6" numFmtId="0" xfId="0" applyAlignment="1" applyBorder="1" applyFont="1">
      <alignment horizontal="center" readingOrder="0" shrinkToFit="0" vertical="bottom" wrapText="1"/>
    </xf>
    <xf borderId="21" fillId="7" fontId="8" numFmtId="0" xfId="0" applyAlignment="1" applyBorder="1" applyFill="1" applyFont="1">
      <alignment horizontal="center" readingOrder="0" shrinkToFit="0" vertical="center" wrapText="1"/>
    </xf>
    <xf borderId="21" fillId="2" fontId="1" numFmtId="0" xfId="0" applyAlignment="1" applyBorder="1" applyFont="1">
      <alignment horizontal="center" readingOrder="0" vertical="center"/>
    </xf>
    <xf borderId="18" fillId="8" fontId="1" numFmtId="0" xfId="0" applyAlignment="1" applyBorder="1" applyFill="1" applyFont="1">
      <alignment horizontal="center" readingOrder="0" shrinkToFit="0" vertical="center" wrapText="1"/>
    </xf>
    <xf borderId="23" fillId="0" fontId="7" numFmtId="0" xfId="0" applyAlignment="1" applyBorder="1" applyFont="1">
      <alignment horizontal="center" readingOrder="0" vertical="center"/>
    </xf>
    <xf borderId="23" fillId="0" fontId="3" numFmtId="0" xfId="0" applyBorder="1" applyFont="1"/>
    <xf borderId="8" fillId="0" fontId="1" numFmtId="167" xfId="0" applyAlignment="1" applyBorder="1" applyFont="1" applyNumberFormat="1">
      <alignment horizontal="center" readingOrder="0" shrinkToFit="0" vertical="center" wrapText="1"/>
    </xf>
    <xf borderId="24" fillId="0" fontId="8" numFmtId="0" xfId="0" applyAlignment="1" applyBorder="1" applyFont="1">
      <alignment horizontal="center" readingOrder="0" shrinkToFit="0" vertical="center" wrapText="1"/>
    </xf>
    <xf borderId="25" fillId="0" fontId="3" numFmtId="0" xfId="0" applyBorder="1" applyFont="1"/>
    <xf borderId="9" fillId="7" fontId="1" numFmtId="0" xfId="0" applyAlignment="1" applyBorder="1" applyFont="1">
      <alignment horizontal="center" readingOrder="0" shrinkToFit="0" vertical="center" wrapText="1"/>
    </xf>
    <xf borderId="8" fillId="0" fontId="9" numFmtId="167" xfId="0" applyAlignment="1" applyBorder="1" applyFont="1" applyNumberFormat="1">
      <alignment horizontal="center" readingOrder="0" shrinkToFit="0" vertical="center" wrapText="1"/>
    </xf>
    <xf borderId="8" fillId="0" fontId="9" numFmtId="0" xfId="0" applyAlignment="1" applyBorder="1" applyFont="1">
      <alignment horizontal="center" readingOrder="0" shrinkToFit="0" vertical="center" wrapText="1"/>
    </xf>
    <xf borderId="26" fillId="0" fontId="10" numFmtId="0" xfId="0" applyAlignment="1" applyBorder="1" applyFont="1">
      <alignment horizontal="center" readingOrder="0" shrinkToFit="0" vertical="center" wrapText="1"/>
    </xf>
    <xf borderId="27" fillId="0" fontId="3" numFmtId="0" xfId="0" applyBorder="1" applyFont="1"/>
    <xf borderId="20" fillId="0" fontId="1" numFmtId="0" xfId="0" applyAlignment="1" applyBorder="1" applyFont="1">
      <alignment horizontal="center" readingOrder="0" vertical="center"/>
    </xf>
    <xf borderId="28" fillId="0" fontId="3" numFmtId="0" xfId="0" applyBorder="1" applyFont="1"/>
    <xf borderId="29" fillId="0" fontId="1" numFmtId="0" xfId="0" applyAlignment="1" applyBorder="1" applyFont="1">
      <alignment horizontal="center" shrinkToFit="0" wrapText="1"/>
    </xf>
    <xf borderId="29" fillId="0" fontId="1" numFmtId="0" xfId="0" applyAlignment="1" applyBorder="1" applyFont="1">
      <alignment horizontal="center" readingOrder="0" shrinkToFit="0" vertical="center" wrapText="1"/>
    </xf>
    <xf borderId="29" fillId="0" fontId="1" numFmtId="0" xfId="0" applyAlignment="1" applyBorder="1" applyFont="1">
      <alignment horizontal="center" readingOrder="0" vertical="center"/>
    </xf>
    <xf borderId="30" fillId="0" fontId="1" numFmtId="0" xfId="0" applyAlignment="1" applyBorder="1" applyFont="1">
      <alignment horizontal="center" readingOrder="0" vertical="center"/>
    </xf>
    <xf borderId="29" fillId="0" fontId="9" numFmtId="0" xfId="0" applyAlignment="1" applyBorder="1" applyFont="1">
      <alignment horizontal="center" readingOrder="0" shrinkToFit="0" vertical="center" wrapText="1"/>
    </xf>
    <xf borderId="31" fillId="0" fontId="1" numFmtId="0" xfId="0" applyAlignment="1" applyBorder="1" applyFont="1">
      <alignment horizontal="center" readingOrder="0" shrinkToFit="0" vertical="center" wrapText="1"/>
    </xf>
    <xf borderId="13" fillId="6" fontId="8" numFmtId="0" xfId="0" applyAlignment="1" applyBorder="1" applyFont="1">
      <alignment horizontal="center" readingOrder="0" vertical="center"/>
    </xf>
    <xf borderId="31" fillId="2" fontId="1" numFmtId="0" xfId="0" applyAlignment="1" applyBorder="1" applyFont="1">
      <alignment horizontal="center" readingOrder="0" vertical="center"/>
    </xf>
    <xf borderId="32" fillId="0" fontId="11" numFmtId="0" xfId="0" applyAlignment="1" applyBorder="1" applyFont="1">
      <alignment horizontal="center" readingOrder="0" shrinkToFit="0" vertical="center" wrapText="1"/>
    </xf>
    <xf borderId="16" fillId="0" fontId="1" numFmtId="0" xfId="0" applyAlignment="1" applyBorder="1" applyFont="1">
      <alignment horizontal="center" readingOrder="0" shrinkToFit="0" vertical="center" wrapText="1"/>
    </xf>
    <xf borderId="8" fillId="0" fontId="1" numFmtId="20" xfId="0" applyAlignment="1" applyBorder="1" applyFont="1" applyNumberFormat="1">
      <alignment horizontal="center" shrinkToFit="0" vertical="center" wrapText="1"/>
    </xf>
    <xf borderId="9" fillId="6" fontId="1" numFmtId="0" xfId="0" applyAlignment="1" applyBorder="1" applyFont="1">
      <alignment horizontal="center" readingOrder="0" shrinkToFit="0" vertical="center" wrapText="1"/>
    </xf>
    <xf borderId="9" fillId="2" fontId="1" numFmtId="0" xfId="0" applyAlignment="1" applyBorder="1" applyFont="1">
      <alignment horizontal="center" readingOrder="0" vertical="center"/>
    </xf>
    <xf borderId="33" fillId="0" fontId="3" numFmtId="0" xfId="0" applyBorder="1" applyFont="1"/>
    <xf borderId="9" fillId="0" fontId="8" numFmtId="0" xfId="0" applyAlignment="1" applyBorder="1" applyFont="1">
      <alignment horizontal="center" readingOrder="0" vertical="center"/>
    </xf>
    <xf borderId="8" fillId="0" fontId="8" numFmtId="0" xfId="0" applyAlignment="1" applyBorder="1" applyFont="1">
      <alignment horizontal="center" readingOrder="0" shrinkToFit="0" vertical="center" wrapText="1"/>
    </xf>
    <xf borderId="20" fillId="2" fontId="1" numFmtId="0" xfId="0" applyAlignment="1" applyBorder="1" applyFont="1">
      <alignment horizontal="center" readingOrder="0" shrinkToFit="0" vertical="center" wrapText="1"/>
    </xf>
    <xf borderId="19" fillId="3" fontId="1" numFmtId="0" xfId="0" applyAlignment="1" applyBorder="1" applyFont="1">
      <alignment horizontal="center" readingOrder="0" shrinkToFit="0" vertical="center" wrapText="1"/>
    </xf>
    <xf borderId="20" fillId="9" fontId="1" numFmtId="0" xfId="0" applyAlignment="1" applyBorder="1" applyFill="1" applyFont="1">
      <alignment horizontal="center" readingOrder="0" shrinkToFit="0" vertical="center" wrapText="1"/>
    </xf>
    <xf borderId="9" fillId="6" fontId="8" numFmtId="0" xfId="0" applyAlignment="1" applyBorder="1" applyFont="1">
      <alignment horizontal="center" readingOrder="0" vertical="center"/>
    </xf>
    <xf borderId="20" fillId="3" fontId="1" numFmtId="0" xfId="0" applyAlignment="1" applyBorder="1" applyFont="1">
      <alignment horizontal="center" readingOrder="0" shrinkToFit="0" vertical="center" wrapText="1"/>
    </xf>
    <xf borderId="10" fillId="3" fontId="1" numFmtId="0" xfId="0" applyAlignment="1" applyBorder="1" applyFont="1">
      <alignment horizontal="center" readingOrder="0" shrinkToFit="0" vertical="center" wrapText="1"/>
    </xf>
    <xf borderId="19" fillId="2" fontId="7" numFmtId="0" xfId="0" applyAlignment="1" applyBorder="1" applyFont="1">
      <alignment horizontal="center" readingOrder="0" shrinkToFit="0" vertical="center" wrapText="1"/>
    </xf>
    <xf borderId="8" fillId="0" fontId="1" numFmtId="20" xfId="0" applyAlignment="1" applyBorder="1" applyFont="1" applyNumberFormat="1">
      <alignment vertical="center"/>
    </xf>
    <xf borderId="2" fillId="0" fontId="10" numFmtId="0" xfId="0" applyAlignment="1" applyBorder="1" applyFont="1">
      <alignment horizontal="center" readingOrder="0" shrinkToFit="0" vertical="center" wrapText="1"/>
    </xf>
    <xf borderId="34" fillId="3" fontId="1" numFmtId="0" xfId="0" applyAlignment="1" applyBorder="1" applyFont="1">
      <alignment horizontal="center" readingOrder="0" shrinkToFit="0" vertical="center" wrapText="1"/>
    </xf>
    <xf borderId="20" fillId="0" fontId="10" numFmtId="0" xfId="0" applyAlignment="1" applyBorder="1" applyFont="1">
      <alignment horizontal="center" readingOrder="0" shrinkToFit="0" wrapText="1"/>
    </xf>
    <xf borderId="21" fillId="2" fontId="7" numFmtId="0" xfId="0" applyAlignment="1" applyBorder="1" applyFont="1">
      <alignment horizontal="center" readingOrder="0" shrinkToFit="0" vertical="center" wrapText="1"/>
    </xf>
    <xf borderId="20" fillId="2" fontId="7" numFmtId="0" xfId="0" applyAlignment="1" applyBorder="1" applyFont="1">
      <alignment horizontal="center" readingOrder="0" vertical="center"/>
    </xf>
    <xf borderId="26" fillId="0" fontId="3" numFmtId="0" xfId="0" applyBorder="1" applyFont="1"/>
    <xf borderId="35" fillId="0" fontId="3" numFmtId="0" xfId="0" applyBorder="1" applyFont="1"/>
    <xf borderId="9" fillId="3" fontId="12" numFmtId="0" xfId="0" applyAlignment="1" applyBorder="1" applyFont="1">
      <alignment horizontal="center" readingOrder="0" shrinkToFit="0" vertical="center" wrapText="1"/>
    </xf>
    <xf borderId="20" fillId="0" fontId="8" numFmtId="0" xfId="0" applyAlignment="1" applyBorder="1" applyFont="1">
      <alignment horizontal="center" readingOrder="0" vertical="center"/>
    </xf>
    <xf borderId="29" fillId="0" fontId="8" numFmtId="0" xfId="0" applyAlignment="1" applyBorder="1" applyFont="1">
      <alignment horizontal="center" vertical="center"/>
    </xf>
    <xf borderId="36" fillId="0" fontId="8" numFmtId="0" xfId="0" applyAlignment="1" applyBorder="1" applyFont="1">
      <alignment horizontal="center" vertical="center"/>
    </xf>
    <xf borderId="37" fillId="0" fontId="1" numFmtId="0" xfId="0" applyAlignment="1" applyBorder="1" applyFont="1">
      <alignment horizontal="center" shrinkToFit="0" vertical="center" wrapText="1"/>
    </xf>
    <xf borderId="29" fillId="0" fontId="1" numFmtId="0" xfId="0" applyAlignment="1" applyBorder="1" applyFont="1">
      <alignment horizontal="center" shrinkToFit="0" vertical="center" wrapText="1"/>
    </xf>
    <xf borderId="30" fillId="0" fontId="1" numFmtId="0" xfId="0" applyAlignment="1" applyBorder="1" applyFont="1">
      <alignment horizontal="center" shrinkToFit="0" vertical="center" wrapText="1"/>
    </xf>
    <xf borderId="38" fillId="0" fontId="1" numFmtId="0" xfId="0" applyAlignment="1" applyBorder="1" applyFont="1">
      <alignment horizontal="center" shrinkToFit="0" vertical="center" wrapText="1"/>
    </xf>
    <xf borderId="36" fillId="10" fontId="12" numFmtId="0" xfId="0" applyAlignment="1" applyBorder="1" applyFill="1" applyFont="1">
      <alignment horizontal="center" readingOrder="0" shrinkToFit="0" vertical="center" wrapText="1"/>
    </xf>
    <xf borderId="39" fillId="0" fontId="3" numFmtId="0" xfId="0" applyBorder="1" applyFont="1"/>
    <xf borderId="40" fillId="0" fontId="1" numFmtId="0" xfId="0" applyAlignment="1" applyBorder="1" applyFont="1">
      <alignment horizontal="center" readingOrder="0" shrinkToFit="0" vertical="center" wrapText="1"/>
    </xf>
    <xf borderId="31" fillId="3" fontId="1" numFmtId="0" xfId="0" applyAlignment="1" applyBorder="1" applyFont="1">
      <alignment horizontal="center" readingOrder="0" shrinkToFit="0" vertical="center" wrapText="1"/>
    </xf>
    <xf borderId="15" fillId="3" fontId="13" numFmtId="0" xfId="0" applyAlignment="1" applyBorder="1" applyFont="1">
      <alignment horizontal="center" readingOrder="0" shrinkToFit="0" vertical="center" wrapText="1"/>
    </xf>
    <xf borderId="16" fillId="0" fontId="14" numFmtId="0" xfId="0" applyAlignment="1" applyBorder="1" applyFont="1">
      <alignment horizontal="center" readingOrder="0" shrinkToFit="0" vertical="center" wrapText="1"/>
    </xf>
    <xf borderId="15" fillId="3" fontId="15" numFmtId="0" xfId="0" applyAlignment="1" applyBorder="1" applyFont="1">
      <alignment horizontal="center" readingOrder="0" shrinkToFit="0" vertical="center" wrapText="1"/>
    </xf>
    <xf borderId="15" fillId="2" fontId="7" numFmtId="0" xfId="0" applyAlignment="1" applyBorder="1" applyFont="1">
      <alignment horizontal="center" readingOrder="0" vertical="center"/>
    </xf>
    <xf borderId="9" fillId="3" fontId="13" numFmtId="0" xfId="0" applyAlignment="1" applyBorder="1" applyFont="1">
      <alignment horizontal="center" readingOrder="0" shrinkToFit="0" vertical="center" wrapText="1"/>
    </xf>
    <xf borderId="9" fillId="0" fontId="8" numFmtId="0" xfId="0" applyAlignment="1" applyBorder="1" applyFont="1">
      <alignment horizontal="center" readingOrder="0" shrinkToFit="0" vertical="center" wrapText="1"/>
    </xf>
    <xf borderId="8" fillId="3" fontId="13" numFmtId="0" xfId="0" applyAlignment="1" applyBorder="1" applyFont="1">
      <alignment horizontal="center" readingOrder="0" shrinkToFit="0" vertical="center" wrapText="1"/>
    </xf>
    <xf borderId="20" fillId="2" fontId="1" numFmtId="0" xfId="0" applyAlignment="1" applyBorder="1" applyFont="1">
      <alignment horizontal="center" readingOrder="0" vertical="center"/>
    </xf>
    <xf borderId="19" fillId="11" fontId="1" numFmtId="0" xfId="0" applyAlignment="1" applyBorder="1" applyFill="1" applyFont="1">
      <alignment horizontal="center" readingOrder="0" shrinkToFit="0" vertical="center" wrapText="1"/>
    </xf>
    <xf borderId="9" fillId="0" fontId="16" numFmtId="0" xfId="0" applyAlignment="1" applyBorder="1" applyFont="1">
      <alignment horizontal="center" readingOrder="0" vertical="center"/>
    </xf>
    <xf borderId="6" fillId="0" fontId="1" numFmtId="0" xfId="0" applyAlignment="1" applyBorder="1" applyFont="1">
      <alignment horizontal="center" readingOrder="0" shrinkToFit="0" vertical="center" wrapText="1"/>
    </xf>
    <xf borderId="41" fillId="0" fontId="3" numFmtId="0" xfId="0" applyBorder="1" applyFont="1"/>
    <xf borderId="9" fillId="3" fontId="1" numFmtId="0" xfId="0" applyAlignment="1" applyBorder="1" applyFont="1">
      <alignment horizontal="center" readingOrder="0" vertical="center"/>
    </xf>
    <xf borderId="18" fillId="3" fontId="13" numFmtId="0" xfId="0" applyAlignment="1" applyBorder="1" applyFont="1">
      <alignment horizontal="center" readingOrder="0" shrinkToFit="0" vertical="center" wrapText="1"/>
    </xf>
    <xf borderId="8" fillId="3" fontId="1" numFmtId="0" xfId="0" applyAlignment="1" applyBorder="1" applyFont="1">
      <alignment horizontal="center" readingOrder="0" shrinkToFit="0" vertical="center" wrapText="1"/>
    </xf>
    <xf borderId="8" fillId="2" fontId="7" numFmtId="0" xfId="0" applyAlignment="1" applyBorder="1" applyFont="1">
      <alignment horizontal="center" readingOrder="0" shrinkToFit="0" vertical="center" wrapText="1"/>
    </xf>
    <xf borderId="42" fillId="0" fontId="3" numFmtId="0" xfId="0" applyBorder="1" applyFont="1"/>
    <xf borderId="3" fillId="0" fontId="17" numFmtId="0" xfId="0" applyAlignment="1" applyBorder="1" applyFont="1">
      <alignment horizontal="center" readingOrder="0" shrinkToFit="0" vertical="center" wrapText="1"/>
    </xf>
    <xf borderId="20" fillId="3" fontId="1" numFmtId="0" xfId="0" applyAlignment="1" applyBorder="1" applyFont="1">
      <alignment horizontal="center" readingOrder="0" vertical="center"/>
    </xf>
    <xf borderId="7" fillId="7" fontId="1" numFmtId="0" xfId="0" applyAlignment="1" applyBorder="1" applyFont="1">
      <alignment horizontal="center" readingOrder="0" shrinkToFit="0" vertical="center" wrapText="1"/>
    </xf>
    <xf borderId="6" fillId="12" fontId="18" numFmtId="0" xfId="0" applyAlignment="1" applyBorder="1" applyFill="1" applyFont="1">
      <alignment horizontal="center" readingOrder="0" shrinkToFit="0" vertical="center" wrapText="1"/>
    </xf>
    <xf borderId="43" fillId="0" fontId="3" numFmtId="0" xfId="0" applyBorder="1" applyFont="1"/>
    <xf borderId="7" fillId="0" fontId="1" numFmtId="0" xfId="0" applyAlignment="1" applyBorder="1" applyFont="1">
      <alignment horizontal="center" readingOrder="0" shrinkToFit="0" vertical="center" wrapText="1"/>
    </xf>
    <xf borderId="21" fillId="7" fontId="1" numFmtId="0" xfId="0" applyAlignment="1" applyBorder="1" applyFont="1">
      <alignment horizontal="center" readingOrder="0" shrinkToFit="0" vertical="center" wrapText="1"/>
    </xf>
    <xf borderId="44" fillId="0" fontId="3" numFmtId="0" xfId="0" applyBorder="1" applyFont="1"/>
    <xf borderId="27" fillId="12" fontId="18" numFmtId="0" xfId="0" applyAlignment="1" applyBorder="1" applyFont="1">
      <alignment horizontal="center" readingOrder="0" shrinkToFit="0" vertical="center" wrapText="1"/>
    </xf>
    <xf borderId="8" fillId="0" fontId="8" numFmtId="0" xfId="0" applyAlignment="1" applyBorder="1" applyFont="1">
      <alignment horizontal="center" vertical="center"/>
    </xf>
    <xf borderId="6" fillId="13" fontId="10" numFmtId="0" xfId="0" applyAlignment="1" applyBorder="1" applyFill="1" applyFont="1">
      <alignment horizontal="center" readingOrder="0" vertical="center"/>
    </xf>
    <xf borderId="45" fillId="0" fontId="1" numFmtId="0" xfId="0" applyAlignment="1" applyBorder="1" applyFont="1">
      <alignment horizontal="center" shrinkToFit="0" vertical="center" wrapText="1"/>
    </xf>
    <xf borderId="46" fillId="0" fontId="8" numFmtId="0" xfId="0" applyAlignment="1" applyBorder="1" applyFont="1">
      <alignment horizontal="center" vertical="center"/>
    </xf>
    <xf borderId="6" fillId="0" fontId="1" numFmtId="0" xfId="0" applyAlignment="1" applyBorder="1" applyFont="1">
      <alignment horizontal="center" shrinkToFit="0" vertical="center" wrapText="1"/>
    </xf>
    <xf borderId="6" fillId="0" fontId="1" numFmtId="0" xfId="0" applyAlignment="1" applyBorder="1" applyFont="1">
      <alignment horizontal="center" vertical="center"/>
    </xf>
    <xf borderId="41" fillId="0" fontId="1" numFmtId="0" xfId="0" applyAlignment="1" applyBorder="1" applyFont="1">
      <alignment horizontal="center" shrinkToFit="0" vertical="center" wrapText="1"/>
    </xf>
    <xf borderId="47" fillId="0" fontId="3" numFmtId="0" xfId="0" applyBorder="1" applyFont="1"/>
    <xf borderId="48" fillId="0" fontId="3" numFmtId="0" xfId="0" applyBorder="1" applyFont="1"/>
    <xf borderId="49" fillId="0" fontId="1" numFmtId="0" xfId="0" applyAlignment="1" applyBorder="1" applyFont="1">
      <alignment horizontal="center" shrinkToFit="0" vertical="center" wrapText="1"/>
    </xf>
    <xf borderId="50" fillId="0" fontId="8" numFmtId="0" xfId="0" applyAlignment="1" applyBorder="1" applyFont="1">
      <alignment horizontal="center" vertical="center"/>
    </xf>
    <xf borderId="29" fillId="0" fontId="1" numFmtId="0" xfId="0" applyAlignment="1" applyBorder="1" applyFont="1">
      <alignment horizontal="center" vertical="center"/>
    </xf>
    <xf borderId="12" fillId="0" fontId="1" numFmtId="0" xfId="0" applyAlignment="1" applyBorder="1" applyFont="1">
      <alignment horizontal="center" readingOrder="0" shrinkToFit="0" vertical="center" wrapText="1"/>
    </xf>
    <xf borderId="9" fillId="9" fontId="1" numFmtId="0" xfId="0" applyAlignment="1" applyBorder="1" applyFont="1">
      <alignment horizontal="center" readingOrder="0" shrinkToFit="0" vertical="center" wrapText="1"/>
    </xf>
    <xf borderId="10" fillId="2" fontId="19" numFmtId="0" xfId="0" applyAlignment="1" applyBorder="1" applyFont="1">
      <alignment horizontal="center" readingOrder="0" shrinkToFit="0" vertical="center" wrapText="1"/>
    </xf>
    <xf borderId="12" fillId="9" fontId="8" numFmtId="0" xfId="0" applyAlignment="1" applyBorder="1" applyFont="1">
      <alignment horizontal="center" readingOrder="0" shrinkToFit="0" vertical="center" wrapText="1"/>
    </xf>
    <xf borderId="12" fillId="0" fontId="8" numFmtId="0" xfId="0" applyAlignment="1" applyBorder="1" applyFont="1">
      <alignment horizontal="center" readingOrder="0" shrinkToFit="0" vertical="center" wrapText="1"/>
    </xf>
    <xf borderId="31" fillId="2" fontId="1" numFmtId="0" xfId="0" applyAlignment="1" applyBorder="1" applyFont="1">
      <alignment horizontal="center" readingOrder="0" shrinkToFit="0" vertical="center" wrapText="1"/>
    </xf>
    <xf borderId="8" fillId="9" fontId="8" numFmtId="0" xfId="0" applyAlignment="1" applyBorder="1" applyFont="1">
      <alignment horizontal="center" readingOrder="0" shrinkToFit="0" vertical="center" wrapText="1"/>
    </xf>
    <xf borderId="9" fillId="2" fontId="1" numFmtId="0" xfId="0" applyAlignment="1" applyBorder="1" applyFont="1">
      <alignment horizontal="center" readingOrder="0" shrinkToFit="0" vertical="center" wrapText="1"/>
    </xf>
    <xf borderId="9" fillId="9" fontId="8" numFmtId="0" xfId="0" applyAlignment="1" applyBorder="1" applyFont="1">
      <alignment horizontal="center" readingOrder="0" shrinkToFit="0" vertical="center" wrapText="1"/>
    </xf>
    <xf borderId="9" fillId="2" fontId="7" numFmtId="0" xfId="0" applyAlignment="1" applyBorder="1" applyFont="1">
      <alignment horizontal="center" readingOrder="0" vertical="center"/>
    </xf>
    <xf borderId="9" fillId="2" fontId="8"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1" fillId="3" fontId="20" numFmtId="0" xfId="0" applyAlignment="1" applyBorder="1" applyFont="1">
      <alignment horizontal="center" readingOrder="0" shrinkToFit="0" vertical="center" wrapText="1"/>
    </xf>
    <xf borderId="9" fillId="3" fontId="7" numFmtId="0" xfId="0" applyAlignment="1" applyBorder="1" applyFont="1">
      <alignment horizontal="center" readingOrder="0"/>
    </xf>
    <xf borderId="2" fillId="3" fontId="21" numFmtId="0" xfId="0" applyAlignment="1" applyBorder="1" applyFont="1">
      <alignment horizontal="center" readingOrder="0" shrinkToFit="0" wrapText="1"/>
    </xf>
    <xf borderId="8" fillId="2" fontId="7" numFmtId="0" xfId="0" applyAlignment="1" applyBorder="1" applyFont="1">
      <alignment horizontal="center" readingOrder="0"/>
    </xf>
    <xf borderId="2" fillId="14" fontId="22" numFmtId="0" xfId="0" applyAlignment="1" applyBorder="1" applyFill="1" applyFont="1">
      <alignment horizontal="center" readingOrder="0" shrinkToFit="0" vertical="center" wrapText="1"/>
    </xf>
    <xf borderId="51" fillId="0" fontId="3" numFmtId="0" xfId="0" applyBorder="1" applyFont="1"/>
    <xf borderId="1" fillId="0" fontId="1" numFmtId="0" xfId="0" applyAlignment="1" applyBorder="1" applyFont="1">
      <alignment horizontal="center" readingOrder="0" shrinkToFit="0" vertical="center" wrapText="1"/>
    </xf>
    <xf borderId="31" fillId="9" fontId="1" numFmtId="0" xfId="0" applyAlignment="1" applyBorder="1" applyFont="1">
      <alignment horizontal="center" readingOrder="0" shrinkToFit="0" vertical="center" wrapText="1"/>
    </xf>
    <xf borderId="2" fillId="0" fontId="1" numFmtId="0" xfId="0" applyAlignment="1" applyBorder="1" applyFont="1">
      <alignment horizontal="center" readingOrder="0" vertical="center"/>
    </xf>
    <xf borderId="8" fillId="2" fontId="1" numFmtId="0" xfId="0" applyAlignment="1" applyBorder="1" applyFont="1">
      <alignment horizontal="center" readingOrder="0" shrinkToFit="0" vertical="center" wrapText="1"/>
    </xf>
    <xf borderId="8" fillId="3" fontId="20" numFmtId="0" xfId="0" applyAlignment="1" applyBorder="1" applyFont="1">
      <alignment horizontal="center" readingOrder="0" shrinkToFit="0" vertical="center" wrapText="1"/>
    </xf>
    <xf borderId="10" fillId="0" fontId="1" numFmtId="0" xfId="0" applyAlignment="1" applyBorder="1" applyFont="1">
      <alignment vertical="center"/>
    </xf>
    <xf borderId="51" fillId="9" fontId="8" numFmtId="0" xfId="0" applyAlignment="1" applyBorder="1" applyFont="1">
      <alignment horizontal="center" readingOrder="0" shrinkToFit="0" vertical="center" wrapText="1"/>
    </xf>
    <xf borderId="8" fillId="15" fontId="1" numFmtId="0" xfId="0" applyAlignment="1" applyBorder="1" applyFill="1" applyFont="1">
      <alignment horizontal="center" readingOrder="0" shrinkToFit="0" vertical="center" wrapText="1"/>
    </xf>
    <xf borderId="51" fillId="2" fontId="1" numFmtId="0" xfId="0" applyAlignment="1" applyBorder="1" applyFont="1">
      <alignment horizontal="center" readingOrder="0" shrinkToFit="0" vertical="center" wrapText="1"/>
    </xf>
    <xf borderId="27" fillId="0" fontId="23" numFmtId="0" xfId="0" applyAlignment="1" applyBorder="1" applyFont="1">
      <alignment horizontal="center" readingOrder="0" shrinkToFit="0" vertical="center" wrapText="1"/>
    </xf>
    <xf borderId="19" fillId="0" fontId="8" numFmtId="0" xfId="0" applyAlignment="1" applyBorder="1" applyFont="1">
      <alignment horizontal="center" vertical="center"/>
    </xf>
    <xf borderId="21" fillId="4" fontId="24"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23" fillId="0" fontId="12" numFmtId="0" xfId="0" applyAlignment="1" applyBorder="1" applyFont="1">
      <alignment horizontal="center" readingOrder="0" shrinkToFit="0" vertical="center" wrapText="1"/>
    </xf>
    <xf borderId="23" fillId="0" fontId="1" numFmtId="0" xfId="0" applyAlignment="1" applyBorder="1" applyFont="1">
      <alignment horizontal="center" readingOrder="0" shrinkToFit="0" vertical="center" wrapText="1"/>
    </xf>
    <xf borderId="27" fillId="0" fontId="1" numFmtId="0" xfId="0" applyAlignment="1" applyBorder="1" applyFont="1">
      <alignment horizontal="center" readingOrder="0" shrinkToFit="0" vertical="center" wrapText="1"/>
    </xf>
    <xf borderId="51" fillId="0" fontId="1" numFmtId="0" xfId="0" applyAlignment="1" applyBorder="1" applyFont="1">
      <alignment horizontal="center" shrinkToFit="0" wrapText="1"/>
    </xf>
    <xf borderId="26" fillId="0" fontId="1" numFmtId="0" xfId="0" applyAlignment="1" applyBorder="1" applyFont="1">
      <alignment horizontal="center" shrinkToFit="0" vertical="center" wrapText="1"/>
    </xf>
    <xf borderId="51" fillId="0" fontId="1" numFmtId="0" xfId="0" applyAlignment="1" applyBorder="1" applyFont="1">
      <alignment horizontal="center" shrinkToFit="0" vertical="center" wrapText="1"/>
    </xf>
    <xf borderId="26" fillId="16" fontId="12" numFmtId="0" xfId="0" applyAlignment="1" applyBorder="1" applyFill="1" applyFont="1">
      <alignment horizontal="center" readingOrder="0" shrinkToFit="0" vertical="center" wrapText="1"/>
    </xf>
    <xf borderId="26" fillId="0" fontId="1" numFmtId="0" xfId="0" applyAlignment="1" applyBorder="1" applyFont="1">
      <alignment horizontal="center" readingOrder="0" shrinkToFit="0" vertical="center" wrapText="1"/>
    </xf>
    <xf borderId="26" fillId="17" fontId="1" numFmtId="0" xfId="0" applyAlignment="1" applyBorder="1" applyFill="1" applyFont="1">
      <alignment horizontal="center" readingOrder="0" shrinkToFit="0" vertical="center" wrapText="1"/>
    </xf>
    <xf borderId="9" fillId="0" fontId="1" numFmtId="0" xfId="0" applyAlignment="1" applyBorder="1" applyFont="1">
      <alignment horizontal="center" shrinkToFit="0" vertical="center" wrapText="1"/>
    </xf>
    <xf borderId="8" fillId="0" fontId="2" numFmtId="20" xfId="0" applyAlignment="1" applyBorder="1" applyFont="1" applyNumberFormat="1">
      <alignment horizontal="center" shrinkToFit="0" vertical="center" wrapText="1"/>
    </xf>
    <xf borderId="8" fillId="0" fontId="8" numFmtId="0" xfId="0" applyBorder="1" applyFont="1"/>
    <xf borderId="8" fillId="0" fontId="1" numFmtId="0" xfId="0" applyBorder="1" applyFont="1"/>
    <xf borderId="8" fillId="0" fontId="1" numFmtId="0" xfId="0" applyAlignment="1" applyBorder="1" applyFont="1">
      <alignment horizontal="center" textRotation="90" vertical="center"/>
    </xf>
    <xf borderId="8" fillId="0" fontId="25" numFmtId="0" xfId="0" applyAlignment="1" applyBorder="1" applyFont="1">
      <alignment horizontal="center" readingOrder="0" shrinkToFit="0" vertical="center" wrapText="1"/>
    </xf>
    <xf borderId="8" fillId="0" fontId="5" numFmtId="0" xfId="0" applyAlignment="1" applyBorder="1" applyFont="1">
      <alignment horizontal="center" vertical="center"/>
    </xf>
    <xf borderId="8" fillId="0" fontId="5" numFmtId="0" xfId="0" applyAlignment="1" applyBorder="1" applyFont="1">
      <alignment horizontal="center" readingOrder="0" shrinkToFit="0" vertical="center" wrapText="1"/>
    </xf>
    <xf borderId="8" fillId="0" fontId="26" numFmtId="0" xfId="0" applyAlignment="1" applyBorder="1" applyFont="1">
      <alignment horizontal="center" shrinkToFit="0" vertical="center" wrapText="1"/>
    </xf>
    <xf borderId="8" fillId="0" fontId="1" numFmtId="0" xfId="0" applyAlignment="1" applyBorder="1" applyFont="1">
      <alignment horizontal="center" vertical="center"/>
    </xf>
    <xf borderId="8" fillId="0" fontId="1" numFmtId="0" xfId="0" applyAlignment="1" applyBorder="1" applyFont="1">
      <alignment horizontal="center" readingOrder="0" vertical="center"/>
    </xf>
    <xf borderId="9" fillId="0" fontId="2" numFmtId="0" xfId="0" applyAlignment="1" applyBorder="1" applyFont="1">
      <alignment horizontal="center" readingOrder="0" shrinkToFit="0" vertical="center" wrapText="1"/>
    </xf>
    <xf borderId="1" fillId="0" fontId="1" numFmtId="0" xfId="0" applyAlignment="1" applyBorder="1" applyFont="1">
      <alignment horizontal="center" vertical="center"/>
    </xf>
    <xf borderId="1" fillId="0" fontId="2" numFmtId="0" xfId="0" applyAlignment="1" applyBorder="1" applyFont="1">
      <alignment horizontal="center" shrinkToFit="0" vertical="center" wrapText="1"/>
    </xf>
    <xf borderId="0" fillId="0" fontId="1" numFmtId="0" xfId="0" applyAlignment="1" applyFont="1">
      <alignment horizontal="center" shrinkToFit="0" vertical="center" wrapText="1"/>
    </xf>
    <xf borderId="8" fillId="0" fontId="4" numFmtId="0" xfId="0" applyAlignment="1" applyBorder="1" applyFont="1">
      <alignment horizontal="center" readingOrder="0" shrinkToFit="0" textRotation="90" vertical="center" wrapText="1"/>
    </xf>
    <xf borderId="45" fillId="0" fontId="1" numFmtId="20" xfId="0" applyAlignment="1" applyBorder="1" applyFont="1" applyNumberFormat="1">
      <alignment horizontal="center" shrinkToFit="0" vertical="center" wrapText="1"/>
    </xf>
    <xf borderId="45" fillId="0" fontId="1" numFmtId="0" xfId="0" applyAlignment="1" applyBorder="1" applyFont="1">
      <alignment horizontal="center" vertical="center"/>
    </xf>
    <xf borderId="0" fillId="0" fontId="1" numFmtId="0" xfId="0" applyAlignment="1" applyFont="1">
      <alignment horizontal="center" vertical="center"/>
    </xf>
    <xf borderId="1" fillId="0" fontId="4" numFmtId="0" xfId="0" applyAlignment="1" applyBorder="1" applyFont="1">
      <alignment horizontal="center" readingOrder="0" shrinkToFit="0" textRotation="90" vertical="center" wrapText="1"/>
    </xf>
    <xf borderId="12" fillId="0" fontId="1" numFmtId="20" xfId="0" applyAlignment="1" applyBorder="1" applyFont="1" applyNumberFormat="1">
      <alignment horizontal="center" shrinkToFit="0" vertical="center" wrapText="1"/>
    </xf>
    <xf borderId="12" fillId="0" fontId="1" numFmtId="0" xfId="0" applyAlignment="1" applyBorder="1" applyFont="1">
      <alignment horizontal="center" vertical="center"/>
    </xf>
    <xf borderId="12" fillId="0" fontId="1" numFmtId="0" xfId="0" applyAlignment="1" applyBorder="1" applyFont="1">
      <alignment horizontal="center" shrinkToFit="0" vertical="center" wrapText="1"/>
    </xf>
    <xf borderId="32" fillId="0" fontId="1" numFmtId="0" xfId="0" applyAlignment="1" applyBorder="1" applyFont="1">
      <alignment horizontal="center" vertical="center"/>
    </xf>
    <xf borderId="5" fillId="0" fontId="1" numFmtId="0" xfId="0" applyAlignment="1" applyBorder="1" applyFont="1">
      <alignment horizontal="center" vertical="center"/>
    </xf>
    <xf borderId="45" fillId="0" fontId="3" numFmtId="0" xfId="0" applyBorder="1" applyFont="1"/>
    <xf borderId="42" fillId="0" fontId="1" numFmtId="0" xfId="0" applyAlignment="1" applyBorder="1" applyFont="1">
      <alignment horizontal="center" vertical="center"/>
    </xf>
    <xf borderId="52" fillId="0" fontId="3" numFmtId="0" xfId="0" applyBorder="1" applyFont="1"/>
    <xf borderId="1" fillId="0" fontId="1" numFmtId="0" xfId="0" applyAlignment="1" applyBorder="1" applyFont="1">
      <alignment horizontal="center" shrinkToFit="0" vertical="center" wrapText="1"/>
    </xf>
    <xf borderId="36" fillId="0" fontId="1" numFmtId="0" xfId="0" applyAlignment="1" applyBorder="1" applyFont="1">
      <alignment horizontal="center" shrinkToFit="0" vertical="center" wrapText="1"/>
    </xf>
    <xf borderId="38" fillId="0" fontId="3" numFmtId="0" xfId="0" applyBorder="1" applyFont="1"/>
    <xf borderId="30" fillId="0" fontId="1" numFmtId="0" xfId="0" applyAlignment="1" applyBorder="1" applyFont="1">
      <alignment horizontal="center" vertical="center"/>
    </xf>
    <xf borderId="51" fillId="0" fontId="1" numFmtId="20" xfId="0" applyAlignment="1" applyBorder="1" applyFont="1" applyNumberFormat="1">
      <alignment horizontal="center" shrinkToFit="0" vertical="center" wrapText="1"/>
    </xf>
    <xf borderId="8" fillId="6" fontId="1" numFmtId="0" xfId="0" applyAlignment="1" applyBorder="1" applyFont="1">
      <alignment horizontal="center" readingOrder="0" shrinkToFit="0" vertical="center" wrapText="1"/>
    </xf>
    <xf borderId="8" fillId="2" fontId="7" numFmtId="0" xfId="0" applyAlignment="1" applyBorder="1" applyFont="1">
      <alignment horizontal="center" readingOrder="0" vertical="center"/>
    </xf>
    <xf borderId="8" fillId="0" fontId="8" numFmtId="0" xfId="0" applyAlignment="1" applyBorder="1" applyFont="1">
      <alignment horizontal="center" readingOrder="0" vertical="center"/>
    </xf>
    <xf borderId="8" fillId="0" fontId="1" numFmtId="20" xfId="0" applyAlignment="1" applyBorder="1" applyFont="1" applyNumberFormat="1">
      <alignment horizontal="center" vertical="center"/>
    </xf>
    <xf borderId="2" fillId="0" fontId="1" numFmtId="0" xfId="0" applyAlignment="1" applyBorder="1" applyFont="1">
      <alignment horizontal="center" shrinkToFit="0" vertical="center" wrapText="1"/>
    </xf>
    <xf borderId="8" fillId="3" fontId="1" numFmtId="0" xfId="0" applyAlignment="1" applyBorder="1" applyFont="1">
      <alignment horizontal="center" readingOrder="0" vertical="center"/>
    </xf>
    <xf borderId="8" fillId="2" fontId="1" numFmtId="0" xfId="0" applyAlignment="1" applyBorder="1" applyFont="1">
      <alignment horizontal="center" readingOrder="0" vertical="center"/>
    </xf>
    <xf borderId="8" fillId="3" fontId="1" numFmtId="0" xfId="0" applyAlignment="1" applyBorder="1" applyFont="1">
      <alignment horizontal="center" shrinkToFit="0" vertical="center" wrapText="1"/>
    </xf>
    <xf borderId="1" fillId="0" fontId="8" numFmtId="0" xfId="0" applyAlignment="1" applyBorder="1" applyFont="1">
      <alignment horizontal="center" vertical="center"/>
    </xf>
    <xf borderId="29" fillId="0" fontId="1" numFmtId="20" xfId="0" applyAlignment="1" applyBorder="1" applyFont="1" applyNumberFormat="1">
      <alignment horizontal="center" shrinkToFit="0" vertical="center" wrapText="1"/>
    </xf>
    <xf borderId="31" fillId="18" fontId="1" numFmtId="0" xfId="0" applyAlignment="1" applyBorder="1" applyFill="1" applyFont="1">
      <alignment horizontal="center" readingOrder="0" shrinkToFit="0" vertical="center" wrapText="1"/>
    </xf>
    <xf borderId="51" fillId="0" fontId="1" numFmtId="0" xfId="0" applyAlignment="1" applyBorder="1" applyFont="1">
      <alignment horizontal="center" vertical="center"/>
    </xf>
    <xf borderId="2" fillId="18" fontId="1" numFmtId="0" xfId="0" applyAlignment="1" applyBorder="1" applyFont="1">
      <alignment horizontal="center" readingOrder="0" shrinkToFit="0" vertical="center" wrapText="1"/>
    </xf>
    <xf borderId="10" fillId="0" fontId="1" numFmtId="20" xfId="0" applyAlignment="1" applyBorder="1" applyFont="1" applyNumberFormat="1">
      <alignment horizontal="center" shrinkToFit="0" vertical="center" wrapText="1"/>
    </xf>
    <xf borderId="4" fillId="0" fontId="1" numFmtId="0" xfId="0" applyAlignment="1" applyBorder="1" applyFont="1">
      <alignment horizontal="center" readingOrder="0" shrinkToFit="0" vertical="center" wrapText="1"/>
    </xf>
    <xf borderId="53" fillId="0" fontId="3" numFmtId="0" xfId="0" applyBorder="1" applyFont="1"/>
    <xf borderId="54" fillId="0" fontId="1" numFmtId="0" xfId="0" applyAlignment="1" applyBorder="1" applyFont="1">
      <alignment horizontal="center" readingOrder="0" shrinkToFit="0" vertical="center" wrapText="1"/>
    </xf>
    <xf borderId="32" fillId="0" fontId="3" numFmtId="0" xfId="0" applyBorder="1" applyFont="1"/>
    <xf borderId="54" fillId="9" fontId="1" numFmtId="0" xfId="0" applyAlignment="1" applyBorder="1" applyFont="1">
      <alignment horizontal="center" readingOrder="0" shrinkToFit="0" vertical="center" wrapText="1"/>
    </xf>
    <xf borderId="54" fillId="2" fontId="1" numFmtId="0" xfId="0" applyAlignment="1" applyBorder="1" applyFont="1">
      <alignment horizontal="center" readingOrder="0" shrinkToFit="0" vertical="center" wrapText="1"/>
    </xf>
    <xf borderId="9" fillId="19" fontId="5" numFmtId="0" xfId="0" applyAlignment="1" applyBorder="1" applyFill="1" applyFont="1">
      <alignment horizontal="center" readingOrder="0" shrinkToFit="0" vertical="center" wrapText="1"/>
    </xf>
    <xf borderId="8" fillId="0" fontId="1" numFmtId="166" xfId="0" applyAlignment="1" applyBorder="1" applyFont="1" applyNumberFormat="1">
      <alignment horizontal="center" readingOrder="0" shrinkToFit="0" vertical="center" wrapText="1"/>
    </xf>
    <xf borderId="24" fillId="0" fontId="1" numFmtId="0" xfId="0" applyAlignment="1" applyBorder="1" applyFont="1">
      <alignment horizontal="center" readingOrder="0" shrinkToFit="0" vertical="center" wrapText="1"/>
    </xf>
    <xf borderId="29" fillId="19" fontId="5" numFmtId="0" xfId="0" applyAlignment="1" applyBorder="1" applyFont="1">
      <alignment horizontal="center" readingOrder="0" shrinkToFit="0" vertical="center" wrapText="1"/>
    </xf>
    <xf borderId="36" fillId="0" fontId="1" numFmtId="0" xfId="0" applyAlignment="1" applyBorder="1" applyFont="1">
      <alignment horizontal="center" readingOrder="0" shrinkToFit="0" vertical="center" wrapText="1"/>
    </xf>
    <xf borderId="29" fillId="3" fontId="1" numFmtId="0" xfId="0" applyAlignment="1" applyBorder="1" applyFont="1">
      <alignment horizontal="center" readingOrder="0" shrinkToFit="0" vertical="center" wrapText="1"/>
    </xf>
    <xf borderId="45" fillId="0" fontId="4" numFmtId="0" xfId="0" applyAlignment="1" applyBorder="1" applyFont="1">
      <alignment horizontal="center" readingOrder="0" shrinkToFit="0" textRotation="90" vertical="center" wrapText="1"/>
    </xf>
    <xf borderId="35" fillId="0" fontId="1" numFmtId="0" xfId="0" applyAlignment="1" applyBorder="1" applyFont="1">
      <alignment horizontal="center" readingOrder="0" shrinkToFit="0" vertical="center" wrapText="1"/>
    </xf>
    <xf borderId="51" fillId="0" fontId="1" numFmtId="0" xfId="0" applyAlignment="1" applyBorder="1" applyFont="1">
      <alignment horizontal="center" readingOrder="0" shrinkToFit="0" vertical="center" wrapText="1"/>
    </xf>
    <xf borderId="51" fillId="0" fontId="8" numFmtId="0" xfId="0" applyAlignment="1" applyBorder="1" applyFont="1">
      <alignment horizontal="center" vertical="center"/>
    </xf>
    <xf borderId="16" fillId="0" fontId="1" numFmtId="20" xfId="0" applyAlignment="1" applyBorder="1" applyFont="1" applyNumberFormat="1">
      <alignment horizontal="center" shrinkToFit="0" vertical="center" wrapText="1"/>
    </xf>
    <xf borderId="8" fillId="9" fontId="1" numFmtId="0" xfId="0" applyAlignment="1" applyBorder="1" applyFont="1">
      <alignment horizontal="center" readingOrder="0" shrinkToFit="0" vertical="center" wrapText="1"/>
    </xf>
    <xf borderId="43" fillId="0" fontId="1" numFmtId="0" xfId="0" applyAlignment="1" applyBorder="1" applyFont="1">
      <alignment horizontal="center" shrinkToFit="0" vertical="center" wrapText="1"/>
    </xf>
    <xf borderId="8" fillId="20" fontId="27" numFmtId="0" xfId="0" applyAlignment="1" applyBorder="1" applyFill="1" applyFont="1">
      <alignment horizontal="center" readingOrder="0" shrinkToFit="0" vertical="center" wrapText="1"/>
    </xf>
    <xf borderId="18" fillId="0" fontId="1" numFmtId="0" xfId="0" applyAlignment="1" applyBorder="1" applyFont="1">
      <alignment horizontal="center" shrinkToFit="0" vertical="center" wrapText="1"/>
    </xf>
    <xf borderId="19" fillId="0" fontId="1" numFmtId="0" xfId="0" applyAlignment="1" applyBorder="1" applyFont="1">
      <alignment horizontal="center" shrinkToFit="0" vertical="center" wrapText="1"/>
    </xf>
    <xf borderId="20" fillId="0" fontId="1" numFmtId="0" xfId="0" applyAlignment="1" applyBorder="1" applyFont="1">
      <alignment horizontal="center" shrinkToFit="0" vertical="center" wrapText="1"/>
    </xf>
    <xf borderId="1" fillId="0" fontId="1" numFmtId="168" xfId="0" applyAlignment="1" applyBorder="1" applyFont="1" applyNumberFormat="1">
      <alignment horizontal="center" shrinkToFit="0" textRotation="90" vertical="center" wrapText="1"/>
    </xf>
    <xf borderId="34" fillId="0" fontId="1" numFmtId="0" xfId="0" applyAlignment="1" applyBorder="1" applyFont="1">
      <alignment horizontal="center" shrinkToFit="0" vertical="center" wrapText="1"/>
    </xf>
    <xf borderId="55" fillId="0" fontId="1" numFmtId="0" xfId="0" applyAlignment="1" applyBorder="1" applyFont="1">
      <alignment horizontal="center" shrinkToFit="0" vertical="center" wrapText="1"/>
    </xf>
    <xf borderId="10" fillId="0" fontId="1" numFmtId="0" xfId="0" applyAlignment="1" applyBorder="1" applyFont="1">
      <alignment horizontal="center" vertical="center"/>
    </xf>
    <xf borderId="56" fillId="0" fontId="4" numFmtId="165" xfId="0" applyAlignment="1" applyBorder="1" applyFont="1" applyNumberFormat="1">
      <alignment horizontal="center" readingOrder="0" shrinkToFit="0" textRotation="90" vertical="center" wrapText="1"/>
    </xf>
    <xf borderId="57" fillId="0" fontId="1" numFmtId="0" xfId="0" applyAlignment="1" applyBorder="1" applyFont="1">
      <alignment horizontal="center" readingOrder="0" shrinkToFit="0" vertical="center" wrapText="1"/>
    </xf>
    <xf borderId="58" fillId="0" fontId="1" numFmtId="0" xfId="0" applyAlignment="1" applyBorder="1" applyFont="1">
      <alignment horizontal="center" readingOrder="0" shrinkToFit="0" vertical="center" wrapText="1"/>
    </xf>
    <xf borderId="59" fillId="0" fontId="3" numFmtId="0" xfId="0" applyBorder="1" applyFont="1"/>
    <xf borderId="60" fillId="0" fontId="3" numFmtId="0" xfId="0" applyBorder="1" applyFont="1"/>
    <xf borderId="19" fillId="0" fontId="8" numFmtId="0" xfId="0" applyAlignment="1" applyBorder="1" applyFont="1">
      <alignment horizontal="center" readingOrder="0" shrinkToFit="0" vertical="center" wrapText="1"/>
    </xf>
    <xf borderId="6" fillId="0" fontId="1" numFmtId="0" xfId="0" applyAlignment="1" applyBorder="1" applyFont="1">
      <alignment horizontal="center" readingOrder="0" vertical="center"/>
    </xf>
    <xf borderId="10" fillId="0" fontId="8"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19" fillId="3" fontId="13" numFmtId="0" xfId="0" applyAlignment="1" applyBorder="1" applyFont="1">
      <alignment horizontal="center" readingOrder="0" shrinkToFit="0" vertical="center" wrapText="1"/>
    </xf>
    <xf borderId="9" fillId="15" fontId="1" numFmtId="0" xfId="0" applyAlignment="1" applyBorder="1" applyFont="1">
      <alignment horizontal="center" readingOrder="0" shrinkToFit="0" vertical="center" wrapText="1"/>
    </xf>
    <xf borderId="10" fillId="3" fontId="8" numFmtId="0" xfId="0" applyAlignment="1" applyBorder="1" applyFont="1">
      <alignment horizontal="center" readingOrder="0" vertical="center"/>
    </xf>
    <xf borderId="19" fillId="3" fontId="20" numFmtId="0" xfId="0" applyAlignment="1" applyBorder="1" applyFont="1">
      <alignment horizontal="center" readingOrder="0" shrinkToFit="0" vertical="center" wrapText="1"/>
    </xf>
    <xf borderId="10" fillId="0" fontId="1" numFmtId="0" xfId="0" applyAlignment="1" applyBorder="1" applyFont="1">
      <alignment horizontal="center" readingOrder="0" vertical="center"/>
    </xf>
    <xf borderId="10" fillId="3" fontId="13" numFmtId="0" xfId="0" applyAlignment="1" applyBorder="1" applyFont="1">
      <alignment horizontal="center" readingOrder="0" shrinkToFit="0" vertical="center" wrapText="1"/>
    </xf>
    <xf borderId="19" fillId="2" fontId="1" numFmtId="0" xfId="0" applyAlignment="1" applyBorder="1" applyFont="1">
      <alignment horizontal="center" readingOrder="0" shrinkToFit="0" vertical="center" wrapText="1"/>
    </xf>
    <xf borderId="10" fillId="15" fontId="1" numFmtId="0" xfId="0" applyAlignment="1" applyBorder="1" applyFont="1">
      <alignment horizontal="center" readingOrder="0" shrinkToFit="0" vertical="center" wrapText="1"/>
    </xf>
    <xf borderId="19" fillId="15" fontId="1" numFmtId="0" xfId="0" applyAlignment="1" applyBorder="1" applyFont="1">
      <alignment horizontal="center" readingOrder="0" shrinkToFit="0" vertical="center" wrapText="1"/>
    </xf>
    <xf borderId="61" fillId="0" fontId="3" numFmtId="0" xfId="0" applyBorder="1" applyFont="1"/>
    <xf borderId="3" fillId="0" fontId="1" numFmtId="0" xfId="0" applyAlignment="1" applyBorder="1" applyFont="1">
      <alignment horizontal="center" shrinkToFit="0" vertical="center" wrapText="1"/>
    </xf>
    <xf borderId="37" fillId="0" fontId="1" numFmtId="0" xfId="0" applyAlignment="1" applyBorder="1" applyFont="1">
      <alignment horizontal="center" readingOrder="0" shrinkToFit="0" vertical="center" wrapText="1"/>
    </xf>
    <xf borderId="30" fillId="0" fontId="1" numFmtId="0" xfId="0" applyAlignment="1" applyBorder="1" applyFont="1">
      <alignment horizontal="center" readingOrder="0" shrinkToFit="0" vertical="center" wrapText="1"/>
    </xf>
    <xf borderId="38" fillId="20" fontId="13" numFmtId="0" xfId="0" applyAlignment="1" applyBorder="1" applyFont="1">
      <alignment horizontal="center" readingOrder="0" shrinkToFit="0" vertical="center" wrapText="1"/>
    </xf>
    <xf borderId="36" fillId="6" fontId="1" numFmtId="0" xfId="0" applyAlignment="1" applyBorder="1" applyFont="1">
      <alignment horizontal="center" readingOrder="0" shrinkToFit="0" vertical="center" wrapText="1"/>
    </xf>
    <xf borderId="39" fillId="0" fontId="1" numFmtId="0" xfId="0" applyAlignment="1" applyBorder="1" applyFont="1">
      <alignment horizontal="center" readingOrder="0" shrinkToFit="0" vertical="center" wrapText="1"/>
    </xf>
    <xf borderId="38" fillId="3" fontId="13" numFmtId="0" xfId="0" applyAlignment="1" applyBorder="1" applyFont="1">
      <alignment horizontal="center" readingOrder="0" shrinkToFit="0" vertical="center" wrapText="1"/>
    </xf>
    <xf borderId="30" fillId="2" fontId="1" numFmtId="0" xfId="0" applyAlignment="1" applyBorder="1" applyFont="1">
      <alignment horizontal="center" readingOrder="0" shrinkToFit="0" vertical="center" wrapText="1"/>
    </xf>
    <xf borderId="38" fillId="15" fontId="1" numFmtId="0" xfId="0" applyAlignment="1" applyBorder="1" applyFont="1">
      <alignment horizontal="center" readingOrder="0" shrinkToFit="0" vertical="center" wrapText="1"/>
    </xf>
    <xf borderId="30" fillId="3" fontId="13" numFmtId="0" xfId="0" applyAlignment="1" applyBorder="1" applyFont="1">
      <alignment horizontal="center" readingOrder="0" shrinkToFit="0" vertical="center" wrapText="1"/>
    </xf>
    <xf borderId="38" fillId="0" fontId="8" numFmtId="0" xfId="0" applyAlignment="1" applyBorder="1" applyFont="1">
      <alignment horizontal="center" vertical="center"/>
    </xf>
    <xf borderId="30" fillId="15" fontId="1" numFmtId="0" xfId="0" applyAlignment="1" applyBorder="1" applyFont="1">
      <alignment horizontal="center" readingOrder="0" shrinkToFit="0" vertical="center" wrapText="1"/>
    </xf>
    <xf borderId="30" fillId="0" fontId="8" numFmtId="0" xfId="0" applyAlignment="1" applyBorder="1" applyFont="1">
      <alignment horizontal="center" vertical="center"/>
    </xf>
    <xf borderId="12" fillId="0" fontId="1" numFmtId="0" xfId="0" applyAlignment="1" applyBorder="1" applyFont="1">
      <alignment horizontal="center" readingOrder="0" vertical="center"/>
    </xf>
    <xf borderId="31" fillId="0" fontId="1" numFmtId="0" xfId="0" applyAlignment="1" applyBorder="1" applyFont="1">
      <alignment horizontal="center" shrinkToFit="0" vertical="center" wrapText="1"/>
    </xf>
    <xf borderId="40" fillId="0" fontId="1" numFmtId="0" xfId="0" applyAlignment="1" applyBorder="1" applyFont="1">
      <alignment horizontal="center" shrinkToFit="0" vertical="center" wrapText="1"/>
    </xf>
    <xf borderId="54" fillId="12" fontId="28" numFmtId="0" xfId="0" applyAlignment="1" applyBorder="1" applyFont="1">
      <alignment horizontal="center" readingOrder="0" shrinkToFit="0" vertical="center" wrapText="1"/>
    </xf>
    <xf borderId="51" fillId="0" fontId="1" numFmtId="0" xfId="0" applyAlignment="1" applyBorder="1" applyFont="1">
      <alignment horizontal="center" textRotation="90" vertical="center"/>
    </xf>
    <xf borderId="0" fillId="0" fontId="1" numFmtId="0" xfId="0" applyAlignment="1" applyFont="1">
      <alignment horizontal="center" textRotation="90" vertical="center"/>
    </xf>
    <xf borderId="52" fillId="0" fontId="1" numFmtId="0" xfId="0" applyAlignment="1" applyBorder="1" applyFont="1">
      <alignment horizontal="center" shrinkToFit="0" vertical="center" wrapText="1"/>
    </xf>
    <xf borderId="62" fillId="0" fontId="1" numFmtId="0" xfId="0" applyAlignment="1" applyBorder="1" applyFont="1">
      <alignment horizontal="center" readingOrder="0" shrinkToFit="0" vertical="center" wrapText="1"/>
    </xf>
    <xf borderId="42" fillId="0" fontId="1" numFmtId="0" xfId="0" applyAlignment="1" applyBorder="1" applyFont="1">
      <alignment horizontal="center" shrinkToFit="0" vertical="center" wrapText="1"/>
    </xf>
    <xf borderId="62" fillId="0" fontId="1" numFmtId="0" xfId="0" applyAlignment="1" applyBorder="1" applyFont="1">
      <alignment horizontal="center" shrinkToFit="0" vertical="center" wrapText="1"/>
    </xf>
    <xf borderId="8" fillId="0" fontId="25" numFmtId="0" xfId="0" applyAlignment="1" applyBorder="1" applyFont="1">
      <alignment horizontal="center" shrinkToFit="0" vertical="center" wrapText="1"/>
    </xf>
    <xf borderId="8" fillId="0" fontId="5" numFmtId="0" xfId="0" applyAlignment="1" applyBorder="1" applyFont="1">
      <alignment horizontal="center" shrinkToFit="0" vertical="center" wrapText="1"/>
    </xf>
    <xf borderId="1" fillId="0" fontId="1" numFmtId="0" xfId="0" applyAlignment="1" applyBorder="1" applyFont="1">
      <alignment vertical="center"/>
    </xf>
    <xf borderId="18" fillId="11" fontId="1" numFmtId="0" xfId="0" applyAlignment="1" applyBorder="1" applyFont="1">
      <alignment horizontal="center" readingOrder="0" shrinkToFit="0" vertical="center" wrapText="1"/>
    </xf>
    <xf borderId="8" fillId="0" fontId="5" numFmtId="20" xfId="0" applyAlignment="1" applyBorder="1" applyFont="1" applyNumberFormat="1">
      <alignment horizontal="center" vertical="bottom"/>
    </xf>
    <xf borderId="18" fillId="0" fontId="8" numFmtId="0" xfId="0" applyAlignment="1" applyBorder="1" applyFont="1">
      <alignment horizontal="center" readingOrder="0" shrinkToFit="0" vertical="center" wrapText="1"/>
    </xf>
    <xf borderId="19" fillId="7" fontId="8" numFmtId="0" xfId="0" applyAlignment="1" applyBorder="1" applyFont="1">
      <alignment horizontal="center" readingOrder="0" shrinkToFit="0" vertical="center" wrapText="1"/>
    </xf>
    <xf borderId="18" fillId="7" fontId="8" numFmtId="0" xfId="0" applyAlignment="1" applyBorder="1" applyFont="1">
      <alignment horizontal="center" readingOrder="0" shrinkToFit="0" vertical="center" wrapText="1"/>
    </xf>
    <xf borderId="18" fillId="15" fontId="1" numFmtId="0" xfId="0" applyAlignment="1" applyBorder="1" applyFont="1">
      <alignment horizontal="center" readingOrder="0" shrinkToFit="0" vertical="center" wrapText="1"/>
    </xf>
    <xf borderId="21" fillId="3" fontId="1" numFmtId="0" xfId="0" applyAlignment="1" applyBorder="1" applyFont="1">
      <alignment horizontal="center" readingOrder="0" shrinkToFit="0" vertical="center" wrapText="1"/>
    </xf>
    <xf borderId="26" fillId="0" fontId="8" numFmtId="0" xfId="0" applyAlignment="1" applyBorder="1" applyFont="1">
      <alignment horizontal="center" readingOrder="0" shrinkToFit="0" vertical="center" wrapText="1"/>
    </xf>
    <xf borderId="21" fillId="0" fontId="1" numFmtId="0" xfId="0" applyAlignment="1" applyBorder="1" applyFont="1">
      <alignment horizontal="center" readingOrder="0" vertical="center"/>
    </xf>
    <xf borderId="19" fillId="6" fontId="1" numFmtId="0" xfId="0" applyAlignment="1" applyBorder="1" applyFont="1">
      <alignment horizontal="center" readingOrder="0" shrinkToFit="0" vertical="center" wrapText="1"/>
    </xf>
    <xf borderId="10" fillId="2" fontId="7" numFmtId="0" xfId="0" applyAlignment="1" applyBorder="1" applyFont="1">
      <alignment horizontal="center" readingOrder="0" shrinkToFit="0" vertical="center" wrapText="1"/>
    </xf>
    <xf borderId="9" fillId="0" fontId="8" numFmtId="0" xfId="0" applyAlignment="1" applyBorder="1" applyFont="1">
      <alignment horizontal="center" vertical="center"/>
    </xf>
    <xf borderId="18" fillId="10" fontId="1" numFmtId="0" xfId="0" applyAlignment="1" applyBorder="1" applyFont="1">
      <alignment horizontal="center" readingOrder="0" shrinkToFit="0" vertical="center" wrapText="1"/>
    </xf>
    <xf borderId="10" fillId="0" fontId="8" numFmtId="0" xfId="0" applyBorder="1" applyFont="1"/>
    <xf borderId="16" fillId="0" fontId="1" numFmtId="0" xfId="0" applyAlignment="1" applyBorder="1" applyFont="1">
      <alignment horizontal="center" shrinkToFit="0" vertical="center" wrapText="1"/>
    </xf>
    <xf borderId="13" fillId="3" fontId="1" numFmtId="0" xfId="0" applyAlignment="1" applyBorder="1" applyFont="1">
      <alignment horizontal="center" readingOrder="0" shrinkToFit="0" vertical="center" wrapText="1"/>
    </xf>
    <xf borderId="21" fillId="0" fontId="7" numFmtId="0" xfId="0" applyAlignment="1" applyBorder="1" applyFont="1">
      <alignment horizontal="center" readingOrder="0" vertical="center"/>
    </xf>
    <xf borderId="18" fillId="3" fontId="1" numFmtId="0" xfId="0" applyAlignment="1" applyBorder="1" applyFont="1">
      <alignment horizontal="center" shrinkToFit="0" vertical="center" wrapText="1"/>
    </xf>
    <xf borderId="20" fillId="3" fontId="13" numFmtId="0" xfId="0" applyAlignment="1" applyBorder="1" applyFont="1">
      <alignment horizontal="center" readingOrder="0" shrinkToFit="0" vertical="center" wrapText="1"/>
    </xf>
    <xf borderId="18" fillId="0" fontId="8" numFmtId="0" xfId="0" applyAlignment="1" applyBorder="1" applyFont="1">
      <alignment horizontal="center" readingOrder="0" vertical="center"/>
    </xf>
    <xf borderId="37" fillId="0" fontId="8" numFmtId="0" xfId="0" applyAlignment="1" applyBorder="1" applyFont="1">
      <alignment horizontal="center" vertical="center"/>
    </xf>
    <xf borderId="28" fillId="0" fontId="1" numFmtId="0" xfId="0" applyAlignment="1" applyBorder="1" applyFont="1">
      <alignment horizontal="center" shrinkToFit="0" vertical="center" wrapText="1"/>
    </xf>
    <xf borderId="0" fillId="0" fontId="29" numFmtId="0" xfId="0" applyAlignment="1" applyFont="1">
      <alignment readingOrder="0"/>
    </xf>
    <xf borderId="9" fillId="0" fontId="9" numFmtId="0" xfId="0" applyAlignment="1" applyBorder="1" applyFont="1">
      <alignment horizontal="center" readingOrder="0" shrinkToFit="0" vertical="center" wrapText="1"/>
    </xf>
    <xf borderId="9" fillId="21" fontId="1" numFmtId="0" xfId="0" applyAlignment="1" applyBorder="1" applyFill="1" applyFont="1">
      <alignment horizontal="center" readingOrder="0" shrinkToFit="0" vertical="center" wrapText="1"/>
    </xf>
    <xf borderId="8" fillId="22" fontId="1" numFmtId="0" xfId="0" applyAlignment="1" applyBorder="1" applyFill="1" applyFont="1">
      <alignment horizontal="center" readingOrder="0" shrinkToFit="0" vertical="center" wrapText="1"/>
    </xf>
    <xf borderId="9" fillId="23" fontId="12" numFmtId="0" xfId="0" applyAlignment="1" applyBorder="1" applyFill="1" applyFont="1">
      <alignment horizontal="center" readingOrder="0" shrinkToFit="0" vertical="center" wrapText="1"/>
    </xf>
    <xf borderId="9" fillId="3" fontId="8" numFmtId="0" xfId="0" applyAlignment="1" applyBorder="1" applyFont="1">
      <alignment horizontal="center" readingOrder="0" vertical="center"/>
    </xf>
    <xf borderId="9" fillId="3" fontId="7" numFmtId="0" xfId="0" applyAlignment="1" applyBorder="1" applyFont="1">
      <alignment horizontal="center" readingOrder="0" vertical="center"/>
    </xf>
    <xf borderId="2" fillId="3" fontId="1" numFmtId="0" xfId="0" applyAlignment="1" applyBorder="1" applyFont="1">
      <alignment horizontal="center" readingOrder="0" shrinkToFit="0" vertical="center" wrapText="1"/>
    </xf>
    <xf borderId="1" fillId="3" fontId="1" numFmtId="0" xfId="0" applyAlignment="1" applyBorder="1" applyFont="1">
      <alignment horizontal="center" readingOrder="0" shrinkToFit="0" vertical="center" wrapText="1"/>
    </xf>
    <xf borderId="2" fillId="3" fontId="7" numFmtId="0" xfId="0" applyAlignment="1" applyBorder="1" applyFont="1">
      <alignment horizontal="center" readingOrder="0" shrinkToFit="0" wrapText="1"/>
    </xf>
    <xf borderId="8" fillId="3" fontId="7" numFmtId="0" xfId="0" applyAlignment="1" applyBorder="1" applyFont="1">
      <alignment horizontal="center" readingOrder="0"/>
    </xf>
    <xf borderId="54" fillId="23" fontId="30" numFmtId="0" xfId="0" applyAlignment="1" applyBorder="1" applyFont="1">
      <alignment horizontal="center" readingOrder="0" shrinkToFit="0" vertical="center" wrapText="1"/>
    </xf>
    <xf borderId="14" fillId="0" fontId="1" numFmtId="0" xfId="0" applyAlignment="1" applyBorder="1" applyFont="1">
      <alignment horizontal="center" shrinkToFit="0" vertical="center" wrapText="1"/>
    </xf>
    <xf borderId="10" fillId="0" fontId="5" numFmtId="20" xfId="0" applyAlignment="1" applyBorder="1" applyFont="1" applyNumberFormat="1">
      <alignment horizontal="center" shrinkToFit="0" vertical="bottom" wrapText="1"/>
    </xf>
    <xf borderId="22" fillId="0" fontId="1" numFmtId="0" xfId="0" applyAlignment="1" applyBorder="1" applyFont="1">
      <alignment horizontal="center" shrinkToFit="0" vertical="center" wrapText="1"/>
    </xf>
    <xf borderId="2" fillId="3" fontId="1" numFmtId="0" xfId="0" applyAlignment="1" applyBorder="1" applyFont="1">
      <alignment horizontal="center" readingOrder="0" vertical="center"/>
    </xf>
    <xf borderId="8" fillId="3" fontId="8" numFmtId="0" xfId="0" applyAlignment="1" applyBorder="1" applyFont="1">
      <alignment horizontal="center" readingOrder="0" shrinkToFit="0" vertical="center" wrapText="1"/>
    </xf>
    <xf borderId="8" fillId="3" fontId="7" numFmtId="0" xfId="0" applyAlignment="1" applyBorder="1" applyFont="1">
      <alignment horizontal="center" readingOrder="0" shrinkToFit="0" vertical="center" wrapText="1"/>
    </xf>
    <xf borderId="8" fillId="3" fontId="8" numFmtId="0" xfId="0" applyAlignment="1" applyBorder="1" applyFont="1">
      <alignment horizontal="center" readingOrder="0" vertical="center"/>
    </xf>
    <xf borderId="22" fillId="0" fontId="1" numFmtId="0" xfId="0" applyAlignment="1" applyBorder="1" applyFont="1">
      <alignment vertical="center"/>
    </xf>
    <xf borderId="10" fillId="0" fontId="5" numFmtId="20" xfId="0" applyAlignment="1" applyBorder="1" applyFont="1" applyNumberFormat="1">
      <alignment horizontal="center" vertical="bottom"/>
    </xf>
    <xf borderId="8" fillId="3" fontId="8" numFmtId="0" xfId="0" applyAlignment="1" applyBorder="1" applyFont="1">
      <alignment horizontal="center" vertical="center"/>
    </xf>
    <xf borderId="19" fillId="3" fontId="8" numFmtId="0" xfId="0" applyAlignment="1" applyBorder="1" applyFont="1">
      <alignment horizontal="center" vertical="center"/>
    </xf>
    <xf borderId="41" fillId="0" fontId="1" numFmtId="0" xfId="0" applyAlignment="1" applyBorder="1" applyFont="1">
      <alignment horizontal="center" readingOrder="0" shrinkToFit="0" vertical="center" wrapText="1"/>
    </xf>
    <xf borderId="10" fillId="0" fontId="1" numFmtId="167" xfId="0" applyAlignment="1" applyBorder="1" applyFont="1" applyNumberFormat="1">
      <alignment horizontal="center" readingOrder="0" shrinkToFit="0" vertical="center" wrapText="1"/>
    </xf>
    <xf borderId="33" fillId="0" fontId="1" numFmtId="0" xfId="0" applyAlignment="1" applyBorder="1" applyFont="1">
      <alignment horizontal="center" readingOrder="0" shrinkToFit="0" vertical="center" wrapText="1"/>
    </xf>
    <xf borderId="25" fillId="0" fontId="1" numFmtId="0" xfId="0" applyAlignment="1" applyBorder="1" applyFont="1">
      <alignment horizontal="center" shrinkToFit="0" vertical="center" wrapText="1"/>
    </xf>
    <xf borderId="45" fillId="0" fontId="1" numFmtId="168" xfId="0" applyAlignment="1" applyBorder="1" applyFont="1" applyNumberFormat="1">
      <alignment horizontal="center" shrinkToFit="0" textRotation="90" vertical="center" wrapText="1"/>
    </xf>
    <xf borderId="63" fillId="0" fontId="1" numFmtId="0" xfId="0" applyAlignment="1" applyBorder="1" applyFont="1">
      <alignment horizontal="center" textRotation="90" vertical="center"/>
    </xf>
    <xf borderId="64" fillId="0" fontId="1" numFmtId="0" xfId="0" applyBorder="1" applyFont="1"/>
    <xf borderId="65" fillId="0" fontId="2" numFmtId="0" xfId="0" applyAlignment="1" applyBorder="1" applyFont="1">
      <alignment horizontal="center" shrinkToFit="0" vertical="center" wrapText="1"/>
    </xf>
    <xf borderId="66" fillId="0" fontId="3" numFmtId="0" xfId="0" applyBorder="1" applyFont="1"/>
    <xf borderId="67" fillId="0" fontId="2" numFmtId="0" xfId="0" applyAlignment="1" applyBorder="1" applyFont="1">
      <alignment horizontal="center" shrinkToFit="0" vertical="center" wrapText="1"/>
    </xf>
    <xf borderId="68" fillId="0" fontId="3" numFmtId="0" xfId="0" applyBorder="1" applyFont="1"/>
    <xf borderId="69" fillId="0" fontId="2" numFmtId="0" xfId="0" applyAlignment="1" applyBorder="1" applyFont="1">
      <alignment horizontal="center" readingOrder="0" shrinkToFit="0" vertical="center" wrapText="1"/>
    </xf>
    <xf borderId="69" fillId="0" fontId="3" numFmtId="0" xfId="0" applyBorder="1" applyFont="1"/>
    <xf borderId="70" fillId="0" fontId="3" numFmtId="0" xfId="0" applyBorder="1" applyFont="1"/>
    <xf borderId="67" fillId="0" fontId="2" numFmtId="0" xfId="0" applyAlignment="1" applyBorder="1" applyFont="1">
      <alignment horizontal="center" readingOrder="0" shrinkToFit="0" vertical="center" wrapText="1"/>
    </xf>
    <xf borderId="71" fillId="0" fontId="3" numFmtId="0" xfId="0" applyBorder="1" applyFont="1"/>
    <xf borderId="10" fillId="0" fontId="2" numFmtId="0" xfId="0" applyAlignment="1" applyBorder="1" applyFont="1">
      <alignment horizontal="center" shrinkToFit="0" vertical="center" wrapText="1"/>
    </xf>
    <xf borderId="72" fillId="0" fontId="4" numFmtId="165" xfId="0" applyAlignment="1" applyBorder="1" applyFont="1" applyNumberFormat="1">
      <alignment horizontal="center" readingOrder="0" shrinkToFit="0" textRotation="90" vertical="center" wrapText="1"/>
    </xf>
    <xf borderId="73" fillId="0" fontId="3" numFmtId="0" xfId="0" applyBorder="1" applyFont="1"/>
    <xf borderId="74" fillId="0" fontId="3" numFmtId="0" xfId="0" applyBorder="1" applyFont="1"/>
    <xf borderId="75" fillId="0" fontId="3" numFmtId="0" xfId="0" applyBorder="1" applyFont="1"/>
    <xf borderId="10" fillId="0" fontId="8" numFmtId="0" xfId="0" applyAlignment="1" applyBorder="1" applyFont="1">
      <alignment horizontal="center" readingOrder="0" vertical="center"/>
    </xf>
    <xf borderId="8" fillId="0" fontId="20" numFmtId="0" xfId="0" applyAlignment="1" applyBorder="1" applyFont="1">
      <alignment horizontal="center" shrinkToFit="0" wrapText="1"/>
    </xf>
    <xf borderId="8" fillId="0" fontId="31" numFmtId="20" xfId="0" applyAlignment="1" applyBorder="1" applyFont="1" applyNumberFormat="1">
      <alignment horizontal="center" shrinkToFit="0" vertical="bottom" wrapText="1"/>
    </xf>
    <xf borderId="8" fillId="0" fontId="31" numFmtId="166" xfId="0" applyAlignment="1" applyBorder="1" applyFont="1" applyNumberFormat="1">
      <alignment horizontal="center" shrinkToFit="0" vertical="bottom" wrapText="1"/>
    </xf>
    <xf borderId="8" fillId="0" fontId="31" numFmtId="0" xfId="0" applyAlignment="1" applyBorder="1" applyFont="1">
      <alignment horizontal="center" readingOrder="0" vertical="bottom"/>
    </xf>
    <xf borderId="8" fillId="0" fontId="31" numFmtId="0" xfId="0" applyAlignment="1" applyBorder="1" applyFont="1">
      <alignment horizontal="center" readingOrder="0" shrinkToFit="0" vertical="bottom" wrapText="1"/>
    </xf>
    <xf borderId="7" fillId="0" fontId="8" numFmtId="0" xfId="0" applyAlignment="1" applyBorder="1" applyFont="1">
      <alignment horizontal="center" readingOrder="0" shrinkToFit="0" vertical="center" wrapText="1"/>
    </xf>
    <xf borderId="76" fillId="0" fontId="3" numFmtId="0" xfId="0" applyBorder="1" applyFont="1"/>
    <xf borderId="77" fillId="0" fontId="1" numFmtId="0" xfId="0" applyAlignment="1" applyBorder="1" applyFont="1">
      <alignment horizontal="center" readingOrder="0" vertical="center"/>
    </xf>
    <xf borderId="1" fillId="0" fontId="2" numFmtId="0" xfId="0" applyAlignment="1" applyBorder="1" applyFont="1">
      <alignment vertical="center"/>
    </xf>
    <xf borderId="57" fillId="0" fontId="2" numFmtId="0" xfId="0" applyAlignment="1" applyBorder="1" applyFont="1">
      <alignment vertical="center"/>
    </xf>
    <xf borderId="10" fillId="0" fontId="2" numFmtId="0" xfId="0" applyAlignment="1" applyBorder="1" applyFont="1">
      <alignment horizontal="center" readingOrder="0" shrinkToFit="0" vertical="center" wrapText="1"/>
    </xf>
    <xf borderId="19" fillId="0" fontId="2" numFmtId="0" xfId="0" applyAlignment="1" applyBorder="1" applyFont="1">
      <alignment vertical="center"/>
    </xf>
    <xf borderId="19" fillId="0" fontId="2" numFmtId="0" xfId="0" applyAlignment="1" applyBorder="1" applyFont="1">
      <alignment horizontal="center" shrinkToFit="0" vertical="center" wrapText="1"/>
    </xf>
    <xf borderId="2" fillId="0" fontId="8" numFmtId="0" xfId="0" applyAlignment="1" applyBorder="1" applyFont="1">
      <alignment horizontal="center" readingOrder="0" shrinkToFit="0" vertical="center" wrapText="1"/>
    </xf>
    <xf borderId="10" fillId="0" fontId="2" numFmtId="20" xfId="0" applyAlignment="1" applyBorder="1" applyFont="1" applyNumberFormat="1">
      <alignment horizontal="center" shrinkToFit="0" vertical="center" wrapText="1"/>
    </xf>
    <xf borderId="77" fillId="0" fontId="1" numFmtId="0" xfId="0" applyAlignment="1" applyBorder="1" applyFont="1">
      <alignment horizontal="center" shrinkToFit="0" vertical="center" wrapText="1"/>
    </xf>
    <xf borderId="30" fillId="0" fontId="2" numFmtId="0" xfId="0" applyAlignment="1" applyBorder="1" applyFont="1">
      <alignment vertical="center"/>
    </xf>
    <xf borderId="59" fillId="0" fontId="4" numFmtId="165" xfId="0" applyAlignment="1" applyBorder="1" applyFont="1" applyNumberFormat="1">
      <alignment horizontal="center" readingOrder="0" shrinkToFit="0" textRotation="90" vertical="center" wrapText="1"/>
    </xf>
    <xf borderId="44" fillId="0" fontId="1" numFmtId="0" xfId="0" applyAlignment="1" applyBorder="1" applyFont="1">
      <alignment horizontal="center" readingOrder="0" shrinkToFit="0" vertical="center" wrapText="1"/>
    </xf>
    <xf borderId="26" fillId="3" fontId="1" numFmtId="0" xfId="0" applyAlignment="1" applyBorder="1" applyFont="1">
      <alignment horizontal="center" readingOrder="0" shrinkToFit="0" vertical="center" wrapText="1"/>
    </xf>
    <xf borderId="23" fillId="3" fontId="13" numFmtId="0" xfId="0" applyAlignment="1" applyBorder="1" applyFont="1">
      <alignment horizontal="center" readingOrder="0" shrinkToFit="0" vertical="center" wrapText="1"/>
    </xf>
    <xf borderId="44" fillId="3" fontId="1" numFmtId="0" xfId="0" applyAlignment="1" applyBorder="1" applyFont="1">
      <alignment horizontal="center" readingOrder="0" shrinkToFit="0" vertical="center" wrapText="1"/>
    </xf>
    <xf borderId="23" fillId="2" fontId="7" numFmtId="0" xfId="0" applyAlignment="1" applyBorder="1" applyFont="1">
      <alignment horizontal="center" readingOrder="0" vertical="center"/>
    </xf>
    <xf borderId="27" fillId="0" fontId="1" numFmtId="0" xfId="0" applyAlignment="1" applyBorder="1" applyFont="1">
      <alignment horizontal="center" shrinkToFit="0" vertical="center" wrapText="1"/>
    </xf>
    <xf borderId="51" fillId="0" fontId="2" numFmtId="0" xfId="0" applyAlignment="1" applyBorder="1" applyFont="1">
      <alignment vertical="center"/>
    </xf>
    <xf borderId="18" fillId="7" fontId="1" numFmtId="0" xfId="0" applyAlignment="1" applyBorder="1" applyFont="1">
      <alignment horizontal="center" readingOrder="0" shrinkToFit="0" vertical="center" wrapText="1"/>
    </xf>
    <xf borderId="19" fillId="7" fontId="8" numFmtId="0" xfId="0" applyAlignment="1" applyBorder="1" applyFont="1">
      <alignment horizontal="center" readingOrder="0" shrinkToFit="0" wrapText="1"/>
    </xf>
    <xf borderId="37" fillId="7" fontId="1" numFmtId="0" xfId="0" applyAlignment="1" applyBorder="1" applyFont="1">
      <alignment horizontal="center" readingOrder="0" shrinkToFit="0" vertical="center" wrapText="1"/>
    </xf>
    <xf borderId="30" fillId="7" fontId="8" numFmtId="0" xfId="0" applyAlignment="1" applyBorder="1" applyFont="1">
      <alignment horizontal="center" readingOrder="0" shrinkToFit="0" wrapText="1"/>
    </xf>
    <xf borderId="10" fillId="0" fontId="2" numFmtId="0" xfId="0" applyAlignment="1" applyBorder="1" applyFont="1">
      <alignment vertical="center"/>
    </xf>
    <xf borderId="8" fillId="9" fontId="32" numFmtId="0" xfId="0" applyAlignment="1" applyBorder="1" applyFont="1">
      <alignment horizontal="center" readingOrder="0" shrinkToFit="0" vertical="center" wrapText="1"/>
    </xf>
    <xf borderId="45" fillId="0" fontId="4" numFmtId="165" xfId="0" applyAlignment="1" applyBorder="1" applyFont="1" applyNumberFormat="1">
      <alignment horizontal="center" readingOrder="0" shrinkToFit="0" textRotation="90" vertical="center" wrapText="1"/>
    </xf>
    <xf borderId="45" fillId="0" fontId="1" numFmtId="0" xfId="0" applyAlignment="1" applyBorder="1" applyFont="1">
      <alignment horizontal="center" readingOrder="0" shrinkToFit="0" vertical="center" wrapText="1"/>
    </xf>
    <xf borderId="8" fillId="24" fontId="1" numFmtId="0" xfId="0" applyAlignment="1" applyBorder="1" applyFill="1" applyFont="1">
      <alignment horizontal="center" readingOrder="0" shrinkToFit="0" vertical="center" wrapText="1"/>
    </xf>
    <xf borderId="8" fillId="0" fontId="2" numFmtId="0" xfId="0" applyAlignment="1" applyBorder="1" applyFont="1">
      <alignment horizontal="center" readingOrder="0" vertical="center"/>
    </xf>
    <xf borderId="21" fillId="15" fontId="1" numFmtId="0" xfId="0" applyAlignment="1" applyBorder="1" applyFont="1">
      <alignment horizontal="center" readingOrder="0" shrinkToFit="0" vertical="center" wrapText="1"/>
    </xf>
    <xf borderId="8" fillId="0" fontId="2" numFmtId="0" xfId="0" applyAlignment="1" applyBorder="1" applyFont="1">
      <alignment horizontal="center" vertical="center"/>
    </xf>
    <xf borderId="20" fillId="17" fontId="2" numFmtId="0" xfId="0" applyAlignment="1" applyBorder="1" applyFont="1">
      <alignment horizontal="center" readingOrder="0" shrinkToFit="0" vertical="center" wrapText="1"/>
    </xf>
    <xf borderId="8" fillId="0" fontId="2" numFmtId="20" xfId="0" applyAlignment="1" applyBorder="1" applyFont="1" applyNumberFormat="1">
      <alignment horizontal="center" vertical="center"/>
    </xf>
    <xf borderId="0" fillId="0" fontId="8" numFmtId="0" xfId="0" applyAlignment="1" applyFont="1">
      <alignment horizontal="center" readingOrder="0" vertical="center"/>
    </xf>
    <xf borderId="8" fillId="0" fontId="7" numFmtId="0" xfId="0" applyAlignment="1" applyBorder="1" applyFont="1">
      <alignment horizontal="center" readingOrder="0" shrinkToFit="0" vertical="center" wrapText="1"/>
    </xf>
    <xf borderId="9" fillId="0" fontId="12" numFmtId="0" xfId="0" applyAlignment="1" applyBorder="1" applyFont="1">
      <alignment horizontal="center" readingOrder="0" shrinkToFit="0" vertical="center" wrapText="1"/>
    </xf>
    <xf borderId="9" fillId="22" fontId="8" numFmtId="0" xfId="0" applyAlignment="1" applyBorder="1" applyFont="1">
      <alignment horizontal="center" readingOrder="0" vertical="center"/>
    </xf>
    <xf borderId="2" fillId="0" fontId="22" numFmtId="0" xfId="0" applyAlignment="1" applyBorder="1" applyFont="1">
      <alignment horizontal="center" readingOrder="0" shrinkToFit="0" vertical="center" wrapText="1"/>
    </xf>
    <xf borderId="78" fillId="0" fontId="1" numFmtId="0" xfId="0" applyAlignment="1" applyBorder="1" applyFont="1">
      <alignment horizontal="center" readingOrder="0" shrinkToFit="0" vertical="center" wrapText="1"/>
    </xf>
    <xf borderId="9" fillId="22" fontId="1" numFmtId="0" xfId="0" applyAlignment="1" applyBorder="1" applyFont="1">
      <alignment horizontal="center" readingOrder="0" shrinkToFit="0" vertical="center" wrapText="1"/>
    </xf>
    <xf borderId="1" fillId="0" fontId="1" numFmtId="0" xfId="0" applyAlignment="1" applyBorder="1" applyFont="1">
      <alignment horizontal="center" readingOrder="0" textRotation="90" vertical="center"/>
    </xf>
    <xf borderId="20" fillId="22" fontId="1" numFmtId="0" xfId="0" applyAlignment="1" applyBorder="1" applyFont="1">
      <alignment horizontal="center" readingOrder="0" shrinkToFit="0" vertical="center" wrapText="1"/>
    </xf>
    <xf borderId="6" fillId="22" fontId="12" numFmtId="0" xfId="0" applyAlignment="1" applyBorder="1" applyFont="1">
      <alignment horizontal="center" readingOrder="0" shrinkToFit="0" vertical="center" wrapText="1"/>
    </xf>
    <xf borderId="2" fillId="22" fontId="2" numFmtId="0" xfId="0" applyAlignment="1" applyBorder="1" applyFont="1">
      <alignment horizontal="center" readingOrder="0" shrinkToFit="0" vertical="center" wrapText="1"/>
    </xf>
    <xf borderId="6" fillId="0" fontId="10" numFmtId="0" xfId="0" applyAlignment="1" applyBorder="1" applyFont="1">
      <alignment horizontal="center" readingOrder="0" shrinkToFit="0" wrapText="1"/>
    </xf>
    <xf borderId="36" fillId="0" fontId="12" numFmtId="0" xfId="0" applyAlignment="1" applyBorder="1" applyFont="1">
      <alignment horizontal="center" readingOrder="0" shrinkToFit="0" vertical="center" wrapText="1"/>
    </xf>
    <xf borderId="16" fillId="0" fontId="1" numFmtId="0" xfId="0" applyAlignment="1" applyBorder="1" applyFont="1">
      <alignment horizontal="center" shrinkToFit="0" wrapText="1"/>
    </xf>
    <xf borderId="10" fillId="0" fontId="1" numFmtId="0" xfId="0" applyAlignment="1" applyBorder="1" applyFont="1">
      <alignment horizontal="center" shrinkToFit="0" wrapText="1"/>
    </xf>
    <xf borderId="1" fillId="3" fontId="13" numFmtId="0" xfId="0" applyAlignment="1" applyBorder="1" applyFont="1">
      <alignment horizontal="center" readingOrder="0" shrinkToFit="0" vertical="center" wrapText="1"/>
    </xf>
    <xf borderId="38" fillId="0" fontId="1" numFmtId="0" xfId="0" applyAlignment="1" applyBorder="1" applyFont="1">
      <alignment horizontal="center" shrinkToFit="0" wrapText="1"/>
    </xf>
    <xf borderId="31" fillId="25" fontId="1" numFmtId="0" xfId="0" applyAlignment="1" applyBorder="1" applyFill="1" applyFont="1">
      <alignment horizontal="center" readingOrder="0" shrinkToFit="0" vertical="center" wrapText="1"/>
    </xf>
    <xf borderId="9" fillId="25" fontId="1" numFmtId="0" xfId="0" applyAlignment="1" applyBorder="1" applyFont="1">
      <alignment horizontal="center" readingOrder="0" shrinkToFit="0" vertical="center" wrapText="1"/>
    </xf>
    <xf borderId="8" fillId="26" fontId="8" numFmtId="0" xfId="0" applyAlignment="1" applyBorder="1" applyFill="1" applyFont="1">
      <alignment horizontal="center" readingOrder="0" shrinkToFit="0" vertical="center" wrapText="1"/>
    </xf>
    <xf borderId="8" fillId="27" fontId="1" numFmtId="0" xfId="0" applyAlignment="1" applyBorder="1" applyFill="1" applyFont="1">
      <alignment horizontal="center" readingOrder="0" shrinkToFit="0" vertical="center" wrapText="1"/>
    </xf>
    <xf borderId="0" fillId="0" fontId="2" numFmtId="0" xfId="0" applyAlignment="1" applyFont="1">
      <alignment horizontal="center" shrinkToFit="0" vertical="center" wrapText="1"/>
    </xf>
    <xf borderId="15" fillId="0" fontId="5" numFmtId="20" xfId="0" applyAlignment="1" applyBorder="1" applyFont="1" applyNumberFormat="1">
      <alignment horizontal="center" shrinkToFit="0" vertical="bottom" wrapText="1"/>
    </xf>
    <xf borderId="10" fillId="0" fontId="5" numFmtId="166" xfId="0" applyAlignment="1" applyBorder="1" applyFont="1" applyNumberFormat="1">
      <alignment horizontal="center" shrinkToFit="0" vertical="bottom" wrapText="1"/>
    </xf>
    <xf borderId="10" fillId="0" fontId="5" numFmtId="0" xfId="0" applyAlignment="1" applyBorder="1" applyFont="1">
      <alignment horizontal="center" readingOrder="0" shrinkToFit="0" vertical="bottom" wrapText="1"/>
    </xf>
    <xf borderId="18" fillId="28" fontId="1" numFmtId="0" xfId="0" applyAlignment="1" applyBorder="1" applyFill="1" applyFont="1">
      <alignment horizontal="center" readingOrder="0" shrinkToFit="0" vertical="center" wrapText="1"/>
    </xf>
    <xf borderId="26" fillId="4" fontId="10" numFmtId="0" xfId="0" applyAlignment="1" applyBorder="1" applyFont="1">
      <alignment horizontal="center" readingOrder="0" shrinkToFit="0" vertical="center" wrapText="1"/>
    </xf>
    <xf borderId="7" fillId="22" fontId="2" numFmtId="0" xfId="0" applyAlignment="1" applyBorder="1" applyFont="1">
      <alignment horizontal="center" readingOrder="0" shrinkToFit="0" vertical="center" wrapText="1"/>
    </xf>
    <xf borderId="79" fillId="0" fontId="4" numFmtId="165" xfId="0" applyAlignment="1" applyBorder="1" applyFont="1" applyNumberFormat="1">
      <alignment horizontal="center" readingOrder="0" shrinkToFit="0" textRotation="90" vertical="center" wrapText="1"/>
    </xf>
    <xf borderId="43" fillId="0" fontId="1" numFmtId="0" xfId="0" applyAlignment="1" applyBorder="1" applyFont="1">
      <alignment horizontal="center" shrinkToFit="0" wrapText="1"/>
    </xf>
    <xf borderId="45" fillId="0" fontId="5" numFmtId="20" xfId="0" applyAlignment="1" applyBorder="1" applyFont="1" applyNumberFormat="1">
      <alignment horizontal="center" shrinkToFit="0" vertical="bottom" wrapText="1"/>
    </xf>
    <xf borderId="0" fillId="0" fontId="5" numFmtId="20" xfId="0" applyAlignment="1" applyFont="1" applyNumberFormat="1">
      <alignment horizontal="center" shrinkToFit="0" vertical="bottom" wrapText="1"/>
    </xf>
    <xf borderId="0" fillId="0" fontId="1" numFmtId="0" xfId="0" applyAlignment="1" applyFont="1">
      <alignment horizontal="center" readingOrder="0" shrinkToFit="0" vertical="center" wrapText="1"/>
    </xf>
    <xf borderId="45" fillId="0" fontId="6" numFmtId="20" xfId="0" applyAlignment="1" applyBorder="1" applyFont="1" applyNumberFormat="1">
      <alignment horizontal="center" shrinkToFit="0" vertical="bottom" wrapText="1"/>
    </xf>
    <xf borderId="20" fillId="0" fontId="5" numFmtId="20" xfId="0" applyAlignment="1" applyBorder="1" applyFont="1" applyNumberFormat="1">
      <alignment horizontal="center" shrinkToFit="0" vertical="bottom" wrapText="1"/>
    </xf>
    <xf borderId="38" fillId="0" fontId="1" numFmtId="0" xfId="0" applyAlignment="1" applyBorder="1" applyFont="1">
      <alignment horizontal="center" readingOrder="0" shrinkToFit="0" vertical="center" wrapText="1"/>
    </xf>
    <xf borderId="9" fillId="0" fontId="5" numFmtId="166" xfId="0" applyAlignment="1" applyBorder="1" applyFont="1" applyNumberFormat="1">
      <alignment horizontal="center" shrinkToFit="0" vertical="bottom" wrapText="1"/>
    </xf>
    <xf borderId="2" fillId="29" fontId="22" numFmtId="0" xfId="0" applyAlignment="1" applyBorder="1" applyFill="1" applyFont="1">
      <alignment horizontal="center" readingOrder="0" shrinkToFit="0" vertical="center" wrapText="1"/>
    </xf>
    <xf borderId="9" fillId="17" fontId="2" numFmtId="0" xfId="0" applyAlignment="1" applyBorder="1" applyFont="1">
      <alignment horizontal="center" readingOrder="0" shrinkToFit="0" vertical="center" wrapText="1"/>
    </xf>
    <xf borderId="51" fillId="0" fontId="5" numFmtId="20" xfId="0" applyAlignment="1" applyBorder="1" applyFont="1" applyNumberFormat="1">
      <alignment horizontal="center" shrinkToFit="0" vertical="bottom" wrapText="1"/>
    </xf>
    <xf borderId="26" fillId="0" fontId="2" numFmtId="0" xfId="0" applyAlignment="1" applyBorder="1" applyFont="1">
      <alignment horizontal="center" readingOrder="0" shrinkToFit="0" vertical="center" wrapText="1"/>
    </xf>
    <xf borderId="1" fillId="0" fontId="33" numFmtId="0" xfId="0" applyAlignment="1" applyBorder="1" applyFont="1">
      <alignment horizontal="center" textRotation="90" vertical="center"/>
    </xf>
    <xf borderId="41" fillId="0" fontId="5" numFmtId="0" xfId="0" applyAlignment="1" applyBorder="1" applyFont="1">
      <alignment vertical="bottom"/>
    </xf>
    <xf borderId="32" fillId="2" fontId="34" numFmtId="0" xfId="0" applyAlignment="1" applyBorder="1" applyFont="1">
      <alignment horizontal="center" shrinkToFit="0" vertical="bottom" wrapText="1"/>
    </xf>
    <xf borderId="32" fillId="2" fontId="34" numFmtId="0" xfId="0" applyAlignment="1" applyBorder="1" applyFont="1">
      <alignment horizontal="center" readingOrder="0" shrinkToFit="0" vertical="bottom" wrapText="1"/>
    </xf>
    <xf borderId="4" fillId="2" fontId="34" numFmtId="0" xfId="0" applyAlignment="1" applyBorder="1" applyFont="1">
      <alignment horizontal="center" readingOrder="0" shrinkToFit="0" vertical="bottom" wrapText="1"/>
    </xf>
    <xf borderId="11" fillId="0" fontId="33" numFmtId="169" xfId="0" applyAlignment="1" applyBorder="1" applyFont="1" applyNumberFormat="1">
      <alignment horizontal="center" readingOrder="0" shrinkToFit="0" textRotation="90" vertical="center" wrapText="1"/>
    </xf>
    <xf borderId="32" fillId="0" fontId="5" numFmtId="0" xfId="0" applyAlignment="1" applyBorder="1" applyFont="1">
      <alignment horizontal="center" readingOrder="0" shrinkToFit="0" vertical="center" wrapText="1"/>
    </xf>
    <xf borderId="54" fillId="30" fontId="28" numFmtId="0" xfId="0" applyAlignment="1" applyBorder="1" applyFill="1" applyFont="1">
      <alignment horizontal="center" readingOrder="0" shrinkToFit="0" vertical="center" wrapText="1"/>
    </xf>
    <xf borderId="0" fillId="0" fontId="5" numFmtId="0" xfId="0" applyAlignment="1" applyFont="1">
      <alignment horizontal="center" readingOrder="0" shrinkToFit="0" vertical="center" wrapText="1"/>
    </xf>
    <xf borderId="9" fillId="8" fontId="12" numFmtId="0" xfId="0" applyAlignment="1" applyBorder="1" applyFont="1">
      <alignment horizontal="center" readingOrder="0" shrinkToFit="0" vertical="bottom" wrapText="1"/>
    </xf>
    <xf borderId="52" fillId="31" fontId="35" numFmtId="0" xfId="0" applyAlignment="1" applyBorder="1" applyFill="1" applyFont="1">
      <alignment horizontal="center" readingOrder="0" shrinkToFit="0" vertical="center" wrapText="1"/>
    </xf>
    <xf borderId="9" fillId="31" fontId="30" numFmtId="0" xfId="0" applyAlignment="1" applyBorder="1" applyFont="1">
      <alignment horizontal="center" readingOrder="0" shrinkToFit="0" vertical="center" wrapText="1"/>
    </xf>
    <xf borderId="10" fillId="31" fontId="30" numFmtId="0" xfId="0" applyAlignment="1" applyBorder="1" applyFont="1">
      <alignment horizontal="center" readingOrder="0" shrinkToFit="0" vertical="center" wrapText="1"/>
    </xf>
    <xf borderId="52" fillId="32" fontId="28" numFmtId="0" xfId="0" applyAlignment="1" applyBorder="1" applyFill="1" applyFont="1">
      <alignment horizontal="center" readingOrder="0" shrinkToFit="0" vertical="center" wrapText="1"/>
    </xf>
    <xf borderId="0" fillId="32" fontId="15" numFmtId="0" xfId="0" applyAlignment="1" applyFont="1">
      <alignment horizontal="center" readingOrder="0" shrinkToFit="0" vertical="center" wrapText="1"/>
    </xf>
    <xf borderId="23" fillId="0" fontId="5" numFmtId="0" xfId="0" applyAlignment="1" applyBorder="1" applyFont="1">
      <alignment horizontal="center" readingOrder="0" shrinkToFit="0" vertical="bottom" wrapText="1"/>
    </xf>
    <xf borderId="62" fillId="0" fontId="5" numFmtId="0" xfId="0" applyAlignment="1" applyBorder="1" applyFont="1">
      <alignment horizontal="center" shrinkToFit="0" vertical="bottom" wrapText="1"/>
    </xf>
    <xf borderId="0" fillId="0" fontId="5" numFmtId="0" xfId="0" applyAlignment="1" applyFont="1">
      <alignment horizontal="center" shrinkToFit="0" vertical="bottom" wrapText="1"/>
    </xf>
    <xf borderId="42" fillId="0" fontId="8" numFmtId="0" xfId="0" applyBorder="1" applyFont="1"/>
    <xf borderId="54" fillId="32" fontId="12" numFmtId="0" xfId="0" applyAlignment="1" applyBorder="1" applyFont="1">
      <alignment horizontal="center" readingOrder="0" shrinkToFit="0" vertical="center" wrapText="1"/>
    </xf>
    <xf borderId="23" fillId="2" fontId="5" numFmtId="0" xfId="0" applyAlignment="1" applyBorder="1" applyFont="1">
      <alignment horizontal="center" readingOrder="0" shrinkToFit="0" vertical="bottom" wrapText="1"/>
    </xf>
    <xf borderId="26" fillId="17" fontId="12" numFmtId="0" xfId="0" applyAlignment="1" applyBorder="1" applyFont="1">
      <alignment horizontal="center" readingOrder="0" shrinkToFit="0" vertical="center" wrapText="1"/>
    </xf>
    <xf borderId="60" fillId="2" fontId="36" numFmtId="0" xfId="0" applyAlignment="1" applyBorder="1" applyFont="1">
      <alignment horizontal="center" readingOrder="0" shrinkToFit="0" vertical="center" wrapText="1"/>
    </xf>
    <xf borderId="26" fillId="2" fontId="36" numFmtId="0" xfId="0" applyAlignment="1" applyBorder="1" applyFont="1">
      <alignment horizontal="center" readingOrder="0" shrinkToFit="0" vertical="center" wrapText="1"/>
    </xf>
    <xf borderId="33" fillId="2" fontId="36" numFmtId="0" xfId="0" applyAlignment="1" applyBorder="1" applyFont="1">
      <alignment horizontal="center" readingOrder="0" shrinkToFit="0" vertical="center" wrapText="1"/>
    </xf>
    <xf borderId="0" fillId="2" fontId="37" numFmtId="0" xfId="0" applyAlignment="1" applyFont="1">
      <alignment readingOrder="0"/>
    </xf>
    <xf borderId="0" fillId="2" fontId="8" numFmtId="0" xfId="0" applyFont="1"/>
    <xf borderId="26" fillId="8" fontId="36" numFmtId="0" xfId="0" applyAlignment="1" applyBorder="1" applyFont="1">
      <alignment horizontal="center" readingOrder="0" shrinkToFit="0" vertical="center" wrapText="1"/>
    </xf>
    <xf borderId="0" fillId="0" fontId="37" numFmtId="0" xfId="0" applyAlignment="1" applyFont="1">
      <alignment readingOrder="0"/>
    </xf>
    <xf borderId="23" fillId="0" fontId="5" numFmtId="0" xfId="0" applyAlignment="1" applyBorder="1" applyFont="1">
      <alignment horizontal="center" readingOrder="0" shrinkToFit="0" vertical="center" wrapText="1"/>
    </xf>
    <xf borderId="9" fillId="33" fontId="5" numFmtId="0" xfId="0" applyAlignment="1" applyBorder="1" applyFill="1" applyFont="1">
      <alignment horizontal="center" readingOrder="0" shrinkToFit="0" vertical="center" wrapText="1"/>
    </xf>
    <xf borderId="9" fillId="25" fontId="38" numFmtId="0" xfId="0" applyAlignment="1" applyBorder="1" applyFont="1">
      <alignment horizontal="center" readingOrder="0" shrinkToFit="0" vertical="center" wrapText="1"/>
    </xf>
    <xf borderId="6" fillId="31" fontId="39" numFmtId="0" xfId="0" applyAlignment="1" applyBorder="1" applyFont="1">
      <alignment horizontal="center" readingOrder="0" shrinkToFit="0" vertical="center" wrapText="1"/>
    </xf>
    <xf borderId="0" fillId="0" fontId="37" numFmtId="0" xfId="0" applyAlignment="1" applyFont="1">
      <alignment readingOrder="0" shrinkToFit="0" vertical="center" wrapText="1"/>
    </xf>
    <xf borderId="0" fillId="0" fontId="8" numFmtId="0" xfId="0" applyAlignment="1" applyFont="1">
      <alignment vertical="center"/>
    </xf>
    <xf borderId="8" fillId="0" fontId="5" numFmtId="0" xfId="0" applyAlignment="1" applyBorder="1" applyFont="1">
      <alignment horizontal="center" shrinkToFit="0" vertical="center" wrapText="1"/>
    </xf>
    <xf borderId="80" fillId="25" fontId="38" numFmtId="0" xfId="0" applyAlignment="1" applyBorder="1" applyFont="1">
      <alignment horizontal="center" readingOrder="0" shrinkToFit="0" vertical="center" wrapText="1"/>
    </xf>
    <xf borderId="81" fillId="0" fontId="3" numFmtId="0" xfId="0" applyBorder="1" applyFont="1"/>
    <xf borderId="82" fillId="0" fontId="3" numFmtId="0" xfId="0" applyBorder="1" applyFont="1"/>
    <xf borderId="22" fillId="0" fontId="38" numFmtId="0" xfId="0" applyAlignment="1" applyBorder="1" applyFont="1">
      <alignment horizontal="center" readingOrder="0" shrinkToFit="0" vertical="center" wrapText="1"/>
    </xf>
    <xf borderId="20" fillId="0" fontId="38" numFmtId="0" xfId="0" applyAlignment="1" applyBorder="1" applyFont="1">
      <alignment horizontal="center" readingOrder="0" shrinkToFit="0" vertical="center" wrapText="1"/>
    </xf>
    <xf borderId="10" fillId="0" fontId="38" numFmtId="0" xfId="0" applyAlignment="1" applyBorder="1" applyFont="1">
      <alignment horizontal="center" readingOrder="0" shrinkToFit="0" vertical="center" wrapText="1"/>
    </xf>
    <xf borderId="23" fillId="0" fontId="5" numFmtId="0" xfId="0" applyAlignment="1" applyBorder="1" applyFont="1">
      <alignment horizontal="center" shrinkToFit="0" vertical="bottom" wrapText="1"/>
    </xf>
    <xf borderId="8" fillId="0" fontId="5" numFmtId="0" xfId="0" applyAlignment="1" applyBorder="1" applyFont="1">
      <alignment horizontal="center" shrinkToFit="0" vertical="bottom" wrapText="1"/>
    </xf>
    <xf borderId="51" fillId="0" fontId="5" numFmtId="0" xfId="0" applyAlignment="1" applyBorder="1" applyFont="1">
      <alignment horizontal="center" shrinkToFit="0" vertical="bottom" wrapText="1"/>
    </xf>
    <xf borderId="19" fillId="0" fontId="8" numFmtId="0" xfId="0" applyBorder="1" applyFont="1"/>
    <xf borderId="47" fillId="0" fontId="40" numFmtId="0" xfId="0" applyAlignment="1" applyBorder="1" applyFont="1">
      <alignment horizontal="center" shrinkToFit="0" vertical="bottom" wrapText="1"/>
    </xf>
    <xf borderId="1" fillId="0" fontId="5" numFmtId="0" xfId="0" applyAlignment="1" applyBorder="1" applyFont="1">
      <alignment horizontal="center" shrinkToFit="0" vertical="bottom" wrapText="1"/>
    </xf>
    <xf borderId="29" fillId="0" fontId="5" numFmtId="0" xfId="0" applyAlignment="1" applyBorder="1" applyFont="1">
      <alignment horizontal="center" shrinkToFit="0" vertical="bottom" wrapText="1"/>
    </xf>
    <xf borderId="30" fillId="0" fontId="8" numFmtId="0" xfId="0" applyBorder="1" applyFont="1"/>
    <xf borderId="15" fillId="0" fontId="5" numFmtId="0" xfId="0" applyAlignment="1" applyBorder="1" applyFont="1">
      <alignment horizontal="center" readingOrder="0" shrinkToFit="0" vertical="center" wrapText="1"/>
    </xf>
    <xf borderId="9" fillId="31" fontId="41" numFmtId="0" xfId="0" applyAlignment="1" applyBorder="1" applyFont="1">
      <alignment horizontal="center" readingOrder="0" shrinkToFit="0" wrapText="1"/>
    </xf>
    <xf borderId="31" fillId="32" fontId="28" numFmtId="0" xfId="0" applyAlignment="1" applyBorder="1" applyFont="1">
      <alignment horizontal="center" readingOrder="0" shrinkToFit="0" vertical="center" wrapText="1"/>
    </xf>
    <xf borderId="32" fillId="32" fontId="12" numFmtId="0" xfId="0" applyAlignment="1" applyBorder="1" applyFont="1">
      <alignment horizontal="center" readingOrder="0" shrinkToFit="0" vertical="center" wrapText="1"/>
    </xf>
    <xf borderId="20" fillId="0" fontId="5" numFmtId="0" xfId="0" applyAlignment="1" applyBorder="1" applyFont="1">
      <alignment horizontal="center" readingOrder="0" shrinkToFit="0" vertical="center" wrapText="1"/>
    </xf>
    <xf borderId="9" fillId="32" fontId="28" numFmtId="0" xfId="0" applyAlignment="1" applyBorder="1" applyFont="1">
      <alignment horizontal="center" readingOrder="0" shrinkToFit="0" vertical="center" wrapText="1"/>
    </xf>
    <xf borderId="0" fillId="32" fontId="28" numFmtId="0" xfId="0" applyAlignment="1" applyFont="1">
      <alignment horizontal="center" readingOrder="0" shrinkToFit="0" vertical="center" wrapText="1"/>
    </xf>
    <xf borderId="9" fillId="30" fontId="15" numFmtId="0" xfId="0" applyAlignment="1" applyBorder="1" applyFont="1">
      <alignment horizontal="center" readingOrder="0" shrinkToFit="0" vertical="bottom" wrapText="1"/>
    </xf>
    <xf borderId="9" fillId="33" fontId="15" numFmtId="0" xfId="0" applyAlignment="1" applyBorder="1" applyFont="1">
      <alignment horizontal="center" readingOrder="0" shrinkToFit="0" vertical="bottom" wrapText="1"/>
    </xf>
    <xf borderId="0" fillId="31" fontId="42" numFmtId="0" xfId="0" applyAlignment="1" applyFont="1">
      <alignment horizontal="center" readingOrder="0" shrinkToFit="0" vertical="center" wrapText="1"/>
    </xf>
    <xf borderId="9" fillId="34" fontId="12" numFmtId="0" xfId="0" applyAlignment="1" applyBorder="1" applyFill="1" applyFont="1">
      <alignment horizontal="center" readingOrder="0" shrinkToFit="0" vertical="bottom" wrapText="1"/>
    </xf>
    <xf borderId="0" fillId="0" fontId="5" numFmtId="0" xfId="0" applyAlignment="1" applyFont="1">
      <alignment horizontal="center" shrinkToFit="0" vertical="bottom" wrapText="1"/>
    </xf>
    <xf borderId="52" fillId="0" fontId="33" numFmtId="169" xfId="0" applyAlignment="1" applyBorder="1" applyFont="1" applyNumberFormat="1">
      <alignment horizontal="center" readingOrder="0" shrinkToFit="0" textRotation="90" vertical="center" wrapText="1"/>
    </xf>
    <xf borderId="78" fillId="0" fontId="5" numFmtId="0" xfId="0" applyAlignment="1" applyBorder="1" applyFont="1">
      <alignment horizontal="center" readingOrder="0" shrinkToFit="0" vertical="center" wrapText="1"/>
    </xf>
    <xf borderId="0" fillId="31" fontId="43" numFmtId="0" xfId="0" applyAlignment="1" applyFont="1">
      <alignment horizontal="center" readingOrder="0" shrinkToFit="0" vertical="center" wrapText="1"/>
    </xf>
    <xf borderId="0" fillId="32" fontId="12" numFmtId="0" xfId="0" applyAlignment="1" applyFont="1">
      <alignment horizontal="center" readingOrder="0" shrinkToFit="0" vertical="center" wrapText="1"/>
    </xf>
    <xf borderId="23" fillId="32" fontId="28" numFmtId="0" xfId="0" applyAlignment="1" applyBorder="1" applyFont="1">
      <alignment horizontal="center" readingOrder="0" shrinkToFit="0" vertical="center" wrapText="1"/>
    </xf>
    <xf borderId="23" fillId="31" fontId="43" numFmtId="0" xfId="0" applyAlignment="1" applyBorder="1" applyFont="1">
      <alignment horizontal="center" readingOrder="0" shrinkToFit="0" vertical="center" wrapText="1"/>
    </xf>
    <xf borderId="51" fillId="2" fontId="5" numFmtId="0" xfId="0" applyAlignment="1" applyBorder="1" applyFont="1">
      <alignment horizontal="center" readingOrder="0" shrinkToFit="0" vertical="bottom" wrapText="1"/>
    </xf>
    <xf borderId="47" fillId="17" fontId="15" numFmtId="0" xfId="0" applyAlignment="1" applyBorder="1" applyFont="1">
      <alignment horizontal="center" readingOrder="0" shrinkToFit="0" vertical="bottom" wrapText="1"/>
    </xf>
    <xf borderId="23" fillId="32" fontId="28" numFmtId="0" xfId="0" applyAlignment="1" applyBorder="1" applyFont="1">
      <alignment horizontal="center" readingOrder="0" shrinkToFit="0" vertical="bottom" wrapText="1"/>
    </xf>
    <xf borderId="51" fillId="0" fontId="5" numFmtId="0" xfId="0" applyAlignment="1" applyBorder="1" applyFont="1">
      <alignment horizontal="center" readingOrder="0" shrinkToFit="0" vertical="bottom" wrapText="1"/>
    </xf>
    <xf borderId="9" fillId="33" fontId="5" numFmtId="0" xfId="0" applyAlignment="1" applyBorder="1" applyFont="1">
      <alignment horizontal="center" readingOrder="0" shrinkToFit="0" vertical="bottom" wrapText="1"/>
    </xf>
    <xf borderId="9" fillId="32" fontId="38" numFmtId="0" xfId="0" applyAlignment="1" applyBorder="1" applyFont="1">
      <alignment horizontal="center" readingOrder="0" shrinkToFit="0" vertical="center" wrapText="1"/>
    </xf>
    <xf borderId="9" fillId="33" fontId="12" numFmtId="0" xfId="0" applyAlignment="1" applyBorder="1" applyFont="1">
      <alignment horizontal="center" readingOrder="0" shrinkToFit="0" vertical="center" wrapText="1"/>
    </xf>
    <xf borderId="9" fillId="31" fontId="42" numFmtId="0" xfId="0" applyAlignment="1" applyBorder="1" applyFont="1">
      <alignment horizontal="center" readingOrder="0" shrinkToFit="0" vertical="center" wrapText="1"/>
    </xf>
    <xf borderId="83" fillId="0" fontId="3" numFmtId="0" xfId="0" applyBorder="1" applyFont="1"/>
    <xf borderId="44" fillId="0" fontId="5" numFmtId="0" xfId="0" applyAlignment="1" applyBorder="1" applyFont="1">
      <alignment horizontal="center" shrinkToFit="0" vertical="bottom" wrapText="1"/>
    </xf>
    <xf borderId="43" fillId="23" fontId="12" numFmtId="0" xfId="0" applyAlignment="1" applyBorder="1" applyFont="1">
      <alignment horizontal="center" readingOrder="0" shrinkToFit="0" vertical="center" wrapText="1"/>
    </xf>
    <xf borderId="5" fillId="17" fontId="12" numFmtId="0" xfId="0" applyAlignment="1" applyBorder="1" applyFont="1">
      <alignment horizontal="center" readingOrder="0" shrinkToFit="0" vertical="center" wrapText="1"/>
    </xf>
    <xf borderId="2" fillId="32" fontId="38" numFmtId="0" xfId="0" applyAlignment="1" applyBorder="1" applyFont="1">
      <alignment horizontal="center" readingOrder="0" shrinkToFit="0" vertical="center" wrapText="1"/>
    </xf>
    <xf borderId="9" fillId="30" fontId="5" numFmtId="0" xfId="0" applyAlignment="1" applyBorder="1" applyFont="1">
      <alignment horizontal="center" readingOrder="0" shrinkToFit="0" vertical="bottom" wrapText="1"/>
    </xf>
    <xf borderId="2" fillId="31" fontId="42" numFmtId="0" xfId="0" applyAlignment="1" applyBorder="1" applyFont="1">
      <alignment horizontal="center" readingOrder="0" shrinkToFit="0" vertical="center" wrapText="1"/>
    </xf>
    <xf borderId="0" fillId="31" fontId="41" numFmtId="0" xfId="0" applyAlignment="1" applyFont="1">
      <alignment horizontal="center" readingOrder="0" shrinkToFit="0" vertical="center" wrapText="1"/>
    </xf>
    <xf borderId="0" fillId="32" fontId="32" numFmtId="0" xfId="0" applyAlignment="1" applyFont="1">
      <alignment horizontal="center" readingOrder="0" vertical="center"/>
    </xf>
    <xf borderId="23" fillId="0" fontId="40" numFmtId="0" xfId="0" applyAlignment="1" applyBorder="1" applyFont="1">
      <alignment horizontal="center" shrinkToFit="0" vertical="bottom" wrapText="1"/>
    </xf>
    <xf borderId="54" fillId="33" fontId="44" numFmtId="0" xfId="0" applyAlignment="1" applyBorder="1" applyFont="1">
      <alignment horizontal="center" readingOrder="0" vertical="center"/>
    </xf>
    <xf borderId="49" fillId="0" fontId="3" numFmtId="0" xfId="0" applyBorder="1" applyFont="1"/>
    <xf borderId="84" fillId="0" fontId="3" numFmtId="0" xfId="0" applyBorder="1" applyFont="1"/>
    <xf borderId="0" fillId="0" fontId="33" numFmtId="0" xfId="0" applyAlignment="1" applyFont="1">
      <alignment horizontal="center" textRotation="90" vertical="center"/>
    </xf>
    <xf borderId="11" fillId="0" fontId="4" numFmtId="169" xfId="0" applyAlignment="1" applyBorder="1" applyFont="1" applyNumberFormat="1">
      <alignment horizontal="center" readingOrder="0" shrinkToFit="0" textRotation="90" vertical="center" wrapText="1"/>
    </xf>
    <xf borderId="54" fillId="22" fontId="1" numFmtId="0" xfId="0" applyAlignment="1" applyBorder="1" applyFont="1">
      <alignment horizontal="center" readingOrder="0" shrinkToFit="0" vertical="center" wrapText="1"/>
    </xf>
    <xf borderId="32" fillId="35" fontId="45" numFmtId="0" xfId="0" applyAlignment="1" applyBorder="1" applyFill="1" applyFont="1">
      <alignment horizontal="center" readingOrder="0" shrinkToFit="0" vertical="center" wrapText="1"/>
    </xf>
    <xf borderId="32" fillId="35" fontId="46" numFmtId="0" xfId="0" applyAlignment="1" applyBorder="1" applyFont="1">
      <alignment horizontal="center" readingOrder="0" shrinkToFit="0" vertical="center" wrapText="1"/>
    </xf>
    <xf borderId="2" fillId="35" fontId="2" numFmtId="0" xfId="0" applyAlignment="1" applyBorder="1" applyFont="1">
      <alignment horizontal="center" readingOrder="0" shrinkToFit="0" vertical="center" wrapText="1"/>
    </xf>
    <xf borderId="23" fillId="22" fontId="2" numFmtId="0" xfId="0" applyAlignment="1" applyBorder="1" applyFont="1">
      <alignment horizontal="center" readingOrder="0" shrinkToFit="0" vertical="center" wrapText="1"/>
    </xf>
    <xf borderId="51" fillId="0" fontId="2" numFmtId="0" xfId="0" applyAlignment="1" applyBorder="1" applyFont="1">
      <alignment horizontal="center" readingOrder="0" shrinkToFit="0" vertical="center" wrapText="1"/>
    </xf>
    <xf borderId="60" fillId="0" fontId="2" numFmtId="0" xfId="0" applyAlignment="1" applyBorder="1" applyFont="1">
      <alignment horizontal="center" readingOrder="0" shrinkToFit="0" vertical="center" wrapText="1"/>
    </xf>
    <xf borderId="20" fillId="22" fontId="45" numFmtId="0" xfId="0" applyAlignment="1" applyBorder="1" applyFont="1">
      <alignment horizontal="center" readingOrder="0" shrinkToFit="0" vertical="center" wrapText="1"/>
    </xf>
    <xf borderId="26" fillId="22" fontId="2" numFmtId="0" xfId="0" applyAlignment="1" applyBorder="1" applyFont="1">
      <alignment horizontal="center" readingOrder="0" shrinkToFit="0" vertical="center" wrapText="1"/>
    </xf>
    <xf borderId="1" fillId="2" fontId="1" numFmtId="0" xfId="0" applyAlignment="1" applyBorder="1" applyFont="1">
      <alignment horizontal="center" readingOrder="0" shrinkToFit="0" vertical="center" wrapText="1"/>
    </xf>
    <xf borderId="31" fillId="22" fontId="2" numFmtId="0" xfId="0" applyAlignment="1" applyBorder="1" applyFont="1">
      <alignment horizontal="center" readingOrder="0" shrinkToFit="0" vertical="center" wrapText="1"/>
    </xf>
    <xf borderId="20" fillId="22" fontId="12" numFmtId="0" xfId="0" applyAlignment="1" applyBorder="1" applyFont="1">
      <alignment horizontal="center" readingOrder="0" shrinkToFit="0" vertical="center" wrapText="1"/>
    </xf>
    <xf borderId="9" fillId="0" fontId="43" numFmtId="0" xfId="0" applyAlignment="1" applyBorder="1" applyFont="1">
      <alignment horizontal="center" readingOrder="0" shrinkToFit="0" vertical="center" wrapText="1"/>
    </xf>
    <xf borderId="51" fillId="3" fontId="13" numFmtId="0" xfId="0" applyAlignment="1" applyBorder="1" applyFont="1">
      <alignment horizontal="center" readingOrder="0" shrinkToFit="0" vertical="center" wrapText="1"/>
    </xf>
    <xf borderId="8" fillId="3" fontId="21" numFmtId="0" xfId="0" applyAlignment="1" applyBorder="1" applyFont="1">
      <alignment horizontal="center" readingOrder="0" shrinkToFit="0" wrapText="1"/>
    </xf>
    <xf borderId="26" fillId="0" fontId="12" numFmtId="0" xfId="0" applyAlignment="1" applyBorder="1" applyFont="1">
      <alignment horizontal="center" readingOrder="0" shrinkToFit="0" vertical="center" wrapText="1"/>
    </xf>
    <xf borderId="21" fillId="5" fontId="1" numFmtId="0" xfId="0" applyAlignment="1" applyBorder="1" applyFont="1">
      <alignment horizontal="center" readingOrder="0" shrinkToFit="0" vertical="center" wrapText="1"/>
    </xf>
    <xf borderId="8" fillId="36" fontId="8" numFmtId="0" xfId="0" applyAlignment="1" applyBorder="1" applyFill="1" applyFont="1">
      <alignment horizontal="center" readingOrder="0" shrinkToFit="0" vertical="center" wrapText="1"/>
    </xf>
    <xf borderId="20" fillId="22" fontId="32" numFmtId="0" xfId="0" applyAlignment="1" applyBorder="1" applyFont="1">
      <alignment horizontal="center" readingOrder="0" shrinkToFit="0" vertical="center" wrapText="1"/>
    </xf>
    <xf borderId="21" fillId="22" fontId="2" numFmtId="0" xfId="0" applyAlignment="1" applyBorder="1" applyFont="1">
      <alignment horizontal="center" readingOrder="0" shrinkToFit="0" vertical="center" wrapText="1"/>
    </xf>
    <xf borderId="9" fillId="9" fontId="47" numFmtId="0" xfId="0" applyAlignment="1" applyBorder="1" applyFont="1">
      <alignment horizontal="center" readingOrder="0" shrinkToFit="0" vertical="center" wrapText="1"/>
    </xf>
    <xf borderId="9" fillId="3" fontId="18" numFmtId="0" xfId="0" applyAlignment="1" applyBorder="1" applyFont="1">
      <alignment horizontal="center" readingOrder="0" shrinkToFit="0" vertical="center" wrapText="1"/>
    </xf>
    <xf borderId="52" fillId="0" fontId="1" numFmtId="0" xfId="0" applyAlignment="1" applyBorder="1" applyFont="1">
      <alignment horizontal="center" readingOrder="0" shrinkToFit="0" vertical="center" wrapText="1"/>
    </xf>
    <xf borderId="43" fillId="0" fontId="1" numFmtId="0" xfId="0" applyAlignment="1" applyBorder="1" applyFont="1">
      <alignment horizontal="center" readingOrder="0" shrinkToFit="0" vertical="center" wrapText="1"/>
    </xf>
    <xf borderId="11" fillId="0" fontId="4" numFmtId="168" xfId="0" applyAlignment="1" applyBorder="1" applyFont="1" applyNumberFormat="1">
      <alignment horizontal="center" readingOrder="0" shrinkToFit="0" textRotation="90" vertical="center" wrapText="1"/>
    </xf>
    <xf borderId="13" fillId="31" fontId="1" numFmtId="0" xfId="0" applyAlignment="1" applyBorder="1" applyFont="1">
      <alignment horizontal="center" readingOrder="0" shrinkToFit="0" vertical="center" wrapText="1"/>
    </xf>
    <xf borderId="21" fillId="30" fontId="1" numFmtId="0" xfId="0" applyAlignment="1" applyBorder="1" applyFont="1">
      <alignment horizontal="center" readingOrder="0" shrinkToFit="0" vertical="center" wrapText="1"/>
    </xf>
    <xf borderId="9" fillId="22" fontId="2" numFmtId="0" xfId="0" applyAlignment="1" applyBorder="1" applyFont="1">
      <alignment horizontal="center" readingOrder="0" shrinkToFit="0" vertical="center" wrapText="1"/>
    </xf>
    <xf borderId="2" fillId="7" fontId="2"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15" fillId="22" fontId="45" numFmtId="0" xfId="0" applyAlignment="1" applyBorder="1" applyFont="1">
      <alignment horizontal="center" readingOrder="0" shrinkToFit="0" vertical="center" wrapText="1"/>
    </xf>
    <xf borderId="13" fillId="3" fontId="15" numFmtId="0" xfId="0" applyAlignment="1" applyBorder="1" applyFont="1">
      <alignment horizontal="center" readingOrder="0" shrinkToFit="0" vertical="center" wrapText="1"/>
    </xf>
    <xf borderId="18" fillId="12" fontId="2" numFmtId="0" xfId="0" applyAlignment="1" applyBorder="1" applyFont="1">
      <alignment horizontal="center" readingOrder="0" shrinkToFit="0" vertical="center" wrapText="1"/>
    </xf>
    <xf borderId="31" fillId="0" fontId="5" numFmtId="20" xfId="0" applyAlignment="1" applyBorder="1" applyFont="1" applyNumberFormat="1">
      <alignment horizontal="center" shrinkToFit="0" vertical="bottom" wrapText="1"/>
    </xf>
    <xf borderId="14" fillId="22" fontId="2" numFmtId="0" xfId="0" applyAlignment="1" applyBorder="1" applyFont="1">
      <alignment horizontal="center" readingOrder="0" shrinkToFit="0" vertical="center" wrapText="1"/>
    </xf>
    <xf borderId="2" fillId="2" fontId="2" numFmtId="0" xfId="0" applyAlignment="1" applyBorder="1" applyFont="1">
      <alignment horizontal="center" readingOrder="0" shrinkToFit="0" vertical="center" wrapText="1"/>
    </xf>
    <xf borderId="9" fillId="37" fontId="2" numFmtId="0" xfId="0" applyAlignment="1" applyBorder="1" applyFill="1" applyFont="1">
      <alignment horizontal="center" readingOrder="0" shrinkToFit="0" vertical="center" wrapText="1"/>
    </xf>
    <xf borderId="32" fillId="22" fontId="48" numFmtId="0" xfId="0" applyAlignment="1" applyBorder="1" applyFont="1">
      <alignment horizontal="center" readingOrder="0" shrinkToFit="0" vertical="center" wrapText="1"/>
    </xf>
    <xf borderId="7" fillId="2" fontId="7" numFmtId="0" xfId="0" applyAlignment="1" applyBorder="1" applyFont="1">
      <alignment horizontal="center" readingOrder="0" vertical="center"/>
    </xf>
    <xf borderId="11" fillId="0" fontId="4" numFmtId="170" xfId="0" applyAlignment="1" applyBorder="1" applyFont="1" applyNumberFormat="1">
      <alignment horizontal="center" readingOrder="0" shrinkToFit="0" textRotation="90" vertical="center" wrapText="1"/>
    </xf>
    <xf borderId="14" fillId="3" fontId="15" numFmtId="0" xfId="0" applyAlignment="1" applyBorder="1" applyFont="1">
      <alignment horizontal="center" readingOrder="0" shrinkToFit="0" vertical="center" wrapText="1"/>
    </xf>
    <xf borderId="19" fillId="3" fontId="2" numFmtId="0" xfId="0" applyAlignment="1" applyBorder="1" applyFont="1">
      <alignment horizontal="center" readingOrder="0" shrinkToFit="0" vertical="center" wrapText="1"/>
    </xf>
    <xf borderId="9" fillId="3" fontId="2" numFmtId="0" xfId="0" applyAlignment="1" applyBorder="1" applyFont="1">
      <alignment horizontal="center" readingOrder="0" shrinkToFit="0" vertical="center" wrapText="1"/>
    </xf>
    <xf borderId="18" fillId="3" fontId="18" numFmtId="0" xfId="0" applyAlignment="1" applyBorder="1" applyFont="1">
      <alignment horizontal="center" readingOrder="0" shrinkToFit="0" vertical="center" wrapText="1"/>
    </xf>
    <xf borderId="26" fillId="9" fontId="8" numFmtId="0" xfId="0" applyAlignment="1" applyBorder="1" applyFont="1">
      <alignment horizontal="center" readingOrder="0" shrinkToFit="0" vertical="center" wrapText="1"/>
    </xf>
    <xf borderId="23" fillId="0" fontId="23" numFmtId="0" xfId="0" applyAlignment="1" applyBorder="1" applyFont="1">
      <alignment horizontal="center" readingOrder="0" shrinkToFit="0" vertical="center" wrapText="1"/>
    </xf>
    <xf borderId="12" fillId="2" fontId="8" numFmtId="0" xfId="0" applyAlignment="1" applyBorder="1" applyFont="1">
      <alignment horizontal="center" readingOrder="0" shrinkToFit="0" vertical="center" wrapText="1"/>
    </xf>
    <xf borderId="8" fillId="2" fontId="8" numFmtId="0" xfId="0" applyAlignment="1" applyBorder="1" applyFont="1">
      <alignment horizontal="center" readingOrder="0" shrinkToFit="0" vertical="center" wrapText="1"/>
    </xf>
    <xf borderId="85" fillId="38" fontId="49" numFmtId="0" xfId="0" applyAlignment="1" applyBorder="1" applyFill="1" applyFont="1">
      <alignment horizontal="center" shrinkToFit="0" wrapText="1"/>
    </xf>
    <xf borderId="86" fillId="38" fontId="49" numFmtId="0" xfId="0" applyAlignment="1" applyBorder="1" applyFont="1">
      <alignment horizontal="center" shrinkToFit="0" wrapText="1"/>
    </xf>
    <xf borderId="31" fillId="0" fontId="19" numFmtId="0" xfId="0" applyAlignment="1" applyBorder="1" applyFont="1">
      <alignment horizontal="center" readingOrder="0" shrinkToFit="0" vertical="center" wrapText="1"/>
    </xf>
    <xf borderId="21" fillId="2" fontId="50" numFmtId="0" xfId="0" applyAlignment="1" applyBorder="1" applyFont="1">
      <alignment horizontal="center" readingOrder="0" shrinkToFit="0" vertical="center" wrapText="1"/>
    </xf>
    <xf borderId="9" fillId="3" fontId="19" numFmtId="0" xfId="0" applyAlignment="1" applyBorder="1" applyFont="1">
      <alignment horizontal="center" readingOrder="0" shrinkToFit="0" vertical="center" wrapText="1"/>
    </xf>
    <xf borderId="20" fillId="3" fontId="19" numFmtId="0" xfId="0" applyAlignment="1" applyBorder="1" applyFont="1">
      <alignment horizontal="center" readingOrder="0" shrinkToFit="0" vertical="center" wrapText="1"/>
    </xf>
    <xf borderId="51" fillId="3" fontId="20" numFmtId="0" xfId="0" applyAlignment="1" applyBorder="1" applyFont="1">
      <alignment horizontal="center" readingOrder="0" shrinkToFit="0" vertical="center" wrapText="1"/>
    </xf>
    <xf borderId="9" fillId="17" fontId="12" numFmtId="0" xfId="0" applyAlignment="1" applyBorder="1" applyFont="1">
      <alignment horizontal="center" readingOrder="0" shrinkToFit="0" vertical="center" wrapText="1"/>
    </xf>
    <xf borderId="8" fillId="0" fontId="1" numFmtId="164" xfId="0" applyAlignment="1" applyBorder="1" applyFont="1" applyNumberFormat="1">
      <alignment horizontal="center" readingOrder="0" shrinkToFit="0" vertical="center" wrapText="1"/>
    </xf>
    <xf borderId="9" fillId="0" fontId="51" numFmtId="0" xfId="0" applyAlignment="1" applyBorder="1" applyFont="1">
      <alignment horizontal="center" readingOrder="0" shrinkToFit="0" vertical="center" wrapText="1"/>
    </xf>
    <xf borderId="31" fillId="3" fontId="19" numFmtId="0" xfId="0" applyAlignment="1" applyBorder="1" applyFont="1">
      <alignment horizontal="center" readingOrder="0" shrinkToFit="0" vertical="center" wrapText="1"/>
    </xf>
    <xf borderId="57" fillId="3" fontId="19" numFmtId="0" xfId="0" applyAlignment="1" applyBorder="1" applyFont="1">
      <alignment horizontal="center" readingOrder="0" shrinkToFit="0" vertical="center" wrapText="1"/>
    </xf>
    <xf borderId="0" fillId="0" fontId="7" numFmtId="0" xfId="0" applyAlignment="1" applyFont="1">
      <alignment horizontal="center" readingOrder="0" shrinkToFit="0" vertical="center" wrapText="1"/>
    </xf>
    <xf borderId="1" fillId="3" fontId="51" numFmtId="0" xfId="0" applyAlignment="1" applyBorder="1" applyFont="1">
      <alignment horizontal="center" readingOrder="0" shrinkToFit="0" vertical="center" wrapText="1"/>
    </xf>
    <xf borderId="8" fillId="0" fontId="1" numFmtId="0" xfId="0" applyAlignment="1" applyBorder="1" applyFont="1">
      <alignment readingOrder="0" vertical="center"/>
    </xf>
    <xf borderId="9" fillId="2" fontId="12" numFmtId="0" xfId="0" applyAlignment="1" applyBorder="1" applyFont="1">
      <alignment horizontal="center" readingOrder="0" shrinkToFit="0" vertical="center" wrapText="1"/>
    </xf>
    <xf borderId="20" fillId="2" fontId="12" numFmtId="0" xfId="0" applyAlignment="1" applyBorder="1" applyFont="1">
      <alignment horizontal="center" readingOrder="0" shrinkToFit="0" vertical="center" wrapText="1"/>
    </xf>
    <xf borderId="10" fillId="2" fontId="12" numFmtId="0" xfId="0" applyAlignment="1" applyBorder="1" applyFont="1">
      <alignment horizontal="center" readingOrder="0" shrinkToFit="0" vertical="center" wrapText="1"/>
    </xf>
    <xf borderId="87" fillId="0" fontId="3" numFmtId="0" xfId="0" applyBorder="1" applyFont="1"/>
    <xf borderId="13" fillId="6" fontId="52" numFmtId="0" xfId="0" applyAlignment="1" applyBorder="1" applyFont="1">
      <alignment horizontal="center" readingOrder="0" shrinkToFit="0" vertical="center" wrapText="1"/>
    </xf>
    <xf borderId="20" fillId="6" fontId="19" numFmtId="0" xfId="0" applyAlignment="1" applyBorder="1" applyFont="1">
      <alignment horizontal="center" readingOrder="0" shrinkToFit="0" vertical="center" wrapText="1"/>
    </xf>
    <xf borderId="20" fillId="0" fontId="19" numFmtId="0" xfId="0" applyAlignment="1" applyBorder="1" applyFont="1">
      <alignment horizontal="center" readingOrder="0" shrinkToFit="0" vertical="center" wrapText="1"/>
    </xf>
    <xf borderId="21" fillId="0" fontId="19" numFmtId="0" xfId="0" applyAlignment="1" applyBorder="1" applyFont="1">
      <alignment horizontal="center" readingOrder="0" shrinkToFit="0" vertical="center" wrapText="1"/>
    </xf>
    <xf borderId="2" fillId="17" fontId="12" numFmtId="0" xfId="0" applyAlignment="1" applyBorder="1" applyFont="1">
      <alignment horizontal="center" readingOrder="0" shrinkToFit="0" vertical="center" wrapText="1"/>
    </xf>
    <xf borderId="9" fillId="0" fontId="8" numFmtId="0" xfId="0" applyAlignment="1" applyBorder="1" applyFont="1">
      <alignment readingOrder="0" shrinkToFit="0" vertical="center" wrapText="1"/>
    </xf>
    <xf borderId="11" fillId="0" fontId="4" numFmtId="171" xfId="0" applyAlignment="1" applyBorder="1" applyFont="1" applyNumberFormat="1">
      <alignment horizontal="center" readingOrder="0" shrinkToFit="0" textRotation="90" vertical="center" wrapText="1"/>
    </xf>
    <xf borderId="13" fillId="0" fontId="53" numFmtId="0" xfId="0" applyAlignment="1" applyBorder="1" applyFont="1">
      <alignment horizontal="center" readingOrder="0" shrinkToFit="0" vertical="center" wrapText="1"/>
    </xf>
    <xf borderId="16" fillId="0" fontId="53" numFmtId="0" xfId="0" applyAlignment="1" applyBorder="1" applyFont="1">
      <alignment horizontal="center" readingOrder="0" shrinkToFit="0" vertical="center" wrapText="1"/>
    </xf>
    <xf borderId="7" fillId="3" fontId="1" numFmtId="0" xfId="0" applyAlignment="1" applyBorder="1" applyFont="1">
      <alignment horizontal="center" readingOrder="0" shrinkToFit="0" vertical="center" wrapText="1"/>
    </xf>
    <xf borderId="6" fillId="3" fontId="1" numFmtId="0" xfId="0" applyAlignment="1" applyBorder="1" applyFont="1">
      <alignment horizontal="center" readingOrder="0" shrinkToFit="0" vertical="center" wrapText="1"/>
    </xf>
    <xf borderId="3" fillId="3" fontId="1" numFmtId="0" xfId="0" applyAlignment="1" applyBorder="1" applyFont="1">
      <alignment horizontal="center" readingOrder="0" shrinkToFit="0" vertical="center" wrapText="1"/>
    </xf>
    <xf borderId="4" fillId="23" fontId="54" numFmtId="0" xfId="0" applyAlignment="1" applyBorder="1" applyFont="1">
      <alignment horizontal="center" readingOrder="0" shrinkToFit="0" vertical="center" wrapText="1"/>
    </xf>
    <xf borderId="23" fillId="3" fontId="1" numFmtId="0" xfId="0" applyAlignment="1" applyBorder="1" applyFont="1">
      <alignment horizontal="center" readingOrder="0" shrinkToFit="0" vertical="center" wrapText="1"/>
    </xf>
    <xf borderId="27" fillId="3" fontId="1" numFmtId="0" xfId="0" applyAlignment="1" applyBorder="1" applyFont="1">
      <alignment horizontal="center" readingOrder="0" shrinkToFit="0" vertical="center" wrapText="1"/>
    </xf>
    <xf borderId="62" fillId="0" fontId="3" numFmtId="0" xfId="0" applyBorder="1" applyFont="1"/>
    <xf borderId="20" fillId="33" fontId="18" numFmtId="0" xfId="0" applyAlignment="1" applyBorder="1" applyFont="1">
      <alignment horizontal="center" readingOrder="0" shrinkToFit="0" vertical="center" wrapText="1"/>
    </xf>
    <xf borderId="31" fillId="0" fontId="55" numFmtId="0" xfId="0" applyAlignment="1" applyBorder="1" applyFont="1">
      <alignment horizontal="center" readingOrder="0" shrinkToFit="0" vertical="center" wrapText="1"/>
    </xf>
    <xf borderId="8" fillId="0" fontId="33" numFmtId="0" xfId="0" applyAlignment="1" applyBorder="1" applyFont="1">
      <alignment horizontal="center" shrinkToFit="0" vertical="center" wrapText="1"/>
    </xf>
    <xf borderId="8" fillId="30" fontId="33" numFmtId="0" xfId="0" applyAlignment="1" applyBorder="1" applyFont="1">
      <alignment horizontal="center" shrinkToFit="0" wrapText="1"/>
    </xf>
    <xf borderId="8" fillId="30" fontId="33" numFmtId="0" xfId="0" applyAlignment="1" applyBorder="1" applyFont="1">
      <alignment horizontal="center" readingOrder="0" shrinkToFit="0" wrapText="1"/>
    </xf>
    <xf borderId="0" fillId="0" fontId="33" numFmtId="0" xfId="0" applyAlignment="1" applyFont="1">
      <alignment horizontal="center" shrinkToFit="0" wrapText="1"/>
    </xf>
    <xf borderId="8" fillId="0" fontId="8" numFmtId="0" xfId="0" applyAlignment="1" applyBorder="1" applyFont="1">
      <alignment horizontal="center" shrinkToFit="0" vertical="center" wrapText="1"/>
    </xf>
    <xf borderId="0" fillId="2" fontId="49" numFmtId="0" xfId="0" applyAlignment="1" applyFont="1">
      <alignment horizontal="center" shrinkToFit="0" vertical="center" wrapText="1"/>
    </xf>
    <xf borderId="8" fillId="0" fontId="8" numFmtId="0" xfId="0" applyAlignment="1" applyBorder="1" applyFont="1">
      <alignment shrinkToFit="0" wrapText="1"/>
    </xf>
    <xf borderId="0" fillId="0" fontId="8" numFmtId="0" xfId="0" applyAlignment="1" applyFont="1">
      <alignment shrinkToFit="0" wrapText="1"/>
    </xf>
    <xf borderId="8" fillId="2" fontId="49" numFmtId="0" xfId="0" applyAlignment="1" applyBorder="1" applyFont="1">
      <alignment horizontal="center" shrinkToFit="0" vertical="center" wrapText="1"/>
    </xf>
    <xf borderId="8" fillId="2" fontId="8" numFmtId="0" xfId="0" applyAlignment="1" applyBorder="1" applyFont="1">
      <alignment horizontal="center" shrinkToFit="0" vertical="center" wrapText="1"/>
    </xf>
    <xf borderId="27" fillId="0" fontId="56" numFmtId="0" xfId="0" applyAlignment="1" applyBorder="1" applyFont="1">
      <alignment horizontal="center" readingOrder="0" shrinkToFit="0" wrapText="1"/>
    </xf>
    <xf borderId="8" fillId="0" fontId="8" numFmtId="0" xfId="0" applyAlignment="1" applyBorder="1" applyFont="1">
      <alignment horizontal="center" vertical="center"/>
    </xf>
    <xf borderId="0" fillId="0" fontId="8" numFmtId="0" xfId="0" applyAlignment="1" applyFont="1">
      <alignment horizontal="left" shrinkToFit="0" wrapText="1"/>
    </xf>
    <xf borderId="52" fillId="0" fontId="8" numFmtId="0" xfId="0" applyAlignment="1" applyBorder="1" applyFont="1">
      <alignment horizontal="center" shrinkToFit="0" vertical="center" wrapText="1"/>
    </xf>
    <xf borderId="8" fillId="0" fontId="56" numFmtId="0" xfId="0" applyAlignment="1" applyBorder="1" applyFont="1">
      <alignment horizontal="center" readingOrder="0" shrinkToFit="0" wrapText="1"/>
    </xf>
    <xf borderId="9" fillId="0" fontId="8" numFmtId="0" xfId="0" applyAlignment="1" applyBorder="1" applyFont="1">
      <alignment horizontal="center" shrinkToFit="0" vertical="center" wrapText="1"/>
    </xf>
    <xf borderId="0" fillId="0" fontId="8" numFmtId="0" xfId="0" applyAlignment="1" applyFont="1">
      <alignment shrinkToFit="0" vertical="center" wrapText="1"/>
    </xf>
    <xf borderId="1" fillId="0" fontId="8" numFmtId="0" xfId="0" applyAlignment="1" applyBorder="1" applyFont="1">
      <alignment horizontal="center" readingOrder="0" shrinkToFit="0" vertical="center" wrapText="1"/>
    </xf>
    <xf borderId="8" fillId="0" fontId="57" numFmtId="0" xfId="0" applyAlignment="1" applyBorder="1" applyFont="1">
      <alignment horizontal="center" shrinkToFit="0" vertical="center" wrapText="1"/>
    </xf>
    <xf borderId="8" fillId="2" fontId="58" numFmtId="0" xfId="0" applyAlignment="1" applyBorder="1" applyFont="1">
      <alignment horizontal="center" readingOrder="0" shrinkToFit="0" wrapText="1"/>
    </xf>
    <xf borderId="8" fillId="0" fontId="58" numFmtId="0" xfId="0" applyAlignment="1" applyBorder="1" applyFont="1">
      <alignment horizontal="center" readingOrder="0" shrinkToFit="0" vertical="center" wrapText="1"/>
    </xf>
    <xf borderId="0" fillId="2" fontId="59" numFmtId="0" xfId="0" applyAlignment="1" applyFont="1">
      <alignment horizontal="center" readingOrder="0" shrinkToFit="0" vertical="center" wrapText="1"/>
    </xf>
    <xf borderId="51" fillId="0" fontId="8" numFmtId="0" xfId="0" applyAlignment="1" applyBorder="1" applyFont="1">
      <alignment horizontal="center" readingOrder="0" shrinkToFit="0" vertical="center" wrapText="1"/>
    </xf>
    <xf borderId="9" fillId="2" fontId="58" numFmtId="0" xfId="0" applyAlignment="1" applyBorder="1" applyFont="1">
      <alignment horizontal="center" readingOrder="0" shrinkToFit="0" vertical="center" wrapText="1"/>
    </xf>
    <xf borderId="8" fillId="0" fontId="8" numFmtId="0" xfId="0" applyAlignment="1" applyBorder="1" applyFont="1">
      <alignment horizontal="center" readingOrder="0" shrinkToFit="0" vertical="center" wrapText="1"/>
    </xf>
    <xf borderId="9" fillId="0" fontId="58" numFmtId="0" xfId="0" applyAlignment="1" applyBorder="1" applyFont="1">
      <alignment horizontal="center" readingOrder="0" shrinkToFit="0" vertical="center" wrapText="1"/>
    </xf>
    <xf borderId="8" fillId="2" fontId="59" numFmtId="0" xfId="0" applyAlignment="1" applyBorder="1" applyFont="1">
      <alignment horizontal="center" readingOrder="0" shrinkToFit="0" vertical="center" wrapText="1"/>
    </xf>
    <xf borderId="8" fillId="2" fontId="58" numFmtId="0" xfId="0" applyAlignment="1" applyBorder="1" applyFont="1">
      <alignment horizontal="center" readingOrder="0" shrinkToFit="0" vertical="center" wrapText="1"/>
    </xf>
    <xf borderId="0" fillId="0" fontId="32" numFmtId="0" xfId="0" applyAlignment="1" applyFont="1">
      <alignment shrinkToFit="0" vertical="center" wrapText="1"/>
    </xf>
    <xf borderId="0" fillId="0" fontId="32" numFmtId="0" xfId="0" applyAlignment="1" applyFont="1">
      <alignment readingOrder="0" shrinkToFit="0" vertical="center" wrapText="1"/>
    </xf>
    <xf borderId="8" fillId="2" fontId="56" numFmtId="0" xfId="0" applyAlignment="1" applyBorder="1" applyFont="1">
      <alignment horizontal="center" readingOrder="0" shrinkToFit="0" vertical="center" wrapText="1"/>
    </xf>
    <xf borderId="8" fillId="2" fontId="58" numFmtId="0" xfId="0" applyAlignment="1" applyBorder="1" applyFont="1">
      <alignment horizontal="center" readingOrder="0" shrinkToFit="0" vertical="center" wrapText="1"/>
    </xf>
    <xf borderId="0" fillId="0" fontId="58" numFmtId="0" xfId="0" applyAlignment="1" applyFont="1">
      <alignment horizontal="center" readingOrder="0" shrinkToFit="0" vertical="center" wrapText="1"/>
    </xf>
    <xf borderId="1" fillId="0" fontId="8" numFmtId="0" xfId="0" applyAlignment="1" applyBorder="1" applyFont="1">
      <alignment horizontal="center" readingOrder="0" shrinkToFit="0" vertical="center" wrapText="1"/>
    </xf>
    <xf borderId="8" fillId="0" fontId="58" numFmtId="0" xfId="0" applyAlignment="1" applyBorder="1" applyFont="1">
      <alignment horizontal="center" readingOrder="0" shrinkToFit="0" vertical="center" wrapText="1"/>
    </xf>
    <xf borderId="9" fillId="0" fontId="58" numFmtId="0" xfId="0" applyAlignment="1" applyBorder="1" applyFont="1">
      <alignment horizontal="center" readingOrder="0" shrinkToFit="0" vertical="center" wrapText="1"/>
    </xf>
    <xf borderId="0" fillId="0" fontId="58" numFmtId="0" xfId="0" applyAlignment="1" applyFont="1">
      <alignment horizontal="center" readingOrder="0" shrinkToFit="0" vertical="center" wrapText="1"/>
    </xf>
    <xf borderId="8" fillId="0" fontId="32" numFmtId="0" xfId="0" applyAlignment="1" applyBorder="1" applyFont="1">
      <alignment horizontal="center" shrinkToFit="0" vertical="center" wrapText="1"/>
    </xf>
    <xf borderId="23" fillId="0" fontId="60" numFmtId="0" xfId="0" applyAlignment="1" applyBorder="1" applyFont="1">
      <alignment horizontal="center" readingOrder="0" shrinkToFit="0" vertical="center" wrapText="1"/>
    </xf>
    <xf borderId="27" fillId="0" fontId="60" numFmtId="0" xfId="0" applyAlignment="1" applyBorder="1" applyFont="1">
      <alignment horizontal="center" readingOrder="0" shrinkToFit="0" vertical="center" wrapText="1"/>
    </xf>
    <xf borderId="9" fillId="0" fontId="33" numFmtId="0" xfId="0" applyAlignment="1" applyBorder="1" applyFont="1">
      <alignment horizontal="center" readingOrder="0" shrinkToFit="0" vertical="center" wrapText="1"/>
    </xf>
    <xf borderId="8" fillId="2" fontId="61" numFmtId="0" xfId="0" applyAlignment="1" applyBorder="1" applyFont="1">
      <alignment horizontal="center" readingOrder="0" vertical="center"/>
    </xf>
    <xf borderId="0" fillId="2" fontId="59" numFmtId="0" xfId="0" applyAlignment="1" applyFont="1">
      <alignment horizontal="center" readingOrder="0" shrinkToFit="0" wrapText="1"/>
    </xf>
    <xf borderId="0" fillId="2" fontId="62" numFmtId="0" xfId="0" applyAlignment="1" applyFont="1">
      <alignment readingOrder="0" shrinkToFit="0" vertical="top" wrapText="1"/>
    </xf>
    <xf borderId="9" fillId="0" fontId="63" numFmtId="0" xfId="0" applyAlignment="1" applyBorder="1" applyFont="1">
      <alignment horizontal="center" readingOrder="0" shrinkToFit="0" vertical="center" wrapText="1"/>
    </xf>
    <xf borderId="8" fillId="0" fontId="59" numFmtId="0" xfId="0" applyAlignment="1" applyBorder="1" applyFont="1">
      <alignment horizontal="center" readingOrder="0" shrinkToFit="0" vertical="center" wrapText="1"/>
    </xf>
    <xf borderId="9" fillId="0" fontId="64" numFmtId="0" xfId="0" applyAlignment="1" applyBorder="1" applyFont="1">
      <alignment horizontal="center" readingOrder="0" shrinkToFit="0" vertical="center" wrapText="1"/>
    </xf>
    <xf borderId="2" fillId="0" fontId="33" numFmtId="0" xfId="0" applyAlignment="1" applyBorder="1" applyFont="1">
      <alignment horizontal="center" shrinkToFit="0" vertical="center" wrapText="1"/>
    </xf>
    <xf borderId="0" fillId="0" fontId="8" numFmtId="0" xfId="0" applyAlignment="1" applyFont="1">
      <alignment horizontal="center" shrinkToFit="0" vertical="center" wrapText="1"/>
    </xf>
    <xf borderId="8" fillId="0" fontId="33" numFmtId="0" xfId="0" applyAlignment="1" applyBorder="1" applyFont="1">
      <alignment horizontal="center" shrinkToFit="0" wrapText="1"/>
    </xf>
    <xf borderId="11" fillId="0" fontId="4" numFmtId="172" xfId="0" applyAlignment="1" applyBorder="1" applyFont="1" applyNumberFormat="1">
      <alignment horizontal="center" readingOrder="0" shrinkToFit="0" textRotation="90" vertical="center" wrapText="1"/>
    </xf>
    <xf borderId="31" fillId="17" fontId="19" numFmtId="0" xfId="0" applyAlignment="1" applyBorder="1" applyFont="1">
      <alignment horizontal="center" readingOrder="0" shrinkToFit="0" vertical="center" wrapText="1"/>
    </xf>
    <xf borderId="2" fillId="39" fontId="2" numFmtId="0" xfId="0" applyAlignment="1" applyBorder="1" applyFill="1" applyFont="1">
      <alignment horizontal="center" readingOrder="0" shrinkToFit="0" vertical="center" wrapText="1"/>
    </xf>
    <xf borderId="0" fillId="0" fontId="8" numFmtId="0" xfId="0" applyFont="1"/>
    <xf borderId="32" fillId="0" fontId="1" numFmtId="0" xfId="0" applyAlignment="1" applyBorder="1" applyFont="1">
      <alignment horizontal="center" readingOrder="0" shrinkToFit="0" vertical="center" wrapText="1"/>
    </xf>
    <xf borderId="8" fillId="2" fontId="1" numFmtId="0" xfId="0" applyAlignment="1" applyBorder="1" applyFont="1">
      <alignment horizontal="center" shrinkToFit="0" wrapText="1"/>
    </xf>
    <xf borderId="8" fillId="2" fontId="5" numFmtId="20" xfId="0" applyAlignment="1" applyBorder="1" applyFont="1" applyNumberFormat="1">
      <alignment horizontal="center" shrinkToFit="0" vertical="bottom" wrapText="1"/>
    </xf>
    <xf borderId="8" fillId="2" fontId="8" numFmtId="0" xfId="0" applyAlignment="1" applyBorder="1" applyFont="1">
      <alignment horizontal="center" readingOrder="0" vertical="center"/>
    </xf>
    <xf borderId="20" fillId="32" fontId="22" numFmtId="0" xfId="0" applyAlignment="1" applyBorder="1" applyFont="1">
      <alignment horizontal="center" readingOrder="0" shrinkToFit="0" vertical="center" wrapText="1"/>
    </xf>
    <xf borderId="22" fillId="0" fontId="1" numFmtId="0" xfId="0" applyAlignment="1" applyBorder="1" applyFont="1">
      <alignment horizontal="center" readingOrder="0" shrinkToFit="0" vertical="center" wrapText="1"/>
    </xf>
    <xf borderId="10" fillId="2" fontId="1" numFmtId="0" xfId="0" applyAlignment="1" applyBorder="1" applyFont="1">
      <alignment horizontal="center" shrinkToFit="0" vertical="center" wrapText="1"/>
    </xf>
    <xf borderId="8" fillId="2" fontId="6" numFmtId="20" xfId="0" applyAlignment="1" applyBorder="1" applyFont="1" applyNumberFormat="1">
      <alignment horizontal="center" shrinkToFit="0" vertical="bottom" wrapText="1"/>
    </xf>
    <xf borderId="8" fillId="2" fontId="2" numFmtId="0" xfId="0" applyAlignment="1" applyBorder="1" applyFont="1">
      <alignment horizontal="center" readingOrder="0" shrinkToFit="0" vertical="center" wrapText="1"/>
    </xf>
    <xf borderId="8" fillId="2" fontId="1" numFmtId="20" xfId="0" applyAlignment="1" applyBorder="1" applyFont="1" applyNumberFormat="1">
      <alignment horizontal="center" shrinkToFit="0" vertical="center" wrapText="1"/>
    </xf>
    <xf borderId="8" fillId="2" fontId="1" numFmtId="0" xfId="0" applyAlignment="1" applyBorder="1" applyFont="1">
      <alignment horizontal="center" shrinkToFit="0" vertical="center" wrapText="1"/>
    </xf>
    <xf borderId="8" fillId="2" fontId="1" numFmtId="0" xfId="0" applyAlignment="1" applyBorder="1" applyFont="1">
      <alignment vertical="center"/>
    </xf>
    <xf borderId="0" fillId="2" fontId="1" numFmtId="0" xfId="0" applyAlignment="1" applyFont="1">
      <alignment vertical="center"/>
    </xf>
    <xf borderId="20" fillId="0" fontId="7" numFmtId="0" xfId="0" applyAlignment="1" applyBorder="1" applyFont="1">
      <alignment horizontal="center" readingOrder="0" vertical="center"/>
    </xf>
    <xf borderId="20" fillId="2" fontId="8" numFmtId="0" xfId="0" applyAlignment="1" applyBorder="1" applyFont="1">
      <alignment horizontal="center" readingOrder="0" vertical="center"/>
    </xf>
    <xf borderId="9" fillId="2" fontId="16" numFmtId="0" xfId="0" applyAlignment="1" applyBorder="1" applyFont="1">
      <alignment horizontal="center" readingOrder="0" vertical="center"/>
    </xf>
    <xf borderId="9" fillId="2" fontId="8" numFmtId="0" xfId="0" applyAlignment="1" applyBorder="1" applyFont="1">
      <alignment horizontal="center" readingOrder="0" shrinkToFit="0" vertical="center" wrapText="1"/>
    </xf>
    <xf borderId="8" fillId="2" fontId="13" numFmtId="0" xfId="0" applyAlignment="1" applyBorder="1" applyFont="1">
      <alignment horizontal="center" readingOrder="0" shrinkToFit="0" vertical="center" wrapText="1"/>
    </xf>
    <xf borderId="6" fillId="2" fontId="1" numFmtId="0" xfId="0" applyAlignment="1" applyBorder="1" applyFont="1">
      <alignment horizontal="center" readingOrder="0" shrinkToFit="0" vertical="center" wrapText="1"/>
    </xf>
    <xf borderId="18" fillId="2" fontId="13" numFmtId="0" xfId="0" applyAlignment="1" applyBorder="1" applyFont="1">
      <alignment horizontal="center" readingOrder="0" shrinkToFit="0" vertical="center" wrapText="1"/>
    </xf>
    <xf borderId="1" fillId="2" fontId="13" numFmtId="0" xfId="0" applyAlignment="1" applyBorder="1" applyFont="1">
      <alignment horizontal="center" readingOrder="0" shrinkToFit="0" vertical="center" wrapText="1"/>
    </xf>
    <xf borderId="7" fillId="2" fontId="1" numFmtId="0" xfId="0" applyAlignment="1" applyBorder="1" applyFont="1">
      <alignment horizontal="center" readingOrder="0" shrinkToFit="0" vertical="center" wrapText="1"/>
    </xf>
    <xf borderId="20" fillId="2" fontId="13" numFmtId="0" xfId="0" applyAlignment="1" applyBorder="1" applyFont="1">
      <alignment horizontal="center" readingOrder="0" shrinkToFit="0" vertical="center" wrapText="1"/>
    </xf>
    <xf borderId="8" fillId="2" fontId="8" numFmtId="0" xfId="0" applyAlignment="1" applyBorder="1" applyFont="1">
      <alignment horizontal="center" vertical="center"/>
    </xf>
    <xf borderId="6" fillId="2" fontId="10" numFmtId="0" xfId="0" applyAlignment="1" applyBorder="1" applyFont="1">
      <alignment horizontal="center" readingOrder="0" vertical="center"/>
    </xf>
    <xf borderId="45" fillId="2" fontId="1" numFmtId="0" xfId="0" applyAlignment="1" applyBorder="1" applyFont="1">
      <alignment horizontal="center" shrinkToFit="0" vertical="center" wrapText="1"/>
    </xf>
    <xf borderId="46" fillId="2" fontId="8" numFmtId="0" xfId="0" applyAlignment="1" applyBorder="1" applyFont="1">
      <alignment horizontal="center" vertical="center"/>
    </xf>
    <xf borderId="6" fillId="2" fontId="1" numFmtId="0" xfId="0" applyAlignment="1" applyBorder="1" applyFont="1">
      <alignment horizontal="center" shrinkToFit="0" vertical="center" wrapText="1"/>
    </xf>
    <xf borderId="6" fillId="2" fontId="1" numFmtId="0" xfId="0" applyAlignment="1" applyBorder="1" applyFont="1">
      <alignment horizontal="center" vertical="center"/>
    </xf>
    <xf borderId="41" fillId="2" fontId="1" numFmtId="0" xfId="0" applyAlignment="1" applyBorder="1" applyFont="1">
      <alignment horizontal="center" shrinkToFit="0" vertical="center" wrapText="1"/>
    </xf>
    <xf borderId="49" fillId="2" fontId="1" numFmtId="0" xfId="0" applyAlignment="1" applyBorder="1" applyFont="1">
      <alignment horizontal="center" shrinkToFit="0" vertical="center" wrapText="1"/>
    </xf>
    <xf borderId="50" fillId="2" fontId="8" numFmtId="0" xfId="0" applyAlignment="1" applyBorder="1" applyFont="1">
      <alignment horizontal="center" vertical="center"/>
    </xf>
    <xf borderId="38" fillId="2" fontId="1" numFmtId="0" xfId="0" applyAlignment="1" applyBorder="1" applyFont="1">
      <alignment horizontal="center" shrinkToFit="0" vertical="center" wrapText="1"/>
    </xf>
    <xf borderId="29" fillId="2" fontId="1" numFmtId="0" xfId="0" applyAlignment="1" applyBorder="1" applyFont="1">
      <alignment horizontal="center" vertical="center"/>
    </xf>
    <xf borderId="30" fillId="2" fontId="1" numFmtId="0" xfId="0" applyAlignment="1" applyBorder="1" applyFont="1">
      <alignment horizontal="center" shrinkToFit="0" vertical="center" wrapText="1"/>
    </xf>
    <xf borderId="31" fillId="17" fontId="2" numFmtId="0" xfId="0" applyAlignment="1" applyBorder="1" applyFont="1">
      <alignment horizontal="center" readingOrder="0" shrinkToFit="0" vertical="center" wrapText="1"/>
    </xf>
    <xf borderId="9" fillId="12" fontId="65" numFmtId="0" xfId="0" applyAlignment="1" applyBorder="1" applyFont="1">
      <alignment horizontal="center" readingOrder="0" shrinkToFit="0" vertical="center" wrapText="1"/>
    </xf>
    <xf borderId="2" fillId="12" fontId="65" numFmtId="0" xfId="0" applyAlignment="1" applyBorder="1" applyFont="1">
      <alignment horizontal="center" readingOrder="0" shrinkToFit="0" vertical="center" wrapText="1"/>
    </xf>
    <xf borderId="4" fillId="2" fontId="1" numFmtId="0" xfId="0" applyAlignment="1" applyBorder="1" applyFont="1">
      <alignment horizontal="center" readingOrder="0" shrinkToFit="0" vertical="center" wrapText="1"/>
    </xf>
    <xf borderId="5" fillId="2" fontId="1" numFmtId="0" xfId="0" applyAlignment="1" applyBorder="1" applyFont="1">
      <alignment horizontal="center" readingOrder="0" shrinkToFit="0" vertical="center" wrapText="1"/>
    </xf>
    <xf borderId="2" fillId="2" fontId="48" numFmtId="0" xfId="0" applyAlignment="1" applyBorder="1" applyFont="1">
      <alignment horizontal="center" readingOrder="0" shrinkToFit="0" vertical="center" wrapText="1"/>
    </xf>
    <xf borderId="9" fillId="0" fontId="5" numFmtId="20" xfId="0" applyAlignment="1" applyBorder="1" applyFont="1" applyNumberFormat="1">
      <alignment horizontal="center" shrinkToFit="0" vertical="bottom" wrapText="1"/>
    </xf>
    <xf borderId="62" fillId="2" fontId="1" numFmtId="0" xfId="0" applyAlignment="1" applyBorder="1" applyFont="1">
      <alignment horizontal="center" readingOrder="0" shrinkToFit="0" vertical="center" wrapText="1"/>
    </xf>
    <xf borderId="9" fillId="0" fontId="5" numFmtId="0" xfId="0" applyAlignment="1" applyBorder="1" applyFont="1">
      <alignment horizontal="center" readingOrder="0" shrinkToFit="0" vertical="bottom" wrapText="1"/>
    </xf>
    <xf borderId="7" fillId="2" fontId="1" numFmtId="0" xfId="0" applyAlignment="1" applyBorder="1" applyFont="1">
      <alignment horizontal="center" readingOrder="0" vertical="center"/>
    </xf>
    <xf borderId="0" fillId="2" fontId="8" numFmtId="0" xfId="0" applyAlignment="1" applyFont="1">
      <alignment horizontal="center" readingOrder="0" vertical="center"/>
    </xf>
    <xf borderId="34" fillId="0" fontId="1" numFmtId="0" xfId="0" applyAlignment="1" applyBorder="1" applyFont="1">
      <alignment horizontal="center" readingOrder="0" shrinkToFit="0" vertical="center" wrapText="1"/>
    </xf>
    <xf borderId="1" fillId="0" fontId="1" numFmtId="0" xfId="0" applyAlignment="1" applyBorder="1" applyFont="1">
      <alignment horizontal="center" readingOrder="0" vertical="center"/>
    </xf>
    <xf borderId="55" fillId="0" fontId="1" numFmtId="0" xfId="0" applyAlignment="1" applyBorder="1" applyFont="1">
      <alignment horizontal="center" readingOrder="0" vertical="center"/>
    </xf>
    <xf borderId="32" fillId="2" fontId="66" numFmtId="0" xfId="0" applyAlignment="1" applyBorder="1" applyFont="1">
      <alignment horizontal="center" readingOrder="0" vertical="center"/>
    </xf>
    <xf borderId="2" fillId="0" fontId="8" numFmtId="0" xfId="0" applyAlignment="1" applyBorder="1" applyFont="1">
      <alignment horizontal="center" readingOrder="0" vertical="center"/>
    </xf>
    <xf borderId="55" fillId="0" fontId="1" numFmtId="0" xfId="0" applyAlignment="1" applyBorder="1" applyFont="1">
      <alignment horizontal="center" readingOrder="0" shrinkToFit="0" vertical="center" wrapText="1"/>
    </xf>
    <xf borderId="6" fillId="9" fontId="1" numFmtId="0" xfId="0" applyAlignment="1" applyBorder="1" applyFont="1">
      <alignment horizontal="center" readingOrder="0" shrinkToFit="0" vertical="center" wrapText="1"/>
    </xf>
    <xf borderId="21" fillId="0" fontId="8" numFmtId="0" xfId="0" applyAlignment="1" applyBorder="1" applyFont="1">
      <alignment horizontal="center" readingOrder="0" shrinkToFit="0" vertical="center" wrapText="1"/>
    </xf>
    <xf borderId="20" fillId="3" fontId="12" numFmtId="0" xfId="0" applyAlignment="1" applyBorder="1" applyFont="1">
      <alignment horizontal="center" readingOrder="0" shrinkToFit="0" vertical="center" wrapText="1"/>
    </xf>
    <xf borderId="15" fillId="17" fontId="11" numFmtId="0" xfId="0" applyAlignment="1" applyBorder="1" applyFont="1">
      <alignment horizontal="center" readingOrder="0" shrinkToFit="0" vertical="center" wrapText="1"/>
    </xf>
    <xf borderId="9" fillId="23" fontId="67" numFmtId="0" xfId="0" applyAlignment="1" applyBorder="1" applyFont="1">
      <alignment horizontal="center" readingOrder="0" shrinkToFit="0" vertical="center" wrapText="1"/>
    </xf>
    <xf borderId="9" fillId="11" fontId="1" numFmtId="0" xfId="0" applyAlignment="1" applyBorder="1" applyFont="1">
      <alignment horizontal="center" readingOrder="0" shrinkToFit="0" vertical="center" wrapText="1"/>
    </xf>
    <xf borderId="1" fillId="2" fontId="48" numFmtId="0" xfId="0" applyAlignment="1" applyBorder="1" applyFont="1">
      <alignment horizontal="center" readingOrder="0" shrinkToFit="0" vertical="center" wrapText="1"/>
    </xf>
    <xf borderId="11" fillId="0" fontId="4" numFmtId="171" xfId="0" applyAlignment="1" applyBorder="1" applyFont="1" applyNumberFormat="1">
      <alignment horizontal="center" shrinkToFit="0" textRotation="90" wrapText="1"/>
    </xf>
    <xf borderId="16" fillId="0" fontId="5" numFmtId="0" xfId="0" applyAlignment="1" applyBorder="1" applyFont="1">
      <alignment horizontal="center" shrinkToFit="0" vertical="bottom" wrapText="1"/>
    </xf>
    <xf borderId="16" fillId="0" fontId="5" numFmtId="20" xfId="0" applyAlignment="1" applyBorder="1" applyFont="1" applyNumberFormat="1">
      <alignment horizontal="center" shrinkToFit="0" vertical="bottom" wrapText="1"/>
    </xf>
    <xf borderId="16" fillId="34" fontId="49" numFmtId="0" xfId="0" applyAlignment="1" applyBorder="1" applyFont="1">
      <alignment horizontal="center" shrinkToFit="0" wrapText="1"/>
    </xf>
    <xf borderId="15" fillId="40" fontId="49" numFmtId="0" xfId="0" applyAlignment="1" applyBorder="1" applyFill="1" applyFont="1">
      <alignment horizontal="center" shrinkToFit="0" wrapText="1"/>
    </xf>
    <xf borderId="53" fillId="41" fontId="5" numFmtId="0" xfId="0" applyAlignment="1" applyBorder="1" applyFill="1" applyFont="1">
      <alignment horizontal="center" shrinkToFit="0" wrapText="1"/>
    </xf>
    <xf borderId="15" fillId="9" fontId="49" numFmtId="0" xfId="0" applyAlignment="1" applyBorder="1" applyFont="1">
      <alignment horizontal="center" shrinkToFit="0" wrapText="1"/>
    </xf>
    <xf borderId="81" fillId="19" fontId="49" numFmtId="0" xfId="0" applyAlignment="1" applyBorder="1" applyFont="1">
      <alignment horizontal="center" readingOrder="0" shrinkToFit="0" wrapText="1"/>
    </xf>
    <xf borderId="15" fillId="42" fontId="49" numFmtId="0" xfId="0" applyAlignment="1" applyBorder="1" applyFill="1" applyFont="1">
      <alignment horizontal="center" shrinkToFit="0" wrapText="1"/>
    </xf>
    <xf borderId="15" fillId="43" fontId="49" numFmtId="0" xfId="0" applyAlignment="1" applyBorder="1" applyFill="1" applyFont="1">
      <alignment horizontal="center" shrinkToFit="0" wrapText="1"/>
    </xf>
    <xf borderId="15" fillId="23" fontId="49" numFmtId="0" xfId="0" applyAlignment="1" applyBorder="1" applyFont="1">
      <alignment horizontal="center" shrinkToFit="0" wrapText="1"/>
    </xf>
    <xf borderId="16" fillId="0" fontId="6" numFmtId="20" xfId="0" applyAlignment="1" applyBorder="1" applyFont="1" applyNumberFormat="1">
      <alignment horizontal="center" shrinkToFit="0" vertical="bottom" wrapText="1"/>
    </xf>
    <xf borderId="10" fillId="0" fontId="5" numFmtId="20" xfId="0" applyBorder="1" applyFont="1" applyNumberFormat="1"/>
    <xf borderId="10" fillId="0" fontId="5" numFmtId="0" xfId="0" applyBorder="1" applyFont="1"/>
    <xf borderId="10" fillId="0" fontId="5" numFmtId="0" xfId="0" applyAlignment="1" applyBorder="1" applyFont="1">
      <alignment horizontal="center" shrinkToFit="0" wrapText="1"/>
    </xf>
    <xf borderId="0" fillId="0" fontId="5" numFmtId="0" xfId="0" applyFont="1"/>
    <xf borderId="27" fillId="0" fontId="5" numFmtId="0" xfId="0" applyAlignment="1" applyBorder="1" applyFont="1">
      <alignment horizontal="center" shrinkToFit="0" vertical="bottom" wrapText="1"/>
    </xf>
    <xf borderId="27" fillId="0" fontId="5" numFmtId="20" xfId="0" applyAlignment="1" applyBorder="1" applyFont="1" applyNumberFormat="1">
      <alignment horizontal="center" shrinkToFit="0" vertical="bottom" wrapText="1"/>
    </xf>
    <xf borderId="27" fillId="34" fontId="49" numFmtId="0" xfId="0" applyAlignment="1" applyBorder="1" applyFont="1">
      <alignment horizontal="center" shrinkToFit="0" wrapText="1"/>
    </xf>
    <xf borderId="23" fillId="40" fontId="49" numFmtId="0" xfId="0" applyAlignment="1" applyBorder="1" applyFont="1">
      <alignment horizontal="center" shrinkToFit="0" wrapText="1"/>
    </xf>
    <xf borderId="23" fillId="9" fontId="49" numFmtId="0" xfId="0" applyAlignment="1" applyBorder="1" applyFont="1">
      <alignment horizontal="center" shrinkToFit="0" wrapText="1"/>
    </xf>
    <xf borderId="23" fillId="19" fontId="49" numFmtId="0" xfId="0" applyAlignment="1" applyBorder="1" applyFont="1">
      <alignment horizontal="center" readingOrder="0" shrinkToFit="0" wrapText="1"/>
    </xf>
    <xf borderId="23" fillId="42" fontId="49" numFmtId="0" xfId="0" applyAlignment="1" applyBorder="1" applyFont="1">
      <alignment horizontal="center" shrinkToFit="0" wrapText="1"/>
    </xf>
    <xf borderId="27" fillId="36" fontId="49" numFmtId="0" xfId="0" applyAlignment="1" applyBorder="1" applyFont="1">
      <alignment horizontal="center" shrinkToFit="0" wrapText="1"/>
    </xf>
    <xf borderId="27" fillId="23" fontId="49" numFmtId="0" xfId="0" applyAlignment="1" applyBorder="1" applyFont="1">
      <alignment horizontal="center" shrinkToFit="0" wrapText="1"/>
    </xf>
    <xf borderId="23" fillId="43" fontId="49" numFmtId="0" xfId="0" applyAlignment="1" applyBorder="1" applyFont="1">
      <alignment horizontal="center" shrinkToFit="0" wrapText="1"/>
    </xf>
    <xf borderId="27" fillId="0" fontId="6" numFmtId="20" xfId="0" applyAlignment="1" applyBorder="1" applyFont="1" applyNumberFormat="1">
      <alignment horizontal="center" shrinkToFit="0" vertical="bottom" wrapText="1"/>
    </xf>
    <xf borderId="27" fillId="0" fontId="5" numFmtId="20" xfId="0" applyBorder="1" applyFont="1" applyNumberFormat="1"/>
    <xf borderId="27" fillId="0" fontId="5" numFmtId="0" xfId="0" applyBorder="1" applyFont="1"/>
    <xf borderId="27" fillId="0" fontId="5" numFmtId="0" xfId="0" applyAlignment="1" applyBorder="1" applyFont="1">
      <alignment horizontal="center" shrinkToFit="0" wrapText="1"/>
    </xf>
    <xf borderId="23" fillId="19" fontId="49" numFmtId="0" xfId="0" applyAlignment="1" applyBorder="1" applyFont="1">
      <alignment horizontal="center" shrinkToFit="0" wrapText="1"/>
    </xf>
    <xf borderId="0" fillId="41" fontId="5" numFmtId="0" xfId="0" applyAlignment="1" applyFont="1">
      <alignment horizontal="center"/>
    </xf>
    <xf borderId="27" fillId="40" fontId="5" numFmtId="0" xfId="0" applyAlignment="1" applyBorder="1" applyFont="1">
      <alignment horizontal="center" shrinkToFit="0" wrapText="1"/>
    </xf>
    <xf borderId="23" fillId="9" fontId="5" numFmtId="0" xfId="0" applyAlignment="1" applyBorder="1" applyFont="1">
      <alignment horizontal="center" shrinkToFit="0" wrapText="1"/>
    </xf>
    <xf borderId="27" fillId="0" fontId="38" numFmtId="20" xfId="0" applyAlignment="1" applyBorder="1" applyFont="1" applyNumberFormat="1">
      <alignment horizontal="center" shrinkToFit="0" wrapText="1"/>
    </xf>
    <xf borderId="27" fillId="0" fontId="5" numFmtId="20" xfId="0" applyAlignment="1" applyBorder="1" applyFont="1" applyNumberFormat="1">
      <alignment horizontal="center" shrinkToFit="0" wrapText="1"/>
    </xf>
    <xf borderId="33" fillId="23" fontId="68" numFmtId="0" xfId="0" applyAlignment="1" applyBorder="1" applyFont="1">
      <alignment horizontal="center" shrinkToFit="0" wrapText="1"/>
    </xf>
    <xf borderId="27" fillId="23" fontId="7" numFmtId="0" xfId="0" applyAlignment="1" applyBorder="1" applyFont="1">
      <alignment horizontal="center" shrinkToFit="0" wrapText="1"/>
    </xf>
    <xf borderId="23" fillId="36" fontId="49" numFmtId="0" xfId="0" applyAlignment="1" applyBorder="1" applyFont="1">
      <alignment horizontal="center" shrinkToFit="0" wrapText="1"/>
    </xf>
    <xf borderId="27" fillId="0" fontId="5" numFmtId="166" xfId="0" applyAlignment="1" applyBorder="1" applyFont="1" applyNumberFormat="1">
      <alignment horizontal="center" shrinkToFit="0" vertical="bottom" wrapText="1"/>
    </xf>
    <xf borderId="23" fillId="41" fontId="5" numFmtId="0" xfId="0" applyAlignment="1" applyBorder="1" applyFont="1">
      <alignment horizontal="center" shrinkToFit="0" wrapText="1"/>
    </xf>
    <xf borderId="27" fillId="31" fontId="49" numFmtId="0" xfId="0" applyAlignment="1" applyBorder="1" applyFont="1">
      <alignment horizontal="center" shrinkToFit="0" wrapText="1"/>
    </xf>
    <xf borderId="27" fillId="10" fontId="5" numFmtId="0" xfId="0" applyAlignment="1" applyBorder="1" applyFont="1">
      <alignment horizontal="center" shrinkToFit="0" wrapText="1"/>
    </xf>
    <xf borderId="23" fillId="44" fontId="49" numFmtId="0" xfId="0" applyAlignment="1" applyBorder="1" applyFill="1" applyFont="1">
      <alignment horizontal="center" shrinkToFit="0" wrapText="1"/>
    </xf>
    <xf borderId="33" fillId="23" fontId="7" numFmtId="0" xfId="0" applyAlignment="1" applyBorder="1" applyFont="1">
      <alignment horizontal="center" shrinkToFit="0" wrapText="1"/>
    </xf>
    <xf borderId="27" fillId="0" fontId="6" numFmtId="166" xfId="0" applyAlignment="1" applyBorder="1" applyFont="1" applyNumberFormat="1">
      <alignment horizontal="center" shrinkToFit="0" vertical="bottom" wrapText="1"/>
    </xf>
    <xf borderId="27" fillId="0" fontId="38" numFmtId="166" xfId="0" applyAlignment="1" applyBorder="1" applyFont="1" applyNumberFormat="1">
      <alignment horizontal="center" shrinkToFit="0" wrapText="1"/>
    </xf>
    <xf borderId="27" fillId="0" fontId="5" numFmtId="0" xfId="0" applyAlignment="1" applyBorder="1" applyFont="1">
      <alignment horizontal="center" vertical="bottom"/>
    </xf>
    <xf borderId="27" fillId="0" fontId="5" numFmtId="0" xfId="0" applyAlignment="1" applyBorder="1" applyFont="1">
      <alignment horizontal="center" shrinkToFit="0" vertical="bottom" wrapText="1"/>
    </xf>
    <xf borderId="23" fillId="42" fontId="49" numFmtId="0" xfId="0" applyAlignment="1" applyBorder="1" applyFont="1">
      <alignment horizontal="center" readingOrder="0" shrinkToFit="0" wrapText="1"/>
    </xf>
    <xf borderId="27" fillId="9" fontId="5" numFmtId="0" xfId="0" applyAlignment="1" applyBorder="1" applyFont="1">
      <alignment horizontal="center" shrinkToFit="0" wrapText="1"/>
    </xf>
    <xf borderId="27" fillId="8" fontId="49" numFmtId="0" xfId="0" applyAlignment="1" applyBorder="1" applyFont="1">
      <alignment horizontal="center" shrinkToFit="0" wrapText="1"/>
    </xf>
    <xf borderId="33" fillId="0" fontId="5" numFmtId="0" xfId="0" applyBorder="1" applyFont="1"/>
    <xf borderId="27" fillId="0" fontId="6" numFmtId="0" xfId="0" applyAlignment="1" applyBorder="1" applyFont="1">
      <alignment horizontal="center" vertical="bottom"/>
    </xf>
    <xf borderId="27" fillId="0" fontId="6" numFmtId="0" xfId="0" applyAlignment="1" applyBorder="1" applyFont="1">
      <alignment horizontal="center" shrinkToFit="0" vertical="bottom" wrapText="1"/>
    </xf>
    <xf borderId="27" fillId="0" fontId="38" numFmtId="0" xfId="0" applyAlignment="1" applyBorder="1" applyFont="1">
      <alignment horizontal="center" shrinkToFit="0" wrapText="1"/>
    </xf>
    <xf borderId="23" fillId="8" fontId="49" numFmtId="0" xfId="0" applyAlignment="1" applyBorder="1" applyFont="1">
      <alignment horizontal="center" shrinkToFit="0" wrapText="1"/>
    </xf>
    <xf borderId="23" fillId="6" fontId="49" numFmtId="0" xfId="0" applyAlignment="1" applyBorder="1" applyFont="1">
      <alignment horizontal="center" readingOrder="0" shrinkToFit="0" wrapText="1"/>
    </xf>
    <xf borderId="33" fillId="10" fontId="5" numFmtId="0" xfId="0" applyAlignment="1" applyBorder="1" applyFont="1">
      <alignment horizontal="center" shrinkToFit="0" wrapText="1"/>
    </xf>
    <xf borderId="27" fillId="44" fontId="49" numFmtId="0" xfId="0" applyAlignment="1" applyBorder="1" applyFont="1">
      <alignment horizontal="center" shrinkToFit="0" wrapText="1"/>
    </xf>
    <xf borderId="27" fillId="41" fontId="5" numFmtId="0" xfId="0" applyAlignment="1" applyBorder="1" applyFont="1">
      <alignment horizontal="center" shrinkToFit="0" wrapText="1"/>
    </xf>
    <xf borderId="27" fillId="36" fontId="5" numFmtId="0" xfId="0" applyAlignment="1" applyBorder="1" applyFont="1">
      <alignment horizontal="center" shrinkToFit="0" wrapText="1"/>
    </xf>
    <xf borderId="27" fillId="0" fontId="5" numFmtId="0" xfId="0" applyBorder="1" applyFont="1"/>
    <xf borderId="27" fillId="24" fontId="5" numFmtId="0" xfId="0" applyAlignment="1" applyBorder="1" applyFont="1">
      <alignment horizontal="center" shrinkToFit="0" wrapText="1"/>
    </xf>
    <xf borderId="23" fillId="6" fontId="49" numFmtId="0" xfId="0" applyAlignment="1" applyBorder="1" applyFont="1">
      <alignment horizontal="center" shrinkToFit="0" wrapText="1"/>
    </xf>
    <xf borderId="27" fillId="2" fontId="5" numFmtId="0" xfId="0" applyBorder="1" applyFont="1"/>
    <xf borderId="23" fillId="44" fontId="5" numFmtId="0" xfId="0" applyAlignment="1" applyBorder="1" applyFont="1">
      <alignment horizontal="center" shrinkToFit="0" wrapText="1"/>
    </xf>
    <xf borderId="33" fillId="0" fontId="5" numFmtId="0" xfId="0" applyBorder="1" applyFont="1"/>
    <xf borderId="27" fillId="0" fontId="5" numFmtId="167" xfId="0" applyAlignment="1" applyBorder="1" applyFont="1" applyNumberFormat="1">
      <alignment horizontal="center" shrinkToFit="0" wrapText="1"/>
    </xf>
    <xf borderId="0" fillId="44" fontId="12" numFmtId="0" xfId="0" applyAlignment="1" applyFont="1">
      <alignment horizontal="center" shrinkToFit="0" wrapText="1"/>
    </xf>
    <xf borderId="27" fillId="31" fontId="5" numFmtId="0" xfId="0" applyAlignment="1" applyBorder="1" applyFont="1">
      <alignment horizontal="center" shrinkToFit="0" wrapText="1"/>
    </xf>
    <xf borderId="27" fillId="0" fontId="6" numFmtId="167" xfId="0" applyAlignment="1" applyBorder="1" applyFont="1" applyNumberFormat="1">
      <alignment horizontal="center" shrinkToFit="0" wrapText="1"/>
    </xf>
    <xf borderId="23" fillId="0" fontId="5" numFmtId="0" xfId="0" applyBorder="1" applyFont="1"/>
    <xf borderId="27" fillId="0" fontId="6" numFmtId="0" xfId="0" applyAlignment="1" applyBorder="1" applyFont="1">
      <alignment horizontal="center" shrinkToFit="0" wrapText="1"/>
    </xf>
    <xf borderId="48" fillId="0" fontId="5" numFmtId="0" xfId="0" applyAlignment="1" applyBorder="1" applyFont="1">
      <alignment horizontal="center" shrinkToFit="0" vertical="bottom" wrapText="1"/>
    </xf>
    <xf borderId="48" fillId="0" fontId="5" numFmtId="0" xfId="0" applyAlignment="1" applyBorder="1" applyFont="1">
      <alignment horizontal="center" shrinkToFit="0" wrapText="1"/>
    </xf>
    <xf borderId="48" fillId="0" fontId="5" numFmtId="0" xfId="0" applyBorder="1" applyFont="1"/>
    <xf borderId="84" fillId="0" fontId="5" numFmtId="0" xfId="0" applyBorder="1" applyFont="1"/>
    <xf borderId="48" fillId="0" fontId="6" numFmtId="0" xfId="0" applyAlignment="1" applyBorder="1" applyFont="1">
      <alignment horizontal="center" shrinkToFit="0" wrapText="1"/>
    </xf>
    <xf borderId="48" fillId="0" fontId="6" numFmtId="0" xfId="0" applyAlignment="1" applyBorder="1" applyFont="1">
      <alignment horizontal="center" shrinkToFit="0" wrapText="1"/>
    </xf>
    <xf borderId="21" fillId="23" fontId="32" numFmtId="0" xfId="0" applyAlignment="1" applyBorder="1" applyFont="1">
      <alignment horizontal="center" readingOrder="0" shrinkToFit="0" vertical="center" wrapText="1"/>
    </xf>
    <xf borderId="21" fillId="0" fontId="51" numFmtId="0" xfId="0" applyAlignment="1" applyBorder="1" applyFont="1">
      <alignment horizontal="center" readingOrder="0" shrinkToFit="0" vertical="center" wrapText="1"/>
    </xf>
    <xf borderId="45" fillId="0" fontId="5" numFmtId="0" xfId="0" applyAlignment="1" applyBorder="1" applyFont="1">
      <alignment horizontal="center" readingOrder="0" shrinkToFit="0" vertical="bottom" wrapText="1"/>
    </xf>
    <xf borderId="17" fillId="0" fontId="1" numFmtId="0" xfId="0" applyAlignment="1" applyBorder="1" applyFont="1">
      <alignment horizontal="center" readingOrder="0" shrinkToFit="0" vertical="center" wrapText="1"/>
    </xf>
    <xf borderId="46" fillId="0" fontId="1" numFmtId="0" xfId="0" applyAlignment="1" applyBorder="1" applyFont="1">
      <alignment horizontal="center" readingOrder="0" shrinkToFit="0" vertical="center" wrapText="1"/>
    </xf>
    <xf borderId="44" fillId="32" fontId="69" numFmtId="0" xfId="0" applyAlignment="1" applyBorder="1" applyFont="1">
      <alignment horizontal="center" readingOrder="0" shrinkToFit="0" vertical="center" wrapText="1"/>
    </xf>
    <xf borderId="15" fillId="32" fontId="70" numFmtId="0" xfId="0" applyAlignment="1" applyBorder="1" applyFont="1">
      <alignment horizontal="center" readingOrder="0" shrinkToFit="0" vertical="center" wrapText="1"/>
    </xf>
    <xf borderId="21" fillId="0" fontId="23" numFmtId="0" xfId="0" applyAlignment="1" applyBorder="1" applyFont="1">
      <alignment horizontal="center" readingOrder="0" shrinkToFit="0" vertical="center" wrapText="1"/>
    </xf>
    <xf borderId="20" fillId="12" fontId="18" numFmtId="0" xfId="0" applyAlignment="1" applyBorder="1" applyFont="1">
      <alignment horizontal="center" readingOrder="0" shrinkToFit="0" vertical="center" wrapText="1"/>
    </xf>
    <xf borderId="1" fillId="4" fontId="2" numFmtId="0" xfId="0" applyAlignment="1" applyBorder="1" applyFont="1">
      <alignment horizontal="center" readingOrder="0" shrinkToFit="0" vertical="center" wrapText="1"/>
    </xf>
    <xf borderId="29" fillId="2" fontId="1" numFmtId="0" xfId="0" applyAlignment="1" applyBorder="1" applyFont="1">
      <alignment horizontal="center" shrinkToFit="0" vertical="center" wrapText="1"/>
    </xf>
    <xf borderId="52" fillId="23" fontId="71" numFmtId="0" xfId="0" applyAlignment="1" applyBorder="1" applyFont="1">
      <alignment horizontal="center" readingOrder="0" shrinkToFit="0" vertical="center" wrapText="1"/>
    </xf>
    <xf borderId="4" fillId="17" fontId="11" numFmtId="0" xfId="0" applyAlignment="1" applyBorder="1" applyFont="1">
      <alignment horizontal="center" readingOrder="0" shrinkToFit="0" vertical="center" wrapText="1"/>
    </xf>
    <xf borderId="13" fillId="2" fontId="8" numFmtId="0" xfId="0" applyAlignment="1" applyBorder="1" applyFont="1">
      <alignment horizontal="center" readingOrder="0" vertical="center"/>
    </xf>
    <xf borderId="31" fillId="17" fontId="11" numFmtId="0" xfId="0" applyAlignment="1" applyBorder="1" applyFont="1">
      <alignment horizontal="center" readingOrder="0" shrinkToFit="0" vertical="center" wrapText="1"/>
    </xf>
    <xf borderId="54" fillId="23" fontId="11" numFmtId="0" xfId="0" applyAlignment="1" applyBorder="1" applyFont="1">
      <alignment horizontal="center" readingOrder="0" shrinkToFit="0" vertical="center" wrapText="1"/>
    </xf>
    <xf borderId="6" fillId="0" fontId="10" numFmtId="0" xfId="0" applyAlignment="1" applyBorder="1" applyFont="1">
      <alignment horizontal="center" readingOrder="0" shrinkToFit="0" vertical="center" wrapText="1"/>
    </xf>
    <xf borderId="32" fillId="2" fontId="7" numFmtId="0" xfId="0" applyAlignment="1" applyBorder="1" applyFont="1">
      <alignment horizontal="center" readingOrder="0" vertical="center"/>
    </xf>
    <xf borderId="32" fillId="2" fontId="72" numFmtId="0" xfId="0" applyAlignment="1" applyBorder="1" applyFont="1">
      <alignment horizontal="center" readingOrder="0" shrinkToFit="0" vertical="center" wrapText="1"/>
    </xf>
    <xf borderId="1" fillId="0" fontId="4" numFmtId="165" xfId="0" applyAlignment="1" applyBorder="1" applyFont="1" applyNumberFormat="1">
      <alignment horizontal="center" readingOrder="0" shrinkToFit="0" textRotation="90" vertical="center" wrapText="1"/>
    </xf>
    <xf borderId="9" fillId="43" fontId="1" numFmtId="0" xfId="0" applyAlignment="1" applyBorder="1" applyFont="1">
      <alignment horizontal="center" readingOrder="0" shrinkToFit="0" vertical="center" wrapText="1"/>
    </xf>
    <xf borderId="8" fillId="29" fontId="1" numFmtId="0" xfId="0" applyAlignment="1" applyBorder="1" applyFont="1">
      <alignment horizontal="center" readingOrder="0" shrinkToFit="0" vertical="center" wrapText="1"/>
    </xf>
    <xf borderId="8" fillId="31" fontId="1" numFmtId="0" xfId="0" applyAlignment="1" applyBorder="1" applyFont="1">
      <alignment horizontal="center" readingOrder="0" shrinkToFit="0" vertical="center" wrapText="1"/>
    </xf>
    <xf borderId="9" fillId="45" fontId="18" numFmtId="0" xfId="0" applyAlignment="1" applyBorder="1" applyFill="1" applyFont="1">
      <alignment horizontal="center" readingOrder="0" shrinkToFit="0" vertical="center" wrapText="1"/>
    </xf>
    <xf borderId="2" fillId="23" fontId="11" numFmtId="0" xfId="0" applyAlignment="1" applyBorder="1" applyFont="1">
      <alignment horizontal="center" readingOrder="0" shrinkToFit="0" vertical="center" wrapText="1"/>
    </xf>
    <xf borderId="10" fillId="27" fontId="1" numFmtId="0" xfId="0" applyAlignment="1" applyBorder="1" applyFont="1">
      <alignment horizontal="center" readingOrder="0" shrinkToFit="0" vertical="center" wrapText="1"/>
    </xf>
    <xf borderId="9" fillId="31" fontId="1" numFmtId="0" xfId="0" applyAlignment="1" applyBorder="1" applyFont="1">
      <alignment horizontal="center" readingOrder="0" shrinkToFit="0" vertical="center" wrapText="1"/>
    </xf>
    <xf borderId="26" fillId="8" fontId="1" numFmtId="0" xfId="0" applyAlignment="1" applyBorder="1" applyFont="1">
      <alignment horizontal="center" readingOrder="0" shrinkToFit="0" vertical="center" wrapText="1"/>
    </xf>
    <xf borderId="9" fillId="27" fontId="1" numFmtId="0" xfId="0" applyAlignment="1" applyBorder="1" applyFont="1">
      <alignment horizontal="center" readingOrder="0" shrinkToFit="0" vertical="center" wrapText="1"/>
    </xf>
    <xf borderId="9" fillId="38" fontId="1" numFmtId="0" xfId="0" applyAlignment="1" applyBorder="1" applyFont="1">
      <alignment horizontal="center" readingOrder="0" shrinkToFit="0" vertical="center" wrapText="1"/>
    </xf>
    <xf borderId="9" fillId="8" fontId="1" numFmtId="0" xfId="0" applyAlignment="1" applyBorder="1" applyFont="1">
      <alignment horizontal="center" readingOrder="0" shrinkToFit="0" vertical="center" wrapText="1"/>
    </xf>
    <xf borderId="10" fillId="17" fontId="51" numFmtId="0" xfId="0" applyAlignment="1" applyBorder="1" applyFont="1">
      <alignment horizontal="center" readingOrder="0" shrinkToFit="0" vertical="center" wrapText="1"/>
    </xf>
    <xf borderId="52" fillId="2" fontId="11" numFmtId="0" xfId="0" applyAlignment="1" applyBorder="1" applyFont="1">
      <alignment horizontal="center" readingOrder="0" shrinkToFit="0" vertical="center" wrapText="1"/>
    </xf>
    <xf borderId="0" fillId="2" fontId="11" numFmtId="0" xfId="0" applyAlignment="1" applyFont="1">
      <alignment horizontal="center" readingOrder="0" shrinkToFit="0" vertical="center" wrapText="1"/>
    </xf>
    <xf borderId="42" fillId="2" fontId="11" numFmtId="0" xfId="0" applyAlignment="1" applyBorder="1" applyFont="1">
      <alignment horizontal="center" readingOrder="0" shrinkToFit="0" vertical="center" wrapText="1"/>
    </xf>
    <xf borderId="26" fillId="2" fontId="11" numFmtId="0" xfId="0" applyAlignment="1" applyBorder="1" applyFont="1">
      <alignment horizontal="center" readingOrder="0" shrinkToFit="0" vertical="center" wrapText="1"/>
    </xf>
    <xf borderId="23" fillId="2" fontId="11" numFmtId="0" xfId="0" applyAlignment="1" applyBorder="1" applyFont="1">
      <alignment horizontal="center" readingOrder="0" shrinkToFit="0" vertical="center" wrapText="1"/>
    </xf>
    <xf borderId="33" fillId="2" fontId="11" numFmtId="0" xfId="0" applyAlignment="1" applyBorder="1" applyFont="1">
      <alignment horizontal="center" readingOrder="0" shrinkToFit="0" vertical="center" wrapText="1"/>
    </xf>
    <xf borderId="0" fillId="2" fontId="72" numFmtId="0" xfId="0" applyAlignment="1" applyFont="1">
      <alignment horizontal="center" readingOrder="0" shrinkToFit="0" vertical="center" wrapText="1"/>
    </xf>
    <xf borderId="26" fillId="46" fontId="2" numFmtId="0" xfId="0" applyAlignment="1" applyBorder="1" applyFill="1" applyFont="1">
      <alignment horizontal="center" readingOrder="0" shrinkToFit="0" vertical="center" wrapText="1"/>
    </xf>
    <xf borderId="2" fillId="0" fontId="73" numFmtId="0" xfId="0" applyAlignment="1" applyBorder="1" applyFont="1">
      <alignment horizontal="center" readingOrder="0" shrinkToFit="0" vertical="center" wrapText="1"/>
    </xf>
    <xf borderId="16" fillId="17" fontId="51" numFmtId="0" xfId="0" applyAlignment="1" applyBorder="1" applyFont="1">
      <alignment horizontal="center" readingOrder="0" shrinkToFit="0" vertical="center" wrapText="1"/>
    </xf>
    <xf borderId="85" fillId="3" fontId="1" numFmtId="0" xfId="0" applyAlignment="1" applyBorder="1" applyFont="1">
      <alignment horizontal="center" readingOrder="0" shrinkToFit="0" vertical="center" wrapText="1"/>
    </xf>
    <xf borderId="53" fillId="17" fontId="11" numFmtId="0" xfId="0" applyAlignment="1" applyBorder="1" applyFont="1">
      <alignment horizontal="center" readingOrder="0" shrinkToFit="0" vertical="center" wrapText="1"/>
    </xf>
    <xf borderId="53" fillId="17" fontId="51" numFmtId="0" xfId="0" applyAlignment="1" applyBorder="1" applyFont="1">
      <alignment horizontal="center" readingOrder="0" shrinkToFit="0" vertical="center" wrapText="1"/>
    </xf>
    <xf borderId="32" fillId="2" fontId="74" numFmtId="0" xfId="0" applyAlignment="1" applyBorder="1" applyFont="1">
      <alignment horizontal="center" readingOrder="0" shrinkToFit="0" vertical="center" wrapText="1"/>
    </xf>
    <xf borderId="21" fillId="0" fontId="65" numFmtId="0" xfId="0" applyAlignment="1" applyBorder="1" applyFont="1">
      <alignment horizontal="center" readingOrder="0" shrinkToFit="0" vertical="center" wrapText="1"/>
    </xf>
    <xf borderId="54" fillId="17" fontId="5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3" fillId="22" fontId="12" numFmtId="0" xfId="0" applyAlignment="1" applyBorder="1" applyFont="1">
      <alignment horizontal="center" readingOrder="0" shrinkToFit="0" vertical="center" wrapText="1"/>
    </xf>
    <xf borderId="8" fillId="11" fontId="1" numFmtId="0" xfId="0" applyAlignment="1" applyBorder="1" applyFont="1">
      <alignment horizontal="center" readingOrder="0" shrinkToFit="0" vertical="center" wrapText="1"/>
    </xf>
    <xf borderId="20" fillId="2" fontId="18" numFmtId="0" xfId="0" applyAlignment="1" applyBorder="1" applyFont="1">
      <alignment horizontal="center" readingOrder="0" shrinkToFit="0" vertical="center" wrapText="1"/>
    </xf>
    <xf borderId="7" fillId="13" fontId="10" numFmtId="0" xfId="0" applyAlignment="1" applyBorder="1" applyFont="1">
      <alignment horizontal="center" readingOrder="0" vertical="center"/>
    </xf>
    <xf borderId="31" fillId="47" fontId="28" numFmtId="0" xfId="0" applyAlignment="1" applyBorder="1" applyFill="1" applyFont="1">
      <alignment horizontal="center" readingOrder="0" shrinkToFit="0" vertical="center" wrapText="1"/>
    </xf>
    <xf borderId="8" fillId="3" fontId="2" numFmtId="0" xfId="0" applyAlignment="1" applyBorder="1" applyFont="1">
      <alignment horizontal="center" readingOrder="0" shrinkToFit="0" vertical="center" wrapText="1"/>
    </xf>
    <xf borderId="11" fillId="0" fontId="4" numFmtId="0" xfId="0" applyAlignment="1" applyBorder="1" applyFont="1">
      <alignment horizontal="center" readingOrder="0" shrinkToFit="0" textRotation="90" vertical="center" wrapText="1"/>
    </xf>
    <xf borderId="6" fillId="48" fontId="75" numFmtId="0" xfId="0" applyAlignment="1" applyBorder="1" applyFill="1" applyFont="1">
      <alignment horizontal="center" readingOrder="0" shrinkToFit="0" vertical="center" wrapText="1"/>
    </xf>
    <xf borderId="15" fillId="17" fontId="12" numFmtId="0" xfId="0" applyAlignment="1" applyBorder="1" applyFont="1">
      <alignment horizontal="center" readingOrder="0" shrinkToFit="0" vertical="center" wrapText="1"/>
    </xf>
    <xf borderId="9" fillId="49" fontId="2" numFmtId="0" xfId="0" applyAlignment="1" applyBorder="1" applyFill="1" applyFont="1">
      <alignment horizontal="center" readingOrder="0" shrinkToFit="0" vertical="center" wrapText="1"/>
    </xf>
    <xf borderId="88" fillId="0" fontId="4" numFmtId="165" xfId="0" applyAlignment="1" applyBorder="1" applyFont="1" applyNumberFormat="1">
      <alignment horizontal="center" readingOrder="0" shrinkToFit="0" textRotation="90" vertical="center" wrapText="1"/>
    </xf>
    <xf borderId="45" fillId="0" fontId="1" numFmtId="0" xfId="0" applyAlignment="1" applyBorder="1" applyFont="1">
      <alignment horizontal="center" shrinkToFit="0" wrapText="1"/>
    </xf>
    <xf borderId="45" fillId="0" fontId="5" numFmtId="166" xfId="0" applyAlignment="1" applyBorder="1" applyFont="1" applyNumberFormat="1">
      <alignment horizontal="center" readingOrder="0" shrinkToFit="0" vertical="bottom" wrapText="1"/>
    </xf>
    <xf borderId="52" fillId="37" fontId="76" numFmtId="0" xfId="0" applyAlignment="1" applyBorder="1" applyFont="1">
      <alignment horizontal="center" readingOrder="0" shrinkToFit="0" vertical="center" wrapText="1"/>
    </xf>
    <xf borderId="2" fillId="0" fontId="77" numFmtId="0" xfId="0" applyAlignment="1" applyBorder="1" applyFont="1">
      <alignment horizontal="center" readingOrder="0" shrinkToFit="0" vertical="center" wrapText="1"/>
    </xf>
    <xf borderId="2" fillId="0" fontId="78" numFmtId="0" xfId="0" applyAlignment="1" applyBorder="1" applyFont="1">
      <alignment horizontal="center" readingOrder="0" shrinkToFit="0" vertical="center" wrapText="1"/>
    </xf>
    <xf borderId="2" fillId="22" fontId="79" numFmtId="0" xfId="0" applyAlignment="1" applyBorder="1" applyFont="1">
      <alignment horizontal="center" readingOrder="0" shrinkToFit="0" vertical="center" wrapText="1"/>
    </xf>
    <xf borderId="32" fillId="37" fontId="80" numFmtId="0" xfId="0" applyAlignment="1" applyBorder="1" applyFont="1">
      <alignment horizontal="center" readingOrder="0" shrinkToFit="0" vertical="center" wrapText="1"/>
    </xf>
    <xf borderId="6" fillId="35" fontId="77" numFmtId="0" xfId="0" applyAlignment="1" applyBorder="1" applyFont="1">
      <alignment horizontal="center" readingOrder="0" shrinkToFit="0" vertical="center" wrapText="1"/>
    </xf>
    <xf borderId="79" fillId="0" fontId="4" numFmtId="172" xfId="0" applyAlignment="1" applyBorder="1" applyFont="1" applyNumberFormat="1">
      <alignment horizontal="center" readingOrder="0" shrinkToFit="0" textRotation="90" vertical="center" wrapText="1"/>
    </xf>
    <xf borderId="0" fillId="3" fontId="15" numFmtId="0" xfId="0" applyAlignment="1" applyFont="1">
      <alignment horizontal="center" readingOrder="0" shrinkToFit="0" vertical="center" wrapText="1"/>
    </xf>
    <xf borderId="42" fillId="3" fontId="15" numFmtId="0" xfId="0" applyAlignment="1" applyBorder="1" applyFont="1">
      <alignment horizontal="center" readingOrder="0" shrinkToFit="0" vertical="center" wrapText="1"/>
    </xf>
    <xf borderId="42" fillId="2" fontId="7" numFmtId="0" xfId="0" applyAlignment="1" applyBorder="1" applyFont="1">
      <alignment horizontal="center" readingOrder="0" vertical="center"/>
    </xf>
    <xf borderId="16" fillId="3" fontId="13" numFmtId="0" xfId="0" applyAlignment="1" applyBorder="1" applyFont="1">
      <alignment horizontal="center" readingOrder="0" shrinkToFit="0" vertical="center" wrapText="1"/>
    </xf>
    <xf borderId="21" fillId="3" fontId="13" numFmtId="0" xfId="0" applyAlignment="1" applyBorder="1" applyFont="1">
      <alignment horizontal="center" readingOrder="0" shrinkToFit="0" vertical="center" wrapText="1"/>
    </xf>
    <xf borderId="9" fillId="50" fontId="1" numFmtId="0" xfId="0" applyAlignment="1" applyBorder="1" applyFill="1" applyFont="1">
      <alignment horizontal="center" readingOrder="0" shrinkToFit="0" vertical="center" wrapText="1"/>
    </xf>
    <xf borderId="3" fillId="50" fontId="2" numFmtId="0" xfId="0" applyAlignment="1" applyBorder="1" applyFont="1">
      <alignment horizontal="center" readingOrder="0" shrinkToFit="0" vertical="center" wrapText="1"/>
    </xf>
    <xf borderId="54" fillId="51" fontId="81" numFmtId="0" xfId="0" applyAlignment="1" applyBorder="1" applyFill="1" applyFont="1">
      <alignment horizontal="center" readingOrder="0" shrinkToFit="0" vertical="center" wrapText="1"/>
    </xf>
    <xf borderId="6" fillId="2" fontId="8" numFmtId="0" xfId="0" applyAlignment="1" applyBorder="1" applyFont="1">
      <alignment horizontal="center" readingOrder="0" shrinkToFit="0" vertical="center" wrapText="1"/>
    </xf>
    <xf borderId="2" fillId="51" fontId="82" numFmtId="0" xfId="0" applyAlignment="1" applyBorder="1" applyFont="1">
      <alignment horizontal="center" readingOrder="0" shrinkToFit="0" vertical="center" wrapText="1"/>
    </xf>
    <xf borderId="2" fillId="51" fontId="83" numFmtId="0" xfId="0" applyAlignment="1" applyBorder="1" applyFont="1">
      <alignment horizontal="center" readingOrder="0" shrinkToFit="0" vertical="center" wrapText="1"/>
    </xf>
    <xf borderId="2" fillId="35" fontId="84" numFmtId="0" xfId="0" applyAlignment="1" applyBorder="1" applyFont="1">
      <alignment horizontal="center" readingOrder="0" shrinkToFit="0" vertical="center" wrapText="1"/>
    </xf>
    <xf borderId="0" fillId="0" fontId="38" numFmtId="0" xfId="0" applyAlignment="1" applyFont="1">
      <alignment horizontal="center" shrinkToFit="0" vertical="bottom" wrapText="1"/>
    </xf>
    <xf borderId="0" fillId="0" fontId="38" numFmtId="0" xfId="0" applyAlignment="1" applyFont="1">
      <alignment horizontal="center" readingOrder="0" shrinkToFit="0" vertical="bottom" wrapText="1"/>
    </xf>
    <xf borderId="0" fillId="0" fontId="5" numFmtId="0" xfId="0" applyAlignment="1" applyFont="1">
      <alignment horizontal="center" readingOrder="0" shrinkToFit="0" vertical="bottom" wrapText="1"/>
    </xf>
    <xf borderId="0" fillId="0" fontId="5" numFmtId="20" xfId="0" applyAlignment="1" applyFont="1" applyNumberFormat="1">
      <alignment horizontal="center" readingOrder="0" shrinkToFit="0" vertical="bottom" wrapText="1"/>
    </xf>
    <xf borderId="0" fillId="0" fontId="49" numFmtId="20" xfId="0" applyAlignment="1" applyFont="1" applyNumberFormat="1">
      <alignment readingOrder="0" shrinkToFit="0" vertical="bottom" wrapText="1"/>
    </xf>
    <xf borderId="0" fillId="0" fontId="5" numFmtId="0" xfId="0" applyAlignment="1" applyFont="1">
      <alignment readingOrder="0" shrinkToFit="0" vertical="bottom" wrapText="1"/>
    </xf>
    <xf borderId="0" fillId="0" fontId="5" numFmtId="0" xfId="0" applyAlignment="1" applyFont="1">
      <alignment horizontal="center" shrinkToFit="0" vertical="bottom" wrapText="1"/>
    </xf>
    <xf borderId="0" fillId="0" fontId="5" numFmtId="0" xfId="0" applyAlignment="1" applyFont="1">
      <alignment shrinkToFit="0" vertical="bottom" wrapText="1"/>
    </xf>
    <xf borderId="0" fillId="0" fontId="85" numFmtId="0" xfId="0" applyAlignment="1" applyFont="1">
      <alignment shrinkToFit="0" vertical="bottom" wrapText="1"/>
    </xf>
    <xf borderId="9" fillId="22" fontId="86" numFmtId="0" xfId="0" applyAlignment="1" applyBorder="1" applyFont="1">
      <alignment horizontal="center" readingOrder="0" shrinkToFit="0" vertical="bottom" wrapText="1"/>
    </xf>
    <xf borderId="0" fillId="2" fontId="13" numFmtId="20" xfId="0" applyAlignment="1" applyFont="1" applyNumberFormat="1">
      <alignment horizontal="center" readingOrder="0" shrinkToFit="0" vertical="bottom" wrapText="1"/>
    </xf>
    <xf borderId="0" fillId="2" fontId="87" numFmtId="0" xfId="0" applyAlignment="1" applyFont="1">
      <alignment horizontal="center" readingOrder="0" shrinkToFit="0" vertical="bottom" wrapText="1"/>
    </xf>
    <xf borderId="0" fillId="2" fontId="86" numFmtId="0" xfId="0" applyAlignment="1" applyFont="1">
      <alignment horizontal="center" readingOrder="0" shrinkToFit="0" vertical="bottom" wrapText="1"/>
    </xf>
    <xf borderId="9" fillId="35" fontId="84" numFmtId="0" xfId="0" applyAlignment="1" applyBorder="1" applyFont="1">
      <alignment horizontal="center" readingOrder="0" shrinkToFit="0" vertical="center" wrapText="1"/>
    </xf>
    <xf borderId="89" fillId="0" fontId="3" numFmtId="0" xfId="0" applyBorder="1" applyFont="1"/>
    <xf borderId="0" fillId="51" fontId="77" numFmtId="0" xfId="0" applyAlignment="1" applyFont="1">
      <alignment horizontal="center" readingOrder="0" shrinkToFit="0" vertical="bottom" wrapText="1"/>
    </xf>
    <xf borderId="90" fillId="35" fontId="84" numFmtId="0" xfId="0" applyAlignment="1" applyBorder="1" applyFont="1">
      <alignment horizontal="center" readingOrder="0" shrinkToFit="0" vertical="center" wrapText="1"/>
    </xf>
    <xf borderId="91" fillId="0" fontId="3" numFmtId="0" xfId="0" applyBorder="1" applyFont="1"/>
    <xf borderId="92" fillId="0" fontId="3" numFmtId="0" xfId="0" applyBorder="1" applyFont="1"/>
    <xf borderId="0" fillId="0" fontId="8" numFmtId="0" xfId="0" applyAlignment="1" applyFont="1">
      <alignment readingOrder="0" shrinkToFit="0" wrapText="1"/>
    </xf>
    <xf borderId="23" fillId="0" fontId="5" numFmtId="0" xfId="0" applyAlignment="1" applyBorder="1" applyFont="1">
      <alignment horizontal="center" shrinkToFit="0" vertical="bottom" wrapText="1"/>
    </xf>
    <xf borderId="23" fillId="0" fontId="5" numFmtId="20" xfId="0" applyAlignment="1" applyBorder="1" applyFont="1" applyNumberFormat="1">
      <alignment horizontal="center" readingOrder="0" shrinkToFit="0" vertical="bottom" wrapText="1"/>
    </xf>
    <xf borderId="23" fillId="0" fontId="5" numFmtId="0" xfId="0" applyAlignment="1" applyBorder="1" applyFont="1">
      <alignment shrinkToFit="0" vertical="bottom" wrapText="1"/>
    </xf>
    <xf borderId="23" fillId="0" fontId="5" numFmtId="0" xfId="0" applyAlignment="1" applyBorder="1" applyFont="1">
      <alignment readingOrder="0" shrinkToFit="0" vertical="bottom" wrapText="1"/>
    </xf>
    <xf borderId="0" fillId="2" fontId="88" numFmtId="0" xfId="0" applyAlignment="1" applyFont="1">
      <alignment shrinkToFit="0" vertical="bottom" wrapText="1"/>
    </xf>
    <xf borderId="0" fillId="52" fontId="89" numFmtId="0" xfId="0" applyAlignment="1" applyFill="1" applyFont="1">
      <alignment shrinkToFit="0" vertical="bottom" wrapText="1"/>
    </xf>
    <xf borderId="0" fillId="53" fontId="89" numFmtId="0" xfId="0" applyAlignment="1" applyFill="1" applyFont="1">
      <alignment shrinkToFit="0" vertical="bottom" wrapText="1"/>
    </xf>
    <xf borderId="0" fillId="54" fontId="90" numFmtId="0" xfId="0" applyAlignment="1" applyFill="1" applyFont="1">
      <alignment shrinkToFit="0" vertical="bottom" wrapText="1"/>
    </xf>
    <xf borderId="0" fillId="52" fontId="91" numFmtId="0" xfId="0" applyAlignment="1" applyFont="1">
      <alignment horizontal="right" shrinkToFit="0" vertical="bottom" wrapText="1"/>
    </xf>
    <xf borderId="0" fillId="2" fontId="91" numFmtId="0" xfId="0" applyAlignment="1" applyFont="1">
      <alignment shrinkToFit="0" vertical="bottom" wrapText="1"/>
    </xf>
    <xf borderId="0" fillId="0" fontId="8" numFmtId="0" xfId="0" applyAlignment="1" applyFont="1">
      <alignment shrinkToFit="0" wrapText="1"/>
    </xf>
    <xf borderId="0" fillId="0" fontId="8" numFmtId="0" xfId="0" applyAlignment="1" applyFont="1">
      <alignment horizontal="center" shrinkToFit="0" wrapText="1"/>
    </xf>
    <xf borderId="0" fillId="0" fontId="8" numFmtId="20" xfId="0" applyAlignment="1" applyFont="1" applyNumberFormat="1">
      <alignment readingOrder="0" shrinkToFit="0" wrapText="1"/>
    </xf>
    <xf borderId="1" fillId="0" fontId="5" numFmtId="173" xfId="0" applyAlignment="1" applyBorder="1" applyFont="1" applyNumberFormat="1">
      <alignment vertical="center"/>
    </xf>
    <xf borderId="1" fillId="0" fontId="38" numFmtId="0" xfId="0" applyAlignment="1" applyBorder="1" applyFont="1">
      <alignment horizontal="center" vertical="bottom"/>
    </xf>
    <xf borderId="1" fillId="0" fontId="38" numFmtId="0" xfId="0" applyAlignment="1" applyBorder="1" applyFont="1">
      <alignment horizontal="center"/>
    </xf>
    <xf borderId="2" fillId="0" fontId="38" numFmtId="0" xfId="0" applyAlignment="1" applyBorder="1" applyFont="1">
      <alignment horizontal="center" readingOrder="0"/>
    </xf>
    <xf borderId="6" fillId="0" fontId="38" numFmtId="0" xfId="0" applyAlignment="1" applyBorder="1" applyFont="1">
      <alignment horizontal="center" readingOrder="0"/>
    </xf>
    <xf borderId="0" fillId="0" fontId="32" numFmtId="0" xfId="0" applyAlignment="1" applyFont="1">
      <alignment horizontal="center" readingOrder="0"/>
    </xf>
    <xf borderId="8" fillId="0" fontId="32" numFmtId="0" xfId="0" applyAlignment="1" applyBorder="1" applyFont="1">
      <alignment horizontal="center" readingOrder="0"/>
    </xf>
    <xf borderId="0" fillId="0" fontId="8" numFmtId="0" xfId="0" applyAlignment="1" applyFont="1">
      <alignment readingOrder="0"/>
    </xf>
    <xf borderId="11" fillId="0" fontId="28" numFmtId="0" xfId="0" applyAlignment="1" applyBorder="1" applyFont="1">
      <alignment horizontal="center" readingOrder="0" vertical="center"/>
    </xf>
    <xf borderId="12" fillId="0" fontId="5" numFmtId="0" xfId="0" applyAlignment="1" applyBorder="1" applyFont="1">
      <alignment horizontal="center" readingOrder="0" vertical="bottom"/>
    </xf>
    <xf borderId="31" fillId="55" fontId="5" numFmtId="0" xfId="0" applyAlignment="1" applyBorder="1" applyFill="1" applyFont="1">
      <alignment horizontal="center" readingOrder="0" shrinkToFit="0" vertical="center" wrapText="1"/>
    </xf>
    <xf borderId="8" fillId="0" fontId="8" numFmtId="0" xfId="0" applyAlignment="1" applyBorder="1" applyFont="1">
      <alignment readingOrder="0"/>
    </xf>
    <xf borderId="8" fillId="0" fontId="5" numFmtId="0" xfId="0" applyAlignment="1" applyBorder="1" applyFont="1">
      <alignment horizontal="center" readingOrder="0" vertical="bottom"/>
    </xf>
    <xf borderId="1" fillId="39" fontId="5" numFmtId="0" xfId="0" applyAlignment="1" applyBorder="1" applyFont="1">
      <alignment horizontal="center" readingOrder="0" shrinkToFit="0" vertical="center" wrapText="1"/>
    </xf>
    <xf borderId="9" fillId="0" fontId="5" numFmtId="0" xfId="0" applyAlignment="1" applyBorder="1" applyFont="1">
      <alignment horizontal="center" readingOrder="0" shrinkToFit="0" wrapText="1"/>
    </xf>
    <xf borderId="0" fillId="0" fontId="5" numFmtId="0" xfId="0" applyAlignment="1" applyFont="1">
      <alignment horizontal="center" readingOrder="0" shrinkToFit="0" wrapText="1"/>
    </xf>
    <xf borderId="9" fillId="41" fontId="5" numFmtId="0" xfId="0" applyAlignment="1" applyBorder="1" applyFont="1">
      <alignment horizontal="center" readingOrder="0" shrinkToFit="0" wrapText="1"/>
    </xf>
    <xf borderId="1" fillId="0" fontId="5" numFmtId="0" xfId="0" applyAlignment="1" applyBorder="1" applyFont="1">
      <alignment horizontal="center" readingOrder="0" vertical="center"/>
    </xf>
    <xf borderId="52" fillId="51" fontId="5" numFmtId="0" xfId="0" applyAlignment="1" applyBorder="1" applyFont="1">
      <alignment horizontal="center" readingOrder="0" shrinkToFit="0" vertical="center" wrapText="1"/>
    </xf>
    <xf borderId="83" fillId="51" fontId="5" numFmtId="0" xfId="0" applyAlignment="1" applyBorder="1" applyFont="1">
      <alignment horizontal="center" readingOrder="0" shrinkToFit="0" vertical="center" wrapText="1"/>
    </xf>
    <xf borderId="29" fillId="50" fontId="38" numFmtId="0" xfId="0" applyAlignment="1" applyBorder="1" applyFont="1">
      <alignment horizontal="center" readingOrder="0" shrinkToFit="0" wrapText="1"/>
    </xf>
    <xf borderId="29" fillId="51" fontId="5" numFmtId="0" xfId="0" applyAlignment="1" applyBorder="1" applyFont="1">
      <alignment horizontal="center" readingOrder="0" shrinkToFit="0" wrapText="1"/>
    </xf>
    <xf borderId="36" fillId="50" fontId="5" numFmtId="0" xfId="0" applyAlignment="1" applyBorder="1" applyFont="1">
      <alignment horizontal="left" readingOrder="0" shrinkToFit="0" wrapText="1"/>
    </xf>
    <xf borderId="38" fillId="39" fontId="38" numFmtId="0" xfId="0" applyAlignment="1" applyBorder="1" applyFont="1">
      <alignment horizontal="center" readingOrder="0" shrinkToFit="0" wrapText="1"/>
    </xf>
    <xf borderId="39" fillId="51" fontId="5" numFmtId="0" xfId="0" applyAlignment="1" applyBorder="1" applyFont="1">
      <alignment horizontal="center" shrinkToFit="0" wrapText="1"/>
    </xf>
    <xf borderId="9" fillId="0" fontId="5" numFmtId="0" xfId="0" applyAlignment="1" applyBorder="1" applyFont="1">
      <alignment horizontal="center" readingOrder="0" vertical="bottom"/>
    </xf>
    <xf borderId="13" fillId="0" fontId="5" numFmtId="0" xfId="0" applyAlignment="1" applyBorder="1" applyFont="1">
      <alignment horizontal="center" readingOrder="0" shrinkToFit="0" vertical="center" wrapText="1"/>
    </xf>
    <xf borderId="31" fillId="0" fontId="5" numFmtId="0" xfId="0" applyAlignment="1" applyBorder="1" applyFont="1">
      <alignment horizontal="center" readingOrder="0" shrinkToFit="0" vertical="center" wrapText="1"/>
    </xf>
    <xf borderId="14" fillId="0" fontId="92" numFmtId="0" xfId="0" applyAlignment="1" applyBorder="1" applyFont="1">
      <alignment horizontal="center" readingOrder="0" shrinkToFit="0" wrapText="1"/>
    </xf>
    <xf borderId="21" fillId="41" fontId="5" numFmtId="0" xfId="0" applyAlignment="1" applyBorder="1" applyFont="1">
      <alignment horizontal="center" readingOrder="0" shrinkToFit="0" wrapText="1"/>
    </xf>
    <xf borderId="21" fillId="18" fontId="5" numFmtId="0" xfId="0" applyAlignment="1" applyBorder="1" applyFont="1">
      <alignment horizontal="center" readingOrder="0" shrinkToFit="0" wrapText="1"/>
    </xf>
    <xf borderId="0" fillId="0" fontId="8" numFmtId="0" xfId="0" applyAlignment="1" applyFont="1">
      <alignment horizontal="center"/>
    </xf>
    <xf borderId="2" fillId="0" fontId="5" numFmtId="0" xfId="0" applyAlignment="1" applyBorder="1" applyFont="1">
      <alignment horizontal="center" readingOrder="0" vertical="bottom"/>
    </xf>
    <xf borderId="62" fillId="51" fontId="5" numFmtId="0" xfId="0" applyAlignment="1" applyBorder="1" applyFont="1">
      <alignment horizontal="center" readingOrder="0" shrinkToFit="0" vertical="center" wrapText="1"/>
    </xf>
    <xf borderId="7" fillId="39" fontId="5" numFmtId="0" xfId="0" applyAlignment="1" applyBorder="1" applyFont="1">
      <alignment horizontal="center" readingOrder="0" shrinkToFit="0" vertical="center" wrapText="1"/>
    </xf>
    <xf borderId="3" fillId="51" fontId="5" numFmtId="0" xfId="0" applyAlignment="1" applyBorder="1" applyFont="1">
      <alignment horizontal="center" readingOrder="0" shrinkToFit="0" vertical="center" wrapText="1"/>
    </xf>
    <xf borderId="1" fillId="39" fontId="38" numFmtId="0" xfId="0" applyAlignment="1" applyBorder="1" applyFont="1">
      <alignment horizontal="center" readingOrder="0" shrinkToFit="0" wrapText="1"/>
    </xf>
    <xf borderId="2" fillId="51" fontId="5" numFmtId="0" xfId="0" applyAlignment="1" applyBorder="1" applyFont="1">
      <alignment horizontal="center" readingOrder="0" shrinkToFit="0" wrapText="1"/>
    </xf>
    <xf borderId="55" fillId="51" fontId="5" numFmtId="0" xfId="0" applyBorder="1" applyFont="1"/>
    <xf borderId="0" fillId="0" fontId="5" numFmtId="0" xfId="0" applyAlignment="1" applyFont="1">
      <alignment horizontal="center" readingOrder="0" vertical="bottom"/>
    </xf>
    <xf borderId="87" fillId="39" fontId="5" numFmtId="0" xfId="0" applyAlignment="1" applyBorder="1" applyFont="1">
      <alignment horizontal="center" readingOrder="0" shrinkToFit="0" vertical="center" wrapText="1"/>
    </xf>
    <xf borderId="47" fillId="51" fontId="5" numFmtId="0" xfId="0" applyAlignment="1" applyBorder="1" applyFont="1">
      <alignment horizontal="center" readingOrder="0" shrinkToFit="0" vertical="center" wrapText="1"/>
    </xf>
    <xf borderId="47" fillId="50" fontId="38" numFmtId="0" xfId="0" applyAlignment="1" applyBorder="1" applyFont="1">
      <alignment horizontal="center" readingOrder="0" shrinkToFit="0" wrapText="1"/>
    </xf>
    <xf borderId="47" fillId="51" fontId="5" numFmtId="0" xfId="0" applyAlignment="1" applyBorder="1" applyFont="1">
      <alignment horizontal="center" shrinkToFit="0" wrapText="1"/>
    </xf>
    <xf borderId="47" fillId="51" fontId="5" numFmtId="0" xfId="0" applyBorder="1" applyFont="1"/>
    <xf borderId="84" fillId="51" fontId="5" numFmtId="0" xfId="0" applyBorder="1" applyFont="1"/>
    <xf borderId="31" fillId="0" fontId="5" numFmtId="0" xfId="0" applyAlignment="1" applyBorder="1" applyFont="1">
      <alignment horizontal="center" readingOrder="0" shrinkToFit="0" wrapText="1"/>
    </xf>
    <xf borderId="1" fillId="39" fontId="5" numFmtId="0" xfId="0" applyAlignment="1" applyBorder="1" applyFont="1">
      <alignment horizontal="center" readingOrder="0" shrinkToFit="0" vertical="center" wrapText="1"/>
    </xf>
    <xf borderId="1" fillId="39" fontId="38" numFmtId="0" xfId="0" applyAlignment="1" applyBorder="1" applyFont="1">
      <alignment horizontal="center" readingOrder="0" shrinkToFit="0" vertical="center" wrapText="1"/>
    </xf>
    <xf borderId="2" fillId="39" fontId="5" numFmtId="0" xfId="0" applyAlignment="1" applyBorder="1" applyFont="1">
      <alignment horizontal="center" readingOrder="0" shrinkToFit="0" vertical="center" wrapText="1"/>
    </xf>
    <xf borderId="0" fillId="0" fontId="8" numFmtId="0" xfId="0" applyAlignment="1" applyFont="1">
      <alignment horizontal="center" vertical="center"/>
    </xf>
    <xf borderId="87" fillId="0" fontId="5" numFmtId="0" xfId="0" applyAlignment="1" applyBorder="1" applyFont="1">
      <alignment horizontal="center" readingOrder="0" vertical="bottom"/>
    </xf>
    <xf borderId="47" fillId="39" fontId="5" numFmtId="0" xfId="0" applyAlignment="1" applyBorder="1" applyFont="1">
      <alignment horizontal="center" readingOrder="0" shrinkToFit="0" wrapText="1"/>
    </xf>
    <xf borderId="84" fillId="39" fontId="5" numFmtId="0" xfId="0" applyAlignment="1" applyBorder="1" applyFont="1">
      <alignment horizontal="center" readingOrder="0" shrinkToFit="0" wrapText="1"/>
    </xf>
    <xf borderId="17" fillId="0" fontId="28" numFmtId="0" xfId="0" applyAlignment="1" applyBorder="1" applyFont="1">
      <alignment horizontal="center" readingOrder="0" vertical="center"/>
    </xf>
    <xf borderId="51" fillId="0" fontId="5" numFmtId="0" xfId="0" applyAlignment="1" applyBorder="1" applyFont="1">
      <alignment horizontal="center" readingOrder="0" vertical="bottom"/>
    </xf>
    <xf borderId="26" fillId="0" fontId="5" numFmtId="0" xfId="0" applyAlignment="1" applyBorder="1" applyFont="1">
      <alignment horizontal="center" readingOrder="0" shrinkToFit="0" vertical="center" wrapText="1"/>
    </xf>
    <xf borderId="26" fillId="0" fontId="5" numFmtId="0" xfId="0" applyAlignment="1" applyBorder="1" applyFont="1">
      <alignment horizontal="center" readingOrder="0" shrinkToFit="0" wrapText="1"/>
    </xf>
    <xf borderId="52" fillId="39" fontId="5" numFmtId="0" xfId="0" applyAlignment="1" applyBorder="1" applyFont="1">
      <alignment horizontal="center" readingOrder="0" shrinkToFit="0" vertical="center" wrapText="1"/>
    </xf>
    <xf borderId="23" fillId="0" fontId="32" numFmtId="0" xfId="0" applyAlignment="1" applyBorder="1" applyFont="1">
      <alignment horizontal="center" readingOrder="0"/>
    </xf>
    <xf borderId="8" fillId="0" fontId="5" numFmtId="0" xfId="0" applyAlignment="1" applyBorder="1" applyFont="1">
      <alignment horizontal="center" readingOrder="0" vertical="center"/>
    </xf>
    <xf borderId="9" fillId="18" fontId="5" numFmtId="0" xfId="0" applyAlignment="1" applyBorder="1" applyFont="1">
      <alignment horizontal="center" readingOrder="0" shrinkToFit="0" vertical="center" wrapText="1"/>
    </xf>
    <xf borderId="0" fillId="0" fontId="32" numFmtId="0" xfId="0" applyAlignment="1" applyFont="1">
      <alignment vertical="center"/>
    </xf>
    <xf borderId="0" fillId="0" fontId="8" numFmtId="0" xfId="0" applyAlignment="1" applyFont="1">
      <alignment readingOrder="0" vertical="center"/>
    </xf>
    <xf borderId="1" fillId="2" fontId="38" numFmtId="0" xfId="0" applyAlignment="1" applyBorder="1" applyFont="1">
      <alignment horizontal="center" readingOrder="0" shrinkToFit="0" vertical="center" wrapText="1"/>
    </xf>
    <xf borderId="1" fillId="51" fontId="38" numFmtId="0" xfId="0" applyAlignment="1" applyBorder="1" applyFont="1">
      <alignment horizontal="center" shrinkToFit="0" vertical="center" wrapText="1"/>
    </xf>
    <xf borderId="2" fillId="39" fontId="38" numFmtId="0" xfId="0" applyAlignment="1" applyBorder="1" applyFont="1">
      <alignment horizontal="center" readingOrder="0" shrinkToFit="0" vertical="center" wrapText="1"/>
    </xf>
    <xf borderId="6" fillId="51" fontId="38" numFmtId="0" xfId="0" applyAlignment="1" applyBorder="1" applyFont="1">
      <alignment horizontal="center" readingOrder="0" shrinkToFit="0" vertical="center" wrapText="1"/>
    </xf>
    <xf borderId="3" fillId="51" fontId="38" numFmtId="0" xfId="0" applyAlignment="1" applyBorder="1" applyFont="1">
      <alignment horizontal="center" readingOrder="0" shrinkToFit="0" vertical="center" wrapText="1"/>
    </xf>
    <xf borderId="40" fillId="0" fontId="28" numFmtId="0" xfId="0" applyAlignment="1" applyBorder="1" applyFont="1">
      <alignment horizontal="center" readingOrder="0" vertical="center"/>
    </xf>
    <xf borderId="12" fillId="0" fontId="5" numFmtId="0" xfId="0" applyAlignment="1" applyBorder="1" applyFont="1">
      <alignment horizontal="center" readingOrder="0" shrinkToFit="0" wrapText="1"/>
    </xf>
    <xf borderId="12" fillId="50" fontId="38" numFmtId="0" xfId="0" applyAlignment="1" applyBorder="1" applyFont="1">
      <alignment horizontal="center" readingOrder="0" shrinkToFit="0" wrapText="1"/>
    </xf>
    <xf borderId="57" fillId="0" fontId="5" numFmtId="0" xfId="0" applyAlignment="1" applyBorder="1" applyFont="1">
      <alignment horizontal="center" readingOrder="0" shrinkToFit="0" wrapText="1"/>
    </xf>
    <xf borderId="34" fillId="0" fontId="28" numFmtId="0" xfId="0" applyAlignment="1" applyBorder="1" applyFont="1">
      <alignment horizontal="center" readingOrder="0" vertical="center"/>
    </xf>
    <xf borderId="8" fillId="0" fontId="5" numFmtId="0" xfId="0" applyAlignment="1" applyBorder="1" applyFont="1">
      <alignment horizontal="center" readingOrder="0" shrinkToFit="0" wrapText="1"/>
    </xf>
    <xf borderId="9" fillId="18" fontId="5" numFmtId="0" xfId="0" applyAlignment="1" applyBorder="1" applyFont="1">
      <alignment horizontal="center" readingOrder="0" shrinkToFit="0" wrapText="1"/>
    </xf>
    <xf borderId="29" fillId="0" fontId="5" numFmtId="0" xfId="0" applyAlignment="1" applyBorder="1" applyFont="1">
      <alignment horizontal="center" readingOrder="0" vertical="bottom"/>
    </xf>
    <xf borderId="29" fillId="39" fontId="5" numFmtId="0" xfId="0" applyAlignment="1" applyBorder="1" applyFont="1">
      <alignment horizontal="center" readingOrder="0" shrinkToFit="0" vertical="center" wrapText="1"/>
    </xf>
    <xf borderId="29" fillId="0" fontId="5" numFmtId="0" xfId="0" applyAlignment="1" applyBorder="1" applyFont="1">
      <alignment horizontal="center" readingOrder="0" shrinkToFit="0" vertical="center" wrapText="1"/>
    </xf>
    <xf borderId="36" fillId="39" fontId="5" numFmtId="0" xfId="0" applyAlignment="1" applyBorder="1" applyFont="1">
      <alignment horizontal="center" readingOrder="0" shrinkToFit="0" vertical="center" wrapText="1"/>
    </xf>
    <xf borderId="29" fillId="50" fontId="38" numFmtId="0" xfId="0" applyAlignment="1" applyBorder="1" applyFont="1">
      <alignment horizontal="center" readingOrder="0" shrinkToFit="0" vertical="center" wrapText="1"/>
    </xf>
    <xf borderId="30" fillId="0" fontId="92" numFmtId="0" xfId="0" applyAlignment="1" applyBorder="1" applyFont="1">
      <alignment horizontal="center" readingOrder="0" shrinkToFit="0" wrapText="1"/>
    </xf>
    <xf borderId="51" fillId="0" fontId="30" numFmtId="0" xfId="0" applyAlignment="1" applyBorder="1" applyFont="1">
      <alignment horizontal="center" readingOrder="0" vertical="center"/>
    </xf>
    <xf borderId="51" fillId="0" fontId="5" numFmtId="0" xfId="0" applyAlignment="1" applyBorder="1" applyFont="1">
      <alignment horizontal="center" vertical="bottom"/>
    </xf>
    <xf borderId="26" fillId="0" fontId="8" numFmtId="0" xfId="0" applyAlignment="1" applyBorder="1" applyFont="1">
      <alignment horizontal="center" readingOrder="0" vertical="center"/>
    </xf>
    <xf borderId="23" fillId="0" fontId="8" numFmtId="0" xfId="0" applyAlignment="1" applyBorder="1" applyFont="1">
      <alignment horizontal="center" readingOrder="0" vertical="center"/>
    </xf>
    <xf borderId="1" fillId="0" fontId="30" numFmtId="0" xfId="0" applyAlignment="1" applyBorder="1" applyFont="1">
      <alignment horizontal="center" readingOrder="0" vertical="center"/>
    </xf>
    <xf borderId="1" fillId="0" fontId="5" numFmtId="0" xfId="0" applyAlignment="1" applyBorder="1" applyFont="1">
      <alignment horizontal="center" vertical="bottom"/>
    </xf>
    <xf borderId="6" fillId="0" fontId="8" numFmtId="0" xfId="0" applyAlignment="1" applyBorder="1" applyFont="1">
      <alignment horizontal="center" readingOrder="0" vertical="center"/>
    </xf>
    <xf borderId="16" fillId="0" fontId="5" numFmtId="0" xfId="0" applyAlignment="1" applyBorder="1" applyFont="1">
      <alignment horizontal="center" readingOrder="0" vertical="bottom"/>
    </xf>
    <xf borderId="31" fillId="18" fontId="5" numFmtId="0" xfId="0" applyAlignment="1" applyBorder="1" applyFont="1">
      <alignment horizontal="center" readingOrder="0" shrinkToFit="0" vertical="center" wrapText="1"/>
    </xf>
    <xf borderId="10" fillId="0" fontId="5" numFmtId="0" xfId="0" applyAlignment="1" applyBorder="1" applyFont="1">
      <alignment horizontal="center" readingOrder="0" vertical="bottom"/>
    </xf>
    <xf borderId="51" fillId="0" fontId="5" numFmtId="0" xfId="0" applyAlignment="1" applyBorder="1" applyFont="1">
      <alignment horizontal="center" readingOrder="0" shrinkToFit="0" wrapText="1"/>
    </xf>
    <xf borderId="26" fillId="18" fontId="5" numFmtId="0" xfId="0" applyAlignment="1" applyBorder="1" applyFont="1">
      <alignment horizontal="center" readingOrder="0" shrinkToFit="0" vertical="center" wrapText="1"/>
    </xf>
    <xf borderId="3" fillId="0" fontId="5" numFmtId="0" xfId="0" applyAlignment="1" applyBorder="1" applyFont="1">
      <alignment horizontal="center" readingOrder="0" vertical="center"/>
    </xf>
    <xf borderId="2" fillId="50" fontId="38" numFmtId="0" xfId="0" applyAlignment="1" applyBorder="1" applyFont="1">
      <alignment horizontal="center" readingOrder="0" shrinkToFit="0" vertical="center" wrapText="1"/>
    </xf>
    <xf borderId="2" fillId="39" fontId="5" numFmtId="0" xfId="0" applyAlignment="1" applyBorder="1" applyFont="1">
      <alignment horizontal="center" readingOrder="0" shrinkToFit="0" wrapText="1"/>
    </xf>
    <xf borderId="9" fillId="39" fontId="5" numFmtId="0" xfId="0" applyAlignment="1" applyBorder="1" applyFont="1">
      <alignment horizontal="center" readingOrder="0" shrinkToFit="0" wrapText="1"/>
    </xf>
    <xf borderId="83" fillId="0" fontId="5" numFmtId="0" xfId="0" applyAlignment="1" applyBorder="1" applyFont="1">
      <alignment horizontal="center" readingOrder="0" shrinkToFit="0" wrapText="1"/>
    </xf>
    <xf borderId="47" fillId="0" fontId="5" numFmtId="0" xfId="0" applyAlignment="1" applyBorder="1" applyFont="1">
      <alignment horizontal="center" readingOrder="0" shrinkToFit="0" wrapText="1"/>
    </xf>
    <xf borderId="29" fillId="50" fontId="38" numFmtId="0" xfId="0" applyAlignment="1" applyBorder="1" applyFont="1">
      <alignment horizontal="center" readingOrder="0" shrinkToFit="0" wrapText="1"/>
    </xf>
    <xf borderId="39" fillId="0" fontId="5" numFmtId="0" xfId="0" applyAlignment="1" applyBorder="1" applyFont="1">
      <alignment horizontal="center" readingOrder="0" shrinkToFit="0" wrapText="1"/>
    </xf>
    <xf borderId="25" fillId="0" fontId="5" numFmtId="0" xfId="0" applyAlignment="1" applyBorder="1" applyFont="1">
      <alignment horizontal="center" readingOrder="0" shrinkToFit="0" wrapText="1"/>
    </xf>
    <xf borderId="12" fillId="50" fontId="38" numFmtId="0" xfId="0" applyAlignment="1" applyBorder="1" applyFont="1">
      <alignment horizontal="center" readingOrder="0" shrinkToFit="0" vertical="center" wrapText="1"/>
    </xf>
    <xf borderId="30" fillId="2" fontId="93" numFmtId="0" xfId="0" applyAlignment="1" applyBorder="1" applyFont="1">
      <alignment horizontal="center" readingOrder="0" shrinkToFit="0" wrapText="1"/>
    </xf>
    <xf borderId="52" fillId="0" fontId="5" numFmtId="0" xfId="0" applyAlignment="1" applyBorder="1" applyFont="1">
      <alignment horizontal="center" readingOrder="0" shrinkToFit="0" vertical="center" wrapText="1"/>
    </xf>
    <xf borderId="52" fillId="50" fontId="5" numFmtId="0" xfId="0" applyAlignment="1" applyBorder="1" applyFont="1">
      <alignment horizontal="center" readingOrder="0" shrinkToFit="0" vertical="center" wrapText="1"/>
    </xf>
    <xf borderId="42" fillId="0" fontId="94" numFmtId="0" xfId="0" applyAlignment="1" applyBorder="1" applyFont="1">
      <alignment horizontal="center" readingOrder="0" shrinkToFit="0" vertical="center" wrapText="1"/>
    </xf>
    <xf borderId="8" fillId="0" fontId="5" numFmtId="0" xfId="0" applyAlignment="1" applyBorder="1" applyFont="1">
      <alignment horizontal="center" readingOrder="0" shrinkToFit="0" vertical="center" wrapText="1"/>
    </xf>
    <xf borderId="9" fillId="0" fontId="5" numFmtId="0" xfId="0" applyAlignment="1" applyBorder="1" applyFont="1">
      <alignment horizontal="center" readingOrder="0" shrinkToFit="0" vertical="center" wrapText="1"/>
    </xf>
    <xf borderId="19" fillId="0" fontId="94" numFmtId="0" xfId="0" applyAlignment="1" applyBorder="1" applyFont="1">
      <alignment horizontal="center" readingOrder="0" shrinkToFit="0" vertical="center" wrapText="1"/>
    </xf>
    <xf borderId="8" fillId="0" fontId="38" numFmtId="0" xfId="0" applyAlignment="1" applyBorder="1" applyFont="1">
      <alignment horizontal="center" readingOrder="0" shrinkToFit="0" vertical="center" wrapText="1"/>
    </xf>
    <xf borderId="22" fillId="18" fontId="5" numFmtId="0" xfId="0" applyAlignment="1" applyBorder="1" applyFont="1">
      <alignment horizontal="center" readingOrder="0" shrinkToFit="0" wrapText="1"/>
    </xf>
    <xf borderId="29" fillId="0" fontId="5" numFmtId="0" xfId="0" applyAlignment="1" applyBorder="1" applyFont="1">
      <alignment horizontal="center" readingOrder="0" vertical="center"/>
    </xf>
    <xf borderId="29" fillId="39" fontId="5" numFmtId="0" xfId="0" applyAlignment="1" applyBorder="1" applyFont="1">
      <alignment horizontal="center" readingOrder="0" shrinkToFit="0" vertical="center" wrapText="1"/>
    </xf>
    <xf borderId="36" fillId="39" fontId="95" numFmtId="0" xfId="0" applyAlignment="1" applyBorder="1" applyFont="1">
      <alignment horizontal="center" readingOrder="0" shrinkToFit="0" vertical="center" wrapText="1"/>
    </xf>
    <xf borderId="28" fillId="2" fontId="28" numFmtId="0" xfId="0" applyAlignment="1" applyBorder="1" applyFont="1">
      <alignment horizontal="center" readingOrder="0" vertical="center"/>
    </xf>
    <xf borderId="49" fillId="2" fontId="8" numFmtId="0" xfId="0" applyAlignment="1" applyBorder="1" applyFont="1">
      <alignment horizontal="center" readingOrder="0"/>
    </xf>
    <xf borderId="50" fillId="2" fontId="38" numFmtId="0" xfId="0" applyAlignment="1" applyBorder="1" applyFont="1">
      <alignment horizontal="center" readingOrder="0" vertical="center"/>
    </xf>
    <xf borderId="50" fillId="50" fontId="38" numFmtId="0" xfId="0" applyAlignment="1" applyBorder="1" applyFont="1">
      <alignment horizontal="center" readingOrder="0" shrinkToFit="0" vertical="center" wrapText="1"/>
    </xf>
    <xf borderId="79" fillId="0" fontId="28" numFmtId="0" xfId="0" applyAlignment="1" applyBorder="1" applyFont="1">
      <alignment horizontal="center" readingOrder="0" vertical="center"/>
    </xf>
    <xf borderId="93" fillId="0" fontId="8" numFmtId="0" xfId="0" applyAlignment="1" applyBorder="1" applyFont="1">
      <alignment horizontal="center" readingOrder="0"/>
    </xf>
    <xf borderId="94" fillId="55" fontId="38" numFmtId="0" xfId="0" applyAlignment="1" applyBorder="1" applyFont="1">
      <alignment horizontal="center" readingOrder="0" vertical="center"/>
    </xf>
    <xf borderId="79" fillId="2" fontId="28" numFmtId="0" xfId="0" applyAlignment="1" applyBorder="1" applyFont="1">
      <alignment horizontal="center" readingOrder="0" vertical="center"/>
    </xf>
    <xf borderId="52" fillId="33" fontId="38" numFmtId="0" xfId="0" applyAlignment="1" applyBorder="1" applyFont="1">
      <alignment horizontal="center" readingOrder="0" vertical="center"/>
    </xf>
    <xf borderId="83" fillId="33" fontId="38" numFmtId="0" xfId="0" applyAlignment="1" applyBorder="1" applyFont="1">
      <alignment horizontal="center" readingOrder="0" vertical="center"/>
    </xf>
    <xf borderId="83" fillId="2" fontId="38" numFmtId="0" xfId="0" applyAlignment="1" applyBorder="1" applyFont="1">
      <alignment horizontal="center" readingOrder="0" vertical="center"/>
    </xf>
    <xf borderId="49" fillId="0" fontId="8" numFmtId="0" xfId="0" applyAlignment="1" applyBorder="1" applyFont="1">
      <alignment horizontal="center"/>
    </xf>
    <xf borderId="83" fillId="55" fontId="38" numFmtId="0" xfId="0" applyAlignment="1" applyBorder="1" applyFont="1">
      <alignment horizontal="center" readingOrder="0" vertical="center"/>
    </xf>
    <xf borderId="0" fillId="0" fontId="8" numFmtId="167" xfId="0" applyAlignment="1" applyFont="1" applyNumberFormat="1">
      <alignment readingOrder="0" shrinkToFit="0" wrapText="1"/>
    </xf>
    <xf borderId="0" fillId="29" fontId="5" numFmtId="0" xfId="0" applyAlignment="1" applyFont="1">
      <alignment vertical="bottom"/>
    </xf>
    <xf borderId="0" fillId="0" fontId="5" numFmtId="0" xfId="0" applyAlignment="1" applyFont="1">
      <alignment horizontal="center" vertical="bottom"/>
    </xf>
    <xf borderId="0" fillId="0" fontId="5" numFmtId="0" xfId="0" applyAlignment="1" applyFont="1">
      <alignment vertical="bottom"/>
    </xf>
    <xf borderId="0" fillId="29" fontId="49" numFmtId="0" xfId="0" applyAlignment="1" applyFont="1">
      <alignment horizontal="left" readingOrder="0" shrinkToFit="0" vertical="bottom" wrapText="0"/>
    </xf>
    <xf borderId="0" fillId="29" fontId="5" numFmtId="0" xfId="0" applyAlignment="1" applyFont="1">
      <alignment readingOrder="0" vertical="bottom"/>
    </xf>
    <xf borderId="0" fillId="56" fontId="5" numFmtId="0" xfId="0" applyAlignment="1" applyFill="1" applyFont="1">
      <alignment horizontal="center" vertical="bottom"/>
    </xf>
    <xf borderId="0" fillId="56" fontId="5" numFmtId="0" xfId="0" applyAlignment="1" applyFont="1">
      <alignment vertical="bottom"/>
    </xf>
    <xf borderId="8" fillId="0" fontId="96" numFmtId="0" xfId="0" applyAlignment="1" applyBorder="1" applyFont="1">
      <alignment shrinkToFit="0" vertical="center" wrapText="1"/>
    </xf>
    <xf borderId="8" fillId="0" fontId="96" numFmtId="0" xfId="0" applyAlignment="1" applyBorder="1" applyFont="1">
      <alignment horizontal="center" readingOrder="0" shrinkToFit="0" vertical="center" wrapText="1"/>
    </xf>
    <xf borderId="9" fillId="0" fontId="96" numFmtId="0" xfId="0" applyAlignment="1" applyBorder="1" applyFont="1">
      <alignment horizontal="center" readingOrder="0" shrinkToFit="0" vertical="center" wrapText="1"/>
    </xf>
    <xf borderId="0" fillId="0" fontId="97" numFmtId="0" xfId="0" applyAlignment="1" applyFont="1">
      <alignment vertical="center"/>
    </xf>
    <xf borderId="8" fillId="0" fontId="97" numFmtId="0" xfId="0" applyAlignment="1" applyBorder="1" applyFont="1">
      <alignment horizontal="center" readingOrder="0" shrinkToFit="0" vertical="center" wrapText="1"/>
    </xf>
    <xf borderId="9" fillId="0" fontId="97" numFmtId="0" xfId="0" applyAlignment="1" applyBorder="1" applyFont="1">
      <alignment horizontal="center" readingOrder="0" shrinkToFit="0" vertical="center" wrapText="1"/>
    </xf>
    <xf borderId="8" fillId="0" fontId="97" numFmtId="0" xfId="0" applyAlignment="1" applyBorder="1" applyFont="1">
      <alignment shrinkToFit="0" vertical="center" wrapText="1"/>
    </xf>
    <xf borderId="1" fillId="0" fontId="96" numFmtId="0" xfId="0" applyAlignment="1" applyBorder="1" applyFont="1">
      <alignment horizontal="center" readingOrder="0" shrinkToFit="0" vertical="center" wrapText="1"/>
    </xf>
    <xf borderId="8" fillId="2" fontId="97" numFmtId="0" xfId="0" applyAlignment="1" applyBorder="1" applyFont="1">
      <alignment horizontal="center" readingOrder="0" shrinkToFit="0" vertical="center" wrapText="1"/>
    </xf>
    <xf borderId="0" fillId="0" fontId="97" numFmtId="0" xfId="0" applyAlignment="1" applyFont="1">
      <alignment readingOrder="0" shrinkToFit="0" vertical="center" wrapText="1"/>
    </xf>
    <xf borderId="9" fillId="23" fontId="97" numFmtId="0" xfId="0" applyAlignment="1" applyBorder="1" applyFont="1">
      <alignment horizontal="center" readingOrder="0" shrinkToFit="0" vertical="center" wrapText="1"/>
    </xf>
    <xf borderId="1" fillId="0" fontId="97" numFmtId="0" xfId="0" applyAlignment="1" applyBorder="1" applyFont="1">
      <alignment horizontal="center" readingOrder="0" shrinkToFit="0" vertical="center" wrapText="1"/>
    </xf>
    <xf borderId="1" fillId="0" fontId="97" numFmtId="0" xfId="0" applyAlignment="1" applyBorder="1" applyFont="1">
      <alignment horizontal="center" readingOrder="0" shrinkToFit="0" vertical="center" wrapText="1"/>
    </xf>
    <xf borderId="20" fillId="0" fontId="97" numFmtId="0" xfId="0" applyAlignment="1" applyBorder="1" applyFont="1">
      <alignment horizontal="center" readingOrder="0" shrinkToFit="0" vertical="center" wrapText="1"/>
    </xf>
    <xf borderId="8" fillId="0" fontId="97" numFmtId="0" xfId="0" applyAlignment="1" applyBorder="1" applyFont="1">
      <alignment vertical="center"/>
    </xf>
    <xf borderId="9" fillId="32" fontId="97" numFmtId="0" xfId="0" applyAlignment="1" applyBorder="1" applyFont="1">
      <alignment horizontal="center" readingOrder="0" shrinkToFit="0" vertical="center" wrapText="1"/>
    </xf>
    <xf borderId="9" fillId="0" fontId="97" numFmtId="0" xfId="0" applyAlignment="1" applyBorder="1" applyFont="1">
      <alignment readingOrder="0" shrinkToFit="0" vertical="center" wrapText="1"/>
    </xf>
    <xf borderId="0" fillId="0" fontId="96" numFmtId="0" xfId="0" applyAlignment="1" applyFont="1">
      <alignment vertical="center"/>
    </xf>
    <xf borderId="0" fillId="0" fontId="97" numFmtId="0" xfId="0" applyAlignment="1" applyFont="1">
      <alignment horizontal="center" readingOrder="0" vertical="center"/>
    </xf>
    <xf borderId="8" fillId="0" fontId="97" numFmtId="0" xfId="0" applyAlignment="1" applyBorder="1" applyFont="1">
      <alignment horizontal="center" readingOrder="0" vertical="center"/>
    </xf>
    <xf borderId="0" fillId="0" fontId="98" numFmtId="0" xfId="0" applyAlignment="1" applyFont="1">
      <alignment horizontal="center" readingOrder="0"/>
    </xf>
    <xf borderId="0" fillId="0" fontId="98" numFmtId="0" xfId="0" applyAlignment="1" applyFont="1">
      <alignment horizontal="center"/>
    </xf>
    <xf borderId="0" fillId="0" fontId="96" numFmtId="0" xfId="0" applyAlignment="1" applyFont="1">
      <alignment horizontal="center"/>
    </xf>
    <xf borderId="8" fillId="0" fontId="99" numFmtId="0" xfId="0" applyAlignment="1" applyBorder="1" applyFont="1">
      <alignment vertical="bottom"/>
    </xf>
    <xf borderId="8" fillId="0" fontId="99" numFmtId="0" xfId="0" applyAlignment="1" applyBorder="1" applyFont="1">
      <alignment readingOrder="0" shrinkToFit="0" vertical="bottom" wrapText="1"/>
    </xf>
    <xf quotePrefix="1" borderId="8" fillId="0" fontId="99" numFmtId="0" xfId="0" applyAlignment="1" applyBorder="1" applyFont="1">
      <alignment vertical="bottom"/>
    </xf>
    <xf borderId="8" fillId="0" fontId="100" numFmtId="0" xfId="0" applyBorder="1" applyFont="1"/>
    <xf borderId="8" fillId="0" fontId="101" numFmtId="0" xfId="0" applyAlignment="1" applyBorder="1" applyFont="1">
      <alignment shrinkToFit="0" wrapText="0"/>
    </xf>
    <xf borderId="8" fillId="0" fontId="30" numFmtId="0" xfId="0" applyAlignment="1" applyBorder="1" applyFont="1">
      <alignment vertical="bottom"/>
    </xf>
    <xf borderId="0" fillId="0" fontId="30" numFmtId="0" xfId="0" applyAlignment="1" applyFont="1">
      <alignment vertical="bottom"/>
    </xf>
    <xf borderId="8" fillId="0" fontId="99" numFmtId="0" xfId="0" applyAlignment="1" applyBorder="1" applyFont="1">
      <alignment readingOrder="0" vertical="bottom"/>
    </xf>
    <xf quotePrefix="1" borderId="8" fillId="0" fontId="99" numFmtId="0" xfId="0" applyAlignment="1" applyBorder="1" applyFont="1">
      <alignment readingOrder="0" vertical="bottom"/>
    </xf>
    <xf borderId="8" fillId="0" fontId="102" numFmtId="0" xfId="0" applyAlignment="1" applyBorder="1" applyFont="1">
      <alignment vertical="bottom"/>
    </xf>
    <xf borderId="8" fillId="0" fontId="103" numFmtId="0" xfId="0" applyAlignment="1" applyBorder="1" applyFont="1">
      <alignment vertical="bottom"/>
    </xf>
    <xf borderId="8" fillId="0" fontId="99" numFmtId="0" xfId="0" applyAlignment="1" applyBorder="1" applyFont="1">
      <alignment shrinkToFit="0" vertical="bottom" wrapText="1"/>
    </xf>
    <xf borderId="8" fillId="0" fontId="99" numFmtId="0" xfId="0" applyBorder="1" applyFont="1"/>
    <xf borderId="8" fillId="0" fontId="99" numFmtId="0" xfId="0" applyAlignment="1" applyBorder="1" applyFont="1">
      <alignment vertical="bottom"/>
    </xf>
    <xf borderId="8" fillId="0" fontId="99" numFmtId="0" xfId="0" applyAlignment="1" applyBorder="1" applyFont="1">
      <alignment readingOrder="0" vertical="bottom"/>
    </xf>
    <xf borderId="8" fillId="2" fontId="99" numFmtId="0" xfId="0" applyAlignment="1" applyBorder="1" applyFont="1">
      <alignment vertical="bottom"/>
    </xf>
    <xf borderId="0" fillId="2" fontId="104" numFmtId="0" xfId="0" applyAlignment="1" applyFont="1">
      <alignment horizontal="left" readingOrder="0"/>
    </xf>
    <xf borderId="8" fillId="0" fontId="99" numFmtId="0" xfId="0" applyAlignment="1" applyBorder="1" applyFont="1">
      <alignment readingOrder="0" shrinkToFit="0" vertical="bottom" wrapText="0"/>
    </xf>
    <xf borderId="0" fillId="2" fontId="56" numFmtId="0" xfId="0" applyAlignment="1" applyFont="1">
      <alignment readingOrder="0" shrinkToFit="0" wrapText="0"/>
    </xf>
    <xf borderId="8" fillId="2" fontId="99" numFmtId="0" xfId="0" applyAlignment="1" applyBorder="1" applyFont="1">
      <alignment readingOrder="0" vertical="bottom"/>
    </xf>
    <xf quotePrefix="1" borderId="8" fillId="2" fontId="99" numFmtId="0" xfId="0" applyAlignment="1" applyBorder="1" applyFont="1">
      <alignment vertical="bottom"/>
    </xf>
    <xf borderId="8" fillId="2" fontId="105" numFmtId="0" xfId="0" applyAlignment="1" applyBorder="1" applyFont="1">
      <alignment vertical="bottom"/>
    </xf>
    <xf borderId="0" fillId="0" fontId="97" numFmtId="0" xfId="0" applyFont="1"/>
    <xf borderId="8" fillId="0" fontId="32" numFmtId="10" xfId="0" applyAlignment="1" applyBorder="1" applyFont="1" applyNumberFormat="1">
      <alignment horizontal="left" shrinkToFit="0" vertical="top" wrapText="1"/>
    </xf>
    <xf borderId="8" fillId="0" fontId="106" numFmtId="0" xfId="0" applyAlignment="1" applyBorder="1" applyFont="1">
      <alignment horizontal="center" shrinkToFit="0" vertical="top" wrapText="1"/>
    </xf>
    <xf borderId="8" fillId="0" fontId="107" numFmtId="0" xfId="0" applyAlignment="1" applyBorder="1" applyFont="1">
      <alignment horizontal="center" shrinkToFit="0" vertical="top" wrapText="1"/>
    </xf>
    <xf borderId="8" fillId="0" fontId="32" numFmtId="0" xfId="0" applyAlignment="1" applyBorder="1" applyFont="1">
      <alignment horizontal="center" shrinkToFit="0" vertical="top" wrapText="1"/>
    </xf>
    <xf borderId="8" fillId="0" fontId="2" numFmtId="0" xfId="0" applyAlignment="1" applyBorder="1" applyFont="1">
      <alignment horizontal="center" shrinkToFit="0" vertical="top" wrapText="1"/>
    </xf>
    <xf borderId="0" fillId="57" fontId="108" numFmtId="0" xfId="0" applyAlignment="1" applyFill="1" applyFont="1">
      <alignment horizontal="left" shrinkToFit="0" wrapText="0"/>
    </xf>
    <xf borderId="0" fillId="57" fontId="8" numFmtId="0" xfId="0" applyAlignment="1" applyFont="1">
      <alignment shrinkToFit="0" wrapText="1"/>
    </xf>
    <xf borderId="0" fillId="57" fontId="8" numFmtId="0" xfId="0" applyAlignment="1" applyFont="1">
      <alignment horizontal="center" shrinkToFit="0" wrapText="0"/>
    </xf>
    <xf borderId="0" fillId="57" fontId="8" numFmtId="0" xfId="0" applyAlignment="1" applyFont="1">
      <alignment shrinkToFit="0" wrapText="0"/>
    </xf>
    <xf borderId="0" fillId="0" fontId="0" numFmtId="0" xfId="0" applyAlignment="1" applyFont="1">
      <alignment horizontal="left" readingOrder="0" shrinkToFit="0" wrapText="0"/>
    </xf>
    <xf borderId="0" fillId="0" fontId="23" numFmtId="0" xfId="0" applyAlignment="1" applyFont="1">
      <alignment readingOrder="0" shrinkToFit="0" wrapText="1"/>
    </xf>
    <xf borderId="0" fillId="0" fontId="23" numFmtId="0" xfId="0" applyAlignment="1" applyFont="1">
      <alignment horizontal="center" readingOrder="0" shrinkToFit="0" wrapText="1"/>
    </xf>
    <xf borderId="0" fillId="0" fontId="23" numFmtId="0" xfId="0" applyAlignment="1" applyFont="1">
      <alignment readingOrder="0" shrinkToFit="0" wrapText="1"/>
    </xf>
    <xf borderId="0" fillId="0" fontId="23" numFmtId="0" xfId="0" applyAlignment="1" applyFont="1">
      <alignment shrinkToFit="0" wrapText="1"/>
    </xf>
    <xf borderId="0" fillId="0" fontId="0" numFmtId="174" xfId="0" applyAlignment="1" applyFont="1" applyNumberFormat="1">
      <alignment horizontal="left" readingOrder="0" shrinkToFit="0" wrapText="0"/>
    </xf>
    <xf borderId="0" fillId="0" fontId="109" numFmtId="0" xfId="0" applyAlignment="1" applyFont="1">
      <alignment readingOrder="0" shrinkToFit="0" wrapText="1"/>
    </xf>
    <xf borderId="0" fillId="0" fontId="23" numFmtId="175" xfId="0" applyAlignment="1" applyFont="1" applyNumberFormat="1">
      <alignment horizontal="center" readingOrder="0" shrinkToFit="0" wrapText="1"/>
    </xf>
    <xf borderId="0" fillId="0" fontId="23" numFmtId="0" xfId="0" applyAlignment="1" applyFont="1">
      <alignment readingOrder="0" shrinkToFit="0" wrapText="0"/>
    </xf>
    <xf quotePrefix="1" borderId="0" fillId="0" fontId="23" numFmtId="0" xfId="0" applyAlignment="1" applyFont="1">
      <alignment horizontal="center" readingOrder="0" shrinkToFit="0" wrapText="1"/>
    </xf>
    <xf borderId="0" fillId="0" fontId="23" numFmtId="176" xfId="0" applyAlignment="1" applyFont="1" applyNumberFormat="1">
      <alignment horizontal="center" readingOrder="0" shrinkToFit="0" wrapText="1"/>
    </xf>
    <xf borderId="0" fillId="0" fontId="8" numFmtId="174" xfId="0" applyAlignment="1" applyFont="1" applyNumberFormat="1">
      <alignment readingOrder="0"/>
    </xf>
    <xf quotePrefix="1" borderId="0" fillId="0" fontId="8" numFmtId="0" xfId="0" applyAlignment="1" applyFont="1">
      <alignment horizontal="center" readingOrder="0"/>
    </xf>
    <xf borderId="0" fillId="0" fontId="110" numFmtId="0" xfId="0" applyAlignment="1" applyFont="1">
      <alignment readingOrder="0"/>
    </xf>
    <xf borderId="0" fillId="0" fontId="8" numFmtId="0" xfId="0" applyAlignment="1" applyFont="1">
      <alignment horizontal="center" readingOrder="0"/>
    </xf>
    <xf borderId="0" fillId="0" fontId="111" numFmtId="0" xfId="0" applyAlignment="1" applyFont="1">
      <alignment readingOrder="0"/>
    </xf>
    <xf borderId="0" fillId="57" fontId="112" numFmtId="0" xfId="0" applyAlignment="1" applyFont="1">
      <alignment shrinkToFit="0" vertical="bottom" wrapText="0"/>
    </xf>
    <xf borderId="0" fillId="57" fontId="5" numFmtId="0" xfId="0" applyAlignment="1" applyFont="1">
      <alignment vertical="bottom"/>
    </xf>
    <xf borderId="0" fillId="0" fontId="5" numFmtId="0" xfId="0" applyAlignment="1" applyFont="1">
      <alignment vertical="bottom"/>
    </xf>
    <xf borderId="0" fillId="0" fontId="113" numFmtId="0" xfId="0" applyAlignment="1" applyFont="1">
      <alignment shrinkToFit="0" vertical="bottom" wrapText="1"/>
    </xf>
    <xf borderId="0" fillId="0" fontId="5" numFmtId="0" xfId="0" applyAlignment="1" applyFont="1">
      <alignment vertical="bottom"/>
    </xf>
    <xf borderId="0" fillId="0" fontId="5" numFmtId="0" xfId="0" applyAlignment="1" applyFont="1">
      <alignment readingOrder="0" vertical="bottom"/>
    </xf>
    <xf quotePrefix="1" borderId="0" fillId="0" fontId="5" numFmtId="0" xfId="0" applyAlignment="1" applyFont="1">
      <alignment horizontal="center" shrinkToFit="0" vertical="bottom" wrapText="1"/>
    </xf>
    <xf borderId="0" fillId="0" fontId="114" numFmtId="0" xfId="0" applyAlignment="1" applyFont="1">
      <alignment readingOrder="0" shrinkToFit="0" vertical="bottom" wrapText="1"/>
    </xf>
    <xf borderId="0" fillId="0" fontId="5" numFmtId="174" xfId="0" applyAlignment="1" applyFont="1" applyNumberFormat="1">
      <alignment vertical="bottom"/>
    </xf>
    <xf borderId="0" fillId="0" fontId="5" numFmtId="0" xfId="0" applyAlignment="1" applyFont="1">
      <alignment shrinkToFit="0" vertical="bottom" wrapText="0"/>
    </xf>
    <xf borderId="0" fillId="0" fontId="5" numFmtId="0" xfId="0" applyAlignment="1" applyFont="1">
      <alignment shrinkToFit="0" vertical="bottom" wrapText="1"/>
    </xf>
    <xf borderId="0" fillId="0" fontId="115" numFmtId="0" xfId="0" applyAlignment="1" applyFont="1">
      <alignment shrinkToFit="0" vertical="bottom" wrapText="1"/>
    </xf>
    <xf borderId="0" fillId="0" fontId="5" numFmtId="0" xfId="0" applyAlignment="1" applyFont="1">
      <alignment horizontal="center" shrinkToFit="0" vertical="bottom" wrapText="1"/>
    </xf>
    <xf borderId="0" fillId="57" fontId="112" numFmtId="0" xfId="0" applyAlignment="1" applyFont="1">
      <alignment shrinkToFit="0" vertical="bottom" wrapText="0"/>
    </xf>
    <xf borderId="0" fillId="57" fontId="5" numFmtId="0" xfId="0" applyAlignment="1" applyFont="1">
      <alignment vertical="bottom"/>
    </xf>
    <xf borderId="0" fillId="57" fontId="5" numFmtId="176" xfId="0" applyAlignment="1" applyFont="1" applyNumberFormat="1">
      <alignment vertical="bottom"/>
    </xf>
    <xf borderId="0" fillId="0" fontId="5" numFmtId="176" xfId="0" applyAlignment="1" applyFont="1" applyNumberFormat="1">
      <alignment horizontal="center" shrinkToFit="0" vertical="bottom" wrapText="1"/>
    </xf>
    <xf borderId="0" fillId="0" fontId="5" numFmtId="176" xfId="0" applyAlignment="1" applyFont="1" applyNumberFormat="1">
      <alignment horizontal="center" readingOrder="0" shrinkToFit="0" vertical="bottom" wrapText="1"/>
    </xf>
    <xf borderId="0" fillId="57" fontId="112" numFmtId="173" xfId="0" applyAlignment="1" applyFont="1" applyNumberFormat="1">
      <alignment shrinkToFit="0" vertical="bottom" wrapText="0"/>
    </xf>
    <xf borderId="0" fillId="57" fontId="112" numFmtId="0" xfId="0" applyAlignment="1" applyFont="1">
      <alignment vertical="bottom"/>
    </xf>
    <xf borderId="0" fillId="0" fontId="5" numFmtId="173" xfId="0" applyAlignment="1" applyFont="1" applyNumberFormat="1">
      <alignment shrinkToFit="0" vertical="bottom" wrapText="1"/>
    </xf>
    <xf borderId="0" fillId="2" fontId="116" numFmtId="0" xfId="0" applyAlignment="1" applyFont="1">
      <alignment vertical="bottom"/>
    </xf>
    <xf borderId="0" fillId="57" fontId="112" numFmtId="0" xfId="0" applyAlignment="1" applyFont="1">
      <alignment vertical="bottom"/>
    </xf>
    <xf borderId="0" fillId="0" fontId="5" numFmtId="174" xfId="0" applyAlignment="1" applyFont="1" applyNumberFormat="1">
      <alignment readingOrder="0" vertical="bottom"/>
    </xf>
    <xf borderId="0" fillId="0" fontId="8" numFmtId="0" xfId="0" applyAlignment="1" applyFont="1">
      <alignment horizontal="center" shrinkToFit="0" wrapText="1"/>
    </xf>
    <xf borderId="0" fillId="0" fontId="8" numFmtId="0" xfId="0" applyAlignment="1" applyFont="1">
      <alignment horizontal="left"/>
    </xf>
    <xf borderId="0" fillId="2" fontId="117" numFmtId="0" xfId="0" applyAlignment="1" applyFont="1">
      <alignment horizontal="left" readingOrder="0" shrinkToFit="0" vertical="bottom" wrapText="0"/>
    </xf>
    <xf borderId="0" fillId="2" fontId="17" numFmtId="0" xfId="0" applyAlignment="1" applyFont="1">
      <alignment horizontal="left" shrinkToFit="0" vertical="bottom" wrapText="0"/>
    </xf>
    <xf borderId="0" fillId="2" fontId="117" numFmtId="0" xfId="0" applyAlignment="1" applyFont="1">
      <alignment horizontal="center" readingOrder="0" shrinkToFit="0" vertical="bottom" wrapText="0"/>
    </xf>
    <xf borderId="0" fillId="2" fontId="117" numFmtId="0" xfId="0" applyAlignment="1" applyFont="1">
      <alignment horizontal="right" readingOrder="0" shrinkToFit="0" vertical="bottom" wrapText="0"/>
    </xf>
    <xf borderId="0" fillId="0" fontId="38" numFmtId="0" xfId="0" applyAlignment="1" applyFont="1">
      <alignment vertical="bottom"/>
    </xf>
    <xf borderId="0" fillId="0" fontId="38" numFmtId="0" xfId="0" applyAlignment="1" applyFont="1">
      <alignment vertical="bottom"/>
    </xf>
    <xf borderId="0" fillId="0" fontId="38" numFmtId="0" xfId="0" applyAlignment="1" applyFont="1">
      <alignment horizontal="center" readingOrder="0"/>
    </xf>
    <xf borderId="0" fillId="0" fontId="38" numFmtId="0" xfId="0" applyAlignment="1" applyFont="1">
      <alignment horizontal="center"/>
    </xf>
    <xf borderId="0" fillId="29" fontId="5" numFmtId="0" xfId="0" applyAlignment="1" applyFont="1">
      <alignment vertical="bottom"/>
    </xf>
    <xf borderId="0" fillId="29" fontId="5" numFmtId="14" xfId="0" applyAlignment="1" applyFont="1" applyNumberFormat="1">
      <alignment horizontal="center" vertical="bottom"/>
    </xf>
    <xf borderId="0" fillId="29" fontId="5" numFmtId="4" xfId="0" applyAlignment="1" applyFont="1" applyNumberFormat="1">
      <alignment vertical="bottom"/>
    </xf>
    <xf borderId="0" fillId="29" fontId="8" numFmtId="0" xfId="0" applyFont="1"/>
    <xf borderId="0" fillId="29" fontId="5" numFmtId="0" xfId="0" applyFont="1"/>
    <xf borderId="0" fillId="29" fontId="5" numFmtId="0" xfId="0" applyAlignment="1" applyFont="1">
      <alignment horizontal="center"/>
    </xf>
    <xf borderId="0" fillId="29" fontId="8" numFmtId="0" xfId="0" applyFont="1"/>
    <xf borderId="0" fillId="29" fontId="5" numFmtId="0" xfId="0" applyAlignment="1" applyFont="1">
      <alignment readingOrder="0"/>
    </xf>
    <xf borderId="0" fillId="29" fontId="49" numFmtId="0" xfId="0" applyAlignment="1" applyFont="1">
      <alignment horizontal="left" shrinkToFit="0" vertical="bottom" wrapText="0"/>
    </xf>
    <xf borderId="0" fillId="29" fontId="49" numFmtId="0" xfId="0" applyAlignment="1" applyFont="1">
      <alignment horizontal="right" shrinkToFit="0" vertical="bottom" wrapText="0"/>
    </xf>
    <xf borderId="0" fillId="29" fontId="5" numFmtId="0" xfId="0" applyAlignment="1" applyFont="1">
      <alignment shrinkToFit="0" vertical="bottom" wrapText="0"/>
    </xf>
    <xf borderId="0" fillId="29" fontId="5" numFmtId="4" xfId="0" applyAlignment="1" applyFont="1" applyNumberFormat="1">
      <alignment readingOrder="0" vertical="bottom"/>
    </xf>
    <xf borderId="0" fillId="29" fontId="49" numFmtId="177" xfId="0" applyAlignment="1" applyFont="1" applyNumberFormat="1">
      <alignment horizontal="center" readingOrder="0" shrinkToFit="0" vertical="bottom" wrapText="0"/>
    </xf>
    <xf borderId="0" fillId="29" fontId="49" numFmtId="0" xfId="0" applyAlignment="1" applyFont="1">
      <alignment horizontal="right" readingOrder="0" shrinkToFit="0" vertical="bottom" wrapText="0"/>
    </xf>
    <xf borderId="0" fillId="29" fontId="5" numFmtId="14" xfId="0" applyAlignment="1" applyFont="1" applyNumberFormat="1">
      <alignment horizontal="center" readingOrder="0" vertical="bottom"/>
    </xf>
    <xf borderId="0" fillId="29" fontId="5" numFmtId="0" xfId="0" applyAlignment="1" applyFont="1">
      <alignment horizontal="right" vertical="bottom"/>
    </xf>
    <xf borderId="0" fillId="29" fontId="8" numFmtId="10" xfId="0" applyFont="1" applyNumberFormat="1"/>
    <xf borderId="0" fillId="29" fontId="8" numFmtId="0" xfId="0" applyAlignment="1" applyFont="1">
      <alignment readingOrder="0"/>
    </xf>
    <xf borderId="0" fillId="58" fontId="49" numFmtId="0" xfId="0" applyAlignment="1" applyFill="1" applyFont="1">
      <alignment horizontal="left" readingOrder="0" shrinkToFit="0" vertical="bottom" wrapText="0"/>
    </xf>
    <xf borderId="0" fillId="58" fontId="49" numFmtId="177" xfId="0" applyAlignment="1" applyFont="1" applyNumberFormat="1">
      <alignment horizontal="center" readingOrder="0" shrinkToFit="0" vertical="bottom" wrapText="0"/>
    </xf>
    <xf borderId="0" fillId="58" fontId="49" numFmtId="0" xfId="0" applyAlignment="1" applyFont="1">
      <alignment horizontal="right" readingOrder="0" shrinkToFit="0" vertical="bottom" wrapText="0"/>
    </xf>
    <xf borderId="0" fillId="58" fontId="25" numFmtId="0" xfId="0" applyAlignment="1" applyFont="1">
      <alignment horizontal="center" readingOrder="0" shrinkToFit="0" vertical="bottom" wrapText="0"/>
    </xf>
    <xf borderId="0" fillId="58" fontId="8" numFmtId="0" xfId="0" applyAlignment="1" applyFont="1">
      <alignment readingOrder="0"/>
    </xf>
    <xf borderId="0" fillId="58" fontId="8" numFmtId="0" xfId="0" applyFont="1"/>
    <xf borderId="0" fillId="58" fontId="49" numFmtId="178" xfId="0" applyAlignment="1" applyFont="1" applyNumberFormat="1">
      <alignment horizontal="center" readingOrder="0" shrinkToFit="0" vertical="bottom" wrapText="0"/>
    </xf>
    <xf borderId="0" fillId="58" fontId="49" numFmtId="0" xfId="0" applyAlignment="1" applyFont="1">
      <alignment horizontal="left" shrinkToFit="0" vertical="bottom" wrapText="0"/>
    </xf>
    <xf borderId="0" fillId="58" fontId="25" numFmtId="0" xfId="0" applyAlignment="1" applyFont="1">
      <alignment horizontal="center" shrinkToFit="0" vertical="bottom" wrapText="0"/>
    </xf>
    <xf borderId="0" fillId="9" fontId="49" numFmtId="0" xfId="0" applyAlignment="1" applyFont="1">
      <alignment horizontal="left" readingOrder="0" shrinkToFit="0" vertical="bottom" wrapText="0"/>
    </xf>
    <xf borderId="0" fillId="9" fontId="5" numFmtId="0" xfId="0" applyAlignment="1" applyFont="1">
      <alignment readingOrder="0" vertical="bottom"/>
    </xf>
    <xf borderId="0" fillId="9" fontId="49" numFmtId="177" xfId="0" applyAlignment="1" applyFont="1" applyNumberFormat="1">
      <alignment horizontal="center" readingOrder="0" shrinkToFit="0" vertical="bottom" wrapText="0"/>
    </xf>
    <xf borderId="0" fillId="9" fontId="49" numFmtId="0" xfId="0" applyAlignment="1" applyFont="1">
      <alignment horizontal="right" readingOrder="0" shrinkToFit="0" vertical="bottom" wrapText="0"/>
    </xf>
    <xf borderId="0" fillId="9" fontId="49" numFmtId="0" xfId="0" applyAlignment="1" applyFont="1">
      <alignment horizontal="left" shrinkToFit="0" vertical="bottom" wrapText="0"/>
    </xf>
    <xf borderId="0" fillId="9" fontId="25" numFmtId="0" xfId="0" applyAlignment="1" applyFont="1">
      <alignment horizontal="center" readingOrder="0" shrinkToFit="0" vertical="bottom" wrapText="0"/>
    </xf>
    <xf borderId="0" fillId="9" fontId="8" numFmtId="0" xfId="0" applyAlignment="1" applyFont="1">
      <alignment readingOrder="0"/>
    </xf>
    <xf borderId="0" fillId="9" fontId="8" numFmtId="0" xfId="0" applyFont="1"/>
    <xf borderId="0" fillId="9" fontId="49" numFmtId="0" xfId="0" applyAlignment="1" applyFont="1">
      <alignment horizontal="left" readingOrder="0" shrinkToFit="0" vertical="bottom" wrapText="0"/>
    </xf>
    <xf borderId="0" fillId="9" fontId="49" numFmtId="177" xfId="0" applyAlignment="1" applyFont="1" applyNumberFormat="1">
      <alignment horizontal="center" readingOrder="0" shrinkToFit="0" wrapText="1"/>
    </xf>
    <xf borderId="0" fillId="9" fontId="49" numFmtId="0" xfId="0" applyAlignment="1" applyFont="1">
      <alignment horizontal="right" shrinkToFit="0" vertical="bottom" wrapText="0"/>
    </xf>
    <xf borderId="0" fillId="9" fontId="49" numFmtId="177" xfId="0" applyAlignment="1" applyFont="1" applyNumberFormat="1">
      <alignment horizontal="center" readingOrder="0"/>
    </xf>
    <xf borderId="0" fillId="9" fontId="49" numFmtId="178" xfId="0" applyAlignment="1" applyFont="1" applyNumberFormat="1">
      <alignment horizontal="center" readingOrder="0" shrinkToFit="0" vertical="bottom" wrapText="0"/>
    </xf>
    <xf borderId="0" fillId="9" fontId="25" numFmtId="0" xfId="0" applyAlignment="1" applyFont="1">
      <alignment horizontal="center" shrinkToFit="0" vertical="bottom" wrapText="0"/>
    </xf>
    <xf borderId="0" fillId="9" fontId="5" numFmtId="0" xfId="0" applyAlignment="1" applyFont="1">
      <alignment vertical="bottom"/>
    </xf>
    <xf borderId="0" fillId="9" fontId="5" numFmtId="0" xfId="0" applyAlignment="1" applyFont="1">
      <alignment readingOrder="0" vertical="bottom"/>
    </xf>
    <xf borderId="0" fillId="9" fontId="49" numFmtId="0" xfId="0" applyAlignment="1" applyFont="1">
      <alignment horizontal="left" readingOrder="0" shrinkToFit="0" vertical="bottom" wrapText="0"/>
    </xf>
    <xf borderId="0" fillId="59" fontId="49" numFmtId="0" xfId="0" applyAlignment="1" applyFill="1" applyFont="1">
      <alignment horizontal="left" readingOrder="0" shrinkToFit="0" vertical="bottom" wrapText="0"/>
    </xf>
    <xf borderId="0" fillId="59" fontId="49" numFmtId="177" xfId="0" applyAlignment="1" applyFont="1" applyNumberFormat="1">
      <alignment horizontal="center" readingOrder="0" shrinkToFit="0" vertical="bottom" wrapText="0"/>
    </xf>
    <xf borderId="0" fillId="59" fontId="49" numFmtId="0" xfId="0" applyAlignment="1" applyFont="1">
      <alignment horizontal="right" readingOrder="0" shrinkToFit="0" vertical="bottom" wrapText="0"/>
    </xf>
    <xf borderId="0" fillId="59" fontId="5" numFmtId="0" xfId="0" applyFont="1"/>
    <xf borderId="0" fillId="59" fontId="5" numFmtId="0" xfId="0" applyAlignment="1" applyFont="1">
      <alignment readingOrder="0"/>
    </xf>
    <xf borderId="0" fillId="59" fontId="5" numFmtId="0" xfId="0" applyAlignment="1" applyFont="1">
      <alignment horizontal="center"/>
    </xf>
    <xf borderId="0" fillId="59" fontId="8" numFmtId="0" xfId="0" applyFont="1"/>
    <xf borderId="0" fillId="59" fontId="49" numFmtId="0" xfId="0" applyAlignment="1" applyFont="1">
      <alignment horizontal="left" shrinkToFit="0" vertical="bottom" wrapText="0"/>
    </xf>
    <xf borderId="0" fillId="59" fontId="49" numFmtId="178" xfId="0" applyAlignment="1" applyFont="1" applyNumberFormat="1">
      <alignment horizontal="center" readingOrder="0" shrinkToFit="0" vertical="bottom" wrapText="0"/>
    </xf>
    <xf borderId="0" fillId="59" fontId="49" numFmtId="0" xfId="0" applyAlignment="1" applyFont="1">
      <alignment horizontal="right" shrinkToFit="0" vertical="bottom" wrapText="0"/>
    </xf>
    <xf borderId="0" fillId="25" fontId="49" numFmtId="0" xfId="0" applyAlignment="1" applyFont="1">
      <alignment horizontal="left" readingOrder="0" shrinkToFit="0" vertical="bottom" wrapText="0"/>
    </xf>
    <xf borderId="0" fillId="25" fontId="49" numFmtId="177" xfId="0" applyAlignment="1" applyFont="1" applyNumberFormat="1">
      <alignment horizontal="center" readingOrder="0" shrinkToFit="0" vertical="bottom" wrapText="0"/>
    </xf>
    <xf borderId="0" fillId="25" fontId="49" numFmtId="0" xfId="0" applyAlignment="1" applyFont="1">
      <alignment horizontal="right" readingOrder="0" shrinkToFit="0" vertical="bottom" wrapText="0"/>
    </xf>
    <xf borderId="0" fillId="25" fontId="5" numFmtId="0" xfId="0" applyFont="1"/>
    <xf borderId="0" fillId="25" fontId="5" numFmtId="0" xfId="0" applyAlignment="1" applyFont="1">
      <alignment readingOrder="0"/>
    </xf>
    <xf borderId="0" fillId="25" fontId="5" numFmtId="0" xfId="0" applyAlignment="1" applyFont="1">
      <alignment horizontal="center"/>
    </xf>
    <xf borderId="0" fillId="25" fontId="8" numFmtId="0" xfId="0" applyFont="1"/>
    <xf borderId="0" fillId="25" fontId="49" numFmtId="0" xfId="0" applyAlignment="1" applyFont="1">
      <alignment horizontal="left" shrinkToFit="0" vertical="bottom" wrapText="0"/>
    </xf>
    <xf borderId="0" fillId="25" fontId="49" numFmtId="178" xfId="0" applyAlignment="1" applyFont="1" applyNumberFormat="1">
      <alignment horizontal="center" readingOrder="0" shrinkToFit="0" vertical="bottom" wrapText="0"/>
    </xf>
    <xf borderId="0" fillId="25" fontId="49" numFmtId="0" xfId="0" applyAlignment="1" applyFont="1">
      <alignment horizontal="right" shrinkToFit="0" vertical="bottom" wrapText="0"/>
    </xf>
    <xf borderId="0" fillId="25" fontId="49" numFmtId="0" xfId="0" applyAlignment="1" applyFont="1">
      <alignment horizontal="left" shrinkToFit="0" vertical="bottom" wrapText="0"/>
    </xf>
    <xf borderId="0" fillId="25" fontId="6" numFmtId="0" xfId="0" applyAlignment="1" applyFont="1">
      <alignment horizontal="left" readingOrder="0" shrinkToFit="0" vertical="bottom" wrapText="0"/>
    </xf>
    <xf borderId="0" fillId="16" fontId="49" numFmtId="0" xfId="0" applyAlignment="1" applyFont="1">
      <alignment horizontal="left" readingOrder="0" shrinkToFit="0" vertical="bottom" wrapText="0"/>
    </xf>
    <xf borderId="0" fillId="16" fontId="49" numFmtId="177" xfId="0" applyAlignment="1" applyFont="1" applyNumberFormat="1">
      <alignment horizontal="center" readingOrder="0" shrinkToFit="0" vertical="bottom" wrapText="0"/>
    </xf>
    <xf borderId="0" fillId="16" fontId="49" numFmtId="0" xfId="0" applyAlignment="1" applyFont="1">
      <alignment horizontal="right" readingOrder="0" shrinkToFit="0" vertical="bottom" wrapText="0"/>
    </xf>
    <xf borderId="0" fillId="16" fontId="5" numFmtId="0" xfId="0" applyFont="1"/>
    <xf borderId="0" fillId="16" fontId="5" numFmtId="0" xfId="0" applyAlignment="1" applyFont="1">
      <alignment horizontal="center"/>
    </xf>
    <xf borderId="0" fillId="16" fontId="8" numFmtId="0" xfId="0" applyFont="1"/>
    <xf borderId="0" fillId="16" fontId="5" numFmtId="0" xfId="0" applyAlignment="1" applyFont="1">
      <alignment horizontal="center" readingOrder="0"/>
    </xf>
    <xf borderId="0" fillId="16" fontId="49" numFmtId="0" xfId="0" applyAlignment="1" applyFont="1">
      <alignment horizontal="left" shrinkToFit="0" vertical="bottom" wrapText="0"/>
    </xf>
    <xf borderId="0" fillId="16" fontId="5" numFmtId="0" xfId="0" applyAlignment="1" applyFont="1">
      <alignment readingOrder="0"/>
    </xf>
    <xf borderId="0" fillId="16" fontId="8" numFmtId="0" xfId="0" applyAlignment="1" applyFont="1">
      <alignment readingOrder="0"/>
    </xf>
    <xf borderId="0" fillId="16" fontId="49" numFmtId="178" xfId="0" applyAlignment="1" applyFont="1" applyNumberFormat="1">
      <alignment horizontal="center" readingOrder="0" shrinkToFit="0" vertical="bottom" wrapText="0"/>
    </xf>
    <xf borderId="0" fillId="16" fontId="49" numFmtId="0" xfId="0" applyAlignment="1" applyFont="1">
      <alignment horizontal="center" shrinkToFit="0" vertical="bottom" wrapText="0"/>
    </xf>
    <xf borderId="0" fillId="16" fontId="49" numFmtId="0" xfId="0" applyAlignment="1" applyFont="1">
      <alignment horizontal="right" shrinkToFit="0" vertical="bottom" wrapText="0"/>
    </xf>
    <xf borderId="0" fillId="16" fontId="118" numFmtId="0" xfId="0" applyAlignment="1" applyFont="1">
      <alignment horizontal="left" readingOrder="0" shrinkToFit="0" vertical="bottom" wrapText="0"/>
    </xf>
    <xf borderId="0" fillId="16" fontId="49" numFmtId="0" xfId="0" applyAlignment="1" applyFont="1">
      <alignment horizontal="right" shrinkToFit="0" vertical="bottom" wrapText="0"/>
    </xf>
    <xf borderId="0" fillId="39" fontId="49" numFmtId="0" xfId="0" applyAlignment="1" applyFont="1">
      <alignment horizontal="left" readingOrder="0" shrinkToFit="0" vertical="bottom" wrapText="0"/>
    </xf>
    <xf borderId="0" fillId="39" fontId="5" numFmtId="0" xfId="0" applyAlignment="1" applyFont="1">
      <alignment vertical="bottom"/>
    </xf>
    <xf borderId="0" fillId="39" fontId="5" numFmtId="0" xfId="0" applyAlignment="1" applyFont="1">
      <alignment horizontal="center" vertical="bottom"/>
    </xf>
    <xf borderId="0" fillId="39" fontId="5" numFmtId="0" xfId="0" applyAlignment="1" applyFont="1">
      <alignment horizontal="left" vertical="bottom"/>
    </xf>
    <xf borderId="0" fillId="39" fontId="5" numFmtId="0" xfId="0" applyAlignment="1" applyFont="1">
      <alignment vertical="bottom"/>
    </xf>
    <xf borderId="0" fillId="39" fontId="5" numFmtId="0" xfId="0" applyAlignment="1" applyFont="1">
      <alignment horizontal="right" vertical="bottom"/>
    </xf>
    <xf borderId="0" fillId="39" fontId="5" numFmtId="0" xfId="0" applyFont="1"/>
    <xf borderId="0" fillId="39" fontId="5" numFmtId="0" xfId="0" applyAlignment="1" applyFont="1">
      <alignment horizontal="center"/>
    </xf>
    <xf borderId="0" fillId="39" fontId="8" numFmtId="0" xfId="0" applyFont="1"/>
    <xf borderId="0" fillId="39" fontId="5" numFmtId="0" xfId="0" applyAlignment="1" applyFont="1">
      <alignment readingOrder="0"/>
    </xf>
    <xf borderId="0" fillId="39" fontId="5" numFmtId="179" xfId="0" applyAlignment="1" applyFont="1" applyNumberFormat="1">
      <alignment horizontal="center" vertical="bottom"/>
    </xf>
    <xf borderId="0" fillId="39" fontId="5" numFmtId="0" xfId="0" applyAlignment="1" applyFont="1">
      <alignment horizontal="left" readingOrder="0" vertical="bottom"/>
    </xf>
    <xf borderId="0" fillId="39" fontId="5" numFmtId="0" xfId="0" applyAlignment="1" applyFont="1">
      <alignment readingOrder="0" shrinkToFit="0" vertical="bottom" wrapText="1"/>
    </xf>
    <xf borderId="0" fillId="39" fontId="49" numFmtId="0" xfId="0" applyAlignment="1" applyFont="1">
      <alignment horizontal="left" shrinkToFit="0" vertical="bottom" wrapText="0"/>
    </xf>
    <xf borderId="0" fillId="39" fontId="49" numFmtId="0" xfId="0" applyAlignment="1" applyFont="1">
      <alignment horizontal="right" readingOrder="0" shrinkToFit="0" vertical="bottom" wrapText="0"/>
    </xf>
    <xf borderId="0" fillId="39" fontId="5" numFmtId="4" xfId="0" applyAlignment="1" applyFont="1" applyNumberFormat="1">
      <alignment horizontal="right" vertical="bottom"/>
    </xf>
    <xf borderId="0" fillId="39" fontId="5" numFmtId="4" xfId="0" applyAlignment="1" applyFont="1" applyNumberFormat="1">
      <alignment vertical="bottom"/>
    </xf>
    <xf borderId="0" fillId="39" fontId="5" numFmtId="0" xfId="0" applyAlignment="1" applyFont="1">
      <alignment readingOrder="0" vertical="bottom"/>
    </xf>
    <xf borderId="0" fillId="39" fontId="119" numFmtId="0" xfId="0" applyAlignment="1" applyFont="1">
      <alignment vertical="bottom"/>
    </xf>
    <xf borderId="0" fillId="39" fontId="5" numFmtId="0" xfId="0" applyAlignment="1" applyFont="1">
      <alignment horizontal="center" readingOrder="0"/>
    </xf>
    <xf borderId="0" fillId="39" fontId="8" numFmtId="14" xfId="0" applyAlignment="1" applyFont="1" applyNumberFormat="1">
      <alignment horizontal="center"/>
    </xf>
    <xf borderId="0" fillId="39" fontId="5" numFmtId="177" xfId="0" applyAlignment="1" applyFont="1" applyNumberFormat="1">
      <alignment horizontal="center" readingOrder="0" vertical="bottom"/>
    </xf>
    <xf borderId="0" fillId="39" fontId="120" numFmtId="0" xfId="0" applyAlignment="1" applyFont="1">
      <alignment vertical="bottom"/>
    </xf>
    <xf borderId="0" fillId="39" fontId="5" numFmtId="14" xfId="0" applyAlignment="1" applyFont="1" applyNumberFormat="1">
      <alignment vertical="bottom"/>
    </xf>
    <xf borderId="0" fillId="39" fontId="5" numFmtId="0" xfId="0" applyAlignment="1" applyFont="1">
      <alignment horizontal="right" readingOrder="0" vertical="bottom"/>
    </xf>
    <xf borderId="8" fillId="0" fontId="17" numFmtId="0" xfId="0" applyAlignment="1" applyBorder="1" applyFont="1">
      <alignment horizontal="center" readingOrder="0" shrinkToFit="0" vertical="center" wrapText="1"/>
    </xf>
    <xf borderId="8" fillId="0" fontId="38" numFmtId="0" xfId="0" applyAlignment="1" applyBorder="1" applyFont="1">
      <alignment horizontal="center" readingOrder="0" shrinkToFit="0" vertical="center" wrapText="1"/>
    </xf>
    <xf borderId="8" fillId="0" fontId="38" numFmtId="0" xfId="0" applyAlignment="1" applyBorder="1" applyFont="1">
      <alignment horizontal="center" shrinkToFit="0" vertical="center" wrapText="1"/>
    </xf>
    <xf borderId="8" fillId="0" fontId="22" numFmtId="0" xfId="0" applyAlignment="1" applyBorder="1" applyFont="1">
      <alignment horizontal="center" readingOrder="0" shrinkToFit="0" vertical="center" wrapText="1"/>
    </xf>
    <xf borderId="8" fillId="0" fontId="22" numFmtId="0" xfId="0" applyAlignment="1" applyBorder="1" applyFont="1">
      <alignment horizontal="center" shrinkToFit="0" vertical="center" wrapText="1"/>
    </xf>
    <xf borderId="0" fillId="0" fontId="38" numFmtId="0" xfId="0" applyAlignment="1" applyFont="1">
      <alignment horizontal="center" shrinkToFit="0" vertical="center" wrapText="1"/>
    </xf>
    <xf borderId="9" fillId="55" fontId="121" numFmtId="0" xfId="0" applyAlignment="1" applyBorder="1" applyFont="1">
      <alignment horizontal="center" readingOrder="0" shrinkToFit="0" vertical="center" wrapText="1"/>
    </xf>
    <xf borderId="0" fillId="55" fontId="121" numFmtId="0" xfId="0" applyAlignment="1" applyFont="1">
      <alignment horizontal="center" shrinkToFit="0" vertical="center" wrapText="1"/>
    </xf>
    <xf borderId="0" fillId="55" fontId="8" numFmtId="0" xfId="0" applyFont="1"/>
    <xf borderId="8" fillId="55" fontId="17" numFmtId="0" xfId="0" applyAlignment="1" applyBorder="1" applyFont="1">
      <alignment horizontal="center" shrinkToFit="0" vertical="center" wrapText="1"/>
    </xf>
    <xf borderId="8" fillId="55" fontId="5" numFmtId="0" xfId="0" applyAlignment="1" applyBorder="1" applyFont="1">
      <alignment horizontal="center" shrinkToFit="0" vertical="center" wrapText="1"/>
    </xf>
    <xf borderId="9" fillId="55" fontId="15" numFmtId="0" xfId="0" applyAlignment="1" applyBorder="1" applyFont="1">
      <alignment horizontal="center" shrinkToFit="0" vertical="center" wrapText="1"/>
    </xf>
    <xf borderId="0" fillId="55" fontId="5" numFmtId="0" xfId="0" applyAlignment="1" applyFont="1">
      <alignment horizontal="center" shrinkToFit="0" vertical="center" wrapText="1"/>
    </xf>
    <xf borderId="8" fillId="55" fontId="117" numFmtId="0" xfId="0" applyAlignment="1" applyBorder="1" applyFont="1">
      <alignment horizontal="center" shrinkToFit="0" vertical="center" wrapText="1"/>
    </xf>
    <xf borderId="9" fillId="55" fontId="5" numFmtId="0" xfId="0" applyAlignment="1" applyBorder="1" applyFont="1">
      <alignment horizontal="center" shrinkToFit="0" vertical="center" wrapText="1"/>
    </xf>
    <xf borderId="8" fillId="55" fontId="5" numFmtId="0" xfId="0" applyAlignment="1" applyBorder="1" applyFont="1">
      <alignment horizontal="center" readingOrder="0" shrinkToFit="0" vertical="center" wrapText="1"/>
    </xf>
    <xf borderId="9" fillId="39" fontId="121" numFmtId="0" xfId="0" applyAlignment="1" applyBorder="1" applyFont="1">
      <alignment horizontal="center" shrinkToFit="0" vertical="center" wrapText="1"/>
    </xf>
    <xf borderId="0" fillId="39" fontId="121" numFmtId="0" xfId="0" applyAlignment="1" applyFont="1">
      <alignment horizontal="center" shrinkToFit="0" vertical="center" wrapText="1"/>
    </xf>
    <xf borderId="8" fillId="39" fontId="17" numFmtId="0" xfId="0" applyAlignment="1" applyBorder="1" applyFont="1">
      <alignment horizontal="center" shrinkToFit="0" vertical="center" wrapText="1"/>
    </xf>
    <xf borderId="8" fillId="39" fontId="122" numFmtId="0" xfId="0" applyAlignment="1" applyBorder="1" applyFont="1">
      <alignment horizontal="center" shrinkToFit="0" vertical="center" wrapText="1"/>
    </xf>
    <xf borderId="8" fillId="39" fontId="123" numFmtId="0" xfId="0" applyAlignment="1" applyBorder="1" applyFont="1">
      <alignment horizontal="center" shrinkToFit="0" vertical="center" wrapText="1"/>
    </xf>
    <xf borderId="8" fillId="39" fontId="5" numFmtId="0" xfId="0" applyAlignment="1" applyBorder="1" applyFont="1">
      <alignment horizontal="center" shrinkToFit="0" vertical="center" wrapText="1"/>
    </xf>
    <xf borderId="8" fillId="39" fontId="7" numFmtId="0" xfId="0" applyAlignment="1" applyBorder="1" applyFont="1">
      <alignment horizontal="center" shrinkToFit="0" vertical="center" wrapText="1"/>
    </xf>
    <xf borderId="8" fillId="39" fontId="43" numFmtId="0" xfId="0" applyAlignment="1" applyBorder="1" applyFont="1">
      <alignment horizontal="center" shrinkToFit="0" vertical="center" wrapText="1"/>
    </xf>
    <xf borderId="0" fillId="39" fontId="5" numFmtId="0" xfId="0" applyAlignment="1" applyFont="1">
      <alignment horizontal="center" shrinkToFit="0" vertical="center" wrapText="1"/>
    </xf>
    <xf borderId="8" fillId="39" fontId="49" numFmtId="0" xfId="0" applyAlignment="1" applyBorder="1" applyFont="1">
      <alignment horizontal="center" shrinkToFit="0" vertical="center" wrapText="1"/>
    </xf>
    <xf borderId="8" fillId="39" fontId="17" numFmtId="176" xfId="0" applyAlignment="1" applyBorder="1" applyFont="1" applyNumberFormat="1">
      <alignment horizontal="center" readingOrder="0" shrinkToFit="0" vertical="center" wrapText="1"/>
    </xf>
    <xf borderId="23" fillId="39" fontId="7" numFmtId="0" xfId="0" applyAlignment="1" applyBorder="1" applyFont="1">
      <alignment horizontal="center" readingOrder="0"/>
    </xf>
    <xf borderId="8" fillId="39" fontId="17" numFmtId="0" xfId="0" applyAlignment="1" applyBorder="1" applyFont="1">
      <alignment horizontal="center" readingOrder="0" shrinkToFit="0" vertical="center" wrapText="1"/>
    </xf>
    <xf borderId="8" fillId="39" fontId="6" numFmtId="0" xfId="0" applyAlignment="1" applyBorder="1" applyFont="1">
      <alignment horizontal="center" shrinkToFit="0" vertical="center" wrapText="1"/>
    </xf>
    <xf borderId="20" fillId="39" fontId="7" numFmtId="0" xfId="0" applyAlignment="1" applyBorder="1" applyFont="1">
      <alignment horizontal="center" shrinkToFit="0" vertical="center" wrapText="1"/>
    </xf>
    <xf borderId="8" fillId="39" fontId="7" numFmtId="0" xfId="0" applyAlignment="1" applyBorder="1" applyFont="1">
      <alignment horizontal="center" readingOrder="0" shrinkToFit="0" vertical="center" wrapText="1"/>
    </xf>
    <xf borderId="9" fillId="39" fontId="7" numFmtId="0" xfId="0" applyAlignment="1" applyBorder="1" applyFont="1">
      <alignment horizontal="center" shrinkToFit="0" vertical="center" wrapText="1"/>
    </xf>
    <xf borderId="9" fillId="39" fontId="5" numFmtId="0" xfId="0" applyAlignment="1" applyBorder="1" applyFont="1">
      <alignment horizontal="center" shrinkToFit="0" vertical="center" wrapText="1"/>
    </xf>
    <xf borderId="10" fillId="39" fontId="5" numFmtId="0" xfId="0" applyAlignment="1" applyBorder="1" applyFont="1">
      <alignment horizontal="center" shrinkToFit="0" vertical="center" wrapText="1"/>
    </xf>
    <xf borderId="8" fillId="39" fontId="124" numFmtId="0" xfId="0" applyAlignment="1" applyBorder="1" applyFont="1">
      <alignment horizontal="center" shrinkToFit="0" vertical="center" wrapText="1"/>
    </xf>
    <xf borderId="2" fillId="39" fontId="5" numFmtId="0" xfId="0" applyAlignment="1" applyBorder="1" applyFont="1">
      <alignment horizontal="center" shrinkToFit="0" vertical="center" wrapText="1"/>
    </xf>
    <xf borderId="0" fillId="39" fontId="8" numFmtId="0" xfId="0" applyAlignment="1" applyFont="1">
      <alignment horizontal="center" vertical="center"/>
    </xf>
    <xf borderId="8" fillId="39" fontId="125" numFmtId="0" xfId="0" applyAlignment="1" applyBorder="1" applyFont="1">
      <alignment horizontal="center" shrinkToFit="0" vertical="center" wrapText="1"/>
    </xf>
    <xf borderId="0" fillId="39" fontId="125" numFmtId="0" xfId="0" applyAlignment="1" applyFont="1">
      <alignment horizontal="center" shrinkToFit="0" vertical="center" wrapText="1"/>
    </xf>
    <xf borderId="0" fillId="39" fontId="43" numFmtId="0" xfId="0" applyAlignment="1" applyFont="1">
      <alignment horizontal="center" shrinkToFit="0" vertical="center" wrapText="1"/>
    </xf>
    <xf borderId="8" fillId="39" fontId="117" numFmtId="0" xfId="0" applyAlignment="1" applyBorder="1" applyFont="1">
      <alignment horizontal="center" shrinkToFit="0" vertical="center" wrapText="1"/>
    </xf>
    <xf borderId="8" fillId="39" fontId="38" numFmtId="0" xfId="0" applyAlignment="1" applyBorder="1" applyFont="1">
      <alignment horizontal="center" shrinkToFit="0" vertical="center" wrapText="1"/>
    </xf>
    <xf borderId="0" fillId="39" fontId="38" numFmtId="0" xfId="0" applyAlignment="1" applyFont="1">
      <alignment horizontal="center" shrinkToFit="0" vertical="center" wrapText="1"/>
    </xf>
    <xf borderId="8" fillId="39" fontId="126" numFmtId="0" xfId="0" applyAlignment="1" applyBorder="1" applyFont="1">
      <alignment horizontal="center" shrinkToFit="0" vertical="center" wrapText="1"/>
    </xf>
    <xf borderId="0" fillId="39" fontId="126" numFmtId="0" xfId="0" applyAlignment="1" applyFont="1">
      <alignment horizontal="center" shrinkToFit="0" vertical="center" wrapText="1"/>
    </xf>
    <xf borderId="10" fillId="39" fontId="5" numFmtId="0" xfId="0" applyAlignment="1" applyBorder="1" applyFont="1">
      <alignment horizontal="center" vertical="center"/>
    </xf>
    <xf borderId="9" fillId="55" fontId="121" numFmtId="0" xfId="0" applyAlignment="1" applyBorder="1" applyFont="1">
      <alignment horizontal="center" shrinkToFit="0" vertical="center" wrapText="1"/>
    </xf>
    <xf borderId="8" fillId="55" fontId="43" numFmtId="0" xfId="0" applyAlignment="1" applyBorder="1" applyFont="1">
      <alignment horizontal="center" shrinkToFit="0" vertical="center" wrapText="1"/>
    </xf>
    <xf borderId="0" fillId="55" fontId="43" numFmtId="0" xfId="0" applyAlignment="1" applyFont="1">
      <alignment horizontal="center" shrinkToFit="0" vertical="center" wrapText="1"/>
    </xf>
    <xf borderId="9" fillId="55" fontId="43" numFmtId="0" xfId="0" applyAlignment="1" applyBorder="1" applyFont="1">
      <alignment horizontal="center" shrinkToFit="0" vertical="center" wrapText="1"/>
    </xf>
    <xf borderId="8" fillId="55" fontId="49" numFmtId="0" xfId="0" applyAlignment="1" applyBorder="1" applyFont="1">
      <alignment horizontal="center" shrinkToFit="0" vertical="center" wrapText="1"/>
    </xf>
    <xf borderId="8" fillId="55" fontId="8" numFmtId="0" xfId="0" applyAlignment="1" applyBorder="1" applyFont="1">
      <alignment horizontal="center" shrinkToFit="0" vertical="center" wrapText="1"/>
    </xf>
    <xf borderId="8" fillId="55" fontId="38" numFmtId="0" xfId="0" applyAlignment="1" applyBorder="1" applyFont="1">
      <alignment horizontal="center" shrinkToFit="0" vertical="center" wrapText="1"/>
    </xf>
    <xf borderId="0" fillId="55" fontId="38" numFmtId="0" xfId="0" applyAlignment="1" applyFont="1">
      <alignment horizontal="center" shrinkToFit="0" vertical="center" wrapText="1"/>
    </xf>
    <xf borderId="10" fillId="55" fontId="43" numFmtId="0" xfId="0" applyAlignment="1" applyBorder="1" applyFont="1">
      <alignment horizontal="center" shrinkToFit="0" vertical="center" wrapText="1"/>
    </xf>
    <xf borderId="9" fillId="55" fontId="49" numFmtId="0" xfId="0" applyAlignment="1" applyBorder="1" applyFont="1">
      <alignment horizontal="center" shrinkToFit="0" vertical="center" wrapText="1"/>
    </xf>
    <xf borderId="20" fillId="55" fontId="43" numFmtId="0" xfId="0" applyAlignment="1" applyBorder="1" applyFont="1">
      <alignment horizontal="center" shrinkToFit="0" vertical="center" wrapText="1"/>
    </xf>
    <xf borderId="8" fillId="39" fontId="17" numFmtId="176" xfId="0" applyAlignment="1" applyBorder="1" applyFont="1" applyNumberFormat="1">
      <alignment horizontal="center" shrinkToFit="0" vertical="center" wrapText="1"/>
    </xf>
    <xf borderId="8" fillId="39" fontId="94" numFmtId="0" xfId="0" applyAlignment="1" applyBorder="1" applyFont="1">
      <alignment horizontal="center" shrinkToFit="0" vertical="center" wrapText="1"/>
    </xf>
    <xf borderId="8" fillId="39" fontId="8" numFmtId="0" xfId="0" applyAlignment="1" applyBorder="1" applyFont="1">
      <alignment horizontal="center" shrinkToFit="0" vertical="center" wrapText="1"/>
    </xf>
    <xf borderId="0" fillId="39" fontId="8" numFmtId="0" xfId="0" applyAlignment="1" applyFont="1">
      <alignment horizontal="center" shrinkToFit="0" vertical="center" wrapText="1"/>
    </xf>
    <xf borderId="9" fillId="39" fontId="94" numFmtId="0" xfId="0" applyAlignment="1" applyBorder="1" applyFont="1">
      <alignment horizontal="center" shrinkToFit="0" vertical="center" wrapText="1"/>
    </xf>
    <xf borderId="8" fillId="55" fontId="17" numFmtId="176" xfId="0" applyAlignment="1" applyBorder="1" applyFont="1" applyNumberFormat="1">
      <alignment horizontal="center" shrinkToFit="0" vertical="center" wrapText="1"/>
    </xf>
    <xf borderId="10" fillId="55" fontId="5" numFmtId="0" xfId="0" applyAlignment="1" applyBorder="1" applyFont="1">
      <alignment horizontal="center" shrinkToFit="0" vertical="center" wrapText="1"/>
    </xf>
    <xf borderId="8" fillId="55" fontId="31" numFmtId="0" xfId="0" applyAlignment="1" applyBorder="1" applyFont="1">
      <alignment horizontal="center" shrinkToFit="0" vertical="center" wrapText="1"/>
    </xf>
    <xf borderId="9" fillId="55" fontId="31" numFmtId="0" xfId="0" applyAlignment="1" applyBorder="1" applyFont="1">
      <alignment horizontal="center" shrinkToFit="0" vertical="center" wrapText="1"/>
    </xf>
    <xf borderId="0" fillId="55" fontId="31" numFmtId="0" xfId="0" applyAlignment="1" applyFont="1">
      <alignment horizontal="center" shrinkToFit="0" vertical="center" wrapText="1"/>
    </xf>
    <xf borderId="9" fillId="39" fontId="43" numFmtId="0" xfId="0" applyAlignment="1" applyBorder="1" applyFont="1">
      <alignment horizontal="center" shrinkToFit="0" vertical="center" wrapText="1"/>
    </xf>
    <xf borderId="8" fillId="39" fontId="46" numFmtId="0" xfId="0" applyAlignment="1" applyBorder="1" applyFont="1">
      <alignment horizontal="center" shrinkToFit="0" vertical="center" wrapText="1"/>
    </xf>
    <xf borderId="9" fillId="39" fontId="38" numFmtId="0" xfId="0" applyAlignment="1" applyBorder="1" applyFont="1">
      <alignment horizontal="center" shrinkToFit="0" vertical="center" wrapText="1"/>
    </xf>
    <xf borderId="9" fillId="39" fontId="124" numFmtId="0" xfId="0" applyAlignment="1" applyBorder="1" applyFont="1">
      <alignment horizontal="center" shrinkToFit="0" vertical="center" wrapText="1"/>
    </xf>
    <xf borderId="8" fillId="55" fontId="17" numFmtId="167" xfId="0" applyAlignment="1" applyBorder="1" applyFont="1" applyNumberFormat="1">
      <alignment horizontal="center" shrinkToFit="0" vertical="center" wrapText="1"/>
    </xf>
    <xf borderId="20" fillId="55" fontId="5" numFmtId="0" xfId="0" applyAlignment="1" applyBorder="1" applyFont="1">
      <alignment horizontal="center" shrinkToFit="0" vertical="center" wrapText="1"/>
    </xf>
    <xf borderId="8" fillId="55" fontId="17" numFmtId="167" xfId="0" applyAlignment="1" applyBorder="1" applyFont="1" applyNumberFormat="1">
      <alignment horizontal="center" readingOrder="0" shrinkToFit="0" vertical="center" wrapText="1"/>
    </xf>
    <xf borderId="9" fillId="55" fontId="5" numFmtId="0" xfId="0" applyAlignment="1" applyBorder="1" applyFont="1">
      <alignment horizontal="center" readingOrder="0" shrinkToFit="0" vertical="center" wrapText="1"/>
    </xf>
    <xf borderId="10" fillId="55" fontId="5" numFmtId="0" xfId="0" applyAlignment="1" applyBorder="1" applyFont="1">
      <alignment horizontal="center" readingOrder="0" shrinkToFit="0" vertical="center" wrapText="1"/>
    </xf>
    <xf borderId="8" fillId="60" fontId="5" numFmtId="0" xfId="0" applyAlignment="1" applyBorder="1" applyFill="1" applyFont="1">
      <alignment horizontal="center" shrinkToFit="0" vertical="center" wrapText="1"/>
    </xf>
    <xf borderId="9" fillId="60" fontId="5" numFmtId="0" xfId="0" applyAlignment="1" applyBorder="1" applyFont="1">
      <alignment horizontal="center" shrinkToFit="0" vertical="center" wrapText="1"/>
    </xf>
    <xf borderId="9" fillId="39" fontId="5" numFmtId="0" xfId="0" applyAlignment="1" applyBorder="1" applyFont="1">
      <alignment horizontal="center" readingOrder="0" shrinkToFit="0" vertical="center" wrapText="1"/>
    </xf>
    <xf borderId="8" fillId="55" fontId="127" numFmtId="167" xfId="0" applyAlignment="1" applyBorder="1" applyFont="1" applyNumberFormat="1">
      <alignment horizontal="center" readingOrder="0" shrinkToFit="0" vertical="center" wrapText="1"/>
    </xf>
    <xf borderId="8" fillId="55" fontId="128" numFmtId="0" xfId="0" applyAlignment="1" applyBorder="1" applyFont="1">
      <alignment horizontal="center" shrinkToFit="0" vertical="center" wrapText="1"/>
    </xf>
    <xf borderId="8" fillId="55" fontId="128" numFmtId="0" xfId="0" applyAlignment="1" applyBorder="1" applyFont="1">
      <alignment horizontal="center" readingOrder="0" shrinkToFit="0" vertical="center" wrapText="1"/>
    </xf>
    <xf borderId="0" fillId="55" fontId="8" numFmtId="0" xfId="0" applyAlignment="1" applyFont="1">
      <alignment horizontal="center" shrinkToFit="0" vertical="center" wrapText="1"/>
    </xf>
    <xf borderId="8" fillId="55" fontId="127" numFmtId="0" xfId="0" applyAlignment="1" applyBorder="1" applyFont="1">
      <alignment horizontal="center" shrinkToFit="0" vertical="center" wrapText="1"/>
    </xf>
    <xf borderId="9" fillId="55" fontId="128" numFmtId="0" xfId="0" applyAlignment="1" applyBorder="1" applyFont="1">
      <alignment horizontal="center" readingOrder="0" shrinkToFit="0" vertical="center" wrapText="1"/>
    </xf>
    <xf borderId="8" fillId="55" fontId="127" numFmtId="0" xfId="0" applyAlignment="1" applyBorder="1" applyFont="1">
      <alignment horizontal="center" readingOrder="0" shrinkToFit="0" vertical="center" wrapText="1"/>
    </xf>
    <xf borderId="8" fillId="55" fontId="45" numFmtId="0" xfId="0" applyAlignment="1" applyBorder="1" applyFont="1">
      <alignment horizontal="center" shrinkToFit="0" vertical="center" wrapText="1"/>
    </xf>
    <xf borderId="8" fillId="55" fontId="23" numFmtId="0" xfId="0" applyAlignment="1" applyBorder="1" applyFont="1">
      <alignment horizontal="center" shrinkToFit="0" vertical="center" wrapText="1"/>
    </xf>
    <xf borderId="9" fillId="55" fontId="23" numFmtId="0" xfId="0" applyAlignment="1" applyBorder="1" applyFont="1">
      <alignment horizontal="center" readingOrder="0" shrinkToFit="0" vertical="center" wrapText="1"/>
    </xf>
    <xf borderId="0" fillId="55" fontId="2" numFmtId="0" xfId="0" applyAlignment="1" applyFont="1">
      <alignment horizontal="center" shrinkToFit="0" vertical="center" wrapText="1"/>
    </xf>
    <xf borderId="1" fillId="55" fontId="45" numFmtId="0" xfId="0" applyAlignment="1" applyBorder="1" applyFont="1">
      <alignment horizontal="center" shrinkToFit="0" vertical="center" wrapText="1"/>
    </xf>
    <xf borderId="9" fillId="55" fontId="23" numFmtId="0" xfId="0" applyAlignment="1" applyBorder="1" applyFont="1">
      <alignment horizontal="center" shrinkToFit="0" vertical="center" wrapText="1"/>
    </xf>
    <xf borderId="9" fillId="39" fontId="121" numFmtId="0" xfId="0" applyAlignment="1" applyBorder="1" applyFont="1">
      <alignment horizontal="center" readingOrder="0" shrinkToFit="0" vertical="center" wrapText="1"/>
    </xf>
    <xf borderId="1" fillId="39" fontId="15" numFmtId="0" xfId="0" applyAlignment="1" applyBorder="1" applyFont="1">
      <alignment horizontal="center" shrinkToFit="0" vertical="center" wrapText="1"/>
    </xf>
    <xf borderId="45" fillId="39" fontId="15" numFmtId="0" xfId="0" applyAlignment="1" applyBorder="1" applyFont="1">
      <alignment horizontal="center" shrinkToFit="0" vertical="center" wrapText="1"/>
    </xf>
    <xf borderId="2" fillId="39" fontId="15" numFmtId="0" xfId="0" applyAlignment="1" applyBorder="1" applyFont="1">
      <alignment horizontal="center" shrinkToFit="0" vertical="center" wrapText="1"/>
    </xf>
    <xf borderId="51" fillId="39" fontId="15" numFmtId="0" xfId="0" applyAlignment="1" applyBorder="1" applyFont="1">
      <alignment horizontal="center" shrinkToFit="0" vertical="center" wrapText="1"/>
    </xf>
    <xf borderId="8" fillId="39" fontId="15" numFmtId="0" xfId="0" applyAlignment="1" applyBorder="1" applyFont="1">
      <alignment horizontal="center" shrinkToFit="0" vertical="center" wrapText="1"/>
    </xf>
    <xf borderId="51" fillId="39" fontId="117" numFmtId="0" xfId="0" applyAlignment="1" applyBorder="1" applyFont="1">
      <alignment horizontal="center" shrinkToFit="0" vertical="center" wrapText="1"/>
    </xf>
    <xf borderId="51" fillId="39" fontId="38" numFmtId="0" xfId="0" applyAlignment="1" applyBorder="1" applyFont="1">
      <alignment horizontal="center" shrinkToFit="0" vertical="center" wrapText="1"/>
    </xf>
    <xf borderId="8" fillId="39" fontId="31" numFmtId="0" xfId="0" applyAlignment="1" applyBorder="1" applyFont="1">
      <alignment horizontal="center" shrinkToFit="0" vertical="center" wrapText="1"/>
    </xf>
    <xf borderId="9" fillId="39" fontId="38" numFmtId="0" xfId="0" applyAlignment="1" applyBorder="1" applyFont="1">
      <alignment horizontal="center" readingOrder="0" shrinkToFit="0" vertical="center" wrapText="1"/>
    </xf>
    <xf borderId="8" fillId="39" fontId="38" numFmtId="0" xfId="0" applyAlignment="1" applyBorder="1" applyFont="1">
      <alignment horizontal="center" readingOrder="0" shrinkToFit="0" vertical="center" wrapText="1"/>
    </xf>
    <xf borderId="2" fillId="39" fontId="12" numFmtId="0" xfId="0" applyAlignment="1" applyBorder="1" applyFont="1">
      <alignment horizontal="center" shrinkToFit="0" vertical="center" wrapText="1"/>
    </xf>
    <xf borderId="8" fillId="39" fontId="129" numFmtId="0" xfId="0" applyAlignment="1" applyBorder="1" applyFont="1">
      <alignment horizontal="center" shrinkToFit="0" vertical="center" wrapText="1"/>
    </xf>
    <xf borderId="8" fillId="39" fontId="2" numFmtId="0" xfId="0" applyAlignment="1" applyBorder="1" applyFont="1">
      <alignment horizontal="center" shrinkToFit="0" vertical="center" wrapText="1"/>
    </xf>
    <xf borderId="52" fillId="39" fontId="15" numFmtId="0" xfId="0" applyAlignment="1" applyBorder="1" applyFont="1">
      <alignment horizontal="center" shrinkToFit="0" vertical="center" wrapText="1"/>
    </xf>
    <xf borderId="0" fillId="39" fontId="15" numFmtId="0" xfId="0" applyAlignment="1" applyFont="1">
      <alignment horizontal="center" shrinkToFit="0" vertical="center" wrapText="1"/>
    </xf>
    <xf borderId="0" fillId="39" fontId="15" numFmtId="0" xfId="0" applyAlignment="1" applyFont="1">
      <alignment horizontal="center" readingOrder="0" shrinkToFit="0" vertical="center" wrapText="1"/>
    </xf>
    <xf borderId="26" fillId="39" fontId="15" numFmtId="0" xfId="0" applyAlignment="1" applyBorder="1" applyFont="1">
      <alignment horizontal="center" shrinkToFit="0" vertical="center" wrapText="1"/>
    </xf>
    <xf borderId="23" fillId="39" fontId="15" numFmtId="0" xfId="0" applyAlignment="1" applyBorder="1" applyFont="1">
      <alignment horizontal="center" shrinkToFit="0" vertical="center" wrapText="1"/>
    </xf>
    <xf borderId="23" fillId="39" fontId="130" numFmtId="0" xfId="0" applyAlignment="1" applyBorder="1" applyFont="1">
      <alignment horizontal="center" vertical="center"/>
    </xf>
    <xf borderId="27" fillId="39" fontId="130" numFmtId="0" xfId="0" applyAlignment="1" applyBorder="1" applyFont="1">
      <alignment horizontal="center" vertical="center"/>
    </xf>
    <xf borderId="9" fillId="55" fontId="38" numFmtId="0" xfId="0" applyAlignment="1" applyBorder="1" applyFont="1">
      <alignment horizontal="center" shrinkToFit="0" vertical="center" wrapText="1"/>
    </xf>
    <xf borderId="8" fillId="55" fontId="131" numFmtId="0" xfId="0" applyAlignment="1" applyBorder="1" applyFont="1">
      <alignment horizontal="center" shrinkToFit="0" vertical="center" wrapText="1"/>
    </xf>
    <xf borderId="2" fillId="55" fontId="15" numFmtId="0" xfId="0" applyAlignment="1" applyBorder="1" applyFont="1">
      <alignment horizontal="center" shrinkToFit="0" vertical="center" wrapText="1"/>
    </xf>
    <xf borderId="0" fillId="55" fontId="117" numFmtId="0" xfId="0" applyAlignment="1" applyFont="1">
      <alignment horizontal="center" shrinkToFit="0" vertical="center" wrapText="1"/>
    </xf>
    <xf borderId="20" fillId="55" fontId="121" numFmtId="0" xfId="0" applyAlignment="1" applyBorder="1" applyFont="1">
      <alignment horizontal="center" shrinkToFit="0" vertical="center" wrapText="1"/>
    </xf>
    <xf borderId="8" fillId="55" fontId="129" numFmtId="0" xfId="0" applyAlignment="1" applyBorder="1" applyFont="1">
      <alignment horizontal="center" shrinkToFit="0" vertical="center" wrapText="1"/>
    </xf>
    <xf borderId="0" fillId="55" fontId="15" numFmtId="0" xfId="0" applyAlignment="1" applyFont="1">
      <alignment horizontal="center" shrinkToFit="0" vertical="center" wrapText="1"/>
    </xf>
    <xf borderId="8" fillId="55" fontId="2" numFmtId="0" xfId="0" applyAlignment="1" applyBorder="1" applyFont="1">
      <alignment horizontal="center" shrinkToFit="0" vertical="center" wrapText="1"/>
    </xf>
    <xf borderId="2" fillId="55" fontId="117" numFmtId="0" xfId="0" applyAlignment="1" applyBorder="1" applyFont="1">
      <alignment horizontal="center" shrinkToFit="0" vertical="center" wrapText="1"/>
    </xf>
    <xf borderId="8" fillId="55" fontId="121" numFmtId="0" xfId="0" applyAlignment="1" applyBorder="1" applyFont="1">
      <alignment horizontal="center" shrinkToFit="0" vertical="center" wrapText="1"/>
    </xf>
    <xf borderId="9" fillId="3" fontId="121" numFmtId="0" xfId="0" applyAlignment="1" applyBorder="1" applyFont="1">
      <alignment horizontal="center" readingOrder="0" shrinkToFit="0" vertical="center" wrapText="1"/>
    </xf>
    <xf borderId="0" fillId="3" fontId="121" numFmtId="0" xfId="0" applyAlignment="1" applyFont="1">
      <alignment horizontal="center" shrinkToFit="0" vertical="center" wrapText="1"/>
    </xf>
    <xf borderId="0" fillId="3" fontId="8" numFmtId="0" xfId="0" applyFont="1"/>
    <xf borderId="8" fillId="3" fontId="117" numFmtId="0" xfId="0" applyAlignment="1" applyBorder="1" applyFont="1">
      <alignment horizontal="center" readingOrder="0" shrinkToFit="0" vertical="center" wrapText="1"/>
    </xf>
    <xf borderId="8" fillId="3" fontId="42" numFmtId="0" xfId="0" applyAlignment="1" applyBorder="1" applyFont="1">
      <alignment horizontal="center" shrinkToFit="0" vertical="center" wrapText="1"/>
    </xf>
    <xf borderId="9" fillId="3" fontId="15" numFmtId="0" xfId="0" applyAlignment="1" applyBorder="1" applyFont="1">
      <alignment horizontal="center" readingOrder="0" shrinkToFit="0" vertical="center" wrapText="1"/>
    </xf>
    <xf borderId="0" fillId="3" fontId="15" numFmtId="0" xfId="0" applyAlignment="1" applyFont="1">
      <alignment horizontal="center" shrinkToFit="0" vertical="center" wrapText="1"/>
    </xf>
    <xf borderId="9" fillId="2" fontId="132" numFmtId="0" xfId="0" applyAlignment="1" applyBorder="1" applyFont="1">
      <alignment horizontal="center" readingOrder="0" shrinkToFit="0" wrapText="1"/>
    </xf>
    <xf borderId="0" fillId="2" fontId="5" numFmtId="0" xfId="0" applyFont="1"/>
    <xf borderId="51" fillId="2" fontId="38" numFmtId="0" xfId="0" applyAlignment="1" applyBorder="1" applyFont="1">
      <alignment horizontal="center" readingOrder="0"/>
    </xf>
    <xf borderId="27" fillId="2" fontId="5" numFmtId="0" xfId="0" applyBorder="1" applyFont="1"/>
    <xf borderId="27" fillId="17" fontId="38" numFmtId="0" xfId="0" applyAlignment="1" applyBorder="1" applyFont="1">
      <alignment horizontal="center" readingOrder="0" shrinkToFit="0" wrapText="1"/>
    </xf>
    <xf borderId="27" fillId="3" fontId="38" numFmtId="0" xfId="0" applyAlignment="1" applyBorder="1" applyFont="1">
      <alignment horizontal="center" readingOrder="0" shrinkToFit="0" wrapText="1"/>
    </xf>
    <xf borderId="8" fillId="23" fontId="12" numFmtId="0" xfId="0" applyAlignment="1" applyBorder="1" applyFont="1">
      <alignment horizontal="center" readingOrder="0" shrinkToFit="0" vertical="center" wrapText="1"/>
    </xf>
    <xf borderId="27" fillId="12" fontId="38" numFmtId="0" xfId="0" applyAlignment="1" applyBorder="1" applyFont="1">
      <alignment horizontal="center" readingOrder="0" shrinkToFit="0" vertical="center" wrapText="1"/>
    </xf>
    <xf borderId="45" fillId="2" fontId="38" numFmtId="0" xfId="0" applyAlignment="1" applyBorder="1" applyFont="1">
      <alignment horizontal="center" readingOrder="0" vertical="center"/>
    </xf>
    <xf borderId="27" fillId="31" fontId="38" numFmtId="0" xfId="0" applyAlignment="1" applyBorder="1" applyFont="1">
      <alignment horizontal="center" readingOrder="0" shrinkToFit="0" wrapText="1"/>
    </xf>
    <xf borderId="27" fillId="3" fontId="5" numFmtId="0" xfId="0" applyBorder="1" applyFont="1"/>
    <xf borderId="23" fillId="31" fontId="38" numFmtId="0" xfId="0" applyAlignment="1" applyBorder="1" applyFont="1">
      <alignment horizontal="center" readingOrder="0" shrinkToFit="0" wrapText="1"/>
    </xf>
    <xf borderId="0" fillId="3" fontId="5" numFmtId="0" xfId="0" applyFont="1"/>
    <xf borderId="0" fillId="3" fontId="5" numFmtId="0" xfId="0" applyAlignment="1" applyFont="1">
      <alignment vertical="bottom"/>
    </xf>
    <xf borderId="23" fillId="12" fontId="38" numFmtId="0" xfId="0" applyAlignment="1" applyBorder="1" applyFont="1">
      <alignment horizontal="center" readingOrder="0" shrinkToFit="0" wrapText="1"/>
    </xf>
    <xf borderId="23" fillId="30" fontId="38" numFmtId="0" xfId="0" applyAlignment="1" applyBorder="1" applyFont="1">
      <alignment horizontal="center" readingOrder="0" shrinkToFit="0" wrapText="1"/>
    </xf>
    <xf borderId="27" fillId="2" fontId="133" numFmtId="0" xfId="0" applyAlignment="1" applyBorder="1" applyFont="1">
      <alignment horizontal="center" readingOrder="0" shrinkToFit="0" vertical="center" wrapText="1"/>
    </xf>
    <xf borderId="0" fillId="2" fontId="5" numFmtId="0" xfId="0" applyAlignment="1" applyFont="1">
      <alignment horizontal="center" shrinkToFit="0" vertical="center" wrapText="1"/>
    </xf>
    <xf borderId="9" fillId="8" fontId="133" numFmtId="0" xfId="0" applyAlignment="1" applyBorder="1" applyFont="1">
      <alignment horizontal="center" readingOrder="0" shrinkToFit="0" vertical="center" wrapText="1"/>
    </xf>
    <xf borderId="8" fillId="2" fontId="117" numFmtId="0" xfId="0" applyAlignment="1" applyBorder="1" applyFont="1">
      <alignment horizontal="center" readingOrder="0" shrinkToFit="0" vertical="center" wrapText="1"/>
    </xf>
    <xf borderId="8" fillId="2" fontId="5" numFmtId="0" xfId="0" applyAlignment="1" applyBorder="1" applyFont="1">
      <alignment horizontal="center" shrinkToFit="0" vertical="center" wrapText="1"/>
    </xf>
    <xf borderId="8" fillId="32" fontId="12" numFmtId="0" xfId="0" applyAlignment="1" applyBorder="1" applyFont="1">
      <alignment horizontal="center" readingOrder="0" shrinkToFit="0" vertical="center" wrapText="1"/>
    </xf>
    <xf borderId="9" fillId="31" fontId="12" numFmtId="0" xfId="0" applyAlignment="1" applyBorder="1" applyFont="1">
      <alignment horizontal="center" readingOrder="0" shrinkToFit="0" vertical="center" wrapText="1"/>
    </xf>
    <xf borderId="9" fillId="12" fontId="12" numFmtId="0" xfId="0" applyAlignment="1" applyBorder="1" applyFont="1">
      <alignment horizontal="center" readingOrder="0" shrinkToFit="0" vertical="center" wrapText="1"/>
    </xf>
    <xf borderId="1" fillId="2" fontId="117" numFmtId="0" xfId="0" applyAlignment="1" applyBorder="1" applyFont="1">
      <alignment horizontal="center" readingOrder="0" shrinkToFit="0" vertical="center" wrapText="1"/>
    </xf>
    <xf borderId="1" fillId="2" fontId="5" numFmtId="0" xfId="0" applyAlignment="1" applyBorder="1" applyFont="1">
      <alignment horizontal="center" shrinkToFit="0" vertical="center" wrapText="1"/>
    </xf>
    <xf borderId="9" fillId="30" fontId="12" numFmtId="0" xfId="0" applyAlignment="1" applyBorder="1" applyFont="1">
      <alignment horizontal="center" readingOrder="0" shrinkToFit="0" vertical="center" wrapText="1"/>
    </xf>
    <xf borderId="8" fillId="30" fontId="22" numFmtId="0" xfId="0" applyAlignment="1" applyBorder="1" applyFont="1">
      <alignment horizontal="center" readingOrder="0" shrinkToFit="0" vertical="center" wrapText="1"/>
    </xf>
    <xf borderId="8" fillId="30" fontId="38" numFmtId="0" xfId="0" applyAlignment="1" applyBorder="1" applyFont="1">
      <alignment horizontal="center" readingOrder="0" shrinkToFit="0" vertical="center" wrapText="1"/>
    </xf>
    <xf borderId="8" fillId="3" fontId="38" numFmtId="0" xfId="0" applyAlignment="1" applyBorder="1" applyFont="1">
      <alignment horizontal="center" readingOrder="0" shrinkToFit="0" vertical="center" wrapText="1"/>
    </xf>
    <xf borderId="45" fillId="0" fontId="38" numFmtId="0" xfId="0" applyAlignment="1" applyBorder="1" applyFont="1">
      <alignment horizontal="center" readingOrder="0" shrinkToFit="0" vertical="center" wrapText="1"/>
    </xf>
    <xf borderId="8" fillId="17" fontId="38" numFmtId="0" xfId="0" applyAlignment="1" applyBorder="1" applyFont="1">
      <alignment horizontal="center" readingOrder="0" shrinkToFit="0" vertical="center" wrapText="1"/>
    </xf>
    <xf borderId="1" fillId="30" fontId="38" numFmtId="0" xfId="0" applyAlignment="1" applyBorder="1" applyFont="1">
      <alignment horizontal="center" readingOrder="0" shrinkToFit="0" vertical="center" wrapText="1"/>
    </xf>
    <xf borderId="9" fillId="31" fontId="38" numFmtId="0" xfId="0" applyAlignment="1" applyBorder="1" applyFont="1">
      <alignment horizontal="center" readingOrder="0" shrinkToFit="0" vertical="center" wrapText="1"/>
    </xf>
    <xf borderId="8" fillId="12" fontId="38" numFmtId="0" xfId="0" applyAlignment="1" applyBorder="1" applyFont="1">
      <alignment horizontal="center" readingOrder="0" shrinkToFit="0" vertical="center" wrapText="1"/>
    </xf>
    <xf borderId="8" fillId="0" fontId="5" numFmtId="0" xfId="0" applyAlignment="1" applyBorder="1" applyFont="1">
      <alignment horizontal="center" shrinkToFit="0" vertical="center" wrapText="1"/>
    </xf>
    <xf borderId="8" fillId="23" fontId="38" numFmtId="0" xfId="0" applyAlignment="1" applyBorder="1" applyFont="1">
      <alignment horizontal="center" readingOrder="0" shrinkToFit="0" vertical="center" wrapText="1"/>
    </xf>
    <xf borderId="51" fillId="30" fontId="2" numFmtId="0" xfId="0" applyAlignment="1" applyBorder="1" applyFont="1">
      <alignment horizontal="center" readingOrder="0" shrinkToFit="0" vertical="center" wrapText="1"/>
    </xf>
    <xf borderId="8" fillId="4" fontId="38" numFmtId="0" xfId="0" applyAlignment="1" applyBorder="1" applyFont="1">
      <alignment horizontal="center" readingOrder="0" shrinkToFit="0" vertical="center" wrapText="1"/>
    </xf>
    <xf borderId="8" fillId="31" fontId="38" numFmtId="0" xfId="0" applyAlignment="1" applyBorder="1" applyFont="1">
      <alignment horizontal="center" readingOrder="0" shrinkToFit="0" vertical="center" wrapText="1"/>
    </xf>
    <xf borderId="8" fillId="29" fontId="38" numFmtId="0" xfId="0" applyAlignment="1" applyBorder="1" applyFont="1">
      <alignment horizontal="center" readingOrder="0" shrinkToFit="0" vertical="center" wrapText="1"/>
    </xf>
    <xf borderId="9" fillId="32" fontId="38" numFmtId="0" xfId="0" applyAlignment="1" applyBorder="1" applyFont="1">
      <alignment horizontal="center" readingOrder="0" shrinkToFit="0" vertical="center" wrapText="1"/>
    </xf>
    <xf borderId="0" fillId="12" fontId="134" numFmtId="0" xfId="0" applyAlignment="1" applyFont="1">
      <alignment horizontal="center" readingOrder="0" vertical="center"/>
    </xf>
    <xf borderId="0" fillId="33" fontId="96" numFmtId="0" xfId="0" applyAlignment="1" applyFont="1">
      <alignment horizontal="center" readingOrder="0" vertical="center"/>
    </xf>
    <xf borderId="23" fillId="33" fontId="96" numFmtId="0" xfId="0" applyAlignment="1" applyBorder="1" applyFont="1">
      <alignment horizontal="center" readingOrder="0"/>
    </xf>
    <xf borderId="0" fillId="30" fontId="134" numFmtId="0" xfId="0" applyAlignment="1" applyFont="1">
      <alignment horizontal="center" readingOrder="0" vertical="center"/>
    </xf>
    <xf borderId="2" fillId="31" fontId="36" numFmtId="0" xfId="0" applyAlignment="1" applyBorder="1" applyFont="1">
      <alignment horizontal="center" readingOrder="0" shrinkToFit="0" vertical="center" wrapText="1"/>
    </xf>
    <xf borderId="8" fillId="12" fontId="12" numFmtId="0" xfId="0" applyAlignment="1" applyBorder="1" applyFont="1">
      <alignment horizontal="center" readingOrder="0" shrinkToFit="0" vertical="center" wrapText="1"/>
    </xf>
    <xf borderId="8" fillId="33" fontId="5" numFmtId="0" xfId="0" applyAlignment="1" applyBorder="1" applyFont="1">
      <alignment horizontal="center" readingOrder="0" shrinkToFit="0" vertical="center" wrapText="1"/>
    </xf>
    <xf borderId="8" fillId="30" fontId="12" numFmtId="0" xfId="0" applyAlignment="1" applyBorder="1" applyFont="1">
      <alignment horizontal="center" readingOrder="0" shrinkToFit="0" vertical="center" wrapText="1"/>
    </xf>
    <xf borderId="9" fillId="33" fontId="12" numFmtId="0" xfId="0" applyAlignment="1" applyBorder="1" applyFont="1">
      <alignment horizontal="center" readingOrder="0" shrinkToFit="0" vertical="center" wrapText="1"/>
    </xf>
    <xf borderId="8" fillId="2" fontId="12" numFmtId="0" xfId="0" applyAlignment="1" applyBorder="1" applyFont="1">
      <alignment horizontal="center" readingOrder="0" shrinkToFit="0" vertical="center" wrapText="1"/>
    </xf>
    <xf borderId="8" fillId="17" fontId="12" numFmtId="0" xfId="0" applyAlignment="1" applyBorder="1" applyFont="1">
      <alignment horizontal="center" readingOrder="0" shrinkToFit="0" vertical="center" wrapText="1"/>
    </xf>
    <xf borderId="1" fillId="23" fontId="12" numFmtId="0" xfId="0" applyAlignment="1" applyBorder="1" applyFont="1">
      <alignment horizontal="center" readingOrder="0" shrinkToFit="0" vertical="center" wrapText="1"/>
    </xf>
    <xf borderId="9" fillId="12" fontId="22" numFmtId="0" xfId="0" applyAlignment="1" applyBorder="1" applyFont="1">
      <alignment horizontal="center" readingOrder="0" shrinkToFit="0" vertical="center" wrapText="1"/>
    </xf>
    <xf borderId="2" fillId="51" fontId="4" numFmtId="0" xfId="0" applyAlignment="1" applyBorder="1" applyFont="1">
      <alignment horizontal="center" readingOrder="0" shrinkToFit="0" vertical="center" wrapText="1"/>
    </xf>
    <xf borderId="9" fillId="31" fontId="135" numFmtId="0" xfId="0" applyAlignment="1" applyBorder="1" applyFont="1">
      <alignment horizontal="center" readingOrder="0" shrinkToFit="0" vertical="center" wrapText="1"/>
    </xf>
    <xf borderId="8" fillId="30" fontId="117" numFmtId="0" xfId="0" applyAlignment="1" applyBorder="1" applyFont="1">
      <alignment horizontal="center" readingOrder="0" shrinkToFit="0" vertical="center" wrapText="1"/>
    </xf>
    <xf borderId="8" fillId="2" fontId="133" numFmtId="0" xfId="0" applyAlignment="1" applyBorder="1" applyFont="1">
      <alignment horizontal="center" readingOrder="0" shrinkToFit="0" vertical="center" wrapText="1"/>
    </xf>
    <xf borderId="9" fillId="23" fontId="70" numFmtId="0" xfId="0" applyAlignment="1" applyBorder="1" applyFont="1">
      <alignment horizontal="center" readingOrder="0" shrinkToFit="0" vertical="center" wrapText="1"/>
    </xf>
    <xf borderId="8" fillId="2" fontId="38" numFmtId="0" xfId="0" applyAlignment="1" applyBorder="1" applyFont="1">
      <alignment horizontal="center" readingOrder="0" shrinkToFit="0" wrapText="1"/>
    </xf>
    <xf borderId="10" fillId="2" fontId="12" numFmtId="0" xfId="0" applyAlignment="1" applyBorder="1" applyFont="1">
      <alignment horizontal="center" readingOrder="0" shrinkToFit="0" wrapText="1"/>
    </xf>
    <xf borderId="0" fillId="2" fontId="5" numFmtId="0" xfId="0" applyFont="1"/>
    <xf borderId="0" fillId="2" fontId="5" numFmtId="0" xfId="0" applyAlignment="1" applyFont="1">
      <alignment vertical="bottom"/>
    </xf>
    <xf borderId="10" fillId="30" fontId="5" numFmtId="0" xfId="0" applyAlignment="1" applyBorder="1" applyFont="1">
      <alignment horizontal="center" readingOrder="0" shrinkToFit="0" wrapText="1"/>
    </xf>
    <xf borderId="10" fillId="23" fontId="2" numFmtId="0" xfId="0" applyAlignment="1" applyBorder="1" applyFont="1">
      <alignment horizontal="center" readingOrder="0" shrinkToFit="0" wrapText="1"/>
    </xf>
    <xf borderId="6" fillId="23" fontId="12" numFmtId="0" xfId="0" applyAlignment="1" applyBorder="1" applyFont="1">
      <alignment horizontal="center" readingOrder="0" shrinkToFit="0" vertical="center" wrapText="1"/>
    </xf>
    <xf borderId="20" fillId="2" fontId="136" numFmtId="0" xfId="0" applyAlignment="1" applyBorder="1" applyFont="1">
      <alignment horizontal="center" readingOrder="0" shrinkToFit="0" vertical="center" wrapText="1"/>
    </xf>
    <xf borderId="20" fillId="23" fontId="12" numFmtId="0" xfId="0" applyAlignment="1" applyBorder="1" applyFont="1">
      <alignment horizontal="center" readingOrder="0" shrinkToFit="0" wrapText="1"/>
    </xf>
    <xf borderId="6" fillId="32" fontId="12" numFmtId="0" xfId="0" applyAlignment="1" applyBorder="1" applyFont="1">
      <alignment horizontal="center" readingOrder="0" shrinkToFit="0" wrapText="1"/>
    </xf>
    <xf borderId="8" fillId="30" fontId="38" numFmtId="0" xfId="0" applyAlignment="1" applyBorder="1" applyFont="1">
      <alignment horizontal="center" readingOrder="0" shrinkToFit="0" wrapText="1"/>
    </xf>
    <xf borderId="20" fillId="30" fontId="12" numFmtId="0" xfId="0" applyAlignment="1" applyBorder="1" applyFont="1">
      <alignment horizontal="center" readingOrder="0" shrinkToFit="0" wrapText="1"/>
    </xf>
    <xf borderId="8" fillId="2" fontId="45" numFmtId="0" xfId="0" applyAlignment="1" applyBorder="1" applyFont="1">
      <alignment horizontal="center" readingOrder="0" shrinkToFit="0" vertical="center" wrapText="1"/>
    </xf>
    <xf borderId="10" fillId="2" fontId="121" numFmtId="0" xfId="0" applyAlignment="1" applyBorder="1" applyFont="1">
      <alignment horizontal="center" readingOrder="0" shrinkToFit="0" vertical="center" wrapText="1"/>
    </xf>
    <xf borderId="2" fillId="27" fontId="133" numFmtId="0" xfId="0" applyAlignment="1" applyBorder="1" applyFont="1">
      <alignment horizontal="center" readingOrder="0" shrinkToFit="0" vertical="center" wrapText="1"/>
    </xf>
    <xf borderId="1" fillId="23" fontId="127" numFmtId="0" xfId="0" applyAlignment="1" applyBorder="1" applyFont="1">
      <alignment horizontal="center" readingOrder="0" shrinkToFit="0" vertical="center" wrapText="1"/>
    </xf>
    <xf borderId="51" fillId="2" fontId="127" numFmtId="0" xfId="0" applyAlignment="1" applyBorder="1" applyFont="1">
      <alignment horizontal="center" readingOrder="0" shrinkToFit="0" vertical="center" wrapText="1"/>
    </xf>
    <xf borderId="10" fillId="2" fontId="2" numFmtId="0" xfId="0" applyAlignment="1" applyBorder="1" applyFont="1">
      <alignment horizontal="center" readingOrder="0" shrinkToFit="0" wrapText="1"/>
    </xf>
    <xf borderId="8" fillId="23" fontId="127" numFmtId="0" xfId="0" applyAlignment="1" applyBorder="1" applyFont="1">
      <alignment horizontal="center" readingOrder="0" shrinkToFit="0" vertical="center" wrapText="1"/>
    </xf>
    <xf borderId="10" fillId="34" fontId="2" numFmtId="0" xfId="0" applyAlignment="1" applyBorder="1" applyFont="1">
      <alignment horizontal="center" readingOrder="0" shrinkToFit="0" wrapText="1"/>
    </xf>
    <xf borderId="10" fillId="2" fontId="5" numFmtId="0" xfId="0" applyBorder="1" applyFont="1"/>
    <xf borderId="20" fillId="2" fontId="12" numFmtId="0" xfId="0" applyAlignment="1" applyBorder="1" applyFont="1">
      <alignment horizontal="center" readingOrder="0" shrinkToFit="0" wrapText="1"/>
    </xf>
    <xf borderId="20" fillId="32" fontId="12" numFmtId="0" xfId="0" applyAlignment="1" applyBorder="1" applyFont="1">
      <alignment horizontal="center" readingOrder="0" shrinkToFit="0" wrapText="1"/>
    </xf>
    <xf borderId="20" fillId="27" fontId="12" numFmtId="0" xfId="0" applyAlignment="1" applyBorder="1" applyFont="1">
      <alignment horizontal="center" readingOrder="0" shrinkToFit="0" wrapText="1"/>
    </xf>
    <xf borderId="20" fillId="34" fontId="12" numFmtId="0" xfId="0" applyAlignment="1" applyBorder="1" applyFont="1">
      <alignment horizontal="center" readingOrder="0" shrinkToFit="0" wrapText="1"/>
    </xf>
    <xf borderId="10" fillId="34" fontId="12" numFmtId="0" xfId="0" applyAlignment="1" applyBorder="1" applyFont="1">
      <alignment horizontal="center" readingOrder="0" shrinkToFit="0" wrapText="1"/>
    </xf>
    <xf borderId="8" fillId="2" fontId="127" numFmtId="0" xfId="0" applyAlignment="1" applyBorder="1" applyFont="1">
      <alignment horizontal="center" readingOrder="0" shrinkToFit="0" vertical="center" wrapText="1"/>
    </xf>
    <xf borderId="8" fillId="30" fontId="127" numFmtId="0" xfId="0" applyAlignment="1" applyBorder="1" applyFont="1">
      <alignment horizontal="center" readingOrder="0" shrinkToFit="0" vertical="center" wrapText="1"/>
    </xf>
    <xf borderId="8" fillId="31" fontId="127" numFmtId="0" xfId="0" applyAlignment="1" applyBorder="1" applyFont="1">
      <alignment horizontal="center" readingOrder="0" shrinkToFit="0" vertical="center" wrapText="1"/>
    </xf>
    <xf borderId="9" fillId="14" fontId="127" numFmtId="0" xfId="0" applyAlignment="1" applyBorder="1" applyFont="1">
      <alignment horizontal="center" readingOrder="0" shrinkToFit="0" vertical="center" wrapText="1"/>
    </xf>
    <xf borderId="9" fillId="27" fontId="127" numFmtId="0" xfId="0" applyAlignment="1" applyBorder="1" applyFont="1">
      <alignment horizontal="center" readingOrder="0" shrinkToFit="0" vertical="center" wrapText="1"/>
    </xf>
    <xf borderId="8" fillId="14" fontId="127" numFmtId="0" xfId="0" applyAlignment="1" applyBorder="1" applyFont="1">
      <alignment horizontal="center" readingOrder="0" shrinkToFit="0" vertical="center" wrapText="1"/>
    </xf>
    <xf borderId="9" fillId="59" fontId="127" numFmtId="0" xfId="0" applyAlignment="1" applyBorder="1" applyFont="1">
      <alignment horizontal="center" readingOrder="0" shrinkToFit="0" vertical="center" wrapText="1"/>
    </xf>
    <xf borderId="8" fillId="46" fontId="117" numFmtId="0" xfId="0" applyAlignment="1" applyBorder="1" applyFont="1">
      <alignment horizontal="center" readingOrder="0" shrinkToFit="0" vertical="center" wrapText="1"/>
    </xf>
    <xf borderId="9" fillId="46" fontId="12" numFmtId="0" xfId="0" applyAlignment="1" applyBorder="1" applyFont="1">
      <alignment horizontal="center" readingOrder="0" shrinkToFit="0" vertical="center" wrapText="1"/>
    </xf>
    <xf borderId="8" fillId="46" fontId="15" numFmtId="0" xfId="0" applyAlignment="1" applyBorder="1" applyFont="1">
      <alignment horizontal="center" shrinkToFit="0" vertical="center" wrapText="1"/>
    </xf>
    <xf borderId="8" fillId="23" fontId="117" numFmtId="0" xfId="0" applyAlignment="1" applyBorder="1" applyFont="1">
      <alignment horizontal="center" readingOrder="0" shrinkToFit="0" vertical="center" wrapText="1"/>
    </xf>
    <xf borderId="8" fillId="23" fontId="133" numFmtId="0" xfId="0" applyAlignment="1" applyBorder="1" applyFont="1">
      <alignment horizontal="center" readingOrder="0" shrinkToFit="0" vertical="center" wrapText="1"/>
    </xf>
    <xf borderId="9" fillId="30" fontId="137" numFmtId="0" xfId="0" applyAlignment="1" applyBorder="1" applyFont="1">
      <alignment horizontal="center" readingOrder="0" shrinkToFit="0" vertical="center" wrapText="1"/>
    </xf>
    <xf borderId="8" fillId="30" fontId="133" numFmtId="0" xfId="0" applyAlignment="1" applyBorder="1" applyFont="1">
      <alignment horizontal="center" readingOrder="0" shrinkToFit="0" vertical="center" wrapText="1"/>
    </xf>
    <xf borderId="8" fillId="30" fontId="5" numFmtId="0" xfId="0" applyAlignment="1" applyBorder="1" applyFont="1">
      <alignment horizontal="center" shrinkToFit="0" vertical="center" wrapText="1"/>
    </xf>
    <xf borderId="8" fillId="37" fontId="138" numFmtId="0" xfId="0" applyAlignment="1" applyBorder="1" applyFont="1">
      <alignment horizontal="center" readingOrder="0" shrinkToFit="0" vertical="center" wrapText="1"/>
    </xf>
    <xf borderId="9" fillId="2" fontId="77" numFmtId="0" xfId="0" applyAlignment="1" applyBorder="1" applyFont="1">
      <alignment horizontal="center" readingOrder="0" shrinkToFit="0" vertical="center" wrapText="1"/>
    </xf>
    <xf borderId="9" fillId="34" fontId="77" numFmtId="0" xfId="0" applyAlignment="1" applyBorder="1" applyFont="1">
      <alignment horizontal="center" readingOrder="0" shrinkToFit="0" vertical="center" wrapText="1"/>
    </xf>
    <xf borderId="8" fillId="2" fontId="5" numFmtId="0" xfId="0" applyAlignment="1" applyBorder="1" applyFont="1">
      <alignment horizontal="center" readingOrder="0" shrinkToFit="0" vertical="center" wrapText="1"/>
    </xf>
    <xf borderId="8" fillId="2" fontId="117" numFmtId="0" xfId="0" applyAlignment="1" applyBorder="1" applyFont="1">
      <alignment horizontal="center" shrinkToFit="0" vertical="center" wrapText="1"/>
    </xf>
    <xf borderId="8" fillId="0" fontId="117" numFmtId="0" xfId="0" applyAlignment="1" applyBorder="1" applyFont="1">
      <alignment horizontal="center" shrinkToFit="0" vertical="center" wrapText="1"/>
    </xf>
    <xf borderId="0" fillId="0" fontId="5" numFmtId="0" xfId="0" applyAlignment="1" applyFont="1">
      <alignment horizontal="center" shrinkToFit="0" vertical="center" wrapText="1"/>
    </xf>
    <xf borderId="0" fillId="0" fontId="32" numFmtId="0" xfId="0" applyAlignment="1" applyFont="1">
      <alignment horizontal="center"/>
    </xf>
    <xf borderId="0" fillId="0" fontId="32" numFmtId="0" xfId="0" applyAlignment="1" applyFont="1">
      <alignment horizontal="center"/>
    </xf>
    <xf borderId="0" fillId="0" fontId="32" numFmtId="0" xfId="0" applyAlignment="1" applyFont="1">
      <alignment horizontal="center" shrinkToFit="0" wrapText="0"/>
    </xf>
    <xf borderId="0" fillId="0" fontId="8" numFmtId="0" xfId="0" applyFont="1"/>
    <xf borderId="0" fillId="0" fontId="139" numFmtId="0" xfId="0" applyAlignment="1" applyFont="1">
      <alignment readingOrder="0" shrinkToFit="0" wrapText="0"/>
    </xf>
    <xf borderId="0" fillId="0" fontId="8" numFmtId="2" xfId="0" applyFont="1" applyNumberFormat="1"/>
    <xf borderId="0" fillId="0" fontId="140" numFmtId="0" xfId="0" applyFont="1"/>
    <xf borderId="0" fillId="55" fontId="8" numFmtId="0" xfId="0" applyAlignment="1" applyFont="1">
      <alignment readingOrder="0"/>
    </xf>
    <xf borderId="0" fillId="50" fontId="8" numFmtId="0" xfId="0" applyAlignment="1" applyFont="1">
      <alignment readingOrder="0"/>
    </xf>
    <xf borderId="0" fillId="50" fontId="141" numFmtId="0" xfId="0" applyAlignment="1" applyFont="1">
      <alignment shrinkToFit="0" wrapText="0"/>
    </xf>
    <xf borderId="0" fillId="0" fontId="142" numFmtId="0" xfId="0" applyFont="1"/>
    <xf borderId="0" fillId="61" fontId="8" numFmtId="0" xfId="0" applyFill="1" applyFont="1"/>
    <xf borderId="0" fillId="61" fontId="143" numFmtId="0" xfId="0" applyFont="1"/>
    <xf borderId="0" fillId="2" fontId="8" numFmtId="0" xfId="0" applyFont="1"/>
    <xf borderId="0" fillId="36" fontId="8" numFmtId="0" xfId="0" applyAlignment="1" applyFont="1">
      <alignment readingOrder="0"/>
    </xf>
    <xf borderId="0" fillId="36" fontId="144" numFmtId="0" xfId="0" applyAlignment="1" applyFont="1">
      <alignment readingOrder="0" shrinkToFit="0" wrapText="0"/>
    </xf>
    <xf borderId="0" fillId="0" fontId="145" numFmtId="0" xfId="0" applyAlignment="1" applyFont="1">
      <alignment shrinkToFit="0" wrapText="0"/>
    </xf>
    <xf borderId="0" fillId="0" fontId="146" numFmtId="0" xfId="0" applyAlignment="1" applyFont="1">
      <alignment shrinkToFit="0" wrapText="0"/>
    </xf>
    <xf borderId="0" fillId="0" fontId="52" numFmtId="0" xfId="0" applyFont="1"/>
    <xf borderId="0" fillId="0" fontId="52" numFmtId="0" xfId="0" applyAlignment="1" applyFont="1">
      <alignment readingOrder="0" shrinkToFit="0" wrapText="1"/>
    </xf>
    <xf borderId="0" fillId="0" fontId="147" numFmtId="0" xfId="0" applyAlignment="1" applyFont="1">
      <alignment shrinkToFit="0" wrapText="0"/>
    </xf>
    <xf borderId="0" fillId="0" fontId="52" numFmtId="0" xfId="0" applyFont="1"/>
    <xf borderId="0" fillId="0" fontId="148" numFmtId="0" xfId="0" applyAlignment="1" applyFont="1">
      <alignment readingOrder="0" shrinkToFit="0" wrapText="0"/>
    </xf>
    <xf borderId="0" fillId="0" fontId="149" numFmtId="0" xfId="0" applyAlignment="1" applyFont="1">
      <alignment shrinkToFit="0" wrapText="0"/>
    </xf>
    <xf borderId="0" fillId="0" fontId="150" numFmtId="0" xfId="0" applyAlignment="1" applyFont="1">
      <alignment readingOrder="0" shrinkToFit="0" wrapText="0"/>
    </xf>
    <xf borderId="0" fillId="39" fontId="8" numFmtId="0" xfId="0" applyAlignment="1" applyFont="1">
      <alignment readingOrder="0"/>
    </xf>
    <xf borderId="0" fillId="0" fontId="151" numFmtId="0" xfId="0" applyAlignment="1" applyFont="1">
      <alignment readingOrder="0"/>
    </xf>
    <xf borderId="0" fillId="2" fontId="152" numFmtId="0" xfId="0" applyAlignment="1" applyFont="1">
      <alignment horizontal="left" readingOrder="0"/>
    </xf>
    <xf borderId="0" fillId="0" fontId="153" numFmtId="0" xfId="0" applyAlignment="1" applyFont="1">
      <alignment readingOrder="0"/>
    </xf>
    <xf borderId="0" fillId="0" fontId="154" numFmtId="0" xfId="0" applyAlignment="1" applyFont="1">
      <alignment readingOrder="0"/>
    </xf>
    <xf borderId="2" fillId="22" fontId="60" numFmtId="0" xfId="0" applyAlignment="1" applyBorder="1" applyFont="1">
      <alignment horizontal="center" readingOrder="0" shrinkToFit="0" vertical="center" wrapText="1"/>
    </xf>
    <xf borderId="11" fillId="62" fontId="4" numFmtId="169" xfId="0" applyAlignment="1" applyBorder="1" applyFill="1" applyFont="1" applyNumberFormat="1">
      <alignment horizontal="center" readingOrder="0" shrinkToFit="0" textRotation="90" vertical="center" wrapText="1"/>
    </xf>
    <xf borderId="16" fillId="62" fontId="1" numFmtId="0" xfId="0" applyAlignment="1" applyBorder="1" applyFont="1">
      <alignment horizontal="center" shrinkToFit="0" wrapText="1"/>
    </xf>
    <xf borderId="12" fillId="62" fontId="5" numFmtId="20" xfId="0" applyAlignment="1" applyBorder="1" applyFont="1" applyNumberFormat="1">
      <alignment horizontal="center" shrinkToFit="0" vertical="bottom" wrapText="1"/>
    </xf>
    <xf borderId="13" fillId="22" fontId="4" numFmtId="0" xfId="0" applyAlignment="1" applyBorder="1" applyFont="1">
      <alignment horizontal="center" readingOrder="0" shrinkToFit="0" vertical="center" wrapText="1"/>
    </xf>
    <xf borderId="10" fillId="62" fontId="1" numFmtId="0" xfId="0" applyAlignment="1" applyBorder="1" applyFont="1">
      <alignment horizontal="center" shrinkToFit="0" vertical="center" wrapText="1"/>
    </xf>
    <xf borderId="12" fillId="62" fontId="6" numFmtId="20" xfId="0" applyAlignment="1" applyBorder="1" applyFont="1" applyNumberFormat="1">
      <alignment horizontal="center" shrinkToFit="0" vertical="bottom" wrapText="1"/>
    </xf>
    <xf borderId="8" fillId="62" fontId="2" numFmtId="0" xfId="0" applyAlignment="1" applyBorder="1" applyFont="1">
      <alignment vertical="center"/>
    </xf>
    <xf borderId="8" fillId="62" fontId="1" numFmtId="0" xfId="0" applyAlignment="1" applyBorder="1" applyFont="1">
      <alignment vertical="center"/>
    </xf>
    <xf borderId="8" fillId="62" fontId="1" numFmtId="0" xfId="0" applyAlignment="1" applyBorder="1" applyFont="1">
      <alignment horizontal="center" shrinkToFit="0" vertical="center" wrapText="1"/>
    </xf>
    <xf borderId="0" fillId="62" fontId="1" numFmtId="0" xfId="0" applyAlignment="1" applyFont="1">
      <alignment vertical="center"/>
    </xf>
    <xf borderId="17" fillId="62" fontId="4" numFmtId="169" xfId="0" applyAlignment="1" applyBorder="1" applyFont="1" applyNumberFormat="1">
      <alignment horizontal="center" readingOrder="0" shrinkToFit="0" textRotation="90" vertical="center" wrapText="1"/>
    </xf>
    <xf borderId="10" fillId="62" fontId="1" numFmtId="0" xfId="0" applyAlignment="1" applyBorder="1" applyFont="1">
      <alignment horizontal="center" shrinkToFit="0" wrapText="1"/>
    </xf>
    <xf borderId="8" fillId="62" fontId="5" numFmtId="20" xfId="0" applyAlignment="1" applyBorder="1" applyFont="1" applyNumberFormat="1">
      <alignment horizontal="center" shrinkToFit="0" vertical="bottom" wrapText="1"/>
    </xf>
    <xf borderId="21" fillId="62" fontId="8" numFmtId="0" xfId="0" applyAlignment="1" applyBorder="1" applyFont="1">
      <alignment horizontal="center" readingOrder="0" vertical="center"/>
    </xf>
    <xf borderId="18" fillId="62" fontId="1" numFmtId="0" xfId="0" applyAlignment="1" applyBorder="1" applyFont="1">
      <alignment horizontal="center" readingOrder="0" shrinkToFit="0" vertical="center" wrapText="1"/>
    </xf>
    <xf borderId="9" fillId="62" fontId="8" numFmtId="0" xfId="0" applyAlignment="1" applyBorder="1" applyFont="1">
      <alignment horizontal="center" readingOrder="0" vertical="center"/>
    </xf>
    <xf borderId="20" fillId="62" fontId="1" numFmtId="0" xfId="0" applyAlignment="1" applyBorder="1" applyFont="1">
      <alignment horizontal="center" readingOrder="0" shrinkToFit="0" vertical="center" wrapText="1"/>
    </xf>
    <xf borderId="9" fillId="62" fontId="1" numFmtId="0" xfId="0" applyAlignment="1" applyBorder="1" applyFont="1">
      <alignment horizontal="center" readingOrder="0" shrinkToFit="0" vertical="center" wrapText="1"/>
    </xf>
    <xf borderId="21" fillId="62" fontId="1" numFmtId="0" xfId="0" applyAlignment="1" applyBorder="1" applyFont="1">
      <alignment horizontal="center" readingOrder="0" shrinkToFit="0" vertical="center" wrapText="1"/>
    </xf>
    <xf borderId="9" fillId="62" fontId="13" numFmtId="0" xfId="0" applyAlignment="1" applyBorder="1" applyFont="1">
      <alignment horizontal="center" readingOrder="0" shrinkToFit="0" vertical="center" wrapText="1"/>
    </xf>
    <xf borderId="20" fillId="62" fontId="7" numFmtId="0" xfId="0" applyAlignment="1" applyBorder="1" applyFont="1">
      <alignment horizontal="center" readingOrder="0" vertical="center"/>
    </xf>
    <xf borderId="8" fillId="62" fontId="6" numFmtId="20" xfId="0" applyAlignment="1" applyBorder="1" applyFont="1" applyNumberFormat="1">
      <alignment horizontal="center" shrinkToFit="0" vertical="bottom" wrapText="1"/>
    </xf>
    <xf borderId="9" fillId="62" fontId="8" numFmtId="0" xfId="0" applyAlignment="1" applyBorder="1" applyFont="1">
      <alignment horizontal="center" readingOrder="0" shrinkToFit="0" vertical="center" wrapText="1"/>
    </xf>
    <xf borderId="8" fillId="62" fontId="13" numFmtId="0" xfId="0" applyAlignment="1" applyBorder="1" applyFont="1">
      <alignment horizontal="center" readingOrder="0" shrinkToFit="0" vertical="center" wrapText="1"/>
    </xf>
    <xf borderId="20" fillId="62" fontId="1" numFmtId="0" xfId="0" applyAlignment="1" applyBorder="1" applyFont="1">
      <alignment horizontal="center" readingOrder="0" vertical="center"/>
    </xf>
    <xf borderId="8" fillId="62" fontId="2" numFmtId="0" xfId="0" applyAlignment="1" applyBorder="1" applyFont="1">
      <alignment horizontal="center" readingOrder="0" shrinkToFit="0" vertical="center" wrapText="1"/>
    </xf>
    <xf borderId="8" fillId="62" fontId="1" numFmtId="20" xfId="0" applyAlignment="1" applyBorder="1" applyFont="1" applyNumberFormat="1">
      <alignment horizontal="center" shrinkToFit="0" vertical="center" wrapText="1"/>
    </xf>
    <xf borderId="19" fillId="62" fontId="1" numFmtId="0" xfId="0" applyAlignment="1" applyBorder="1" applyFont="1">
      <alignment horizontal="center" readingOrder="0" shrinkToFit="0" vertical="center" wrapText="1"/>
    </xf>
    <xf borderId="20" fillId="62" fontId="8" numFmtId="0" xfId="0" applyAlignment="1" applyBorder="1" applyFont="1">
      <alignment horizontal="center" readingOrder="0" vertical="center"/>
    </xf>
    <xf borderId="9" fillId="62" fontId="16" numFmtId="0" xfId="0" applyAlignment="1" applyBorder="1" applyFont="1">
      <alignment horizontal="center" readingOrder="0" vertical="center"/>
    </xf>
    <xf borderId="8" fillId="62" fontId="1" numFmtId="0" xfId="0" applyAlignment="1" applyBorder="1" applyFont="1">
      <alignment horizontal="center" readingOrder="0" shrinkToFit="0" vertical="center" wrapText="1"/>
    </xf>
    <xf borderId="8" fillId="62" fontId="5" numFmtId="166" xfId="0" applyAlignment="1" applyBorder="1" applyFont="1" applyNumberFormat="1">
      <alignment horizontal="center" shrinkToFit="0" vertical="bottom" wrapText="1"/>
    </xf>
    <xf borderId="6" fillId="62" fontId="1" numFmtId="0" xfId="0" applyAlignment="1" applyBorder="1" applyFont="1">
      <alignment horizontal="center" readingOrder="0" shrinkToFit="0" vertical="center" wrapText="1"/>
    </xf>
    <xf borderId="8" fillId="62" fontId="6" numFmtId="166" xfId="0" applyAlignment="1" applyBorder="1" applyFont="1" applyNumberFormat="1">
      <alignment horizontal="center" shrinkToFit="0" vertical="bottom" wrapText="1"/>
    </xf>
    <xf borderId="8" fillId="62" fontId="5" numFmtId="0" xfId="0" applyAlignment="1" applyBorder="1" applyFont="1">
      <alignment horizontal="center" readingOrder="0" vertical="bottom"/>
    </xf>
    <xf borderId="8" fillId="62" fontId="5" numFmtId="0" xfId="0" applyAlignment="1" applyBorder="1" applyFont="1">
      <alignment horizontal="center" readingOrder="0" shrinkToFit="0" vertical="bottom" wrapText="1"/>
    </xf>
    <xf borderId="9" fillId="62" fontId="1" numFmtId="0" xfId="0" applyAlignment="1" applyBorder="1" applyFont="1">
      <alignment horizontal="center" readingOrder="0" vertical="center"/>
    </xf>
    <xf borderId="18" fillId="62" fontId="13" numFmtId="0" xfId="0" applyAlignment="1" applyBorder="1" applyFont="1">
      <alignment horizontal="center" readingOrder="0" shrinkToFit="0" vertical="center" wrapText="1"/>
    </xf>
    <xf borderId="1" fillId="62" fontId="13" numFmtId="0" xfId="0" applyAlignment="1" applyBorder="1" applyFont="1">
      <alignment horizontal="center" readingOrder="0" shrinkToFit="0" vertical="center" wrapText="1"/>
    </xf>
    <xf borderId="8" fillId="62" fontId="6" numFmtId="0" xfId="0" applyAlignment="1" applyBorder="1" applyFont="1">
      <alignment horizontal="center" readingOrder="0" vertical="bottom"/>
    </xf>
    <xf borderId="8" fillId="62" fontId="6" numFmtId="0" xfId="0" applyAlignment="1" applyBorder="1" applyFont="1">
      <alignment horizontal="center" readingOrder="0" shrinkToFit="0" vertical="bottom" wrapText="1"/>
    </xf>
    <xf borderId="21" fillId="62" fontId="7" numFmtId="0" xfId="0" applyAlignment="1" applyBorder="1" applyFont="1">
      <alignment horizontal="center" readingOrder="0" vertical="center"/>
    </xf>
    <xf borderId="7" fillId="62" fontId="1" numFmtId="0" xfId="0" applyAlignment="1" applyBorder="1" applyFont="1">
      <alignment horizontal="center" readingOrder="0" shrinkToFit="0" vertical="center" wrapText="1"/>
    </xf>
    <xf borderId="20" fillId="62" fontId="13" numFmtId="0" xfId="0" applyAlignment="1" applyBorder="1" applyFont="1">
      <alignment horizontal="center" readingOrder="0" shrinkToFit="0" vertical="center" wrapText="1"/>
    </xf>
    <xf borderId="8" fillId="62" fontId="8" numFmtId="0" xfId="0" applyAlignment="1" applyBorder="1" applyFont="1">
      <alignment horizontal="center" vertical="center"/>
    </xf>
    <xf borderId="8" fillId="62" fontId="7" numFmtId="0" xfId="0" applyAlignment="1" applyBorder="1" applyFont="1">
      <alignment horizontal="center" readingOrder="0" shrinkToFit="0" vertical="center" wrapText="1"/>
    </xf>
    <xf borderId="8" fillId="62" fontId="2" numFmtId="0" xfId="0" applyAlignment="1" applyBorder="1" applyFont="1">
      <alignment horizontal="center" shrinkToFit="0" vertical="center" wrapText="1"/>
    </xf>
    <xf borderId="8" fillId="62" fontId="1" numFmtId="167" xfId="0" applyAlignment="1" applyBorder="1" applyFont="1" applyNumberFormat="1">
      <alignment horizontal="center" readingOrder="0" shrinkToFit="0" vertical="center" wrapText="1"/>
    </xf>
    <xf borderId="8" fillId="62" fontId="9" numFmtId="167" xfId="0" applyAlignment="1" applyBorder="1" applyFont="1" applyNumberFormat="1">
      <alignment horizontal="center" readingOrder="0" shrinkToFit="0" vertical="center" wrapText="1"/>
    </xf>
    <xf borderId="8" fillId="62" fontId="9" numFmtId="0" xfId="0" applyAlignment="1" applyBorder="1" applyFont="1">
      <alignment horizontal="center" readingOrder="0" shrinkToFit="0" vertical="center" wrapText="1"/>
    </xf>
    <xf borderId="6" fillId="62" fontId="10" numFmtId="0" xfId="0" applyAlignment="1" applyBorder="1" applyFont="1">
      <alignment horizontal="center" readingOrder="0" vertical="center"/>
    </xf>
    <xf borderId="45" fillId="62" fontId="1" numFmtId="0" xfId="0" applyAlignment="1" applyBorder="1" applyFont="1">
      <alignment horizontal="center" shrinkToFit="0" vertical="center" wrapText="1"/>
    </xf>
    <xf borderId="46" fillId="62" fontId="8" numFmtId="0" xfId="0" applyAlignment="1" applyBorder="1" applyFont="1">
      <alignment horizontal="center" vertical="center"/>
    </xf>
    <xf borderId="6" fillId="62" fontId="1" numFmtId="0" xfId="0" applyAlignment="1" applyBorder="1" applyFont="1">
      <alignment horizontal="center" shrinkToFit="0" vertical="center" wrapText="1"/>
    </xf>
    <xf borderId="6" fillId="62" fontId="1" numFmtId="0" xfId="0" applyAlignment="1" applyBorder="1" applyFont="1">
      <alignment horizontal="center" vertical="center"/>
    </xf>
    <xf borderId="41" fillId="62" fontId="1" numFmtId="0" xfId="0" applyAlignment="1" applyBorder="1" applyFont="1">
      <alignment horizontal="center" shrinkToFit="0" vertical="center" wrapText="1"/>
    </xf>
    <xf borderId="28" fillId="62" fontId="4" numFmtId="169" xfId="0" applyAlignment="1" applyBorder="1" applyFont="1" applyNumberFormat="1">
      <alignment horizontal="center" readingOrder="0" shrinkToFit="0" textRotation="90" vertical="center" wrapText="1"/>
    </xf>
    <xf borderId="38" fillId="62" fontId="1" numFmtId="0" xfId="0" applyAlignment="1" applyBorder="1" applyFont="1">
      <alignment horizontal="center" shrinkToFit="0" wrapText="1"/>
    </xf>
    <xf borderId="29" fillId="62" fontId="1" numFmtId="0" xfId="0" applyAlignment="1" applyBorder="1" applyFont="1">
      <alignment horizontal="center" readingOrder="0" shrinkToFit="0" vertical="center" wrapText="1"/>
    </xf>
    <xf borderId="49" fillId="62" fontId="1" numFmtId="0" xfId="0" applyAlignment="1" applyBorder="1" applyFont="1">
      <alignment horizontal="center" shrinkToFit="0" vertical="center" wrapText="1"/>
    </xf>
    <xf borderId="50" fillId="62" fontId="8" numFmtId="0" xfId="0" applyAlignment="1" applyBorder="1" applyFont="1">
      <alignment horizontal="center" vertical="center"/>
    </xf>
    <xf borderId="38" fillId="62" fontId="1" numFmtId="0" xfId="0" applyAlignment="1" applyBorder="1" applyFont="1">
      <alignment horizontal="center" shrinkToFit="0" vertical="center" wrapText="1"/>
    </xf>
    <xf borderId="29" fillId="62" fontId="1" numFmtId="0" xfId="0" applyAlignment="1" applyBorder="1" applyFont="1">
      <alignment horizontal="center" vertical="center"/>
    </xf>
    <xf borderId="30" fillId="62" fontId="1" numFmtId="0" xfId="0" applyAlignment="1" applyBorder="1" applyFont="1">
      <alignment horizontal="center" shrinkToFit="0" vertical="center" wrapText="1"/>
    </xf>
    <xf borderId="29" fillId="62" fontId="9" numFmtId="0" xfId="0" applyAlignment="1" applyBorder="1" applyFont="1">
      <alignment horizontal="center" readingOrder="0" shrinkToFit="0" vertical="center" wrapText="1"/>
    </xf>
    <xf borderId="12" fillId="62" fontId="1" numFmtId="0" xfId="0" applyAlignment="1" applyBorder="1" applyFont="1">
      <alignment horizontal="center" shrinkToFit="0" wrapText="1"/>
    </xf>
    <xf borderId="31" fillId="62" fontId="1" numFmtId="0" xfId="0" applyAlignment="1" applyBorder="1" applyFont="1">
      <alignment horizontal="center" readingOrder="0" shrinkToFit="0" vertical="center" wrapText="1"/>
    </xf>
    <xf borderId="12" fillId="62" fontId="1" numFmtId="0" xfId="0" applyAlignment="1" applyBorder="1" applyFont="1">
      <alignment horizontal="center" readingOrder="0" shrinkToFit="0" vertical="center" wrapText="1"/>
    </xf>
    <xf borderId="12" fillId="62" fontId="8" numFmtId="0" xfId="0" applyAlignment="1" applyBorder="1" applyFont="1">
      <alignment horizontal="center" readingOrder="0" shrinkToFit="0" vertical="center" wrapText="1"/>
    </xf>
    <xf borderId="8" fillId="62" fontId="1" numFmtId="0" xfId="0" applyAlignment="1" applyBorder="1" applyFont="1">
      <alignment horizontal="center" shrinkToFit="0" wrapText="1"/>
    </xf>
    <xf borderId="8" fillId="62" fontId="8" numFmtId="0" xfId="0" applyAlignment="1" applyBorder="1" applyFont="1">
      <alignment horizontal="center" readingOrder="0" shrinkToFit="0" vertical="center" wrapText="1"/>
    </xf>
    <xf borderId="9" fillId="62" fontId="7" numFmtId="0" xfId="0" applyAlignment="1" applyBorder="1" applyFont="1">
      <alignment horizontal="center" readingOrder="0" vertical="center"/>
    </xf>
    <xf borderId="2" fillId="62" fontId="1" numFmtId="0" xfId="0" applyAlignment="1" applyBorder="1" applyFont="1">
      <alignment horizontal="center" readingOrder="0" shrinkToFit="0" vertical="center" wrapText="1"/>
    </xf>
    <xf borderId="1" fillId="62" fontId="20" numFmtId="0" xfId="0" applyAlignment="1" applyBorder="1" applyFont="1">
      <alignment horizontal="center" readingOrder="0" shrinkToFit="0" vertical="center" wrapText="1"/>
    </xf>
    <xf borderId="9" fillId="62" fontId="7" numFmtId="0" xfId="0" applyAlignment="1" applyBorder="1" applyFont="1">
      <alignment horizontal="center" readingOrder="0"/>
    </xf>
    <xf borderId="2" fillId="62" fontId="21" numFmtId="0" xfId="0" applyAlignment="1" applyBorder="1" applyFont="1">
      <alignment horizontal="center" readingOrder="0" shrinkToFit="0" wrapText="1"/>
    </xf>
    <xf borderId="8" fillId="62" fontId="7" numFmtId="0" xfId="0" applyAlignment="1" applyBorder="1" applyFont="1">
      <alignment horizontal="center" readingOrder="0"/>
    </xf>
    <xf borderId="1" fillId="62" fontId="1" numFmtId="0" xfId="0" applyAlignment="1" applyBorder="1" applyFont="1">
      <alignment horizontal="center" readingOrder="0" shrinkToFit="0" vertical="center" wrapText="1"/>
    </xf>
    <xf borderId="2" fillId="62" fontId="22" numFmtId="0" xfId="0" applyAlignment="1" applyBorder="1" applyFont="1">
      <alignment horizontal="center" readingOrder="0" shrinkToFit="0" vertical="center" wrapText="1"/>
    </xf>
    <xf borderId="29" fillId="62" fontId="1" numFmtId="0" xfId="0" applyAlignment="1" applyBorder="1" applyFont="1">
      <alignment horizontal="center" shrinkToFit="0" wrapText="1"/>
    </xf>
    <xf borderId="29" fillId="62" fontId="1" numFmtId="0" xfId="0" applyAlignment="1" applyBorder="1" applyFont="1">
      <alignment horizontal="center" shrinkToFit="0" vertical="center" wrapText="1"/>
    </xf>
    <xf borderId="2" fillId="62" fontId="1" numFmtId="0" xfId="0" applyAlignment="1" applyBorder="1" applyFont="1">
      <alignment horizontal="center" readingOrder="0" vertical="center"/>
    </xf>
    <xf borderId="8" fillId="62" fontId="20" numFmtId="0" xfId="0" applyAlignment="1" applyBorder="1" applyFont="1">
      <alignment horizontal="center" readingOrder="0" shrinkToFit="0" vertical="center" wrapText="1"/>
    </xf>
    <xf borderId="10" fillId="62" fontId="1" numFmtId="0" xfId="0" applyAlignment="1" applyBorder="1" applyFont="1">
      <alignment vertical="center"/>
    </xf>
    <xf borderId="51" fillId="62" fontId="8" numFmtId="0" xfId="0" applyAlignment="1" applyBorder="1" applyFont="1">
      <alignment horizontal="center" readingOrder="0" shrinkToFit="0" vertical="center" wrapText="1"/>
    </xf>
    <xf borderId="51" fillId="62" fontId="1" numFmtId="0" xfId="0" applyAlignment="1" applyBorder="1" applyFont="1">
      <alignment horizontal="center" readingOrder="0" shrinkToFit="0" vertical="center" wrapText="1"/>
    </xf>
    <xf borderId="27" fillId="62" fontId="23" numFmtId="0" xfId="0" applyAlignment="1" applyBorder="1" applyFont="1">
      <alignment horizontal="center" readingOrder="0" shrinkToFit="0" vertical="center" wrapText="1"/>
    </xf>
    <xf borderId="19" fillId="62" fontId="8" numFmtId="0" xfId="0" applyAlignment="1" applyBorder="1" applyFont="1">
      <alignment horizontal="center" vertical="center"/>
    </xf>
    <xf borderId="2" fillId="62" fontId="12" numFmtId="0" xfId="0" applyAlignment="1" applyBorder="1" applyFont="1">
      <alignment horizontal="center" readingOrder="0" shrinkToFit="0" vertical="center" wrapText="1"/>
    </xf>
    <xf borderId="3" fillId="62" fontId="1" numFmtId="0" xfId="0" applyAlignment="1" applyBorder="1" applyFont="1">
      <alignment horizontal="center" readingOrder="0" shrinkToFit="0" vertical="center" wrapText="1"/>
    </xf>
    <xf borderId="23" fillId="62" fontId="12" numFmtId="0" xfId="0" applyAlignment="1" applyBorder="1" applyFont="1">
      <alignment horizontal="center" readingOrder="0" shrinkToFit="0" vertical="center" wrapText="1"/>
    </xf>
    <xf borderId="23" fillId="62" fontId="1" numFmtId="0" xfId="0" applyAlignment="1" applyBorder="1" applyFont="1">
      <alignment horizontal="center" readingOrder="0" shrinkToFit="0" vertical="center" wrapText="1"/>
    </xf>
    <xf borderId="27" fillId="62" fontId="1" numFmtId="0" xfId="0" applyAlignment="1" applyBorder="1" applyFont="1">
      <alignment horizontal="center" readingOrder="0" shrinkToFit="0" vertical="center" wrapText="1"/>
    </xf>
    <xf borderId="11" fillId="62" fontId="4" numFmtId="0" xfId="0" applyAlignment="1" applyBorder="1" applyFont="1">
      <alignment horizontal="center" readingOrder="0" shrinkToFit="0" textRotation="90" vertical="center" wrapText="1"/>
    </xf>
    <xf borderId="51" fillId="62" fontId="1" numFmtId="0" xfId="0" applyAlignment="1" applyBorder="1" applyFont="1">
      <alignment horizontal="center" shrinkToFit="0" wrapText="1"/>
    </xf>
    <xf borderId="26" fillId="62" fontId="1" numFmtId="0" xfId="0" applyAlignment="1" applyBorder="1" applyFont="1">
      <alignment horizontal="center" shrinkToFit="0" vertical="center" wrapText="1"/>
    </xf>
    <xf borderId="51" fillId="62" fontId="1" numFmtId="0" xfId="0" applyAlignment="1" applyBorder="1" applyFont="1">
      <alignment horizontal="center" shrinkToFit="0" vertical="center" wrapText="1"/>
    </xf>
    <xf borderId="26" fillId="62" fontId="12" numFmtId="0" xfId="0" applyAlignment="1" applyBorder="1" applyFont="1">
      <alignment horizontal="center" readingOrder="0" shrinkToFit="0" vertical="center" wrapText="1"/>
    </xf>
    <xf borderId="26" fillId="62" fontId="1" numFmtId="0" xfId="0" applyAlignment="1" applyBorder="1" applyFont="1">
      <alignment horizontal="center" readingOrder="0" shrinkToFit="0" vertical="center" wrapText="1"/>
    </xf>
    <xf borderId="9" fillId="62" fontId="1" numFmtId="0" xfId="0" applyAlignment="1" applyBorder="1" applyFont="1">
      <alignment horizontal="center" shrinkToFit="0" vertical="center" wrapText="1"/>
    </xf>
    <xf borderId="8" fillId="62" fontId="2" numFmtId="20" xfId="0" applyAlignment="1" applyBorder="1" applyFont="1" applyNumberFormat="1">
      <alignment horizontal="center" shrinkToFit="0" vertical="center" wrapText="1"/>
    </xf>
    <xf borderId="8" fillId="62" fontId="8" numFmtId="0" xfId="0" applyBorder="1" applyFont="1"/>
    <xf borderId="8" fillId="62" fontId="1" numFmtId="0" xfId="0" applyAlignment="1" applyBorder="1" applyFont="1">
      <alignment horizontal="center" textRotation="90" vertical="center"/>
    </xf>
    <xf borderId="8" fillId="62" fontId="1" numFmtId="0" xfId="0" applyBorder="1" applyFont="1"/>
    <xf borderId="0" fillId="0" fontId="10" numFmtId="0" xfId="0" applyAlignment="1" applyFont="1">
      <alignment readingOrder="0"/>
    </xf>
    <xf borderId="0" fillId="0" fontId="10" numFmtId="0" xfId="0" applyAlignment="1" applyFont="1">
      <alignment horizontal="center" readingOrder="0"/>
    </xf>
    <xf borderId="0" fillId="0" fontId="32" numFmtId="0" xfId="0" applyAlignment="1" applyFont="1">
      <alignment readingOrder="0"/>
    </xf>
    <xf borderId="8" fillId="0" fontId="8" numFmtId="0" xfId="0" applyAlignment="1" applyBorder="1" applyFont="1">
      <alignment horizontal="center" readingOrder="0"/>
    </xf>
    <xf borderId="8" fillId="2" fontId="155" numFmtId="0" xfId="0" applyAlignment="1" applyBorder="1" applyFont="1">
      <alignment readingOrder="0"/>
    </xf>
    <xf borderId="8" fillId="0" fontId="155" numFmtId="0" xfId="0" applyAlignment="1" applyBorder="1" applyFont="1">
      <alignment readingOrder="0"/>
    </xf>
    <xf borderId="8" fillId="2" fontId="5" numFmtId="0" xfId="0" applyAlignment="1" applyBorder="1" applyFont="1">
      <alignment vertical="bottom"/>
    </xf>
    <xf borderId="8" fillId="0" fontId="5" numFmtId="0" xfId="0" applyAlignment="1" applyBorder="1" applyFont="1">
      <alignment vertical="bottom"/>
    </xf>
    <xf borderId="8" fillId="0" fontId="5" numFmtId="0" xfId="0" applyAlignment="1" applyBorder="1" applyFont="1">
      <alignment readingOrder="0" vertical="bottom"/>
    </xf>
    <xf borderId="8" fillId="2" fontId="5" numFmtId="0" xfId="0" applyAlignment="1" applyBorder="1" applyFont="1">
      <alignment readingOrder="0" vertical="bottom"/>
    </xf>
    <xf borderId="8" fillId="0" fontId="155" numFmtId="0" xfId="0" applyBorder="1" applyFont="1"/>
    <xf borderId="8" fillId="2" fontId="8" numFmtId="0" xfId="0" applyAlignment="1" applyBorder="1" applyFont="1">
      <alignment readingOrder="0"/>
    </xf>
    <xf borderId="8" fillId="2" fontId="8" numFmtId="0" xfId="0" applyBorder="1" applyFont="1"/>
    <xf borderId="0" fillId="2" fontId="8" numFmtId="0" xfId="0" applyAlignment="1" applyFont="1">
      <alignment readingOrder="0"/>
    </xf>
    <xf borderId="56" fillId="0" fontId="4" numFmtId="0" xfId="0" applyAlignment="1" applyBorder="1" applyFont="1">
      <alignment horizontal="center" readingOrder="0" shrinkToFit="0" textRotation="90" vertical="center" wrapText="1"/>
    </xf>
    <xf borderId="8" fillId="0" fontId="70" numFmtId="0" xfId="0" applyAlignment="1" applyBorder="1" applyFont="1">
      <alignment horizontal="center" readingOrder="0"/>
    </xf>
    <xf borderId="0" fillId="0" fontId="32" numFmtId="0" xfId="0" applyFont="1"/>
    <xf borderId="8" fillId="0" fontId="136" numFmtId="20" xfId="0" applyAlignment="1" applyBorder="1" applyFont="1" applyNumberFormat="1">
      <alignment horizontal="center" readingOrder="0"/>
    </xf>
    <xf borderId="8" fillId="0" fontId="136" numFmtId="0" xfId="0" applyAlignment="1" applyBorder="1" applyFont="1">
      <alignment readingOrder="0"/>
    </xf>
    <xf borderId="8" fillId="0" fontId="136" numFmtId="0" xfId="0" applyAlignment="1" applyBorder="1" applyFont="1">
      <alignment horizontal="center" readingOrder="0"/>
    </xf>
    <xf borderId="8" fillId="0" fontId="136" numFmtId="0" xfId="0" applyAlignment="1" applyBorder="1" applyFont="1">
      <alignment horizontal="center" readingOrder="0" shrinkToFit="0" vertical="center" wrapText="1"/>
    </xf>
    <xf borderId="1" fillId="0" fontId="136" numFmtId="0" xfId="0" applyAlignment="1" applyBorder="1" applyFont="1">
      <alignment horizontal="center" readingOrder="0" shrinkToFit="0" vertical="center" wrapText="1"/>
    </xf>
    <xf borderId="1" fillId="0" fontId="136" numFmtId="0" xfId="0" applyAlignment="1" applyBorder="1" applyFont="1">
      <alignment horizontal="center" readingOrder="0" vertical="center"/>
    </xf>
    <xf borderId="8" fillId="0" fontId="136" numFmtId="0" xfId="0" applyAlignment="1" applyBorder="1" applyFont="1">
      <alignment readingOrder="0" shrinkToFit="0" wrapText="1"/>
    </xf>
    <xf borderId="8" fillId="0" fontId="8" numFmtId="0" xfId="0" applyAlignment="1" applyBorder="1" applyFont="1">
      <alignment horizontal="center" readingOrder="0" vertical="top"/>
    </xf>
    <xf borderId="8" fillId="0" fontId="8" numFmtId="0" xfId="0" applyAlignment="1" applyBorder="1" applyFont="1">
      <alignment vertical="top"/>
    </xf>
    <xf borderId="8" fillId="0" fontId="8" numFmtId="0" xfId="0" applyAlignment="1" applyBorder="1" applyFont="1">
      <alignment readingOrder="0" vertical="top"/>
    </xf>
    <xf borderId="9" fillId="0" fontId="136" numFmtId="0" xfId="0" applyAlignment="1" applyBorder="1" applyFont="1">
      <alignment readingOrder="0"/>
    </xf>
    <xf borderId="8" fillId="0" fontId="17" numFmtId="0" xfId="0" applyAlignment="1" applyBorder="1" applyFont="1">
      <alignment horizontal="center" shrinkToFit="0" vertical="center" wrapText="1"/>
    </xf>
    <xf borderId="9" fillId="28" fontId="5" numFmtId="0" xfId="0" applyAlignment="1" applyBorder="1" applyFont="1">
      <alignment horizontal="center" shrinkToFit="0" vertical="center" wrapText="1"/>
    </xf>
    <xf borderId="0" fillId="28" fontId="5" numFmtId="0" xfId="0" applyAlignment="1" applyFont="1">
      <alignment horizontal="center" shrinkToFit="0" vertical="center" wrapText="1"/>
    </xf>
    <xf borderId="8" fillId="55" fontId="132" numFmtId="0" xfId="0" applyAlignment="1" applyBorder="1" applyFont="1">
      <alignment horizontal="center" shrinkToFit="0" vertical="center" wrapText="1"/>
    </xf>
    <xf borderId="8" fillId="55" fontId="15" numFmtId="0" xfId="0" applyAlignment="1" applyBorder="1" applyFont="1">
      <alignment horizontal="center" shrinkToFit="0" vertical="center" wrapText="1"/>
    </xf>
    <xf borderId="8" fillId="55" fontId="125" numFmtId="0" xfId="0" applyAlignment="1" applyBorder="1" applyFont="1">
      <alignment horizontal="center" shrinkToFit="0" vertical="center" wrapText="1"/>
    </xf>
    <xf borderId="0" fillId="55" fontId="125" numFmtId="0" xfId="0" applyAlignment="1" applyFont="1">
      <alignment horizontal="center" shrinkToFit="0" vertical="center" wrapText="1"/>
    </xf>
    <xf borderId="8" fillId="55" fontId="124" numFmtId="0" xfId="0" applyAlignment="1" applyBorder="1" applyFont="1">
      <alignment horizontal="center" shrinkToFit="0" vertical="center" wrapText="1"/>
    </xf>
    <xf borderId="8" fillId="55" fontId="12" numFmtId="0" xfId="0" applyAlignment="1" applyBorder="1" applyFont="1">
      <alignment horizontal="center" shrinkToFit="0" vertical="center" wrapText="1"/>
    </xf>
    <xf borderId="9" fillId="55" fontId="12" numFmtId="0" xfId="0" applyAlignment="1" applyBorder="1" applyFont="1">
      <alignment horizontal="center" shrinkToFit="0" vertical="center" wrapText="1"/>
    </xf>
    <xf borderId="9" fillId="55" fontId="132" numFmtId="0" xfId="0" applyAlignment="1" applyBorder="1" applyFont="1">
      <alignment horizontal="center" shrinkToFit="0" vertical="center" wrapText="1"/>
    </xf>
    <xf borderId="0" fillId="55" fontId="132" numFmtId="0" xfId="0" applyAlignment="1" applyFont="1">
      <alignment horizontal="center" shrinkToFit="0" vertical="center" wrapText="1"/>
    </xf>
    <xf borderId="9" fillId="2" fontId="121" numFmtId="0" xfId="0" applyAlignment="1" applyBorder="1" applyFont="1">
      <alignment horizontal="center" shrinkToFit="0" vertical="center" wrapText="1"/>
    </xf>
    <xf borderId="0" fillId="2" fontId="121" numFmtId="0" xfId="0" applyAlignment="1" applyFont="1">
      <alignment horizontal="center" shrinkToFit="0" vertical="center" wrapText="1"/>
    </xf>
    <xf borderId="8" fillId="2" fontId="127" numFmtId="167" xfId="0" applyAlignment="1" applyBorder="1" applyFont="1" applyNumberFormat="1">
      <alignment horizontal="center" readingOrder="0" shrinkToFit="0" vertical="center" wrapText="1"/>
    </xf>
    <xf borderId="8" fillId="2" fontId="128" numFmtId="0" xfId="0" applyAlignment="1" applyBorder="1" applyFont="1">
      <alignment horizontal="center" shrinkToFit="0" vertical="center" wrapText="1"/>
    </xf>
    <xf borderId="8" fillId="2" fontId="128" numFmtId="0" xfId="0" applyAlignment="1" applyBorder="1" applyFont="1">
      <alignment horizontal="center" readingOrder="0" shrinkToFit="0" vertical="center" wrapText="1"/>
    </xf>
    <xf borderId="0" fillId="2" fontId="8" numFmtId="0" xfId="0" applyAlignment="1" applyFont="1">
      <alignment horizontal="center" shrinkToFit="0" vertical="center" wrapText="1"/>
    </xf>
    <xf borderId="8" fillId="2" fontId="127" numFmtId="0" xfId="0" applyAlignment="1" applyBorder="1" applyFont="1">
      <alignment horizontal="center" shrinkToFit="0" vertical="center" wrapText="1"/>
    </xf>
    <xf borderId="9" fillId="2" fontId="128" numFmtId="0" xfId="0" applyAlignment="1" applyBorder="1" applyFont="1">
      <alignment horizontal="center" readingOrder="0" shrinkToFit="0" vertical="center" wrapText="1"/>
    </xf>
    <xf borderId="8" fillId="2" fontId="45" numFmtId="0" xfId="0" applyAlignment="1" applyBorder="1" applyFont="1">
      <alignment horizontal="center" shrinkToFit="0" vertical="center" wrapText="1"/>
    </xf>
    <xf borderId="8" fillId="2" fontId="23" numFmtId="0" xfId="0" applyAlignment="1" applyBorder="1" applyFont="1">
      <alignment horizontal="center" shrinkToFit="0" vertical="center" wrapText="1"/>
    </xf>
    <xf borderId="9" fillId="2" fontId="23" numFmtId="0" xfId="0" applyAlignment="1" applyBorder="1" applyFont="1">
      <alignment horizontal="center" readingOrder="0" shrinkToFit="0" vertical="center" wrapText="1"/>
    </xf>
    <xf borderId="0" fillId="2" fontId="2" numFmtId="0" xfId="0" applyAlignment="1" applyFont="1">
      <alignment horizontal="center" shrinkToFit="0" vertical="center" wrapText="1"/>
    </xf>
    <xf borderId="8" fillId="12" fontId="23" numFmtId="0" xfId="0" applyAlignment="1" applyBorder="1" applyFont="1">
      <alignment horizontal="center" shrinkToFit="0" vertical="center" wrapText="1"/>
    </xf>
    <xf borderId="1" fillId="2" fontId="45" numFmtId="0" xfId="0" applyAlignment="1" applyBorder="1" applyFont="1">
      <alignment horizontal="center" shrinkToFit="0" vertical="center" wrapText="1"/>
    </xf>
    <xf borderId="9" fillId="4" fontId="23" numFmtId="0" xfId="0" applyAlignment="1" applyBorder="1" applyFont="1">
      <alignment horizontal="center" shrinkToFit="0" vertical="center" wrapText="1"/>
    </xf>
    <xf borderId="8" fillId="0" fontId="23" numFmtId="0" xfId="0" applyAlignment="1" applyBorder="1" applyFont="1">
      <alignment horizontal="center" shrinkToFit="0" vertical="center" wrapText="1"/>
    </xf>
    <xf borderId="8" fillId="51" fontId="23" numFmtId="0" xfId="0" applyAlignment="1" applyBorder="1" applyFont="1">
      <alignment horizontal="center" shrinkToFit="0" vertical="center" wrapText="1"/>
    </xf>
    <xf borderId="8" fillId="17" fontId="23" numFmtId="0" xfId="0" applyAlignment="1" applyBorder="1" applyFont="1">
      <alignment horizontal="center" shrinkToFit="0" vertical="center" wrapText="1"/>
    </xf>
    <xf borderId="9" fillId="5" fontId="23" numFmtId="0" xfId="0" applyAlignment="1" applyBorder="1" applyFont="1">
      <alignment horizontal="center" shrinkToFit="0" vertical="center" wrapText="1"/>
    </xf>
    <xf borderId="0" fillId="2" fontId="12" numFmtId="0" xfId="0" applyAlignment="1" applyFont="1">
      <alignment horizontal="center" shrinkToFit="0" vertical="center" wrapText="1"/>
    </xf>
    <xf borderId="1" fillId="2" fontId="117" numFmtId="0" xfId="0" applyAlignment="1" applyBorder="1" applyFont="1">
      <alignment horizontal="center" shrinkToFit="0" vertical="center" wrapText="1"/>
    </xf>
    <xf borderId="1" fillId="2" fontId="38" numFmtId="0" xfId="0" applyAlignment="1" applyBorder="1" applyFont="1">
      <alignment horizontal="center" shrinkToFit="0" vertical="center" wrapText="1"/>
    </xf>
    <xf borderId="1" fillId="27" fontId="15" numFmtId="0" xfId="0" applyAlignment="1" applyBorder="1" applyFont="1">
      <alignment horizontal="center" shrinkToFit="0" vertical="center" wrapText="1"/>
    </xf>
    <xf borderId="8" fillId="2" fontId="38" numFmtId="0" xfId="0" applyAlignment="1" applyBorder="1" applyFont="1">
      <alignment horizontal="center" shrinkToFit="0" vertical="center" wrapText="1"/>
    </xf>
    <xf borderId="45" fillId="2" fontId="15" numFmtId="0" xfId="0" applyAlignment="1" applyBorder="1" applyFont="1">
      <alignment horizontal="center" shrinkToFit="0" vertical="center" wrapText="1"/>
    </xf>
    <xf borderId="2" fillId="59" fontId="15" numFmtId="0" xfId="0" applyAlignment="1" applyBorder="1" applyFont="1">
      <alignment horizontal="center" shrinkToFit="0" vertical="center" wrapText="1"/>
    </xf>
    <xf borderId="8" fillId="30" fontId="15" numFmtId="0" xfId="0" applyAlignment="1" applyBorder="1" applyFont="1">
      <alignment horizontal="center" shrinkToFit="0" vertical="center" wrapText="1"/>
    </xf>
    <xf borderId="51" fillId="2" fontId="117" numFmtId="0" xfId="0" applyAlignment="1" applyBorder="1" applyFont="1">
      <alignment horizontal="center" shrinkToFit="0" vertical="center" wrapText="1"/>
    </xf>
    <xf borderId="51" fillId="2" fontId="38" numFmtId="0" xfId="0" applyAlignment="1" applyBorder="1" applyFont="1">
      <alignment horizontal="center" shrinkToFit="0" vertical="center" wrapText="1"/>
    </xf>
    <xf borderId="8" fillId="31" fontId="15" numFmtId="0" xfId="0" applyAlignment="1" applyBorder="1" applyFont="1">
      <alignment horizontal="center" shrinkToFit="0" vertical="center" wrapText="1"/>
    </xf>
    <xf borderId="8" fillId="2" fontId="31" numFmtId="0" xfId="0" applyAlignment="1" applyBorder="1" applyFont="1">
      <alignment horizontal="center" shrinkToFit="0" vertical="center" wrapText="1"/>
    </xf>
    <xf borderId="0" fillId="2" fontId="38" numFmtId="0" xfId="0" applyAlignment="1" applyFont="1">
      <alignment horizontal="center" shrinkToFit="0" vertical="center" wrapText="1"/>
    </xf>
    <xf borderId="9" fillId="30" fontId="38" numFmtId="0" xfId="0" applyAlignment="1" applyBorder="1" applyFont="1">
      <alignment horizontal="center" shrinkToFit="0" vertical="center" wrapText="1"/>
    </xf>
    <xf borderId="8" fillId="31" fontId="31" numFmtId="0" xfId="0" applyAlignment="1" applyBorder="1" applyFont="1">
      <alignment horizontal="center" shrinkToFit="0" vertical="center" wrapText="1"/>
    </xf>
    <xf borderId="9" fillId="2" fontId="38" numFmtId="0" xfId="0" applyAlignment="1" applyBorder="1" applyFont="1">
      <alignment horizontal="center" shrinkToFit="0" vertical="center" wrapText="1"/>
    </xf>
    <xf borderId="8" fillId="12" fontId="38" numFmtId="0" xfId="0" applyAlignment="1" applyBorder="1" applyFont="1">
      <alignment horizontal="center" shrinkToFit="0" vertical="center" wrapText="1"/>
    </xf>
    <xf borderId="9" fillId="23" fontId="38" numFmtId="0" xfId="0" applyAlignment="1" applyBorder="1" applyFont="1">
      <alignment horizontal="center" shrinkToFit="0" vertical="center" wrapText="1"/>
    </xf>
    <xf borderId="8" fillId="63" fontId="38" numFmtId="0" xfId="0" applyAlignment="1" applyBorder="1" applyFill="1" applyFont="1">
      <alignment horizontal="center" shrinkToFit="0" vertical="center" wrapText="1"/>
    </xf>
    <xf borderId="9" fillId="2" fontId="38" numFmtId="0" xfId="0" applyAlignment="1" applyBorder="1" applyFont="1">
      <alignment horizontal="center" readingOrder="0" shrinkToFit="0" vertical="center" wrapText="1"/>
    </xf>
    <xf borderId="8" fillId="47" fontId="15" numFmtId="0" xfId="0" applyAlignment="1" applyBorder="1" applyFont="1">
      <alignment horizontal="center" shrinkToFit="0" vertical="center" wrapText="1"/>
    </xf>
    <xf borderId="2" fillId="17" fontId="12" numFmtId="0" xfId="0" applyAlignment="1" applyBorder="1" applyFont="1">
      <alignment horizontal="center" shrinkToFit="0" vertical="center" wrapText="1"/>
    </xf>
    <xf borderId="8" fillId="17" fontId="129" numFmtId="0" xfId="0" applyAlignment="1" applyBorder="1" applyFont="1">
      <alignment horizontal="center" shrinkToFit="0" vertical="center" wrapText="1"/>
    </xf>
    <xf borderId="8" fillId="17" fontId="2" numFmtId="0" xfId="0" applyAlignment="1" applyBorder="1" applyFont="1">
      <alignment horizontal="center" shrinkToFit="0" vertical="center" wrapText="1"/>
    </xf>
    <xf borderId="52" fillId="17" fontId="15" numFmtId="0" xfId="0" applyAlignment="1" applyBorder="1" applyFont="1">
      <alignment horizontal="center" shrinkToFit="0" vertical="center" wrapText="1"/>
    </xf>
    <xf borderId="0" fillId="17" fontId="15" numFmtId="0" xfId="0" applyAlignment="1" applyFont="1">
      <alignment horizontal="center" shrinkToFit="0" vertical="center" wrapText="1"/>
    </xf>
    <xf borderId="0" fillId="17" fontId="15" numFmtId="0" xfId="0" applyAlignment="1" applyFont="1">
      <alignment horizontal="center" readingOrder="0" shrinkToFit="0" vertical="center" wrapText="1"/>
    </xf>
    <xf borderId="26" fillId="17" fontId="15" numFmtId="0" xfId="0" applyAlignment="1" applyBorder="1" applyFont="1">
      <alignment horizontal="center" shrinkToFit="0" vertical="center" wrapText="1"/>
    </xf>
    <xf borderId="23" fillId="17" fontId="15" numFmtId="0" xfId="0" applyAlignment="1" applyBorder="1" applyFont="1">
      <alignment horizontal="center" shrinkToFit="0" vertical="center" wrapText="1"/>
    </xf>
    <xf borderId="8" fillId="5" fontId="15" numFmtId="0" xfId="0" applyAlignment="1" applyBorder="1" applyFont="1">
      <alignment horizontal="center" shrinkToFit="0" vertical="center" wrapText="1"/>
    </xf>
    <xf borderId="23" fillId="31" fontId="130" numFmtId="0" xfId="0" applyAlignment="1" applyBorder="1" applyFont="1">
      <alignment horizontal="center" vertical="center"/>
    </xf>
    <xf borderId="0" fillId="2" fontId="117" numFmtId="0" xfId="0" applyAlignment="1" applyFont="1">
      <alignment horizontal="center" shrinkToFit="0" vertical="center" wrapText="1"/>
    </xf>
    <xf borderId="0" fillId="2" fontId="8" numFmtId="0" xfId="0" applyAlignment="1" applyFont="1">
      <alignment horizontal="center" vertical="center"/>
    </xf>
    <xf borderId="8" fillId="2" fontId="131" numFmtId="0" xfId="0" applyAlignment="1" applyBorder="1" applyFont="1">
      <alignment horizontal="center" shrinkToFit="0" vertical="center" wrapText="1"/>
    </xf>
    <xf borderId="8" fillId="64" fontId="38" numFmtId="0" xfId="0" applyAlignment="1" applyBorder="1" applyFill="1" applyFont="1">
      <alignment horizontal="center" shrinkToFit="0" vertical="center" wrapText="1"/>
    </xf>
    <xf borderId="9" fillId="64" fontId="156" numFmtId="0" xfId="0" applyAlignment="1" applyBorder="1" applyFont="1">
      <alignment horizontal="center" shrinkToFit="0" vertical="center" wrapText="1"/>
    </xf>
    <xf borderId="8" fillId="64" fontId="131" numFmtId="0" xfId="0" applyAlignment="1" applyBorder="1" applyFont="1">
      <alignment horizontal="center" shrinkToFit="0" vertical="center" wrapText="1"/>
    </xf>
    <xf borderId="2" fillId="64" fontId="15" numFmtId="0" xfId="0" applyAlignment="1" applyBorder="1" applyFont="1">
      <alignment horizontal="center" shrinkToFit="0" vertical="center" wrapText="1"/>
    </xf>
    <xf borderId="20" fillId="2" fontId="121" numFmtId="0" xfId="0" applyAlignment="1" applyBorder="1" applyFont="1">
      <alignment horizontal="center" shrinkToFit="0" vertical="center" wrapText="1"/>
    </xf>
    <xf borderId="20" fillId="64" fontId="121" numFmtId="0" xfId="0" applyAlignment="1" applyBorder="1" applyFont="1">
      <alignment horizontal="center" shrinkToFit="0" vertical="center" wrapText="1"/>
    </xf>
    <xf borderId="8" fillId="64" fontId="129" numFmtId="0" xfId="0" applyAlignment="1" applyBorder="1" applyFont="1">
      <alignment horizontal="center" shrinkToFit="0" vertical="center" wrapText="1"/>
    </xf>
    <xf borderId="0" fillId="2" fontId="15" numFmtId="0" xfId="0" applyAlignment="1" applyFont="1">
      <alignment horizontal="center" shrinkToFit="0" vertical="center" wrapText="1"/>
    </xf>
    <xf borderId="8" fillId="64" fontId="2" numFmtId="0" xfId="0" applyAlignment="1" applyBorder="1" applyFont="1">
      <alignment horizontal="center" shrinkToFit="0" vertical="center" wrapText="1"/>
    </xf>
    <xf borderId="9" fillId="27" fontId="15" numFmtId="0" xfId="0" applyAlignment="1" applyBorder="1" applyFont="1">
      <alignment horizontal="center" shrinkToFit="0" vertical="center" wrapText="1"/>
    </xf>
    <xf borderId="8" fillId="0" fontId="31" numFmtId="0" xfId="0" applyAlignment="1" applyBorder="1" applyFont="1">
      <alignment horizontal="center" shrinkToFit="0" vertical="center" wrapText="1"/>
    </xf>
    <xf borderId="2" fillId="2" fontId="117" numFmtId="0" xfId="0" applyAlignment="1" applyBorder="1" applyFont="1">
      <alignment horizontal="center" shrinkToFit="0" vertical="center" wrapText="1"/>
    </xf>
    <xf borderId="8" fillId="2" fontId="121" numFmtId="0" xfId="0" applyAlignment="1" applyBorder="1" applyFont="1">
      <alignment horizontal="center" shrinkToFit="0" vertical="center" wrapText="1"/>
    </xf>
    <xf borderId="8" fillId="2" fontId="129" numFmtId="0" xfId="0" applyAlignment="1" applyBorder="1" applyFont="1">
      <alignment horizontal="center" shrinkToFit="0" vertical="center" wrapText="1"/>
    </xf>
    <xf borderId="8" fillId="2" fontId="42" numFmtId="0" xfId="0" applyAlignment="1" applyBorder="1" applyFont="1">
      <alignment horizontal="center" shrinkToFit="0" vertical="center" wrapText="1"/>
    </xf>
    <xf borderId="9" fillId="36" fontId="15" numFmtId="0" xfId="0" applyAlignment="1" applyBorder="1" applyFont="1">
      <alignment horizontal="center" readingOrder="0" shrinkToFit="0" vertical="center" wrapText="1"/>
    </xf>
    <xf borderId="8" fillId="2" fontId="17" numFmtId="0" xfId="0" applyAlignment="1" applyBorder="1" applyFont="1">
      <alignment horizontal="center" shrinkToFit="0" vertical="center" wrapText="1"/>
    </xf>
    <xf borderId="9" fillId="2" fontId="5" numFmtId="0" xfId="0" applyAlignment="1" applyBorder="1" applyFont="1">
      <alignment horizontal="center" shrinkToFit="0" vertical="center" wrapText="1"/>
    </xf>
    <xf borderId="8" fillId="33" fontId="5" numFmtId="0" xfId="0" applyAlignment="1" applyBorder="1" applyFont="1">
      <alignment horizontal="center" shrinkToFit="0" vertical="center" wrapText="1"/>
    </xf>
    <xf borderId="9" fillId="2" fontId="121" numFmtId="0" xfId="0" applyAlignment="1" applyBorder="1" applyFont="1">
      <alignment horizontal="center" readingOrder="0" shrinkToFit="0" vertical="center" wrapText="1"/>
    </xf>
    <xf borderId="9" fillId="12" fontId="38" numFmtId="0" xfId="0" applyAlignment="1" applyBorder="1" applyFont="1">
      <alignment horizontal="center" readingOrder="0" shrinkToFit="0" vertical="center" wrapText="1"/>
    </xf>
    <xf borderId="0" fillId="12" fontId="8" numFmtId="0" xfId="0" applyAlignment="1" applyFont="1">
      <alignment readingOrder="0"/>
    </xf>
    <xf borderId="8" fillId="46" fontId="5" numFmtId="0" xfId="0" applyAlignment="1" applyBorder="1" applyFont="1">
      <alignment horizontal="center" shrinkToFit="0" vertical="center" wrapText="1"/>
    </xf>
    <xf borderId="8" fillId="31" fontId="127" numFmtId="180" xfId="0" applyAlignment="1" applyBorder="1" applyFont="1" applyNumberFormat="1">
      <alignment horizontal="center" readingOrder="0" shrinkToFit="0" vertical="center" wrapText="1"/>
    </xf>
    <xf borderId="9" fillId="31" fontId="127" numFmtId="0" xfId="0" applyAlignment="1" applyBorder="1" applyFont="1">
      <alignment horizontal="center" readingOrder="0" shrinkToFit="0" vertical="center" wrapText="1"/>
    </xf>
    <xf borderId="0" fillId="0" fontId="128" numFmtId="0" xfId="0" applyFont="1"/>
    <xf borderId="8" fillId="2" fontId="18" numFmtId="167" xfId="0" applyAlignment="1" applyBorder="1" applyFont="1" applyNumberFormat="1">
      <alignment horizontal="center" readingOrder="0" shrinkToFit="0" vertical="center" wrapText="1"/>
    </xf>
    <xf borderId="10" fillId="30" fontId="12" numFmtId="0" xfId="0" applyAlignment="1" applyBorder="1" applyFont="1">
      <alignment horizontal="center" readingOrder="0" shrinkToFit="0" wrapText="1"/>
    </xf>
    <xf borderId="8" fillId="46" fontId="12" numFmtId="0" xfId="0" applyAlignment="1" applyBorder="1" applyFont="1">
      <alignment horizontal="center" readingOrder="0" shrinkToFit="0" vertical="center" wrapText="1"/>
    </xf>
    <xf borderId="0" fillId="0" fontId="8" numFmtId="20" xfId="0" applyAlignment="1" applyFont="1" applyNumberFormat="1">
      <alignment readingOrder="0"/>
    </xf>
    <xf borderId="8" fillId="0" fontId="98" numFmtId="0" xfId="0" applyAlignment="1" applyBorder="1" applyFont="1">
      <alignment horizontal="center" readingOrder="0" vertical="center"/>
    </xf>
    <xf borderId="8" fillId="0" fontId="98" numFmtId="0" xfId="0" applyAlignment="1" applyBorder="1" applyFont="1">
      <alignment horizontal="right" readingOrder="0" vertical="center"/>
    </xf>
    <xf borderId="8" fillId="0" fontId="98" numFmtId="0" xfId="0" applyAlignment="1" applyBorder="1" applyFont="1">
      <alignment horizontal="center" readingOrder="0" shrinkToFit="0" vertical="center" wrapText="1"/>
    </xf>
    <xf borderId="0" fillId="0" fontId="98" numFmtId="0" xfId="0" applyAlignment="1" applyFont="1">
      <alignment horizontal="center" vertical="center"/>
    </xf>
    <xf borderId="8" fillId="0" fontId="99" numFmtId="0" xfId="0" applyAlignment="1" applyBorder="1" applyFont="1">
      <alignment horizontal="right" vertical="bottom"/>
    </xf>
    <xf borderId="8" fillId="0" fontId="99" numFmtId="0" xfId="0" applyAlignment="1" applyBorder="1" applyFont="1">
      <alignment horizontal="center" readingOrder="0"/>
    </xf>
    <xf borderId="8" fillId="0" fontId="99" numFmtId="0" xfId="0" applyAlignment="1" applyBorder="1" applyFont="1">
      <alignment readingOrder="0" shrinkToFit="0" wrapText="1"/>
    </xf>
    <xf borderId="8" fillId="0" fontId="99" numFmtId="0" xfId="0" applyAlignment="1" applyBorder="1" applyFont="1">
      <alignment readingOrder="0"/>
    </xf>
    <xf borderId="0" fillId="0" fontId="99" numFmtId="0" xfId="0" applyFont="1"/>
    <xf borderId="8" fillId="0" fontId="99" numFmtId="0" xfId="0" applyAlignment="1" applyBorder="1" applyFont="1">
      <alignment horizontal="left" readingOrder="0"/>
    </xf>
    <xf quotePrefix="1" borderId="8" fillId="0" fontId="99" numFmtId="0" xfId="0" applyAlignment="1" applyBorder="1" applyFont="1">
      <alignment horizontal="right" vertical="bottom"/>
    </xf>
    <xf borderId="8" fillId="0" fontId="99" numFmtId="0" xfId="0" applyAlignment="1" applyBorder="1" applyFont="1">
      <alignment horizontal="right" readingOrder="0" vertical="bottom"/>
    </xf>
    <xf borderId="8" fillId="2" fontId="104" numFmtId="0" xfId="0" applyAlignment="1" applyBorder="1" applyFont="1">
      <alignment horizontal="left" readingOrder="0"/>
    </xf>
    <xf borderId="8" fillId="2" fontId="157" numFmtId="0" xfId="0" applyAlignment="1" applyBorder="1" applyFont="1">
      <alignment horizontal="left" readingOrder="0"/>
    </xf>
    <xf borderId="8" fillId="0" fontId="99" numFmtId="0" xfId="0" applyAlignment="1" applyBorder="1" applyFont="1">
      <alignment readingOrder="0" vertical="bottom"/>
    </xf>
    <xf borderId="8" fillId="0" fontId="99" numFmtId="0" xfId="0" applyBorder="1" applyFont="1"/>
    <xf borderId="0" fillId="0" fontId="99" numFmtId="0" xfId="0" applyAlignment="1" applyFont="1">
      <alignment vertical="bottom"/>
    </xf>
    <xf borderId="0" fillId="0" fontId="99" numFmtId="0" xfId="0" applyAlignment="1" applyFont="1">
      <alignment horizontal="right" vertical="bottom"/>
    </xf>
    <xf borderId="0" fillId="0" fontId="99" numFmtId="0" xfId="0" applyAlignment="1" applyFont="1">
      <alignment horizontal="center" readingOrder="0"/>
    </xf>
    <xf borderId="0" fillId="0" fontId="99" numFmtId="0" xfId="0" applyAlignment="1" applyFont="1">
      <alignment readingOrder="0" shrinkToFit="0" wrapText="1"/>
    </xf>
    <xf borderId="0" fillId="0" fontId="99" numFmtId="0" xfId="0" applyAlignment="1" applyFont="1">
      <alignment readingOrder="0"/>
    </xf>
    <xf borderId="0" fillId="0" fontId="99" numFmtId="0" xfId="0" applyAlignment="1" applyFont="1">
      <alignment horizontal="right"/>
    </xf>
    <xf borderId="0" fillId="0" fontId="99" numFmtId="0" xfId="0" applyAlignment="1" applyFont="1">
      <alignment horizontal="center"/>
    </xf>
    <xf borderId="0" fillId="0" fontId="99" numFmtId="0" xfId="0" applyAlignment="1" applyFont="1">
      <alignment shrinkToFit="0" wrapText="1"/>
    </xf>
    <xf borderId="0" fillId="0" fontId="99" numFmtId="0" xfId="0" applyAlignment="1" applyFont="1">
      <alignment horizontal="right" readingOrder="0"/>
    </xf>
    <xf borderId="0" fillId="3" fontId="32" numFmtId="0" xfId="0" applyFont="1"/>
    <xf borderId="0" fillId="0" fontId="32" numFmtId="0" xfId="0" applyAlignment="1" applyFont="1">
      <alignment readingOrder="0" shrinkToFit="0" wrapText="1"/>
    </xf>
    <xf borderId="0" fillId="0" fontId="32" numFmtId="0" xfId="0" applyAlignment="1" applyFont="1">
      <alignment horizontal="center" readingOrder="0" shrinkToFit="0" wrapText="1"/>
    </xf>
    <xf borderId="0" fillId="3" fontId="32" numFmtId="0" xfId="0" applyAlignment="1" applyFont="1">
      <alignment horizontal="center"/>
    </xf>
    <xf borderId="0" fillId="3" fontId="5" numFmtId="0" xfId="0" applyAlignment="1" applyFont="1">
      <alignment vertical="bottom"/>
    </xf>
    <xf borderId="0" fillId="32" fontId="8" numFmtId="0" xfId="0" applyAlignment="1" applyFont="1">
      <alignment readingOrder="0"/>
    </xf>
    <xf borderId="0" fillId="32" fontId="117" numFmtId="0" xfId="0" applyAlignment="1" applyFont="1">
      <alignment horizontal="center" readingOrder="0" shrinkToFit="0" vertical="bottom" wrapText="0"/>
    </xf>
    <xf borderId="0" fillId="0" fontId="49" numFmtId="0" xfId="0" applyAlignment="1" applyFont="1">
      <alignment horizontal="left" readingOrder="0" shrinkToFit="0" vertical="bottom" wrapText="0"/>
    </xf>
    <xf borderId="0" fillId="3" fontId="5" numFmtId="0" xfId="0" applyAlignment="1" applyFont="1">
      <alignment readingOrder="0" vertical="bottom"/>
    </xf>
    <xf borderId="0" fillId="14" fontId="8" numFmtId="0" xfId="0" applyAlignment="1" applyFont="1">
      <alignment readingOrder="0"/>
    </xf>
    <xf borderId="0" fillId="5" fontId="8" numFmtId="0" xfId="0" applyAlignment="1" applyFont="1">
      <alignment readingOrder="0"/>
    </xf>
    <xf borderId="0" fillId="5" fontId="117" numFmtId="0" xfId="0" applyAlignment="1" applyFont="1">
      <alignment horizontal="center" readingOrder="0" shrinkToFit="0" vertical="bottom" wrapText="0"/>
    </xf>
    <xf borderId="0" fillId="3" fontId="117" numFmtId="0" xfId="0" applyAlignment="1" applyFont="1">
      <alignment horizontal="center" readingOrder="0" shrinkToFit="0" vertical="bottom" wrapText="0"/>
    </xf>
    <xf borderId="0" fillId="3" fontId="117" numFmtId="0" xfId="0" applyAlignment="1" applyFont="1">
      <alignment horizontal="center" readingOrder="0" shrinkToFit="0" vertical="bottom" wrapText="0"/>
    </xf>
    <xf borderId="0" fillId="31" fontId="36" numFmtId="0" xfId="0" applyAlignment="1" applyFont="1">
      <alignment horizontal="center" readingOrder="0" vertical="bottom"/>
    </xf>
    <xf borderId="0" fillId="31" fontId="5" numFmtId="0" xfId="0" applyAlignment="1" applyFont="1">
      <alignment vertical="bottom"/>
    </xf>
    <xf borderId="0" fillId="0" fontId="38" numFmtId="0" xfId="0" applyAlignment="1" applyFont="1">
      <alignment horizontal="center" vertical="bottom"/>
    </xf>
    <xf borderId="0" fillId="0" fontId="5" numFmtId="0" xfId="0" applyAlignment="1" applyFont="1">
      <alignment vertical="bottom"/>
    </xf>
    <xf borderId="0" fillId="31" fontId="38" numFmtId="0" xfId="0" applyAlignment="1" applyFont="1">
      <alignment vertical="bottom"/>
    </xf>
    <xf borderId="0" fillId="0" fontId="5" numFmtId="0" xfId="0" applyAlignment="1" applyFont="1">
      <alignment vertical="bottom"/>
    </xf>
    <xf borderId="0" fillId="31" fontId="5" numFmtId="0" xfId="0" applyAlignment="1" applyFont="1">
      <alignment readingOrder="0" vertical="bottom"/>
    </xf>
    <xf borderId="0" fillId="0" fontId="5" numFmtId="0" xfId="0" applyAlignment="1" applyFont="1">
      <alignment shrinkToFit="0" vertical="bottom" wrapText="0"/>
    </xf>
    <xf borderId="0" fillId="32" fontId="5" numFmtId="0" xfId="0" applyAlignment="1" applyFont="1">
      <alignment vertical="bottom"/>
    </xf>
    <xf borderId="0" fillId="32" fontId="36" numFmtId="0" xfId="0" applyAlignment="1" applyFont="1">
      <alignment horizontal="center" vertical="bottom"/>
    </xf>
    <xf borderId="0" fillId="32" fontId="38" numFmtId="0" xfId="0" applyAlignment="1" applyFont="1">
      <alignment vertical="bottom"/>
    </xf>
    <xf borderId="0" fillId="32" fontId="38" numFmtId="0" xfId="0" applyAlignment="1" applyFont="1">
      <alignment readingOrder="0" vertical="bottom"/>
    </xf>
    <xf borderId="0" fillId="0" fontId="5" numFmtId="0" xfId="0" applyAlignment="1" applyFont="1">
      <alignment readingOrder="0" vertical="bottom"/>
    </xf>
    <xf borderId="0" fillId="32" fontId="5" numFmtId="0" xfId="0" applyAlignment="1" applyFont="1">
      <alignment readingOrder="0" vertical="bottom"/>
    </xf>
    <xf borderId="0" fillId="2" fontId="5" numFmtId="0" xfId="0" applyAlignment="1" applyFont="1">
      <alignment readingOrder="0" vertical="bottom"/>
    </xf>
    <xf borderId="0" fillId="2" fontId="5" numFmtId="0" xfId="0" applyAlignment="1" applyFont="1">
      <alignment vertical="bottom"/>
    </xf>
    <xf borderId="0" fillId="2" fontId="5" numFmtId="0" xfId="0" applyAlignment="1" applyFont="1">
      <alignment vertical="bottom"/>
    </xf>
    <xf borderId="0" fillId="30" fontId="5" numFmtId="0" xfId="0" applyAlignment="1" applyFont="1">
      <alignment vertical="bottom"/>
    </xf>
    <xf borderId="0" fillId="30" fontId="36" numFmtId="0" xfId="0" applyAlignment="1" applyFont="1">
      <alignment horizontal="center" vertical="bottom"/>
    </xf>
    <xf borderId="0" fillId="30" fontId="38" numFmtId="0" xfId="0" applyAlignment="1" applyFont="1">
      <alignment vertical="bottom"/>
    </xf>
    <xf borderId="0" fillId="30" fontId="5" numFmtId="0" xfId="0" applyAlignment="1" applyFont="1">
      <alignment readingOrder="0" vertical="bottom"/>
    </xf>
    <xf borderId="0" fillId="30" fontId="5" numFmtId="0" xfId="0" applyAlignment="1" applyFont="1">
      <alignment readingOrder="0" vertical="bottom"/>
    </xf>
    <xf borderId="0" fillId="0" fontId="5" numFmtId="0" xfId="0" applyAlignment="1" applyFont="1">
      <alignment vertical="bottom"/>
    </xf>
    <xf borderId="0" fillId="0" fontId="5" numFmtId="0" xfId="0" applyAlignment="1" applyFont="1">
      <alignment vertical="bottom"/>
    </xf>
    <xf borderId="0" fillId="0" fontId="5" numFmtId="0" xfId="0" applyAlignment="1" applyFont="1">
      <alignment shrinkToFit="0" vertical="bottom" wrapText="0"/>
    </xf>
    <xf borderId="0" fillId="0" fontId="5" numFmtId="0" xfId="0" applyAlignment="1" applyFont="1">
      <alignment shrinkToFit="0" vertical="bottom" wrapText="1"/>
    </xf>
    <xf borderId="0" fillId="0" fontId="5" numFmtId="0" xfId="0" applyAlignment="1" applyFont="1">
      <alignment horizontal="right" vertical="bottom"/>
    </xf>
    <xf borderId="0" fillId="0" fontId="5" numFmtId="14" xfId="0" applyAlignment="1" applyFont="1" applyNumberFormat="1">
      <alignment vertical="bottom"/>
    </xf>
  </cellXfs>
  <cellStyles count="1">
    <cellStyle xfId="0" name="Normal" builtinId="0"/>
  </cellStyles>
  <dxfs count="24">
    <dxf>
      <font/>
      <fill>
        <patternFill patternType="solid">
          <fgColor rgb="FFADFF5A"/>
          <bgColor rgb="FFADFF5A"/>
        </patternFill>
      </fill>
      <border/>
    </dxf>
    <dxf>
      <font/>
      <fill>
        <patternFill patternType="solid">
          <fgColor rgb="FFFFFF00"/>
          <bgColor rgb="FFFFFF00"/>
        </patternFill>
      </fill>
      <border/>
    </dxf>
    <dxf>
      <font/>
      <fill>
        <patternFill patternType="solid">
          <fgColor rgb="FFF9F97C"/>
          <bgColor rgb="FFF9F97C"/>
        </patternFill>
      </fill>
      <border/>
    </dxf>
    <dxf>
      <font/>
      <fill>
        <patternFill patternType="solid">
          <fgColor rgb="FFD9D2E9"/>
          <bgColor rgb="FFD9D2E9"/>
        </patternFill>
      </fill>
      <border/>
    </dxf>
    <dxf>
      <font>
        <color rgb="FF000000"/>
      </font>
      <fill>
        <patternFill patternType="solid">
          <fgColor rgb="FFD9D9D9"/>
          <bgColor rgb="FFD9D9D9"/>
        </patternFill>
      </fill>
      <border/>
    </dxf>
    <dxf>
      <font/>
      <fill>
        <patternFill patternType="solid">
          <fgColor rgb="FF6AA84F"/>
          <bgColor rgb="FF6AA84F"/>
        </patternFill>
      </fill>
      <border/>
    </dxf>
    <dxf>
      <font/>
      <fill>
        <patternFill patternType="solid">
          <fgColor rgb="FFCFE2F3"/>
          <bgColor rgb="FFCFE2F3"/>
        </patternFill>
      </fill>
      <border/>
    </dxf>
    <dxf>
      <font/>
      <fill>
        <patternFill patternType="solid">
          <fgColor rgb="FF66BD5E"/>
          <bgColor rgb="FF66BD5E"/>
        </patternFill>
      </fill>
      <border/>
    </dxf>
    <dxf>
      <font>
        <color rgb="FF000000"/>
      </font>
      <fill>
        <patternFill patternType="solid">
          <fgColor rgb="FF76AA5F"/>
          <bgColor rgb="FF76AA5F"/>
        </patternFill>
      </fill>
      <border/>
    </dxf>
    <dxf>
      <font/>
      <fill>
        <patternFill patternType="solid">
          <fgColor rgb="FFFFE599"/>
          <bgColor rgb="FFFFE599"/>
        </patternFill>
      </fill>
      <border/>
    </dxf>
    <dxf>
      <font/>
      <fill>
        <patternFill patternType="solid">
          <fgColor rgb="FF73FEBC"/>
          <bgColor rgb="FF73FEBC"/>
        </patternFill>
      </fill>
      <border/>
    </dxf>
    <dxf>
      <font/>
      <fill>
        <patternFill patternType="solid">
          <fgColor rgb="FFEBCA6A"/>
          <bgColor rgb="FFEBCA6A"/>
        </patternFill>
      </fill>
      <border/>
    </dxf>
    <dxf>
      <font/>
      <fill>
        <patternFill patternType="solid">
          <fgColor rgb="FFDCBB59"/>
          <bgColor rgb="FFDCBB59"/>
        </patternFill>
      </fill>
      <border/>
    </dxf>
    <dxf>
      <font/>
      <fill>
        <patternFill patternType="solid">
          <fgColor rgb="FFEE9DA5"/>
          <bgColor rgb="FFEE9DA5"/>
        </patternFill>
      </fill>
      <border/>
    </dxf>
    <dxf>
      <font/>
      <fill>
        <patternFill patternType="solid">
          <fgColor rgb="FFDEDE00"/>
          <bgColor rgb="FFDEDE00"/>
        </patternFill>
      </fill>
      <border/>
    </dxf>
    <dxf>
      <font/>
      <fill>
        <patternFill patternType="solid">
          <fgColor rgb="FFE2E27F"/>
          <bgColor rgb="FFE2E27F"/>
        </patternFill>
      </fill>
      <border/>
    </dxf>
    <dxf>
      <font/>
      <fill>
        <patternFill patternType="solid">
          <fgColor rgb="FF53E19E"/>
          <bgColor rgb="FF53E19E"/>
        </patternFill>
      </fill>
      <border/>
    </dxf>
    <dxf>
      <font/>
      <fill>
        <patternFill patternType="solid">
          <fgColor rgb="FF20F28F"/>
          <bgColor rgb="FF20F28F"/>
        </patternFill>
      </fill>
      <border/>
    </dxf>
    <dxf>
      <font>
        <color rgb="FF000000"/>
      </font>
      <fill>
        <patternFill patternType="solid">
          <fgColor rgb="FFE8DBB8"/>
          <bgColor rgb="FFE8DBB8"/>
        </patternFill>
      </fill>
      <border/>
    </dxf>
    <dxf>
      <font/>
      <fill>
        <patternFill patternType="solid">
          <fgColor rgb="FFFFF2CC"/>
          <bgColor rgb="FFFFF2CC"/>
        </patternFill>
      </fill>
      <border/>
    </dxf>
    <dxf>
      <font/>
      <fill>
        <patternFill patternType="solid">
          <fgColor rgb="FFEFEFEF"/>
          <bgColor rgb="FFEFEFEF"/>
        </patternFill>
      </fill>
      <border/>
    </dxf>
    <dxf>
      <font/>
      <fill>
        <patternFill patternType="solid">
          <fgColor rgb="FFCCCCCC"/>
          <bgColor rgb="FFCCCCCC"/>
        </patternFill>
      </fill>
      <border/>
    </dxf>
    <dxf>
      <font/>
      <fill>
        <patternFill patternType="solid">
          <fgColor rgb="FFD1A2A2"/>
          <bgColor rgb="FFD1A2A2"/>
        </patternFill>
      </fill>
      <border/>
    </dxf>
    <dxf>
      <font>
        <color theme="1"/>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20" Type="http://schemas.openxmlformats.org/officeDocument/2006/relationships/drawing" Target="../drawings/drawing37.xml"/><Relationship Id="rId11" Type="http://schemas.openxmlformats.org/officeDocument/2006/relationships/hyperlink" Target="mailto:anwen_15@mail.ru" TargetMode="External"/><Relationship Id="rId10" Type="http://schemas.openxmlformats.org/officeDocument/2006/relationships/hyperlink" Target="https://us04web.zoom.us/j/5961021355?pwd=ak1XbmprdFBUQnRZOWszWU91VHdyUT09.%D0%AD%D1%82%D0%BE" TargetMode="External"/><Relationship Id="rId21" Type="http://schemas.openxmlformats.org/officeDocument/2006/relationships/vmlDrawing" Target="../drawings/vmlDrawing1.vml"/><Relationship Id="rId13" Type="http://schemas.openxmlformats.org/officeDocument/2006/relationships/hyperlink" Target="https://us02web.zoom.us/j/5807501865" TargetMode="External"/><Relationship Id="rId12" Type="http://schemas.openxmlformats.org/officeDocument/2006/relationships/hyperlink" Target="https://us04web.zoom.us/j/7358222848?pwd=YzRiNFl0M3MyQUt0V21Makd6akRFdz09" TargetMode="External"/><Relationship Id="rId1" Type="http://schemas.openxmlformats.org/officeDocument/2006/relationships/comments" Target="../comments1.xml"/><Relationship Id="rId2" Type="http://schemas.openxmlformats.org/officeDocument/2006/relationships/hyperlink" Target="https://us02web.zoom.us/j/113827192" TargetMode="External"/><Relationship Id="rId3" Type="http://schemas.openxmlformats.org/officeDocument/2006/relationships/hyperlink" Target="https://us04web.zoom.us/j/5645989286?pwd=Y0hZZmdMeWU5YjhHV0hTUVRNdDMydz09" TargetMode="External"/><Relationship Id="rId4" Type="http://schemas.openxmlformats.org/officeDocument/2006/relationships/hyperlink" Target="https://us04web.zoom.us/j/7233947913?pwd=bVlCWlQrL1ZJWUlOVEJYbTV5QjNMUT09" TargetMode="External"/><Relationship Id="rId9" Type="http://schemas.openxmlformats.org/officeDocument/2006/relationships/hyperlink" Target="https://us04web.zoom.us/j/6160241667?pwd=TkZLeU1MY2d5eUpqeTJ5WUJTRHlVUT09" TargetMode="External"/><Relationship Id="rId15" Type="http://schemas.openxmlformats.org/officeDocument/2006/relationships/hyperlink" Target="https://us04web.zoom.us/j/2050023857?pwd=eEZSN3N5RG83QjlXb0gyQjYrdE9yZz09" TargetMode="External"/><Relationship Id="rId14" Type="http://schemas.openxmlformats.org/officeDocument/2006/relationships/hyperlink" Target="https://us04web.zoom.us/j/9753959216?pwd=WEtHK0llaWZmTWtmTnhPUlVqRmlGUT09" TargetMode="External"/><Relationship Id="rId17" Type="http://schemas.openxmlformats.org/officeDocument/2006/relationships/hyperlink" Target="https://us04web.zoom.us/j/2877840306?pwd=YXV2Znc4Rk15SVB3WFZjbU9ZQmd2dz09" TargetMode="External"/><Relationship Id="rId16" Type="http://schemas.openxmlformats.org/officeDocument/2006/relationships/hyperlink" Target="https://us04web.zoom.us/j/77981335829?pwd=UFJFMW5uczFnMG9jUVZnVkdVR3REQT09" TargetMode="External"/><Relationship Id="rId5" Type="http://schemas.openxmlformats.org/officeDocument/2006/relationships/hyperlink" Target="https://us04web.zoom.us/j/8624009389?pwd=NUp6bkt5R0FiMUx3K0phNVRUdGVBUT09" TargetMode="External"/><Relationship Id="rId19" Type="http://schemas.openxmlformats.org/officeDocument/2006/relationships/hyperlink" Target="https://us04web.zoom.us/j/73989087482?pwd=TkZLeU1MY2d5eUpqeTJ5WUJTRHlVUT09" TargetMode="External"/><Relationship Id="rId6" Type="http://schemas.openxmlformats.org/officeDocument/2006/relationships/hyperlink" Target="https://us04web.zoom.us/j/2972896492?pwd=SmtyVTFXcGxraWs4SWprdHN5d0NqUT09" TargetMode="External"/><Relationship Id="rId18" Type="http://schemas.openxmlformats.org/officeDocument/2006/relationships/hyperlink" Target="https://us04web.zoom.us/j/74565504681?pwd=WURvOEtJMWxJd0NCTGRTRm8wMitqQT09" TargetMode="External"/><Relationship Id="rId7" Type="http://schemas.openxmlformats.org/officeDocument/2006/relationships/hyperlink" Target="https://zoom.us/j/5713655679?pwd=S1FiOVZFeGV4NmU4SU5BbExMSWZlUT09" TargetMode="External"/><Relationship Id="rId8" Type="http://schemas.openxmlformats.org/officeDocument/2006/relationships/hyperlink" Target="https://us02web.zoom.us/j/86760072784" TargetMode="External"/></Relationships>
</file>

<file path=xl/worksheets/_rels/sheet38.xml.rels><?xml version="1.0" encoding="UTF-8" standalone="yes"?><Relationships xmlns="http://schemas.openxmlformats.org/package/2006/relationships"><Relationship Id="rId40" Type="http://schemas.openxmlformats.org/officeDocument/2006/relationships/hyperlink" Target="https://1502.mskobr.ru/uchashimsya/olimpiady-konkursy-konferencii/konferentsiya-potentsial" TargetMode="External"/><Relationship Id="rId42" Type="http://schemas.openxmlformats.org/officeDocument/2006/relationships/hyperlink" Target="https://sportrobotics.ru/event/815" TargetMode="External"/><Relationship Id="rId41" Type="http://schemas.openxmlformats.org/officeDocument/2006/relationships/hyperlink" Target="https://1502.mskobr.ru/uchashimsya/olimpiady-konkursy-konferencii/konferentsiya-potentsial" TargetMode="External"/><Relationship Id="rId44" Type="http://schemas.openxmlformats.org/officeDocument/2006/relationships/hyperlink" Target="https://sportrobotics.ru/event/info/results/id/894/cid/5596" TargetMode="External"/><Relationship Id="rId43" Type="http://schemas.openxmlformats.org/officeDocument/2006/relationships/hyperlink" Target="https://turmath.ru/" TargetMode="External"/><Relationship Id="rId46" Type="http://schemas.openxmlformats.org/officeDocument/2006/relationships/hyperlink" Target="https://turmath.ru/uraltur/archive.php" TargetMode="External"/><Relationship Id="rId45" Type="http://schemas.openxmlformats.org/officeDocument/2006/relationships/hyperlink" Target="https://shashki.ru/tournaments/2023/tsfo_b_m14/tournament_table_acc_places.html" TargetMode="External"/><Relationship Id="rId1" Type="http://schemas.openxmlformats.org/officeDocument/2006/relationships/hyperlink" Target="https://maxwell.mipt.ru/" TargetMode="External"/><Relationship Id="rId2" Type="http://schemas.openxmlformats.org/officeDocument/2006/relationships/hyperlink" Target="https://olimp.duhobr.ru/assets/files/data/2/24/dfe26d981bef1857d7632ede75e3722e.pdf" TargetMode="External"/><Relationship Id="rId3" Type="http://schemas.openxmlformats.org/officeDocument/2006/relationships/hyperlink" Target="https://www.mgpu.ru/wp-content/uploads/2023/04/ANGLIJSKIJ-YAZYK-itogi-na-sajt1-1.pdf" TargetMode="External"/><Relationship Id="rId4" Type="http://schemas.openxmlformats.org/officeDocument/2006/relationships/hyperlink" Target="http://www2.rsuh.ru/binary/2641788_94.1679757533.6168.pdf" TargetMode="External"/><Relationship Id="rId9" Type="http://schemas.openxmlformats.org/officeDocument/2006/relationships/hyperlink" Target="https://vos.olimpiada.ru/team/year/2023/results" TargetMode="External"/><Relationship Id="rId48" Type="http://schemas.openxmlformats.org/officeDocument/2006/relationships/hyperlink" Target="https://ub.festivalnauki.ru/" TargetMode="External"/><Relationship Id="rId47" Type="http://schemas.openxmlformats.org/officeDocument/2006/relationships/hyperlink" Target="https://ub.festivalnauki.ru/" TargetMode="External"/><Relationship Id="rId49" Type="http://schemas.openxmlformats.org/officeDocument/2006/relationships/hyperlink" Target="https://center-orlyonok.ru/RU/Content/KonkursPage" TargetMode="External"/><Relationship Id="rId5" Type="http://schemas.openxmlformats.org/officeDocument/2006/relationships/hyperlink" Target="https://olymp43.hse.ru/OLYMPREPORTS/MMO/SecondStage/Diplomants/6691189266.pdf" TargetMode="External"/><Relationship Id="rId6" Type="http://schemas.openxmlformats.org/officeDocument/2006/relationships/hyperlink" Target="https://olymp43.hse.ru/OLYMPREPORTS/MMO/SecondStage/Diplomants/6691189266.pdf" TargetMode="External"/><Relationship Id="rId7" Type="http://schemas.openxmlformats.org/officeDocument/2006/relationships/hyperlink" Target="https://olymp43.hse.ru/OLYMPREPORTS/MMO/SecondStage/Diplomants/6691189266.pdf" TargetMode="External"/><Relationship Id="rId8" Type="http://schemas.openxmlformats.org/officeDocument/2006/relationships/hyperlink" Target="https://olymp44.hse.ru/schoolparticipants.html" TargetMode="External"/><Relationship Id="rId31" Type="http://schemas.openxmlformats.org/officeDocument/2006/relationships/hyperlink" Target="https://turlom.olimpiada.ru/gramota2022?grade=8&amp;region=77" TargetMode="External"/><Relationship Id="rId30" Type="http://schemas.openxmlformats.org/officeDocument/2006/relationships/hyperlink" Target="https://turlom.olimpiada.ru/gramota2022?grade=8&amp;region=77" TargetMode="External"/><Relationship Id="rId33" Type="http://schemas.openxmlformats.org/officeDocument/2006/relationships/hyperlink" Target="https://turlom.olimpiada.ru/gramota2022?grade=10&amp;region=77" TargetMode="External"/><Relationship Id="rId32" Type="http://schemas.openxmlformats.org/officeDocument/2006/relationships/hyperlink" Target="https://turlom.olimpiada.ru/gramota2022?grade=7&amp;region=77" TargetMode="External"/><Relationship Id="rId35" Type="http://schemas.openxmlformats.org/officeDocument/2006/relationships/hyperlink" Target="https://turlom.olimpiada.ru/gramota2022?grade=5&amp;region=77" TargetMode="External"/><Relationship Id="rId34" Type="http://schemas.openxmlformats.org/officeDocument/2006/relationships/hyperlink" Target="https://turlom.olimpiada.ru/gramota2022?grade=6&amp;region=77" TargetMode="External"/><Relationship Id="rId37" Type="http://schemas.openxmlformats.org/officeDocument/2006/relationships/hyperlink" Target="https://jroi.ru/" TargetMode="External"/><Relationship Id="rId36" Type="http://schemas.openxmlformats.org/officeDocument/2006/relationships/hyperlink" Target="https://www.geometry.ru/olimp/2022.php" TargetMode="External"/><Relationship Id="rId39" Type="http://schemas.openxmlformats.org/officeDocument/2006/relationships/hyperlink" Target="https://school.hse.ru/conference/" TargetMode="External"/><Relationship Id="rId38" Type="http://schemas.openxmlformats.org/officeDocument/2006/relationships/hyperlink" Target="https://vernadsky.info/" TargetMode="External"/><Relationship Id="rId20" Type="http://schemas.openxmlformats.org/officeDocument/2006/relationships/hyperlink" Target="https://dano.hse.ru/result" TargetMode="External"/><Relationship Id="rId22" Type="http://schemas.openxmlformats.org/officeDocument/2006/relationships/hyperlink" Target="https://reg.cpm.moscow/register/russia-olympiad-engl-2022-2-10-protocol/olympiad-protocol-static" TargetMode="External"/><Relationship Id="rId21" Type="http://schemas.openxmlformats.org/officeDocument/2006/relationships/hyperlink" Target="https://vos.olimpiada.ru/2022" TargetMode="External"/><Relationship Id="rId24" Type="http://schemas.openxmlformats.org/officeDocument/2006/relationships/hyperlink" Target="https://vos.olimpiada.ru/2022" TargetMode="External"/><Relationship Id="rId23" Type="http://schemas.openxmlformats.org/officeDocument/2006/relationships/hyperlink" Target="https://vos.olimpiada.ru/2022" TargetMode="External"/><Relationship Id="rId26" Type="http://schemas.openxmlformats.org/officeDocument/2006/relationships/hyperlink" Target="https://vos.olimpiada.ru/2022" TargetMode="External"/><Relationship Id="rId25" Type="http://schemas.openxmlformats.org/officeDocument/2006/relationships/hyperlink" Target="https://vos.olimpiada.ru/2022" TargetMode="External"/><Relationship Id="rId28" Type="http://schemas.openxmlformats.org/officeDocument/2006/relationships/hyperlink" Target="https://turlom.olimpiada.ru/gramota2022?grade=10&amp;region=77" TargetMode="External"/><Relationship Id="rId27" Type="http://schemas.openxmlformats.org/officeDocument/2006/relationships/hyperlink" Target="https://vos.olimpiada.ru/2022" TargetMode="External"/><Relationship Id="rId29" Type="http://schemas.openxmlformats.org/officeDocument/2006/relationships/hyperlink" Target="https://turlom.olimpiada.ru/gramota2022?grade=10&amp;region=77" TargetMode="External"/><Relationship Id="rId51" Type="http://schemas.openxmlformats.org/officeDocument/2006/relationships/hyperlink" Target="https://jroi.ru/" TargetMode="External"/><Relationship Id="rId50" Type="http://schemas.openxmlformats.org/officeDocument/2006/relationships/hyperlink" Target="https://jroi.ru/" TargetMode="External"/><Relationship Id="rId53" Type="http://schemas.openxmlformats.org/officeDocument/2006/relationships/hyperlink" Target="https://jroi.ru/" TargetMode="External"/><Relationship Id="rId52" Type="http://schemas.openxmlformats.org/officeDocument/2006/relationships/hyperlink" Target="https://jroi.ru/" TargetMode="External"/><Relationship Id="rId11" Type="http://schemas.openxmlformats.org/officeDocument/2006/relationships/hyperlink" Target="https://mos-robotics.olimpiada.ru/" TargetMode="External"/><Relationship Id="rId55" Type="http://schemas.openxmlformats.org/officeDocument/2006/relationships/drawing" Target="../drawings/drawing38.xml"/><Relationship Id="rId10" Type="http://schemas.openxmlformats.org/officeDocument/2006/relationships/hyperlink" Target="https://vos.olimpiada.ru/team/year/2023/results" TargetMode="External"/><Relationship Id="rId54" Type="http://schemas.openxmlformats.org/officeDocument/2006/relationships/hyperlink" Target="https://moluch.ru/young/archive/59/3135/" TargetMode="External"/><Relationship Id="rId13" Type="http://schemas.openxmlformats.org/officeDocument/2006/relationships/hyperlink" Target="https://reg.cpm.moscow/register/maxwell-2023-protocol/olympiad-protocol-static" TargetMode="External"/><Relationship Id="rId12" Type="http://schemas.openxmlformats.org/officeDocument/2006/relationships/hyperlink" Target="https://olymp.mipt.ru/olympiad/results" TargetMode="External"/><Relationship Id="rId15" Type="http://schemas.openxmlformats.org/officeDocument/2006/relationships/hyperlink" Target="https://reg.cpm.moscow/register/russia-olympiad-techrobo-2022-3-protocol/olympiad-protocol-static" TargetMode="External"/><Relationship Id="rId14" Type="http://schemas.openxmlformats.org/officeDocument/2006/relationships/hyperlink" Target="http://www.arhimedes.org/" TargetMode="External"/><Relationship Id="rId17" Type="http://schemas.openxmlformats.org/officeDocument/2006/relationships/hyperlink" Target="https://reg.cpm.moscow/register/russia-olympiad-techrobo-2022-3-protocol/olympiad-protocol-static" TargetMode="External"/><Relationship Id="rId16" Type="http://schemas.openxmlformats.org/officeDocument/2006/relationships/hyperlink" Target="https://reg.cpm.moscow/register/russia-olympiad-techrobo-2022-3-protocol/olympiad-protocol-static" TargetMode="External"/><Relationship Id="rId19" Type="http://schemas.openxmlformats.org/officeDocument/2006/relationships/hyperlink" Target="https://reg.cpm.moscow/register/russia-olympiad-techsecr-2022-3-protocol/olympiad-protocol-static" TargetMode="External"/><Relationship Id="rId18" Type="http://schemas.openxmlformats.org/officeDocument/2006/relationships/hyperlink" Target="https://reg.cpm.moscow/register/russia-olympiad-techsecr-2022-3-protocol/olympiad-protocol-static" TargetMode="External"/></Relationships>
</file>

<file path=xl/worksheets/_rels/sheet3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9.xml"/><Relationship Id="rId3" Type="http://schemas.openxmlformats.org/officeDocument/2006/relationships/vmlDrawing" Target="../drawings/vmlDrawing2.v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40" Type="http://schemas.openxmlformats.org/officeDocument/2006/relationships/hyperlink" Target="https://docs.google.com/spreadsheets/d/1zC_WjSBGsDYL76q02xXDyIhvLrlNk3CIJwZmvKgRrlg/edit" TargetMode="External"/><Relationship Id="rId42" Type="http://schemas.openxmlformats.org/officeDocument/2006/relationships/hyperlink" Target="https://drive.google.com/drive/folders/1X59DtxKp5H7ncBFxVw8U-nZDPddvkwNy?usp=share_link" TargetMode="External"/><Relationship Id="rId41" Type="http://schemas.openxmlformats.org/officeDocument/2006/relationships/hyperlink" Target="https://docs.google.com/spreadsheets/d/1RaVqHZTx3R3_fViCeA1Zkr-OYMdC3e3EklWIDbOGbZE/edit?usp=sharing" TargetMode="External"/><Relationship Id="rId44" Type="http://schemas.openxmlformats.org/officeDocument/2006/relationships/vmlDrawing" Target="../drawings/vmlDrawing3.vml"/><Relationship Id="rId43" Type="http://schemas.openxmlformats.org/officeDocument/2006/relationships/drawing" Target="../drawings/drawing41.xml"/><Relationship Id="rId1" Type="http://schemas.openxmlformats.org/officeDocument/2006/relationships/comments" Target="../comments3.xml"/><Relationship Id="rId2" Type="http://schemas.openxmlformats.org/officeDocument/2006/relationships/hyperlink" Target="https://drive.google.com/drive/u/0/folders/1ziKMGwnd9N2B8sWy4MsCn2o728mKQHkn" TargetMode="External"/><Relationship Id="rId3" Type="http://schemas.openxmlformats.org/officeDocument/2006/relationships/hyperlink" Target="https://docs.google.com/spreadsheets/d/1gewSO9Nc7JzniLjbW6GdBiqry8_wSEsRYBbMn2cZn3w/edit" TargetMode="External"/><Relationship Id="rId4" Type="http://schemas.openxmlformats.org/officeDocument/2006/relationships/hyperlink" Target="https://docs.google.com/spreadsheets/d/13R-wt-C4RElxYmps05j1KJhtkAISCA6nQdwk5kkKeok/edit" TargetMode="External"/><Relationship Id="rId9" Type="http://schemas.openxmlformats.org/officeDocument/2006/relationships/hyperlink" Target="https://docs.google.com/spreadsheets/d/10cC_oSHPNb8e_rg2gW-CFeO9SGQvHWbT0QAJVfjPWWI/edit" TargetMode="External"/><Relationship Id="rId5" Type="http://schemas.openxmlformats.org/officeDocument/2006/relationships/hyperlink" Target="https://docs.google.com/spreadsheets/d/1GfRGWH9PzMkfqhCmgNSN2ejj7ih-W97caYd9QPSgM9c/edit?usp=sharing" TargetMode="External"/><Relationship Id="rId6" Type="http://schemas.openxmlformats.org/officeDocument/2006/relationships/hyperlink" Target="https://docs.google.com/spreadsheets/d/1_IlLVs2Ka0GgN_OZJLktB93_EmMl3g4fhMrgXRkfIwA/edit" TargetMode="External"/><Relationship Id="rId7" Type="http://schemas.openxmlformats.org/officeDocument/2006/relationships/hyperlink" Target="https://docs.google.com/spreadsheets/d/e/2PACX-1vQPX_GYCt-nZwVC_PzCB-HvR7O0yRLpRhtCgkfULkYzTlPpw2t2XQunB15Dl6VM2WAdGhFu2sQi_0Os/pubhtml" TargetMode="External"/><Relationship Id="rId8" Type="http://schemas.openxmlformats.org/officeDocument/2006/relationships/hyperlink" Target="https://docs.google.com/spreadsheets/d/e/2PACX-1vTc0-Q1nmIGo8PJlWQ__RiAxDn88uk8XhRitwujU-Yf0wXkdicx1kFhmmI_UOdkml6B2iyeA3yrD35Y/pubhtml" TargetMode="External"/><Relationship Id="rId31" Type="http://schemas.openxmlformats.org/officeDocument/2006/relationships/hyperlink" Target="https://docs.google.com/document/d/1tskjyygiWoYXRB87y-Ax8vhEseY1X_3p/edit?usp=sharing&amp;ouid=104810515155624067949&amp;rtpof=true&amp;sd=true" TargetMode="External"/><Relationship Id="rId30" Type="http://schemas.openxmlformats.org/officeDocument/2006/relationships/hyperlink" Target="https://drive.google.com/drive/folders/17BT4FOgRuu8dOXOmMIoLCP0xELz2DZli?usp=sharing" TargetMode="External"/><Relationship Id="rId33" Type="http://schemas.openxmlformats.org/officeDocument/2006/relationships/hyperlink" Target="https://docs.google.com/spreadsheets/d/16fsPjRAuC4J43w8l9im8LspMG5T4D_ok7IavTexm2G0/edit" TargetMode="External"/><Relationship Id="rId32" Type="http://schemas.openxmlformats.org/officeDocument/2006/relationships/hyperlink" Target="https://docs.google.com/spreadsheets/d/1Um8Qfgx-ED6Pm2obRQMDPI7slWKMiawOtAoXaNf5UAw/edit?usp=sharing" TargetMode="External"/><Relationship Id="rId35" Type="http://schemas.openxmlformats.org/officeDocument/2006/relationships/hyperlink" Target="https://docs.google.com/document/d/1n2x8qUh6NCOu8bKgzZGWGhuuxWJn1o7G/edit?usp=sharing&amp;ouid=104810515155624067949&amp;rtpof=true&amp;sd=true" TargetMode="External"/><Relationship Id="rId34" Type="http://schemas.openxmlformats.org/officeDocument/2006/relationships/hyperlink" Target="https://docs.google.com/document/d/13Ik26s2Szlhp8ysyIuE440eRX_vdavRM/edit?usp=sharing&amp;ouid=104810515155624067949&amp;rtpof=true&amp;sd=true" TargetMode="External"/><Relationship Id="rId37" Type="http://schemas.openxmlformats.org/officeDocument/2006/relationships/hyperlink" Target="https://drive.google.com/drive/folders/1o4lJqOQIinWFA-TjicFgAUY7ORmP_IHM?usp=sharing" TargetMode="External"/><Relationship Id="rId36" Type="http://schemas.openxmlformats.org/officeDocument/2006/relationships/hyperlink" Target="https://drive.google.com/drive/folders/1IXotFFDVZsiCRKuGcd4AhBBHiIKjZSWT?usp=sharing" TargetMode="External"/><Relationship Id="rId39" Type="http://schemas.openxmlformats.org/officeDocument/2006/relationships/hyperlink" Target="https://docs.google.com/spreadsheets/d/1GM1_DIGz_2OkrtiXt_uDfXiR1EGjhs2Ibd-PDNNXySo/edit" TargetMode="External"/><Relationship Id="rId38" Type="http://schemas.openxmlformats.org/officeDocument/2006/relationships/hyperlink" Target="https://drive.google.com/drive/folders/1sHeuK1ylCrhph9MJdRz_pMivWxey8miy?usp=sharing" TargetMode="External"/><Relationship Id="rId20" Type="http://schemas.openxmlformats.org/officeDocument/2006/relationships/hyperlink" Target="https://forms.yandex.ru/cloud/623209ed4cc03d80793c5479/" TargetMode="External"/><Relationship Id="rId22" Type="http://schemas.openxmlformats.org/officeDocument/2006/relationships/hyperlink" Target="https://docs.google.com/spreadsheets/d/1h5uEmhbbcZkG9a9jWZ93tr8wQ3aRC-z9RTgL3f2So9U/edit?usp=sharing" TargetMode="External"/><Relationship Id="rId21" Type="http://schemas.openxmlformats.org/officeDocument/2006/relationships/hyperlink" Target="https://drive.google.com/file/d/1-znlCwIZ-T3Xjn4WugZB7n5ZrXZZ8pOb/view?usp=sharing" TargetMode="External"/><Relationship Id="rId24" Type="http://schemas.openxmlformats.org/officeDocument/2006/relationships/hyperlink" Target="https://docs.google.com/spreadsheets/d/1bby9ljD86JN7zdAX24IwkyqqAvawOAf6WvhpGyRW91o/edit" TargetMode="External"/><Relationship Id="rId23" Type="http://schemas.openxmlformats.org/officeDocument/2006/relationships/hyperlink" Target="https://docs.google.com/spreadsheets/d/1MYZZlxIEnb332rZTcZ3nrsJ_IBWbnCL8m7Mf08uJ19s/edit?usp=sharing" TargetMode="External"/><Relationship Id="rId26" Type="http://schemas.openxmlformats.org/officeDocument/2006/relationships/hyperlink" Target="https://docs.google.com/spreadsheets/d/1CcRJ6B6JIPPWwjhx2zmRA8Q8hvQkdJwaBLHw0HoF_AI/edit?usp=sharing" TargetMode="External"/><Relationship Id="rId25" Type="http://schemas.openxmlformats.org/officeDocument/2006/relationships/hyperlink" Target="https://docs.google.com/spreadsheets/d/1_K4x7QSQTYRC6-rze8zYboP4B1ZnOe54BL_GbbmQ2wk/edit?usp=sharing" TargetMode="External"/><Relationship Id="rId28" Type="http://schemas.openxmlformats.org/officeDocument/2006/relationships/hyperlink" Target="https://docs.google.com/document/d/1aXrsXO3-xW6uOig13Ko9iIDQJzrFCyQgXgdkSyL4Lms/edit" TargetMode="External"/><Relationship Id="rId27" Type="http://schemas.openxmlformats.org/officeDocument/2006/relationships/hyperlink" Target="https://drive.google.com/drive/folders/1gPGsfOhBuBx9x43-0em7WAuojvqVcpGS?usp=sharing" TargetMode="External"/><Relationship Id="rId29" Type="http://schemas.openxmlformats.org/officeDocument/2006/relationships/hyperlink" Target="https://drive.google.com/drive/folders/1VzfJy0Sfa_gSxf1z-1Rg9W150zk7RToV?usp=sharing" TargetMode="External"/><Relationship Id="rId11" Type="http://schemas.openxmlformats.org/officeDocument/2006/relationships/hyperlink" Target="https://docs.google.com/spreadsheets/d/1GA_STxV7_E_zximkcBRvKjfjSWOCdQ3REm4eAxz6YCk/edit" TargetMode="External"/><Relationship Id="rId10" Type="http://schemas.openxmlformats.org/officeDocument/2006/relationships/hyperlink" Target="https://docs.google.com/spreadsheets/d/1PaJ-6QTZFF1Ivciz8UVjTCeeEQbbyEfXo8o05HcD-yU/edit?usp=sharing" TargetMode="External"/><Relationship Id="rId13" Type="http://schemas.openxmlformats.org/officeDocument/2006/relationships/hyperlink" Target="https://docs.google.com/spreadsheets/d/1ufkz8B2EGU5hSRq4MCrUAh4Ow_EMAJsIJF_UsPfzLwE/edit?usp=sharing" TargetMode="External"/><Relationship Id="rId12" Type="http://schemas.openxmlformats.org/officeDocument/2006/relationships/hyperlink" Target="https://docs.google.com/spreadsheets/d/1nv2NzcQ8KcXxJVC5G_mMuirW6WXDJYut6FoTXHAhnFQ/edit" TargetMode="External"/><Relationship Id="rId15" Type="http://schemas.openxmlformats.org/officeDocument/2006/relationships/hyperlink" Target="https://docs.google.com/spreadsheets/d/179s2SvYcyjMXHWhuhhHzCBSs9iuQmM04uvh-ci41d0k/edit?usp=sharing" TargetMode="External"/><Relationship Id="rId14" Type="http://schemas.openxmlformats.org/officeDocument/2006/relationships/hyperlink" Target="https://docs.google.com/document/d/1VxUPYTSUzIpM1gu7llnxOXnBZWLVL1f2lbG7ktGQkcQ/edit?usp=sharing" TargetMode="External"/><Relationship Id="rId17" Type="http://schemas.openxmlformats.org/officeDocument/2006/relationships/hyperlink" Target="https://docs.google.com/spreadsheets/d/1AOWXgbxOtBgSldb6wK6mK1HNddGUi99EYYus84ilFiw/edit?ts=5f533110" TargetMode="External"/><Relationship Id="rId16" Type="http://schemas.openxmlformats.org/officeDocument/2006/relationships/hyperlink" Target="https://docs.google.com/spreadsheets/d/1UBW-Z9Lkwh85FNHKxMNExdaoVcRMK10kEwQg__1zX9Y/edit" TargetMode="External"/><Relationship Id="rId19" Type="http://schemas.openxmlformats.org/officeDocument/2006/relationships/hyperlink" Target="https://drive.google.com/file/d/1OrQpG8P8-buk0fFzgWQjWT5HHSZISHmN/view?usp=sharing" TargetMode="External"/><Relationship Id="rId18" Type="http://schemas.openxmlformats.org/officeDocument/2006/relationships/hyperlink" Target="https://docs.google.com/spreadsheets/d/1pzdOaMN5-EA1YExUqJG1AjzLJ2UQR9A9kbFViwuH1ZE/edit?usp=sharing"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hyperlink" Target="mailto:vysotskayadarya@list.ru" TargetMode="External"/><Relationship Id="rId2" Type="http://schemas.openxmlformats.org/officeDocument/2006/relationships/hyperlink" Target="https://t.me/kolayne" TargetMode="External"/><Relationship Id="rId3"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2.13"/>
    <col customWidth="1" min="11" max="11" width="16.5"/>
    <col customWidth="1" min="13" max="13" width="11.38"/>
    <col customWidth="1" min="14" max="14" width="13.0"/>
    <col customWidth="1" min="15" max="15" width="17.63"/>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18">
        <v>45012.0</v>
      </c>
      <c r="B2" s="19">
        <v>1.0</v>
      </c>
      <c r="C2" s="20" t="s">
        <v>12</v>
      </c>
      <c r="D2" s="20" t="s">
        <v>13</v>
      </c>
      <c r="E2" s="21" t="s">
        <v>14</v>
      </c>
      <c r="F2" s="22"/>
      <c r="G2" s="23" t="s">
        <v>15</v>
      </c>
      <c r="H2" s="24"/>
      <c r="I2" s="25"/>
      <c r="J2" s="21" t="s">
        <v>16</v>
      </c>
      <c r="K2" s="24"/>
      <c r="L2" s="24"/>
      <c r="M2" s="25"/>
      <c r="N2" s="21" t="s">
        <v>17</v>
      </c>
      <c r="O2" s="25"/>
      <c r="P2" s="21" t="s">
        <v>18</v>
      </c>
      <c r="Q2" s="25"/>
      <c r="R2" s="21" t="s">
        <v>19</v>
      </c>
      <c r="S2" s="25"/>
      <c r="T2" s="21" t="s">
        <v>20</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23</v>
      </c>
      <c r="F3" s="34" t="s">
        <v>24</v>
      </c>
      <c r="G3" s="35" t="s">
        <v>25</v>
      </c>
      <c r="H3" s="36"/>
      <c r="I3" s="13"/>
      <c r="J3" s="37" t="s">
        <v>26</v>
      </c>
      <c r="K3" s="13"/>
      <c r="L3" s="38" t="s">
        <v>27</v>
      </c>
      <c r="M3" s="13"/>
      <c r="N3" s="37" t="s">
        <v>28</v>
      </c>
      <c r="O3" s="13"/>
      <c r="P3" s="37" t="s">
        <v>29</v>
      </c>
      <c r="Q3" s="13"/>
      <c r="R3" s="39" t="s">
        <v>30</v>
      </c>
      <c r="S3" s="40" t="s">
        <v>31</v>
      </c>
      <c r="T3" s="37" t="s">
        <v>32</v>
      </c>
      <c r="U3" s="36"/>
      <c r="V3" s="41"/>
      <c r="W3" s="26"/>
      <c r="X3" s="42" t="s">
        <v>21</v>
      </c>
      <c r="Y3" s="42" t="s">
        <v>22</v>
      </c>
      <c r="Z3" s="28"/>
      <c r="AA3" s="14"/>
      <c r="AB3" s="15" t="str">
        <f>IFERROR(__xludf.DUMMYFUNCTION("join("","",filter(split($H$84,"",""),ARRAYFORMULA(ISERROR(FIND(split($H$84,"",""),CONCATENATE(E3:V3))))=TRUE))"),"201,404,405,406,410,АЗ")</f>
        <v>201,404,405,406,410,АЗ</v>
      </c>
      <c r="AC3" s="14"/>
      <c r="AD3" s="14"/>
      <c r="AE3" s="14"/>
      <c r="AF3" s="29"/>
      <c r="AG3" s="29"/>
      <c r="AH3" s="29"/>
    </row>
    <row r="4" ht="40.5" hidden="1" customHeight="1">
      <c r="A4" s="30"/>
      <c r="B4" s="31">
        <v>3.0</v>
      </c>
      <c r="C4" s="32" t="s">
        <v>33</v>
      </c>
      <c r="D4" s="32" t="s">
        <v>34</v>
      </c>
      <c r="E4" s="33" t="s">
        <v>35</v>
      </c>
      <c r="F4" s="39" t="s">
        <v>36</v>
      </c>
      <c r="G4" s="43" t="s">
        <v>37</v>
      </c>
      <c r="H4" s="44" t="s">
        <v>38</v>
      </c>
      <c r="I4" s="45" t="s">
        <v>39</v>
      </c>
      <c r="J4" s="46" t="s">
        <v>40</v>
      </c>
      <c r="K4" s="13"/>
      <c r="L4" s="45" t="s">
        <v>41</v>
      </c>
      <c r="M4" s="13"/>
      <c r="N4" s="47" t="s">
        <v>42</v>
      </c>
      <c r="O4" s="13"/>
      <c r="P4" s="37" t="s">
        <v>43</v>
      </c>
      <c r="Q4" s="13"/>
      <c r="R4" s="39" t="s">
        <v>44</v>
      </c>
      <c r="S4" s="40" t="s">
        <v>45</v>
      </c>
      <c r="T4" s="37" t="s">
        <v>46</v>
      </c>
      <c r="U4" s="36"/>
      <c r="V4" s="41"/>
      <c r="W4" s="26"/>
      <c r="X4" s="42" t="s">
        <v>33</v>
      </c>
      <c r="Y4" s="42" t="s">
        <v>34</v>
      </c>
      <c r="Z4" s="48" t="s">
        <v>47</v>
      </c>
      <c r="AA4" s="14"/>
      <c r="AB4" s="15" t="str">
        <f>IFERROR(__xludf.DUMMYFUNCTION("join("","",filter(split($H$84,"",""),ARRAYFORMULA(ISERROR(FIND(split($H$84,"",""),CONCATENATE(E4:V4))))=TRUE))"),"КЗ,201,202,402,404,406")</f>
        <v>КЗ,201,202,402,404,406</v>
      </c>
      <c r="AC4" s="14"/>
      <c r="AD4" s="14"/>
      <c r="AE4" s="14"/>
      <c r="AF4" s="29"/>
      <c r="AG4" s="29"/>
      <c r="AH4" s="29"/>
    </row>
    <row r="5" ht="40.5" hidden="1" customHeight="1">
      <c r="A5" s="30"/>
      <c r="B5" s="31">
        <v>4.0</v>
      </c>
      <c r="C5" s="32" t="s">
        <v>48</v>
      </c>
      <c r="D5" s="32" t="s">
        <v>49</v>
      </c>
      <c r="E5" s="49" t="s">
        <v>42</v>
      </c>
      <c r="F5" s="49" t="s">
        <v>42</v>
      </c>
      <c r="G5" s="50" t="s">
        <v>42</v>
      </c>
      <c r="H5" s="36"/>
      <c r="I5" s="13"/>
      <c r="J5" s="43" t="s">
        <v>50</v>
      </c>
      <c r="K5" s="44" t="s">
        <v>51</v>
      </c>
      <c r="L5" s="44" t="s">
        <v>52</v>
      </c>
      <c r="M5" s="45" t="s">
        <v>53</v>
      </c>
      <c r="N5" s="47" t="s">
        <v>42</v>
      </c>
      <c r="O5" s="13"/>
      <c r="P5" s="37" t="s">
        <v>54</v>
      </c>
      <c r="Q5" s="13"/>
      <c r="R5" s="51" t="s">
        <v>55</v>
      </c>
      <c r="S5" s="13"/>
      <c r="T5" s="52" t="s">
        <v>56</v>
      </c>
      <c r="U5" s="36"/>
      <c r="V5" s="41"/>
      <c r="W5" s="26"/>
      <c r="X5" s="42" t="s">
        <v>48</v>
      </c>
      <c r="Y5" s="42" t="s">
        <v>49</v>
      </c>
      <c r="Z5" s="48" t="s">
        <v>57</v>
      </c>
      <c r="AA5" s="14"/>
      <c r="AB5" s="15" t="str">
        <f>IFERROR(__xludf.DUMMYFUNCTION("join("","",filter(split($H$84,"",""),ARRAYFORMULA(ISERROR(FIND(split($H$84,"",""),CONCATENATE(E5:V5))))=TRUE))"),"СЗ,КЗ,201,202,206,210,406,408,410")</f>
        <v>СЗ,КЗ,201,202,206,210,406,408,410</v>
      </c>
      <c r="AC5" s="14"/>
      <c r="AD5" s="14"/>
      <c r="AE5" s="14"/>
      <c r="AF5" s="29"/>
      <c r="AG5" s="29"/>
      <c r="AH5" s="29"/>
    </row>
    <row r="6" ht="40.5" hidden="1" customHeight="1">
      <c r="A6" s="30"/>
      <c r="B6" s="31">
        <v>5.0</v>
      </c>
      <c r="C6" s="32" t="s">
        <v>58</v>
      </c>
      <c r="D6" s="53">
        <v>44847.0</v>
      </c>
      <c r="E6" s="39" t="s">
        <v>59</v>
      </c>
      <c r="F6" s="34" t="s">
        <v>60</v>
      </c>
      <c r="G6" s="43" t="s">
        <v>61</v>
      </c>
      <c r="H6" s="35" t="s">
        <v>62</v>
      </c>
      <c r="I6" s="13"/>
      <c r="J6" s="33" t="s">
        <v>63</v>
      </c>
      <c r="K6" s="44" t="s">
        <v>64</v>
      </c>
      <c r="L6" s="44" t="s">
        <v>65</v>
      </c>
      <c r="M6" s="45" t="s">
        <v>66</v>
      </c>
      <c r="N6" s="47" t="s">
        <v>42</v>
      </c>
      <c r="O6" s="13"/>
      <c r="P6" s="37" t="s">
        <v>67</v>
      </c>
      <c r="Q6" s="13"/>
      <c r="R6" s="51" t="s">
        <v>68</v>
      </c>
      <c r="S6" s="13"/>
      <c r="T6" s="52" t="s">
        <v>69</v>
      </c>
      <c r="U6" s="36"/>
      <c r="V6" s="41"/>
      <c r="W6" s="26"/>
      <c r="X6" s="42" t="s">
        <v>58</v>
      </c>
      <c r="Y6" s="54">
        <v>44847.0</v>
      </c>
      <c r="Z6" s="48" t="s">
        <v>70</v>
      </c>
      <c r="AA6" s="14"/>
      <c r="AB6" s="15" t="str">
        <f>IFERROR(__xludf.DUMMYFUNCTION("join("","",filter(split($H$84,"",""),ARRAYFORMULA(ISERROR(FIND(split($H$84,"",""),CONCATENATE(E6:V6))))=TRUE))"),"СЗ,КЗ,202,206,406")</f>
        <v>СЗ,КЗ,202,206,406</v>
      </c>
      <c r="AC6" s="14"/>
      <c r="AD6" s="14"/>
      <c r="AE6" s="14"/>
      <c r="AF6" s="29"/>
      <c r="AG6" s="29"/>
      <c r="AH6" s="29"/>
    </row>
    <row r="7" ht="42.0" hidden="1" customHeight="1">
      <c r="A7" s="30"/>
      <c r="B7" s="31">
        <v>6.0</v>
      </c>
      <c r="C7" s="55" t="s">
        <v>71</v>
      </c>
      <c r="D7" s="56" t="s">
        <v>72</v>
      </c>
      <c r="E7" s="39" t="s">
        <v>73</v>
      </c>
      <c r="F7" s="34" t="s">
        <v>74</v>
      </c>
      <c r="G7" s="43" t="s">
        <v>75</v>
      </c>
      <c r="H7" s="45" t="s">
        <v>76</v>
      </c>
      <c r="I7" s="13"/>
      <c r="J7" s="37" t="s">
        <v>77</v>
      </c>
      <c r="K7" s="13"/>
      <c r="L7" s="45" t="s">
        <v>78</v>
      </c>
      <c r="M7" s="13"/>
      <c r="N7" s="37" t="s">
        <v>79</v>
      </c>
      <c r="O7" s="13"/>
      <c r="P7" s="37" t="s">
        <v>80</v>
      </c>
      <c r="Q7" s="13"/>
      <c r="R7" s="57" t="s">
        <v>81</v>
      </c>
      <c r="T7" s="33" t="s">
        <v>82</v>
      </c>
      <c r="U7" s="45" t="s">
        <v>83</v>
      </c>
      <c r="V7" s="41"/>
      <c r="W7" s="26"/>
      <c r="X7" s="58" t="s">
        <v>71</v>
      </c>
      <c r="Y7" s="59" t="s">
        <v>72</v>
      </c>
      <c r="Z7" s="48" t="s">
        <v>84</v>
      </c>
      <c r="AA7" s="14"/>
      <c r="AB7" s="15" t="str">
        <f>IFERROR(__xludf.DUMMYFUNCTION("join("","",filter(split($H$84,"",""),ARRAYFORMULA(ISERROR(FIND(split($H$84,"",""),CONCATENATE(E7:V7))))=TRUE))"),"КЗ,202,206,403,406,АЗ")</f>
        <v>КЗ,202,206,403,406,АЗ</v>
      </c>
      <c r="AC7" s="14"/>
      <c r="AD7" s="14"/>
      <c r="AE7" s="14"/>
      <c r="AF7" s="29"/>
      <c r="AG7" s="29"/>
      <c r="AH7" s="29"/>
    </row>
    <row r="8" ht="42.0" hidden="1" customHeight="1">
      <c r="A8" s="30"/>
      <c r="B8" s="31">
        <v>7.0</v>
      </c>
      <c r="C8" s="32" t="s">
        <v>85</v>
      </c>
      <c r="D8" s="32" t="s">
        <v>86</v>
      </c>
      <c r="E8" s="60" t="s">
        <v>87</v>
      </c>
      <c r="F8" s="13"/>
      <c r="G8" s="43" t="s">
        <v>88</v>
      </c>
      <c r="H8" s="45" t="s">
        <v>89</v>
      </c>
      <c r="I8" s="13"/>
      <c r="J8" s="37" t="s">
        <v>90</v>
      </c>
      <c r="K8" s="13"/>
      <c r="L8" s="45" t="s">
        <v>91</v>
      </c>
      <c r="M8" s="13"/>
      <c r="N8" s="37" t="s">
        <v>92</v>
      </c>
      <c r="O8" s="13"/>
      <c r="P8" s="37" t="s">
        <v>93</v>
      </c>
      <c r="Q8" s="13"/>
      <c r="R8" s="37" t="s">
        <v>94</v>
      </c>
      <c r="S8" s="13"/>
      <c r="T8" s="43" t="s">
        <v>95</v>
      </c>
      <c r="U8" s="45" t="s">
        <v>96</v>
      </c>
      <c r="V8" s="41"/>
      <c r="W8" s="26"/>
      <c r="X8" s="42" t="s">
        <v>85</v>
      </c>
      <c r="Y8" s="42" t="s">
        <v>86</v>
      </c>
      <c r="Z8" s="48" t="s">
        <v>97</v>
      </c>
      <c r="AA8" s="14"/>
      <c r="AB8" s="15" t="str">
        <f>IFERROR(__xludf.DUMMYFUNCTION("join("","",filter(split($H$84,"",""),ARRAYFORMULA(ISERROR(FIND(split($H$84,"",""),CONCATENATE(E8:V8))))=TRUE))"),"202,206,403,406,408,409,410,АЗ")</f>
        <v>202,206,403,406,408,409,410,АЗ</v>
      </c>
      <c r="AC8" s="14"/>
      <c r="AD8" s="14"/>
      <c r="AE8" s="14"/>
      <c r="AF8" s="29"/>
      <c r="AG8" s="29"/>
      <c r="AH8" s="29"/>
    </row>
    <row r="9" ht="40.5" hidden="1" customHeight="1">
      <c r="A9" s="30"/>
      <c r="B9" s="31">
        <v>8.0</v>
      </c>
      <c r="C9" s="32" t="s">
        <v>98</v>
      </c>
      <c r="D9" s="32" t="s">
        <v>99</v>
      </c>
      <c r="E9" s="60" t="s">
        <v>100</v>
      </c>
      <c r="F9" s="41"/>
      <c r="G9" s="43" t="s">
        <v>101</v>
      </c>
      <c r="H9" s="45" t="s">
        <v>102</v>
      </c>
      <c r="I9" s="13"/>
      <c r="J9" s="37" t="s">
        <v>103</v>
      </c>
      <c r="K9" s="13"/>
      <c r="L9" s="45" t="s">
        <v>104</v>
      </c>
      <c r="M9" s="13"/>
      <c r="N9" s="61" t="s">
        <v>105</v>
      </c>
      <c r="O9" s="13"/>
      <c r="P9" s="62" t="s">
        <v>106</v>
      </c>
      <c r="Q9" s="45" t="s">
        <v>107</v>
      </c>
      <c r="R9" s="63" t="s">
        <v>108</v>
      </c>
      <c r="S9" s="64"/>
      <c r="T9" s="64"/>
      <c r="U9" s="64"/>
      <c r="V9" s="64"/>
      <c r="W9" s="26"/>
      <c r="X9" s="42" t="s">
        <v>98</v>
      </c>
      <c r="Y9" s="42" t="s">
        <v>99</v>
      </c>
      <c r="Z9" s="11"/>
      <c r="AA9" s="14"/>
      <c r="AB9" s="15" t="str">
        <f>IFERROR(__xludf.DUMMYFUNCTION("join("","",filter(split($H$84,"",""),ARRAYFORMULA(ISERROR(FIND(split($H$84,"",""),CONCATENATE(E9:V9))))=TRUE))"),"206,403,405,406,408,409,410,АЗ")</f>
        <v>206,403,405,406,408,409,410,АЗ</v>
      </c>
      <c r="AC9" s="14"/>
      <c r="AD9" s="14"/>
      <c r="AE9" s="14"/>
      <c r="AF9" s="29"/>
      <c r="AG9" s="29"/>
      <c r="AH9" s="29"/>
    </row>
    <row r="10" ht="75.75" hidden="1" customHeight="1">
      <c r="A10" s="30"/>
      <c r="B10" s="31">
        <v>9.0</v>
      </c>
      <c r="C10" s="65">
        <v>44697.0</v>
      </c>
      <c r="D10" s="44" t="s">
        <v>109</v>
      </c>
      <c r="E10" s="66" t="s">
        <v>110</v>
      </c>
      <c r="F10" s="67"/>
      <c r="G10" s="43" t="s">
        <v>111</v>
      </c>
      <c r="H10" s="45" t="s">
        <v>112</v>
      </c>
      <c r="I10" s="13"/>
      <c r="J10" s="37" t="s">
        <v>113</v>
      </c>
      <c r="K10" s="13"/>
      <c r="L10" s="45" t="s">
        <v>114</v>
      </c>
      <c r="M10" s="13"/>
      <c r="N10" s="61" t="s">
        <v>115</v>
      </c>
      <c r="O10" s="13"/>
      <c r="P10" s="62" t="s">
        <v>116</v>
      </c>
      <c r="Q10" s="68" t="s">
        <v>117</v>
      </c>
      <c r="R10" s="37" t="s">
        <v>118</v>
      </c>
      <c r="S10" s="68" t="s">
        <v>119</v>
      </c>
      <c r="T10" s="36"/>
      <c r="U10" s="36"/>
      <c r="V10" s="41"/>
      <c r="W10" s="26"/>
      <c r="X10" s="69">
        <v>44697.0</v>
      </c>
      <c r="Y10" s="70" t="s">
        <v>109</v>
      </c>
      <c r="Z10" s="28"/>
      <c r="AA10" s="14"/>
      <c r="AB10" s="15" t="str">
        <f>IFERROR(__xludf.DUMMYFUNCTION("join("","",filter(split($H$84,"",""),ARRAYFORMULA(ISERROR(FIND(split($H$84,"",""),CONCATENATE(E10:V10))))=TRUE))"),"КЗ,206,210,403,405,406,408,409,АЗ")</f>
        <v>КЗ,206,210,403,405,406,408,409,АЗ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123</v>
      </c>
      <c r="U11" s="36"/>
      <c r="V11" s="41"/>
      <c r="W11" s="26"/>
      <c r="X11" s="70" t="s">
        <v>120</v>
      </c>
      <c r="Y11" s="70" t="s">
        <v>121</v>
      </c>
      <c r="Z11" s="28"/>
      <c r="AA11" s="14"/>
      <c r="AB11" s="15" t="str">
        <f>IFERROR(__xludf.DUMMYFUNCTION("join("","",filter(split($H$84,"",""),ARRAYFORMULA(ISERROR(FIND(split($H$84,"",""),CONCATENATE(F11:V11))))=TRUE))"),"СЗ,КЗ,201,202,206,209,210,401,402,403,404,405,406,408,409,410")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IFERROR(__xludf.DUMMYFUNCTION("join("","",filter(split($H$84,"",""),ARRAYFORMULA(ISERROR(FIND(split($H$84,"",""),CONCATENATE(E12:V12))))=TRUE))"),"СЗ,КЗ,201,202,206,209,210,401,402,403,404,405,406,408,409,410,АЗ")</f>
        <v>СЗ,КЗ,201,202,206,209,210,401,402,403,404,405,406,408,409,410,АЗ</v>
      </c>
      <c r="AC12" s="14"/>
      <c r="AD12" s="14"/>
      <c r="AE12" s="14"/>
      <c r="AF12" s="29"/>
      <c r="AG12" s="29"/>
      <c r="AH12" s="29"/>
    </row>
    <row r="13" ht="40.5" hidden="1" customHeight="1">
      <c r="A13" s="18">
        <v>45013.0</v>
      </c>
      <c r="B13" s="19">
        <v>1.0</v>
      </c>
      <c r="C13" s="20" t="s">
        <v>12</v>
      </c>
      <c r="D13" s="20" t="s">
        <v>13</v>
      </c>
      <c r="E13" s="80" t="s">
        <v>126</v>
      </c>
      <c r="F13" s="25"/>
      <c r="G13" s="81" t="s">
        <v>127</v>
      </c>
      <c r="H13" s="80" t="s">
        <v>128</v>
      </c>
      <c r="I13" s="22"/>
      <c r="J13" s="23" t="s">
        <v>129</v>
      </c>
      <c r="K13" s="25"/>
      <c r="L13" s="80" t="s">
        <v>130</v>
      </c>
      <c r="M13" s="25"/>
      <c r="N13" s="82" t="s">
        <v>131</v>
      </c>
      <c r="O13" s="25"/>
      <c r="P13" s="21" t="s">
        <v>132</v>
      </c>
      <c r="Q13" s="22"/>
      <c r="R13" s="83" t="s">
        <v>133</v>
      </c>
      <c r="S13" s="6"/>
      <c r="T13" s="84" t="s">
        <v>134</v>
      </c>
      <c r="U13" s="80" t="s">
        <v>135</v>
      </c>
      <c r="V13" s="22"/>
      <c r="W13" s="26"/>
      <c r="X13" s="27" t="s">
        <v>12</v>
      </c>
      <c r="Y13" s="27" t="s">
        <v>13</v>
      </c>
      <c r="Z13" s="28"/>
      <c r="AA13" s="85"/>
      <c r="AB13" s="15" t="str">
        <f>IFERROR(__xludf.DUMMYFUNCTION("join("","",filter(split($H$84,"",""),ARRAYFORMULA(ISERROR(FIND(split($H$84,"",""),CONCATENATE(E13:V13))))=TRUE))"),"СЗ,202,206,403,410,АЗ")</f>
        <v>СЗ,202,206,403,410,АЗ</v>
      </c>
      <c r="AC13" s="14"/>
      <c r="AD13" s="14"/>
      <c r="AE13" s="14"/>
      <c r="AF13" s="29"/>
      <c r="AG13" s="29"/>
      <c r="AH13" s="29"/>
    </row>
    <row r="14" ht="40.5" hidden="1" customHeight="1">
      <c r="A14" s="30"/>
      <c r="B14" s="31">
        <v>2.0</v>
      </c>
      <c r="C14" s="32" t="s">
        <v>21</v>
      </c>
      <c r="D14" s="32" t="s">
        <v>22</v>
      </c>
      <c r="E14" s="45" t="s">
        <v>136</v>
      </c>
      <c r="F14" s="13"/>
      <c r="G14" s="46" t="s">
        <v>137</v>
      </c>
      <c r="H14" s="86" t="s">
        <v>138</v>
      </c>
      <c r="I14" s="41"/>
      <c r="J14" s="35" t="s">
        <v>139</v>
      </c>
      <c r="K14" s="13"/>
      <c r="L14" s="45" t="s">
        <v>140</v>
      </c>
      <c r="M14" s="13"/>
      <c r="N14" s="87" t="s">
        <v>141</v>
      </c>
      <c r="O14" s="13"/>
      <c r="P14" s="37" t="s">
        <v>142</v>
      </c>
      <c r="Q14" s="41"/>
      <c r="R14" s="64"/>
      <c r="S14" s="88"/>
      <c r="T14" s="43" t="s">
        <v>143</v>
      </c>
      <c r="U14" s="45" t="s">
        <v>144</v>
      </c>
      <c r="V14" s="41"/>
      <c r="W14" s="26"/>
      <c r="X14" s="42" t="s">
        <v>21</v>
      </c>
      <c r="Y14" s="42" t="s">
        <v>22</v>
      </c>
      <c r="Z14" s="28"/>
      <c r="AA14" s="85"/>
      <c r="AB14" s="15" t="str">
        <f>IFERROR(__xludf.DUMMYFUNCTION("join("","",filter(split($H$84,"",""),ARRAYFORMULA(ISERROR(FIND(split($H$84,"",""),CONCATENATE(E14:V14))))=TRUE))"),"СЗ,202,206,403,406,408,410,АЗ")</f>
        <v>СЗ,202,206,403,406,408,410,АЗ</v>
      </c>
      <c r="AC14" s="14"/>
      <c r="AD14" s="14"/>
      <c r="AE14" s="14"/>
      <c r="AF14" s="29"/>
      <c r="AG14" s="29"/>
      <c r="AH14" s="29"/>
    </row>
    <row r="15" ht="40.5" hidden="1" customHeight="1">
      <c r="A15" s="30"/>
      <c r="B15" s="31">
        <v>3.0</v>
      </c>
      <c r="C15" s="32" t="s">
        <v>33</v>
      </c>
      <c r="D15" s="32" t="s">
        <v>34</v>
      </c>
      <c r="E15" s="40" t="s">
        <v>145</v>
      </c>
      <c r="F15" s="13"/>
      <c r="G15" s="37" t="s">
        <v>146</v>
      </c>
      <c r="H15" s="36"/>
      <c r="I15" s="41"/>
      <c r="J15" s="35" t="s">
        <v>147</v>
      </c>
      <c r="K15" s="13"/>
      <c r="L15" s="45" t="s">
        <v>148</v>
      </c>
      <c r="M15" s="13"/>
      <c r="N15" s="89" t="s">
        <v>149</v>
      </c>
      <c r="O15" s="13"/>
      <c r="P15" s="37" t="s">
        <v>150</v>
      </c>
      <c r="Q15" s="90" t="s">
        <v>151</v>
      </c>
      <c r="R15" s="43" t="s">
        <v>152</v>
      </c>
      <c r="S15" s="34" t="s">
        <v>153</v>
      </c>
      <c r="T15" s="91" t="s">
        <v>154</v>
      </c>
      <c r="U15" s="36"/>
      <c r="V15" s="41"/>
      <c r="W15" s="26"/>
      <c r="X15" s="42" t="s">
        <v>33</v>
      </c>
      <c r="Y15" s="42" t="s">
        <v>34</v>
      </c>
      <c r="Z15" s="48" t="s">
        <v>47</v>
      </c>
      <c r="AA15" s="85" t="str">
        <f>AA$5</f>
        <v/>
      </c>
      <c r="AB15" s="15" t="str">
        <f>IFERROR(__xludf.DUMMYFUNCTION("join("","",filter(split($H$84,"",""),ARRAYFORMULA(ISERROR(FIND(split($H$84,"",""),CONCATENATE(E15:V15))))=TRUE))"),"КЗ,201,206,403,406,408,410,АЗ")</f>
        <v>КЗ,201,206,403,406,408,410,АЗ</v>
      </c>
      <c r="AC15" s="14"/>
      <c r="AD15" s="14"/>
      <c r="AE15" s="14"/>
      <c r="AF15" s="29"/>
      <c r="AG15" s="29"/>
      <c r="AH15" s="29"/>
    </row>
    <row r="16" ht="40.5" hidden="1" customHeight="1">
      <c r="A16" s="30"/>
      <c r="B16" s="31">
        <v>4.0</v>
      </c>
      <c r="C16" s="32" t="s">
        <v>48</v>
      </c>
      <c r="D16" s="32" t="s">
        <v>49</v>
      </c>
      <c r="E16" s="40" t="s">
        <v>155</v>
      </c>
      <c r="F16" s="13"/>
      <c r="G16" s="37" t="s">
        <v>156</v>
      </c>
      <c r="H16" s="36"/>
      <c r="I16" s="41"/>
      <c r="J16" s="35" t="s">
        <v>157</v>
      </c>
      <c r="K16" s="13"/>
      <c r="L16" s="45" t="s">
        <v>158</v>
      </c>
      <c r="M16" s="13"/>
      <c r="N16" s="89" t="s">
        <v>159</v>
      </c>
      <c r="O16" s="13"/>
      <c r="P16" s="37" t="s">
        <v>160</v>
      </c>
      <c r="Q16" s="90" t="s">
        <v>161</v>
      </c>
      <c r="R16" s="43" t="s">
        <v>162</v>
      </c>
      <c r="S16" s="34" t="s">
        <v>163</v>
      </c>
      <c r="T16" s="91" t="s">
        <v>164</v>
      </c>
      <c r="U16" s="36"/>
      <c r="V16" s="41"/>
      <c r="W16" s="26"/>
      <c r="X16" s="42" t="s">
        <v>48</v>
      </c>
      <c r="Y16" s="42" t="s">
        <v>49</v>
      </c>
      <c r="Z16" s="48" t="s">
        <v>57</v>
      </c>
      <c r="AA16" s="85" t="str">
        <f>AA$6</f>
        <v/>
      </c>
      <c r="AB16" s="15" t="str">
        <f>IFERROR(__xludf.DUMMYFUNCTION("join("","",filter(split($H$84,"",""),ARRAYFORMULA(ISERROR(FIND(split($H$84,"",""),CONCATENATE(E16:V16))))=TRUE))"),"КЗ,201,206,403,406,408,410,АЗ")</f>
        <v>КЗ,201,206,403,406,408,410,АЗ</v>
      </c>
      <c r="AC16" s="14"/>
      <c r="AD16" s="14"/>
      <c r="AE16" s="14"/>
      <c r="AF16" s="29"/>
      <c r="AG16" s="29"/>
      <c r="AH16" s="29"/>
    </row>
    <row r="17" ht="40.5" hidden="1" customHeight="1">
      <c r="A17" s="30"/>
      <c r="B17" s="31">
        <v>5.0</v>
      </c>
      <c r="C17" s="32" t="s">
        <v>58</v>
      </c>
      <c r="D17" s="53">
        <v>44847.0</v>
      </c>
      <c r="E17" s="45" t="s">
        <v>165</v>
      </c>
      <c r="F17" s="13"/>
      <c r="G17" s="33" t="s">
        <v>166</v>
      </c>
      <c r="H17" s="45" t="s">
        <v>167</v>
      </c>
      <c r="I17" s="41"/>
      <c r="J17" s="35" t="s">
        <v>168</v>
      </c>
      <c r="K17" s="13"/>
      <c r="L17" s="40" t="s">
        <v>169</v>
      </c>
      <c r="M17" s="13"/>
      <c r="N17" s="45" t="s">
        <v>170</v>
      </c>
      <c r="O17" s="13"/>
      <c r="P17" s="33" t="s">
        <v>171</v>
      </c>
      <c r="Q17" s="34" t="s">
        <v>172</v>
      </c>
      <c r="R17" s="90" t="s">
        <v>173</v>
      </c>
      <c r="S17" s="92" t="s">
        <v>174</v>
      </c>
      <c r="T17" s="93" t="s">
        <v>175</v>
      </c>
      <c r="U17" s="36"/>
      <c r="V17" s="41"/>
      <c r="W17" s="26"/>
      <c r="X17" s="42" t="s">
        <v>58</v>
      </c>
      <c r="Y17" s="54">
        <v>44847.0</v>
      </c>
      <c r="Z17" s="48" t="s">
        <v>70</v>
      </c>
      <c r="AA17" s="85" t="str">
        <f>AA$7</f>
        <v/>
      </c>
      <c r="AB17" s="15" t="str">
        <f>IFERROR(__xludf.DUMMYFUNCTION("join("","",filter(split($H$84,"",""),ARRAYFORMULA(ISERROR(FIND(split($H$84,"",""),CONCATENATE(E17:V17))))=TRUE))"),"СЗ,202,206,403,408,410,АЗ")</f>
        <v>СЗ,202,206,403,408,410,АЗ</v>
      </c>
      <c r="AC17" s="14"/>
      <c r="AD17" s="14"/>
      <c r="AE17" s="14"/>
      <c r="AF17" s="29"/>
      <c r="AG17" s="29"/>
      <c r="AH17" s="29"/>
    </row>
    <row r="18" ht="40.5" hidden="1" customHeight="1">
      <c r="A18" s="30"/>
      <c r="B18" s="31">
        <v>6.0</v>
      </c>
      <c r="C18" s="55" t="s">
        <v>71</v>
      </c>
      <c r="D18" s="56" t="s">
        <v>72</v>
      </c>
      <c r="E18" s="45" t="s">
        <v>176</v>
      </c>
      <c r="F18" s="13"/>
      <c r="G18" s="33" t="s">
        <v>177</v>
      </c>
      <c r="H18" s="45" t="s">
        <v>178</v>
      </c>
      <c r="I18" s="41"/>
      <c r="J18" s="35" t="s">
        <v>179</v>
      </c>
      <c r="K18" s="13"/>
      <c r="L18" s="40" t="s">
        <v>180</v>
      </c>
      <c r="M18" s="13"/>
      <c r="N18" s="45" t="s">
        <v>181</v>
      </c>
      <c r="O18" s="13"/>
      <c r="P18" s="33" t="s">
        <v>182</v>
      </c>
      <c r="Q18" s="34" t="s">
        <v>183</v>
      </c>
      <c r="R18" s="90" t="s">
        <v>161</v>
      </c>
      <c r="S18" s="92" t="s">
        <v>184</v>
      </c>
      <c r="T18" s="93" t="s">
        <v>185</v>
      </c>
      <c r="U18" s="36"/>
      <c r="V18" s="41"/>
      <c r="W18" s="26"/>
      <c r="X18" s="58" t="s">
        <v>71</v>
      </c>
      <c r="Y18" s="59" t="s">
        <v>72</v>
      </c>
      <c r="Z18" s="48" t="s">
        <v>84</v>
      </c>
      <c r="AA18" s="85" t="str">
        <f>AA$8</f>
        <v/>
      </c>
      <c r="AB18" s="15" t="str">
        <f>IFERROR(__xludf.DUMMYFUNCTION("join("","",filter(split($H$84,"",""),ARRAYFORMULA(ISERROR(FIND(split($H$84,"",""),CONCATENATE(E18:V18))))=TRUE))"),"СЗ,202,206,403,408,410,АЗ")</f>
        <v>СЗ,202,206,403,408,410,АЗ</v>
      </c>
      <c r="AC18" s="14"/>
      <c r="AD18" s="14"/>
      <c r="AE18" s="14"/>
      <c r="AF18" s="29"/>
      <c r="AG18" s="29"/>
      <c r="AH18" s="29"/>
    </row>
    <row r="19" ht="40.5" hidden="1" customHeight="1">
      <c r="A19" s="30"/>
      <c r="B19" s="31">
        <v>7.0</v>
      </c>
      <c r="C19" s="32" t="s">
        <v>85</v>
      </c>
      <c r="D19" s="32" t="s">
        <v>86</v>
      </c>
      <c r="E19" s="94" t="s">
        <v>186</v>
      </c>
      <c r="F19" s="13"/>
      <c r="G19" s="33" t="s">
        <v>187</v>
      </c>
      <c r="H19" s="45" t="s">
        <v>188</v>
      </c>
      <c r="I19" s="41"/>
      <c r="J19" s="95" t="s">
        <v>189</v>
      </c>
      <c r="K19" s="13"/>
      <c r="L19" s="45" t="s">
        <v>190</v>
      </c>
      <c r="M19" s="13"/>
      <c r="N19" s="45" t="s">
        <v>191</v>
      </c>
      <c r="O19" s="13"/>
      <c r="P19" s="37" t="s">
        <v>192</v>
      </c>
      <c r="Q19" s="41"/>
      <c r="R19" s="96" t="s">
        <v>193</v>
      </c>
      <c r="S19" s="97" t="s">
        <v>194</v>
      </c>
      <c r="T19" s="93" t="s">
        <v>195</v>
      </c>
      <c r="U19" s="36"/>
      <c r="V19" s="41"/>
      <c r="W19" s="26"/>
      <c r="X19" s="42" t="s">
        <v>85</v>
      </c>
      <c r="Y19" s="42" t="s">
        <v>86</v>
      </c>
      <c r="Z19" s="48" t="s">
        <v>97</v>
      </c>
      <c r="AA19" s="85" t="str">
        <f>AA$9</f>
        <v/>
      </c>
      <c r="AB19" s="15" t="str">
        <f>IFERROR(__xludf.DUMMYFUNCTION("join("","",filter(split($H$84,"",""),ARRAYFORMULA(ISERROR(FIND(split($H$84,"",""),CONCATENATE(E19:V19))))=TRUE))"),"СЗ,206,403,404,405,410,АЗ")</f>
        <v>СЗ,206,403,404,405,410,АЗ</v>
      </c>
      <c r="AC19" s="14"/>
      <c r="AD19" s="14"/>
      <c r="AE19" s="14"/>
      <c r="AF19" s="29"/>
      <c r="AG19" s="29"/>
      <c r="AH19" s="29"/>
    </row>
    <row r="20" ht="40.5" hidden="1" customHeight="1">
      <c r="A20" s="30"/>
      <c r="B20" s="31">
        <v>8.0</v>
      </c>
      <c r="C20" s="32" t="s">
        <v>98</v>
      </c>
      <c r="D20" s="32" t="s">
        <v>99</v>
      </c>
      <c r="E20" s="94" t="s">
        <v>196</v>
      </c>
      <c r="F20" s="13"/>
      <c r="G20" s="33" t="s">
        <v>197</v>
      </c>
      <c r="H20" s="45" t="s">
        <v>198</v>
      </c>
      <c r="I20" s="41"/>
      <c r="J20" s="95" t="s">
        <v>199</v>
      </c>
      <c r="K20" s="13"/>
      <c r="L20" s="45" t="s">
        <v>200</v>
      </c>
      <c r="M20" s="13"/>
      <c r="N20" s="45" t="s">
        <v>201</v>
      </c>
      <c r="O20" s="13"/>
      <c r="P20" s="37" t="s">
        <v>202</v>
      </c>
      <c r="Q20" s="41"/>
      <c r="R20" s="96" t="s">
        <v>203</v>
      </c>
      <c r="S20" s="97" t="s">
        <v>204</v>
      </c>
      <c r="T20" s="93" t="s">
        <v>205</v>
      </c>
      <c r="U20" s="36"/>
      <c r="V20" s="41"/>
      <c r="W20" s="26"/>
      <c r="X20" s="42" t="s">
        <v>98</v>
      </c>
      <c r="Y20" s="42" t="s">
        <v>99</v>
      </c>
      <c r="Z20" s="11"/>
      <c r="AA20" s="98"/>
      <c r="AB20" s="15" t="str">
        <f>IFERROR(__xludf.DUMMYFUNCTION("join("","",filter(split($H$84,"",""),ARRAYFORMULA(ISERROR(FIND(split($H$84,"",""),CONCATENATE(E20:V20))))=TRUE))"),"СЗ,206,403,404,405,410,АЗ")</f>
        <v>СЗ,206,403,404,405,410,АЗ</v>
      </c>
      <c r="AC20" s="14"/>
      <c r="AD20" s="14"/>
      <c r="AE20" s="14"/>
      <c r="AF20" s="29"/>
      <c r="AG20" s="29"/>
      <c r="AH20" s="29"/>
    </row>
    <row r="21" ht="40.5" hidden="1" customHeight="1">
      <c r="A21" s="30"/>
      <c r="B21" s="31">
        <v>9.0</v>
      </c>
      <c r="C21" s="65">
        <v>44697.0</v>
      </c>
      <c r="D21" s="44" t="s">
        <v>109</v>
      </c>
      <c r="E21" s="99" t="s">
        <v>206</v>
      </c>
      <c r="F21" s="4"/>
      <c r="G21" s="100" t="s">
        <v>207</v>
      </c>
      <c r="H21" s="101" t="s">
        <v>208</v>
      </c>
      <c r="I21" s="36"/>
      <c r="J21" s="36"/>
      <c r="K21" s="36"/>
      <c r="L21" s="36"/>
      <c r="M21" s="13"/>
      <c r="N21" s="45" t="s">
        <v>209</v>
      </c>
      <c r="O21" s="13"/>
      <c r="P21" s="102" t="s">
        <v>210</v>
      </c>
      <c r="Q21" s="41"/>
      <c r="R21" s="35" t="s">
        <v>211</v>
      </c>
      <c r="S21" s="41"/>
      <c r="T21" s="103" t="s">
        <v>212</v>
      </c>
      <c r="U21" s="36"/>
      <c r="V21" s="41"/>
      <c r="W21" s="26"/>
      <c r="X21" s="69">
        <v>44697.0</v>
      </c>
      <c r="Y21" s="70" t="s">
        <v>109</v>
      </c>
      <c r="Z21" s="28"/>
      <c r="AA21" s="98"/>
      <c r="AB21" s="15" t="str">
        <f>IFERROR(__xludf.DUMMYFUNCTION("join("","",filter(split($H$84,"",""),ARRAYFORMULA(ISERROR(FIND(split($H$84,"",""),CONCATENATE(E21:V21))))=TRUE))"),"201,206,210,401,403,404,405,406,408,АЗ")</f>
        <v>201,206,210,401,403,404,405,406,408,АЗ</v>
      </c>
      <c r="AC21" s="14"/>
      <c r="AD21" s="14"/>
      <c r="AE21" s="14"/>
      <c r="AF21" s="29"/>
      <c r="AG21" s="29"/>
      <c r="AH21" s="29"/>
    </row>
    <row r="22" ht="40.5" hidden="1" customHeight="1">
      <c r="A22" s="30"/>
      <c r="B22" s="31">
        <v>10.0</v>
      </c>
      <c r="C22" s="44" t="s">
        <v>120</v>
      </c>
      <c r="D22" s="44" t="s">
        <v>121</v>
      </c>
      <c r="E22" s="104"/>
      <c r="F22" s="72"/>
      <c r="G22" s="105"/>
      <c r="H22" s="106" t="s">
        <v>213</v>
      </c>
      <c r="I22" s="36"/>
      <c r="J22" s="36"/>
      <c r="K22" s="36"/>
      <c r="L22" s="36"/>
      <c r="M22" s="13"/>
      <c r="N22" s="45" t="s">
        <v>214</v>
      </c>
      <c r="O22" s="13"/>
      <c r="P22" s="101" t="s">
        <v>215</v>
      </c>
      <c r="Q22" s="36"/>
      <c r="R22" s="36"/>
      <c r="S22" s="13"/>
      <c r="T22" s="107" t="s">
        <v>216</v>
      </c>
      <c r="U22" s="36"/>
      <c r="V22" s="41"/>
      <c r="W22" s="26"/>
      <c r="X22" s="70" t="s">
        <v>120</v>
      </c>
      <c r="Y22" s="70" t="s">
        <v>121</v>
      </c>
      <c r="Z22" s="28"/>
      <c r="AA22" s="98"/>
      <c r="AB22" s="15" t="str">
        <f>IFERROR(__xludf.DUMMYFUNCTION("join("","",filter(split($H$84,"",""),ARRAYFORMULA(ISERROR(FIND(split($H$84,"",""),CONCATENATE(E22:V22))))=TRUE))"),"201,202,206,209,210,401,403,404,405,406,408,409,АЗ")</f>
        <v>201,202,206,209,210,401,403,404,405,406,408,409,АЗ</v>
      </c>
      <c r="AC22" s="14"/>
      <c r="AD22" s="14"/>
      <c r="AE22" s="14"/>
      <c r="AF22" s="29"/>
      <c r="AG22" s="29"/>
      <c r="AH22" s="29"/>
    </row>
    <row r="23" ht="40.5" hidden="1" customHeight="1">
      <c r="A23" s="30"/>
      <c r="B23" s="75">
        <v>11.0</v>
      </c>
      <c r="C23" s="76" t="s">
        <v>124</v>
      </c>
      <c r="D23" s="76" t="s">
        <v>125</v>
      </c>
      <c r="E23" s="108"/>
      <c r="F23" s="109"/>
      <c r="G23" s="110"/>
      <c r="H23" s="111"/>
      <c r="I23" s="112"/>
      <c r="J23" s="113"/>
      <c r="K23" s="111"/>
      <c r="L23" s="111"/>
      <c r="M23" s="111"/>
      <c r="N23" s="111"/>
      <c r="O23" s="111"/>
      <c r="P23" s="111"/>
      <c r="Q23" s="111"/>
      <c r="R23" s="114" t="s">
        <v>217</v>
      </c>
      <c r="S23" s="115"/>
      <c r="T23" s="115"/>
      <c r="U23" s="115"/>
      <c r="V23" s="67"/>
      <c r="W23" s="26"/>
      <c r="X23" s="79" t="s">
        <v>124</v>
      </c>
      <c r="Y23" s="79" t="s">
        <v>125</v>
      </c>
      <c r="Z23" s="28" t="str">
        <f/>
        <v>#ERROR!</v>
      </c>
      <c r="AA23" s="98"/>
      <c r="AB23" s="15" t="str">
        <f>IFERROR(__xludf.DUMMYFUNCTION("join("","",filter(split($H$84,"",""),ARRAYFORMULA(ISERROR(FIND(split($H$84,"",""),CONCATENATE(E23:V23))))=TRUE))"),"КЗ,201,202,206,209,210,401,402,403,404,405,406,408,409,410,АЗ")</f>
        <v>КЗ,201,202,206,209,210,401,402,403,404,405,406,408,409,410,АЗ</v>
      </c>
      <c r="AC23" s="14"/>
      <c r="AD23" s="14"/>
      <c r="AE23" s="14"/>
      <c r="AF23" s="29"/>
      <c r="AG23" s="29"/>
      <c r="AH23" s="29"/>
    </row>
    <row r="24" ht="86.25" hidden="1" customHeight="1">
      <c r="A24" s="18">
        <v>45014.0</v>
      </c>
      <c r="B24" s="19">
        <v>1.0</v>
      </c>
      <c r="C24" s="20" t="s">
        <v>12</v>
      </c>
      <c r="D24" s="20" t="s">
        <v>13</v>
      </c>
      <c r="E24" s="21" t="s">
        <v>218</v>
      </c>
      <c r="F24" s="22"/>
      <c r="G24" s="116" t="s">
        <v>219</v>
      </c>
      <c r="H24" s="117" t="s">
        <v>220</v>
      </c>
      <c r="I24" s="22"/>
      <c r="J24" s="118" t="s">
        <v>221</v>
      </c>
      <c r="K24" s="24"/>
      <c r="L24" s="24"/>
      <c r="M24" s="25"/>
      <c r="N24" s="80" t="s">
        <v>222</v>
      </c>
      <c r="O24" s="119" t="s">
        <v>223</v>
      </c>
      <c r="P24" s="120" t="s">
        <v>224</v>
      </c>
      <c r="Q24" s="24"/>
      <c r="R24" s="24"/>
      <c r="S24" s="22"/>
      <c r="T24" s="121" t="s">
        <v>225</v>
      </c>
      <c r="U24" s="24"/>
      <c r="V24" s="22"/>
      <c r="W24" s="26"/>
      <c r="X24" s="27" t="s">
        <v>12</v>
      </c>
      <c r="Y24" s="27" t="s">
        <v>13</v>
      </c>
      <c r="Z24" s="28"/>
      <c r="AA24" s="14"/>
      <c r="AB24" s="15" t="str">
        <f>IFERROR(__xludf.DUMMYFUNCTION("join("","",filter(split($H$84,"",""),ARRAYFORMULA(ISERROR(FIND(split($H$84,"",""),CONCATENATE(E24:V24))))=TRUE))"),"СЗ,206,210,401,402,403,404,405,409,410,АЗ")</f>
        <v>СЗ,206,210,401,402,403,404,405,409,410,АЗ</v>
      </c>
      <c r="AC24" s="14"/>
      <c r="AD24" s="14"/>
      <c r="AE24" s="14"/>
      <c r="AF24" s="29"/>
      <c r="AG24" s="29"/>
      <c r="AH24" s="29"/>
    </row>
    <row r="25" ht="40.5" hidden="1" customHeight="1">
      <c r="A25" s="30"/>
      <c r="B25" s="31">
        <v>2.0</v>
      </c>
      <c r="C25" s="32" t="s">
        <v>21</v>
      </c>
      <c r="D25" s="32" t="s">
        <v>22</v>
      </c>
      <c r="E25" s="51" t="s">
        <v>226</v>
      </c>
      <c r="F25" s="41"/>
      <c r="G25" s="39" t="s">
        <v>227</v>
      </c>
      <c r="H25" s="89" t="s">
        <v>228</v>
      </c>
      <c r="I25" s="41"/>
      <c r="J25" s="35" t="s">
        <v>229</v>
      </c>
      <c r="K25" s="13"/>
      <c r="L25" s="40" t="s">
        <v>230</v>
      </c>
      <c r="M25" s="13"/>
      <c r="N25" s="40" t="s">
        <v>231</v>
      </c>
      <c r="O25" s="13"/>
      <c r="P25" s="37" t="s">
        <v>232</v>
      </c>
      <c r="Q25" s="13"/>
      <c r="R25" s="122" t="s">
        <v>233</v>
      </c>
      <c r="S25" s="41"/>
      <c r="T25" s="103" t="s">
        <v>234</v>
      </c>
      <c r="U25" s="36"/>
      <c r="V25" s="41"/>
      <c r="W25" s="26"/>
      <c r="X25" s="42" t="s">
        <v>21</v>
      </c>
      <c r="Y25" s="42" t="s">
        <v>22</v>
      </c>
      <c r="Z25" s="28"/>
      <c r="AA25" s="14"/>
      <c r="AB25" s="15" t="str">
        <f>IFERROR(__xludf.DUMMYFUNCTION("join("","",filter(split($H$84,"",""),ARRAYFORMULA(ISERROR(FIND(split($H$84,"",""),CONCATENATE(E25:V25))))=TRUE))"),"СЗ,КЗ,206,209,210,403,404,405,410,АЗ")</f>
        <v>СЗ,КЗ,206,209,210,403,404,405,410,АЗ</v>
      </c>
      <c r="AC25" s="14"/>
      <c r="AD25" s="14"/>
      <c r="AE25" s="14"/>
      <c r="AF25" s="29"/>
      <c r="AG25" s="29"/>
      <c r="AH25" s="29"/>
    </row>
    <row r="26" ht="40.5" hidden="1" customHeight="1">
      <c r="A26" s="30"/>
      <c r="B26" s="31">
        <v>3.0</v>
      </c>
      <c r="C26" s="32" t="s">
        <v>33</v>
      </c>
      <c r="D26" s="32" t="s">
        <v>34</v>
      </c>
      <c r="E26" s="37" t="s">
        <v>235</v>
      </c>
      <c r="F26" s="41"/>
      <c r="G26" s="51" t="s">
        <v>236</v>
      </c>
      <c r="H26" s="36"/>
      <c r="I26" s="41"/>
      <c r="J26" s="95" t="s">
        <v>237</v>
      </c>
      <c r="K26" s="13"/>
      <c r="L26" s="123" t="s">
        <v>238</v>
      </c>
      <c r="M26" s="41"/>
      <c r="N26" s="40" t="s">
        <v>231</v>
      </c>
      <c r="O26" s="13"/>
      <c r="P26" s="39" t="s">
        <v>239</v>
      </c>
      <c r="Q26" s="124" t="s">
        <v>240</v>
      </c>
      <c r="R26" s="89" t="s">
        <v>241</v>
      </c>
      <c r="S26" s="41"/>
      <c r="T26" s="125" t="s">
        <v>242</v>
      </c>
      <c r="U26" s="36"/>
      <c r="V26" s="41"/>
      <c r="W26" s="26"/>
      <c r="X26" s="42" t="s">
        <v>33</v>
      </c>
      <c r="Y26" s="42" t="s">
        <v>34</v>
      </c>
      <c r="Z26" s="48" t="s">
        <v>47</v>
      </c>
      <c r="AA26" s="85" t="str">
        <f>AA$5</f>
        <v/>
      </c>
      <c r="AB26" s="15" t="str">
        <f>IFERROR(__xludf.DUMMYFUNCTION("join("","",filter(split($H$84,"",""),ARRAYFORMULA(ISERROR(FIND(split($H$84,"",""),CONCATENATE(E26:V26))))=TRUE))"),"СЗ,КЗ,206,210,403,404,405,408,410,АЗ")</f>
        <v>СЗ,КЗ,206,210,403,404,405,408,410,АЗ</v>
      </c>
      <c r="AC26" s="14"/>
      <c r="AD26" s="14"/>
      <c r="AE26" s="14"/>
      <c r="AF26" s="29"/>
      <c r="AG26" s="29"/>
      <c r="AH26" s="29"/>
    </row>
    <row r="27" ht="54.0" hidden="1" customHeight="1">
      <c r="A27" s="30"/>
      <c r="B27" s="31">
        <v>4.0</v>
      </c>
      <c r="C27" s="32" t="s">
        <v>48</v>
      </c>
      <c r="D27" s="32" t="s">
        <v>49</v>
      </c>
      <c r="E27" s="33" t="s">
        <v>243</v>
      </c>
      <c r="F27" s="126" t="s">
        <v>244</v>
      </c>
      <c r="G27" s="37" t="s">
        <v>245</v>
      </c>
      <c r="H27" s="13"/>
      <c r="I27" s="92" t="s">
        <v>246</v>
      </c>
      <c r="J27" s="107" t="s">
        <v>247</v>
      </c>
      <c r="K27" s="13"/>
      <c r="L27" s="45" t="s">
        <v>248</v>
      </c>
      <c r="M27" s="13"/>
      <c r="N27" s="127" t="s">
        <v>249</v>
      </c>
      <c r="O27" s="13"/>
      <c r="P27" s="37" t="s">
        <v>250</v>
      </c>
      <c r="Q27" s="13"/>
      <c r="R27" s="34" t="s">
        <v>251</v>
      </c>
      <c r="S27" s="92" t="s">
        <v>252</v>
      </c>
      <c r="T27" s="125" t="s">
        <v>253</v>
      </c>
      <c r="U27" s="36"/>
      <c r="V27" s="41"/>
      <c r="W27" s="26"/>
      <c r="X27" s="42" t="s">
        <v>48</v>
      </c>
      <c r="Y27" s="42" t="s">
        <v>49</v>
      </c>
      <c r="Z27" s="48" t="s">
        <v>57</v>
      </c>
      <c r="AA27" s="85" t="str">
        <f>AA$6</f>
        <v/>
      </c>
      <c r="AB27" s="15" t="str">
        <f>IFERROR(__xludf.DUMMYFUNCTION("join("","",filter(split($H$84,"",""),ARRAYFORMULA(ISERROR(FIND(split($H$84,"",""),CONCATENATE(E27:V27))))=TRUE))"),"СЗ,202,206,403,404,408,410,АЗ")</f>
        <v>СЗ,202,206,403,404,408,410,АЗ</v>
      </c>
      <c r="AC27" s="14"/>
      <c r="AD27" s="14"/>
      <c r="AE27" s="14"/>
      <c r="AF27" s="29"/>
      <c r="AG27" s="29"/>
      <c r="AH27" s="29"/>
    </row>
    <row r="28" ht="53.25" hidden="1" customHeight="1">
      <c r="A28" s="30"/>
      <c r="B28" s="31">
        <v>5.0</v>
      </c>
      <c r="C28" s="32" t="s">
        <v>58</v>
      </c>
      <c r="D28" s="53">
        <v>44847.0</v>
      </c>
      <c r="E28" s="33" t="s">
        <v>254</v>
      </c>
      <c r="F28" s="126" t="s">
        <v>255</v>
      </c>
      <c r="G28" s="37" t="s">
        <v>256</v>
      </c>
      <c r="H28" s="13"/>
      <c r="I28" s="92" t="s">
        <v>257</v>
      </c>
      <c r="J28" s="123" t="s">
        <v>258</v>
      </c>
      <c r="K28" s="41"/>
      <c r="L28" s="45" t="s">
        <v>259</v>
      </c>
      <c r="M28" s="13"/>
      <c r="N28" s="89" t="s">
        <v>260</v>
      </c>
      <c r="O28" s="13"/>
      <c r="P28" s="39" t="s">
        <v>261</v>
      </c>
      <c r="Q28" s="124" t="s">
        <v>262</v>
      </c>
      <c r="R28" s="34" t="s">
        <v>263</v>
      </c>
      <c r="S28" s="92" t="s">
        <v>264</v>
      </c>
      <c r="T28" s="128" t="s">
        <v>265</v>
      </c>
      <c r="U28" s="8"/>
      <c r="V28" s="129"/>
      <c r="W28" s="26"/>
      <c r="X28" s="42" t="s">
        <v>58</v>
      </c>
      <c r="Y28" s="54">
        <v>44847.0</v>
      </c>
      <c r="Z28" s="48" t="s">
        <v>70</v>
      </c>
      <c r="AA28" s="85" t="str">
        <f>AA$7</f>
        <v/>
      </c>
      <c r="AB28" s="15" t="str">
        <f>IFERROR(__xludf.DUMMYFUNCTION("join("","",filter(split($H$84,"",""),ARRAYFORMULA(ISERROR(FIND(split($H$84,"",""),CONCATENATE(E28:V28))))=TRUE))"),"СЗ,206,209,403,404,408,410")</f>
        <v>СЗ,206,209,403,404,408,410</v>
      </c>
      <c r="AC28" s="14"/>
      <c r="AD28" s="14"/>
      <c r="AE28" s="14"/>
      <c r="AF28" s="29"/>
      <c r="AG28" s="29"/>
      <c r="AH28" s="29"/>
    </row>
    <row r="29" ht="40.5" hidden="1" customHeight="1">
      <c r="A29" s="30"/>
      <c r="B29" s="31">
        <v>6.0</v>
      </c>
      <c r="C29" s="55" t="s">
        <v>71</v>
      </c>
      <c r="D29" s="56" t="s">
        <v>72</v>
      </c>
      <c r="E29" s="126" t="s">
        <v>266</v>
      </c>
      <c r="F29" s="34" t="s">
        <v>267</v>
      </c>
      <c r="G29" s="40" t="s">
        <v>268</v>
      </c>
      <c r="H29" s="41"/>
      <c r="I29" s="34" t="s">
        <v>269</v>
      </c>
      <c r="J29" s="123" t="s">
        <v>270</v>
      </c>
      <c r="K29" s="41"/>
      <c r="L29" s="89" t="s">
        <v>271</v>
      </c>
      <c r="M29" s="13"/>
      <c r="N29" s="130" t="s">
        <v>272</v>
      </c>
      <c r="O29" s="13"/>
      <c r="P29" s="131" t="s">
        <v>273</v>
      </c>
      <c r="Q29" s="132" t="s">
        <v>274</v>
      </c>
      <c r="R29" s="92" t="s">
        <v>275</v>
      </c>
      <c r="S29" s="133" t="s">
        <v>276</v>
      </c>
      <c r="V29" s="134"/>
      <c r="W29" s="26"/>
      <c r="X29" s="58" t="s">
        <v>71</v>
      </c>
      <c r="Y29" s="59" t="s">
        <v>72</v>
      </c>
      <c r="Z29" s="48" t="s">
        <v>84</v>
      </c>
      <c r="AA29" s="85" t="str">
        <f>AA$8</f>
        <v/>
      </c>
      <c r="AB29" s="15" t="str">
        <f>IFERROR(__xludf.DUMMYFUNCTION("join("","",filter(split($H$84,"",""),ARRAYFORMULA(ISERROR(FIND(split($H$84,"",""),CONCATENATE(E29:V29))))=TRUE))"),"СЗ,201,206,403,404,405,408,410,АЗ")</f>
        <v>СЗ,201,206,403,404,405,408,410,АЗ</v>
      </c>
      <c r="AC29" s="14"/>
      <c r="AD29" s="14"/>
      <c r="AE29" s="14"/>
      <c r="AF29" s="29"/>
      <c r="AG29" s="29"/>
      <c r="AH29" s="29"/>
    </row>
    <row r="30" ht="40.5" hidden="1" customHeight="1">
      <c r="A30" s="30"/>
      <c r="B30" s="31">
        <v>7.0</v>
      </c>
      <c r="C30" s="32" t="s">
        <v>85</v>
      </c>
      <c r="D30" s="32" t="s">
        <v>86</v>
      </c>
      <c r="E30" s="126" t="s">
        <v>277</v>
      </c>
      <c r="F30" s="34" t="s">
        <v>278</v>
      </c>
      <c r="G30" s="40" t="s">
        <v>279</v>
      </c>
      <c r="H30" s="41"/>
      <c r="I30" s="34" t="s">
        <v>280</v>
      </c>
      <c r="J30" s="35" t="s">
        <v>281</v>
      </c>
      <c r="K30" s="13"/>
      <c r="L30" s="123" t="s">
        <v>282</v>
      </c>
      <c r="M30" s="135" t="s">
        <v>283</v>
      </c>
      <c r="N30" s="136" t="s">
        <v>284</v>
      </c>
      <c r="O30" s="13"/>
      <c r="P30" s="131" t="s">
        <v>285</v>
      </c>
      <c r="Q30" s="132" t="s">
        <v>286</v>
      </c>
      <c r="R30" s="135" t="s">
        <v>283</v>
      </c>
      <c r="V30" s="134"/>
      <c r="W30" s="26"/>
      <c r="X30" s="42" t="s">
        <v>85</v>
      </c>
      <c r="Y30" s="42" t="s">
        <v>86</v>
      </c>
      <c r="Z30" s="48" t="s">
        <v>97</v>
      </c>
      <c r="AA30" s="85" t="str">
        <f>AA$9</f>
        <v/>
      </c>
      <c r="AB30" s="15" t="str">
        <f>IFERROR(__xludf.DUMMYFUNCTION("join("","",filter(split($H$84,"",""),ARRAYFORMULA(ISERROR(FIND(split($H$84,"",""),CONCATENATE(E30:V30))))=TRUE))"),"СЗ,206,401,403,404,405,409,410,АЗ")</f>
        <v>СЗ,206,401,403,404,405,409,410,АЗ</v>
      </c>
      <c r="AC30" s="14"/>
      <c r="AD30" s="14"/>
      <c r="AE30" s="14"/>
      <c r="AF30" s="29"/>
      <c r="AG30" s="29"/>
      <c r="AH30" s="29"/>
    </row>
    <row r="31" ht="52.5" hidden="1" customHeight="1">
      <c r="A31" s="30"/>
      <c r="B31" s="31">
        <v>8.0</v>
      </c>
      <c r="C31" s="32" t="s">
        <v>98</v>
      </c>
      <c r="D31" s="32" t="s">
        <v>99</v>
      </c>
      <c r="E31" s="46" t="s">
        <v>287</v>
      </c>
      <c r="F31" s="41"/>
      <c r="G31" s="137" t="s">
        <v>288</v>
      </c>
      <c r="H31" s="8"/>
      <c r="I31" s="129"/>
      <c r="J31" s="138" t="s">
        <v>289</v>
      </c>
      <c r="K31" s="8"/>
      <c r="L31" s="8"/>
      <c r="M31" s="139"/>
      <c r="N31" s="45" t="s">
        <v>290</v>
      </c>
      <c r="O31" s="13"/>
      <c r="P31" s="140" t="s">
        <v>291</v>
      </c>
      <c r="Q31" s="4"/>
      <c r="R31" s="139"/>
      <c r="V31" s="134"/>
      <c r="W31" s="26"/>
      <c r="X31" s="42" t="s">
        <v>98</v>
      </c>
      <c r="Y31" s="42" t="s">
        <v>99</v>
      </c>
      <c r="Z31" s="11"/>
      <c r="AA31" s="14"/>
      <c r="AB31" s="15" t="str">
        <f>IFERROR(__xludf.DUMMYFUNCTION("join("","",filter(split($H$84,"",""),ARRAYFORMULA(ISERROR(FIND(split($H$84,"",""),CONCATENATE(E31:V31))))=TRUE))"),"СЗ,КЗ,201,206,401,403,404,405,406,408,409,АЗ")</f>
        <v>СЗ,КЗ,201,206,401,403,404,405,406,408,409,АЗ</v>
      </c>
      <c r="AC31" s="14"/>
      <c r="AD31" s="14"/>
      <c r="AE31" s="14"/>
      <c r="AF31" s="29"/>
      <c r="AG31" s="29"/>
      <c r="AH31" s="29"/>
    </row>
    <row r="32" ht="57.0" hidden="1" customHeight="1">
      <c r="A32" s="30"/>
      <c r="B32" s="31">
        <v>9.0</v>
      </c>
      <c r="C32" s="65">
        <v>44697.0</v>
      </c>
      <c r="D32" s="44" t="s">
        <v>109</v>
      </c>
      <c r="E32" s="141" t="s">
        <v>292</v>
      </c>
      <c r="F32" s="13"/>
      <c r="G32" s="142"/>
      <c r="H32" s="64"/>
      <c r="I32" s="88"/>
      <c r="J32" s="64"/>
      <c r="K32" s="64"/>
      <c r="L32" s="64"/>
      <c r="M32" s="143" t="s">
        <v>293</v>
      </c>
      <c r="N32" s="45" t="s">
        <v>294</v>
      </c>
      <c r="O32" s="13"/>
      <c r="P32" s="142"/>
      <c r="Q32" s="72"/>
      <c r="R32" s="144"/>
      <c r="S32" s="92"/>
      <c r="T32" s="64"/>
      <c r="U32" s="64"/>
      <c r="V32" s="88"/>
      <c r="W32" s="26"/>
      <c r="X32" s="69">
        <v>44697.0</v>
      </c>
      <c r="Y32" s="70" t="s">
        <v>109</v>
      </c>
      <c r="Z32" s="28"/>
      <c r="AA32" s="14"/>
      <c r="AB32" s="15" t="str">
        <f>IFERROR(__xludf.DUMMYFUNCTION("join("","",filter(split($H$84,"",""),ARRAYFORMULA(ISERROR(FIND(split($H$84,"",""),CONCATENATE(E32:V32))))=TRUE))"),"СЗ,КЗ,201,202,206,210,401,402,403,404,405,406,408,409,АЗ")</f>
        <v>СЗ,КЗ,201,202,206,210,401,402,403,404,405,406,408,409,АЗ</v>
      </c>
      <c r="AC32" s="14"/>
      <c r="AD32" s="14"/>
      <c r="AE32" s="14"/>
      <c r="AF32" s="29"/>
      <c r="AG32" s="29"/>
      <c r="AH32" s="29"/>
    </row>
    <row r="33" ht="40.5" hidden="1" customHeight="1">
      <c r="A33" s="30"/>
      <c r="B33" s="31">
        <v>10.0</v>
      </c>
      <c r="C33" s="44" t="s">
        <v>120</v>
      </c>
      <c r="D33" s="44" t="s">
        <v>121</v>
      </c>
      <c r="E33" s="141" t="s">
        <v>295</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30"/>
      <c r="B34" s="75">
        <v>11.0</v>
      </c>
      <c r="C34" s="76" t="s">
        <v>124</v>
      </c>
      <c r="D34" s="76" t="s">
        <v>125</v>
      </c>
      <c r="E34" s="141" t="s">
        <v>297</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IFERROR(__xludf.DUMMYFUNCTION("join("","",filter(split($H$84,"",""),ARRAYFORMULA(ISERROR(FIND(split($H$84,"",""),CONCATENATE(E34:V34))))=TRUE))"),"СЗ,КЗ,201,202,206,209,210,401,402,403,404,405,406,408,409,АЗ")</f>
        <v>СЗ,КЗ,201,202,206,209,210,401,402,403,404,405,406,408,409,АЗ</v>
      </c>
      <c r="AC34" s="14"/>
      <c r="AD34" s="14"/>
      <c r="AE34" s="14"/>
      <c r="AF34" s="29"/>
      <c r="AG34" s="29"/>
      <c r="AH34" s="29"/>
    </row>
    <row r="35" ht="171.0" hidden="1" customHeight="1">
      <c r="A35" s="18">
        <v>45015.0</v>
      </c>
      <c r="B35" s="19">
        <v>1.0</v>
      </c>
      <c r="C35" s="20" t="s">
        <v>12</v>
      </c>
      <c r="D35" s="20" t="s">
        <v>13</v>
      </c>
      <c r="E35" s="80"/>
      <c r="F35" s="25"/>
      <c r="G35" s="156" t="s">
        <v>298</v>
      </c>
      <c r="H35" s="117" t="s">
        <v>299</v>
      </c>
      <c r="I35" s="25"/>
      <c r="J35" s="157" t="s">
        <v>300</v>
      </c>
      <c r="K35" s="158" t="s">
        <v>301</v>
      </c>
      <c r="L35" s="156" t="s">
        <v>302</v>
      </c>
      <c r="M35" s="156" t="s">
        <v>303</v>
      </c>
      <c r="N35" s="80" t="s">
        <v>304</v>
      </c>
      <c r="O35" s="25"/>
      <c r="P35" s="156" t="s">
        <v>305</v>
      </c>
      <c r="Q35" s="156" t="s">
        <v>306</v>
      </c>
      <c r="R35" s="159" t="s">
        <v>307</v>
      </c>
      <c r="S35" s="160" t="s">
        <v>308</v>
      </c>
      <c r="T35" s="161" t="s">
        <v>309</v>
      </c>
      <c r="U35" s="24"/>
      <c r="V35" s="22"/>
      <c r="W35" s="26"/>
      <c r="X35" s="27" t="s">
        <v>12</v>
      </c>
      <c r="Y35" s="27" t="s">
        <v>13</v>
      </c>
      <c r="Z35" s="28"/>
      <c r="AA35" s="14"/>
      <c r="AB35" s="15" t="str">
        <f>IFERROR(__xludf.DUMMYFUNCTION("join("","",filter(split($H$84,"",""),ARRAYFORMULA(ISERROR(FIND(split($H$84,"",""),CONCATENATE(E35:V35))))=TRUE))"),"СЗ,201,206,410,АЗ")</f>
        <v>СЗ,201,206,410,АЗ</v>
      </c>
      <c r="AC35" s="14"/>
      <c r="AD35" s="14"/>
      <c r="AE35" s="14"/>
      <c r="AF35" s="29"/>
      <c r="AG35" s="29"/>
      <c r="AH35" s="29"/>
    </row>
    <row r="36" ht="54.0" hidden="1" customHeight="1">
      <c r="A36" s="30"/>
      <c r="B36" s="31">
        <v>2.0</v>
      </c>
      <c r="C36" s="32" t="s">
        <v>21</v>
      </c>
      <c r="D36" s="32" t="s">
        <v>22</v>
      </c>
      <c r="E36" s="45" t="s">
        <v>310</v>
      </c>
      <c r="F36" s="13"/>
      <c r="G36" s="44" t="s">
        <v>311</v>
      </c>
      <c r="H36" s="40" t="s">
        <v>312</v>
      </c>
      <c r="I36" s="13"/>
      <c r="J36" s="157" t="s">
        <v>313</v>
      </c>
      <c r="K36" s="13"/>
      <c r="L36" s="44" t="s">
        <v>314</v>
      </c>
      <c r="M36" s="44" t="s">
        <v>315</v>
      </c>
      <c r="N36" s="45" t="s">
        <v>316</v>
      </c>
      <c r="O36" s="13"/>
      <c r="P36" s="44" t="s">
        <v>317</v>
      </c>
      <c r="Q36" s="44" t="s">
        <v>318</v>
      </c>
      <c r="R36" s="162" t="s">
        <v>319</v>
      </c>
      <c r="S36" s="90" t="s">
        <v>320</v>
      </c>
      <c r="T36" s="163" t="s">
        <v>321</v>
      </c>
      <c r="U36" s="36"/>
      <c r="V36" s="41"/>
      <c r="W36" s="26"/>
      <c r="X36" s="42" t="s">
        <v>21</v>
      </c>
      <c r="Y36" s="42" t="s">
        <v>22</v>
      </c>
      <c r="Z36" s="28"/>
      <c r="AA36" s="14"/>
      <c r="AB36" s="15" t="str">
        <f>IFERROR(__xludf.DUMMYFUNCTION("join("","",filter(split($H$84,"",""),ARRAYFORMULA(ISERROR(FIND(split($H$84,"",""),CONCATENATE(E36:V36))))=TRUE))"),"СЗ,206,406,410,АЗ")</f>
        <v>СЗ,206,406,410,АЗ</v>
      </c>
      <c r="AC36" s="14"/>
      <c r="AD36" s="14"/>
      <c r="AE36" s="14"/>
      <c r="AF36" s="29"/>
      <c r="AG36" s="29"/>
      <c r="AH36" s="29"/>
    </row>
    <row r="37" ht="56.25" hidden="1" customHeight="1">
      <c r="A37" s="30"/>
      <c r="B37" s="31">
        <v>3.0</v>
      </c>
      <c r="C37" s="32" t="s">
        <v>33</v>
      </c>
      <c r="D37" s="32" t="s">
        <v>34</v>
      </c>
      <c r="E37" s="45" t="s">
        <v>322</v>
      </c>
      <c r="F37" s="13"/>
      <c r="G37" s="132" t="s">
        <v>323</v>
      </c>
      <c r="H37" s="45" t="s">
        <v>324</v>
      </c>
      <c r="I37" s="13"/>
      <c r="J37" s="45" t="s">
        <v>325</v>
      </c>
      <c r="K37" s="13"/>
      <c r="L37" s="44" t="s">
        <v>326</v>
      </c>
      <c r="M37" s="44" t="s">
        <v>327</v>
      </c>
      <c r="N37" s="164" t="s">
        <v>328</v>
      </c>
      <c r="O37" s="36"/>
      <c r="P37" s="36"/>
      <c r="Q37" s="13"/>
      <c r="R37" s="44" t="s">
        <v>329</v>
      </c>
      <c r="S37" s="44" t="s">
        <v>330</v>
      </c>
      <c r="T37" s="87" t="s">
        <v>331</v>
      </c>
      <c r="U37" s="36"/>
      <c r="V37" s="41"/>
      <c r="W37" s="26"/>
      <c r="X37" s="42" t="s">
        <v>33</v>
      </c>
      <c r="Y37" s="42" t="s">
        <v>34</v>
      </c>
      <c r="Z37" s="48" t="s">
        <v>47</v>
      </c>
      <c r="AA37" s="85" t="str">
        <f>AA$5</f>
        <v/>
      </c>
      <c r="AB37" s="15" t="str">
        <f>IFERROR(__xludf.DUMMYFUNCTION("join("","",filter(split($H$84,"",""),ARRAYFORMULA(ISERROR(FIND(split($H$84,"",""),CONCATENATE(E37:V37))))=TRUE))"),"СЗ,КЗ,206,403,410,АЗ")</f>
        <v>СЗ,КЗ,206,403,410,АЗ</v>
      </c>
      <c r="AC37" s="14"/>
      <c r="AD37" s="14"/>
      <c r="AE37" s="14"/>
      <c r="AF37" s="29"/>
      <c r="AG37" s="29"/>
      <c r="AH37" s="29"/>
    </row>
    <row r="38" ht="51.75" hidden="1" customHeight="1">
      <c r="A38" s="30"/>
      <c r="B38" s="31">
        <v>4.0</v>
      </c>
      <c r="C38" s="32" t="s">
        <v>48</v>
      </c>
      <c r="D38" s="32" t="s">
        <v>49</v>
      </c>
      <c r="E38" s="45" t="s">
        <v>332</v>
      </c>
      <c r="F38" s="13"/>
      <c r="G38" s="132" t="s">
        <v>333</v>
      </c>
      <c r="H38" s="45" t="s">
        <v>334</v>
      </c>
      <c r="I38" s="13"/>
      <c r="J38" s="45" t="s">
        <v>335</v>
      </c>
      <c r="K38" s="13"/>
      <c r="L38" s="44" t="s">
        <v>336</v>
      </c>
      <c r="M38" s="44" t="s">
        <v>337</v>
      </c>
      <c r="N38" s="164" t="s">
        <v>338</v>
      </c>
      <c r="O38" s="36"/>
      <c r="P38" s="36"/>
      <c r="Q38" s="13"/>
      <c r="R38" s="44" t="s">
        <v>339</v>
      </c>
      <c r="S38" s="44" t="s">
        <v>340</v>
      </c>
      <c r="T38" s="87" t="s">
        <v>341</v>
      </c>
      <c r="U38" s="36"/>
      <c r="V38" s="41"/>
      <c r="W38" s="26"/>
      <c r="X38" s="42" t="s">
        <v>48</v>
      </c>
      <c r="Y38" s="42" t="s">
        <v>49</v>
      </c>
      <c r="Z38" s="48" t="s">
        <v>57</v>
      </c>
      <c r="AA38" s="85" t="str">
        <f>AA$6</f>
        <v/>
      </c>
      <c r="AB38" s="15" t="str">
        <f>IFERROR(__xludf.DUMMYFUNCTION("join("","",filter(split($H$84,"",""),ARRAYFORMULA(ISERROR(FIND(split($H$84,"",""),CONCATENATE(E38:V38))))=TRUE))"),"СЗ,КЗ,206,403,410,АЗ")</f>
        <v>СЗ,КЗ,206,403,410,АЗ</v>
      </c>
      <c r="AC38" s="14"/>
      <c r="AD38" s="14"/>
      <c r="AE38" s="14"/>
      <c r="AF38" s="29"/>
      <c r="AG38" s="29"/>
      <c r="AH38" s="29"/>
    </row>
    <row r="39" ht="58.5" hidden="1" customHeight="1">
      <c r="A39" s="30"/>
      <c r="B39" s="31">
        <v>5.0</v>
      </c>
      <c r="C39" s="32" t="s">
        <v>58</v>
      </c>
      <c r="D39" s="53">
        <v>44847.0</v>
      </c>
      <c r="E39" s="45" t="s">
        <v>342</v>
      </c>
      <c r="F39" s="13"/>
      <c r="G39" s="44" t="s">
        <v>343</v>
      </c>
      <c r="H39" s="45" t="s">
        <v>344</v>
      </c>
      <c r="I39" s="13"/>
      <c r="J39" s="44" t="s">
        <v>345</v>
      </c>
      <c r="K39" s="44" t="s">
        <v>346</v>
      </c>
      <c r="L39" s="45" t="s">
        <v>347</v>
      </c>
      <c r="M39" s="13"/>
      <c r="N39" s="44" t="s">
        <v>348</v>
      </c>
      <c r="O39" s="44" t="s">
        <v>349</v>
      </c>
      <c r="P39" s="45" t="s">
        <v>350</v>
      </c>
      <c r="Q39" s="13"/>
      <c r="R39" s="44" t="s">
        <v>351</v>
      </c>
      <c r="S39" s="132" t="s">
        <v>352</v>
      </c>
      <c r="T39" s="45" t="s">
        <v>353</v>
      </c>
      <c r="U39" s="36"/>
      <c r="V39" s="41"/>
      <c r="W39" s="26"/>
      <c r="X39" s="42" t="s">
        <v>58</v>
      </c>
      <c r="Y39" s="54">
        <v>44847.0</v>
      </c>
      <c r="Z39" s="48" t="s">
        <v>70</v>
      </c>
      <c r="AA39" s="85" t="str">
        <f>AA$7</f>
        <v/>
      </c>
      <c r="AB39" s="15" t="str">
        <f>IFERROR(__xludf.DUMMYFUNCTION("join("","",filter(split($H$84,"",""),ARRAYFORMULA(ISERROR(FIND(split($H$84,"",""),CONCATENATE(E39:V39))))=TRUE))"),"СЗ,КЗ,206,403,406,АЗ")</f>
        <v>СЗ,КЗ,206,403,406,АЗ</v>
      </c>
      <c r="AC39" s="14"/>
      <c r="AD39" s="14"/>
      <c r="AE39" s="14"/>
      <c r="AF39" s="29"/>
      <c r="AG39" s="29"/>
      <c r="AH39" s="29"/>
    </row>
    <row r="40" ht="54.0" hidden="1" customHeight="1">
      <c r="A40" s="30"/>
      <c r="B40" s="31">
        <v>6.0</v>
      </c>
      <c r="C40" s="55" t="s">
        <v>71</v>
      </c>
      <c r="D40" s="56" t="s">
        <v>72</v>
      </c>
      <c r="E40" s="45" t="s">
        <v>354</v>
      </c>
      <c r="F40" s="13"/>
      <c r="G40" s="44" t="s">
        <v>355</v>
      </c>
      <c r="H40" s="45" t="s">
        <v>356</v>
      </c>
      <c r="I40" s="13"/>
      <c r="J40" s="44" t="s">
        <v>357</v>
      </c>
      <c r="K40" s="44" t="s">
        <v>358</v>
      </c>
      <c r="L40" s="45" t="s">
        <v>359</v>
      </c>
      <c r="M40" s="13"/>
      <c r="N40" s="44" t="s">
        <v>360</v>
      </c>
      <c r="O40" s="44" t="s">
        <v>361</v>
      </c>
      <c r="P40" s="45" t="s">
        <v>362</v>
      </c>
      <c r="Q40" s="13"/>
      <c r="R40" s="44" t="s">
        <v>363</v>
      </c>
      <c r="S40" s="132" t="s">
        <v>364</v>
      </c>
      <c r="T40" s="45" t="s">
        <v>365</v>
      </c>
      <c r="U40" s="36"/>
      <c r="V40" s="41"/>
      <c r="W40" s="26"/>
      <c r="X40" s="58" t="s">
        <v>71</v>
      </c>
      <c r="Y40" s="59" t="s">
        <v>72</v>
      </c>
      <c r="Z40" s="48" t="s">
        <v>84</v>
      </c>
      <c r="AA40" s="85" t="str">
        <f>AA$8</f>
        <v/>
      </c>
      <c r="AB40" s="15" t="str">
        <f>IFERROR(__xludf.DUMMYFUNCTION("join("","",filter(split($H$84,"",""),ARRAYFORMULA(ISERROR(FIND(split($H$84,"",""),CONCATENATE(E40:V40))))=TRUE))"),"СЗ,КЗ,206,403,406,АЗ")</f>
        <v>СЗ,КЗ,206,403,406,АЗ</v>
      </c>
      <c r="AC40" s="14"/>
      <c r="AD40" s="14"/>
      <c r="AE40" s="14"/>
      <c r="AF40" s="29"/>
      <c r="AG40" s="29"/>
      <c r="AH40" s="29"/>
    </row>
    <row r="41" ht="48.75" hidden="1" customHeight="1">
      <c r="A41" s="30"/>
      <c r="B41" s="31">
        <v>7.0</v>
      </c>
      <c r="C41" s="32" t="s">
        <v>85</v>
      </c>
      <c r="D41" s="32" t="s">
        <v>86</v>
      </c>
      <c r="E41" s="45" t="s">
        <v>366</v>
      </c>
      <c r="F41" s="13"/>
      <c r="G41" s="44" t="s">
        <v>367</v>
      </c>
      <c r="H41" s="45" t="s">
        <v>368</v>
      </c>
      <c r="I41" s="13"/>
      <c r="J41" s="44" t="s">
        <v>369</v>
      </c>
      <c r="K41" s="44" t="s">
        <v>370</v>
      </c>
      <c r="L41" s="45" t="s">
        <v>371</v>
      </c>
      <c r="M41" s="13"/>
      <c r="N41" s="87" t="s">
        <v>372</v>
      </c>
      <c r="O41" s="13"/>
      <c r="P41" s="45" t="s">
        <v>373</v>
      </c>
      <c r="Q41" s="13"/>
      <c r="R41" s="44" t="s">
        <v>374</v>
      </c>
      <c r="S41" s="44" t="s">
        <v>375</v>
      </c>
      <c r="T41" s="165" t="s">
        <v>376</v>
      </c>
      <c r="U41" s="36"/>
      <c r="V41" s="41"/>
      <c r="W41" s="26"/>
      <c r="X41" s="42" t="s">
        <v>85</v>
      </c>
      <c r="Y41" s="42" t="s">
        <v>86</v>
      </c>
      <c r="Z41" s="48" t="s">
        <v>97</v>
      </c>
      <c r="AA41" s="85" t="str">
        <f>AA$9</f>
        <v/>
      </c>
      <c r="AB41" s="15" t="str">
        <f>IFERROR(__xludf.DUMMYFUNCTION("join("","",filter(split($H$84,"",""),ARRAYFORMULA(ISERROR(FIND(split($H$84,"",""),CONCATENATE(E41:V41))))=TRUE))"),"СЗ,КЗ,206,210,403,406,АЗ")</f>
        <v>СЗ,КЗ,206,210,403,406,АЗ</v>
      </c>
      <c r="AC41" s="14"/>
      <c r="AD41" s="14"/>
      <c r="AE41" s="14"/>
      <c r="AF41" s="29"/>
      <c r="AG41" s="29"/>
      <c r="AH41" s="29"/>
    </row>
    <row r="42" ht="52.5" hidden="1" customHeight="1">
      <c r="A42" s="30"/>
      <c r="B42" s="31">
        <v>8.0</v>
      </c>
      <c r="C42" s="32" t="s">
        <v>98</v>
      </c>
      <c r="D42" s="32" t="s">
        <v>99</v>
      </c>
      <c r="E42" s="45" t="s">
        <v>377</v>
      </c>
      <c r="F42" s="13"/>
      <c r="G42" s="44" t="s">
        <v>378</v>
      </c>
      <c r="H42" s="45" t="s">
        <v>379</v>
      </c>
      <c r="I42" s="13"/>
      <c r="J42" s="44" t="s">
        <v>380</v>
      </c>
      <c r="K42" s="44" t="s">
        <v>381</v>
      </c>
      <c r="L42" s="45" t="s">
        <v>382</v>
      </c>
      <c r="M42" s="13"/>
      <c r="N42" s="87" t="s">
        <v>383</v>
      </c>
      <c r="O42" s="13"/>
      <c r="P42" s="45" t="s">
        <v>384</v>
      </c>
      <c r="Q42" s="13"/>
      <c r="R42" s="166"/>
      <c r="S42" s="13"/>
      <c r="T42" s="165" t="s">
        <v>385</v>
      </c>
      <c r="U42" s="36"/>
      <c r="V42" s="41"/>
      <c r="W42" s="26"/>
      <c r="X42" s="42" t="s">
        <v>98</v>
      </c>
      <c r="Y42" s="42" t="s">
        <v>99</v>
      </c>
      <c r="Z42" s="11"/>
      <c r="AA42" s="14"/>
      <c r="AB42" s="15" t="str">
        <f>IFERROR(__xludf.DUMMYFUNCTION("join("","",filter(split($H$84,"",""),ARRAYFORMULA(ISERROR(FIND(split($H$84,"",""),CONCATENATE(E42:V42))))=TRUE))"),"СЗ,КЗ,206,210,403,404,405,406,АЗ")</f>
        <v>СЗ,КЗ,206,210,403,404,405,406,АЗ</v>
      </c>
      <c r="AC42" s="14"/>
      <c r="AD42" s="14"/>
      <c r="AE42" s="14"/>
      <c r="AF42" s="29"/>
      <c r="AG42" s="29"/>
      <c r="AH42" s="29"/>
    </row>
    <row r="43" ht="40.5" hidden="1" customHeight="1">
      <c r="A43" s="30"/>
      <c r="B43" s="31">
        <v>9.0</v>
      </c>
      <c r="C43" s="65">
        <v>44697.0</v>
      </c>
      <c r="D43" s="44" t="s">
        <v>109</v>
      </c>
      <c r="E43" s="167" t="s">
        <v>386</v>
      </c>
      <c r="F43" s="4"/>
      <c r="G43" s="168"/>
      <c r="H43" s="169" t="s">
        <v>387</v>
      </c>
      <c r="I43" s="36"/>
      <c r="J43" s="13"/>
      <c r="K43" s="170"/>
      <c r="L43" s="4"/>
      <c r="M43" s="171"/>
      <c r="N43" s="45" t="s">
        <v>388</v>
      </c>
      <c r="O43" s="13"/>
      <c r="P43" s="33" t="s">
        <v>389</v>
      </c>
      <c r="Q43" s="172" t="s">
        <v>390</v>
      </c>
      <c r="R43" s="8"/>
      <c r="S43" s="8"/>
      <c r="T43" s="8"/>
      <c r="U43" s="8"/>
      <c r="V43" s="129"/>
      <c r="W43" s="26"/>
      <c r="X43" s="69">
        <v>44697.0</v>
      </c>
      <c r="Y43" s="70" t="s">
        <v>109</v>
      </c>
      <c r="Z43" s="28"/>
      <c r="AA43" s="14"/>
      <c r="AB43" s="15" t="str">
        <f>IFERROR(__xludf.DUMMYFUNCTION("join("","",filter(split($H$84,"",""),ARRAYFORMULA(ISERROR(FIND(split($H$84,"",""),CONCATENATE(E43:V43))))=TRUE))"),"СЗ,КЗ,202,206,209,401,403,404,405,406,408,409,АЗ")</f>
        <v>СЗ,КЗ,202,206,209,401,403,404,405,406,408,409,АЗ</v>
      </c>
      <c r="AC43" s="14"/>
      <c r="AD43" s="14"/>
      <c r="AE43" s="14"/>
      <c r="AF43" s="29"/>
      <c r="AG43" s="29"/>
      <c r="AH43" s="29"/>
    </row>
    <row r="44" ht="40.5" hidden="1" customHeight="1">
      <c r="A44" s="30"/>
      <c r="B44" s="31">
        <v>10.0</v>
      </c>
      <c r="C44" s="44" t="s">
        <v>120</v>
      </c>
      <c r="D44" s="44" t="s">
        <v>121</v>
      </c>
      <c r="E44" s="104"/>
      <c r="F44" s="72"/>
      <c r="G44" s="173"/>
      <c r="H44" s="169" t="s">
        <v>391</v>
      </c>
      <c r="I44" s="36"/>
      <c r="J44" s="13"/>
      <c r="K44" s="104"/>
      <c r="L44" s="72"/>
      <c r="M44" s="171"/>
      <c r="N44" s="45" t="s">
        <v>388</v>
      </c>
      <c r="O44" s="13"/>
      <c r="P44" s="33" t="s">
        <v>392</v>
      </c>
      <c r="Q44" s="104"/>
      <c r="R44" s="64"/>
      <c r="S44" s="64"/>
      <c r="T44" s="64"/>
      <c r="U44" s="64"/>
      <c r="V44" s="88"/>
      <c r="W44" s="26"/>
      <c r="X44" s="70" t="s">
        <v>120</v>
      </c>
      <c r="Y44" s="70" t="s">
        <v>121</v>
      </c>
      <c r="Z44" s="28"/>
      <c r="AA44" s="14"/>
      <c r="AB44" s="15" t="str">
        <f>IFERROR(__xludf.DUMMYFUNCTION("join("","",filter(split($H$84,"",""),ARRAYFORMULA(ISERROR(FIND(split($H$84,"",""),CONCATENATE(E44:V44))))=TRUE))"),"СЗ,КЗ,201,202,206,209,401,403,404,405,406,408,409,410,АЗ")</f>
        <v>СЗ,КЗ,201,202,206,209,401,403,404,405,406,408,409,410,АЗ</v>
      </c>
      <c r="AC44" s="14"/>
      <c r="AD44" s="14"/>
      <c r="AE44" s="14"/>
      <c r="AF44" s="29"/>
      <c r="AG44" s="29"/>
      <c r="AH44" s="29"/>
    </row>
    <row r="45" ht="40.5" hidden="1" customHeight="1">
      <c r="A45" s="30"/>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IFERROR(__xludf.DUMMYFUNCTION("join("","",filter(split($H$84,"",""),ARRAYFORMULA(ISERROR(FIND(split($H$84,"",""),CONCATENATE(E45:V45))))=TRUE))"),"СЗ,КЗ,201,202,206,209,210,401,402,403,404,405,406,408,409,410,АЗ")</f>
        <v>СЗ,КЗ,201,202,206,209,210,401,402,403,404,405,406,408,409,410,АЗ</v>
      </c>
      <c r="AC45" s="14"/>
      <c r="AD45" s="14"/>
      <c r="AE45" s="14"/>
      <c r="AF45" s="29"/>
      <c r="AG45" s="29"/>
      <c r="AH45" s="29"/>
    </row>
    <row r="46" ht="40.5" customHeight="1">
      <c r="A46" s="18">
        <v>45016.0</v>
      </c>
      <c r="B46" s="19">
        <v>1.0</v>
      </c>
      <c r="C46" s="20" t="s">
        <v>12</v>
      </c>
      <c r="D46" s="20" t="s">
        <v>13</v>
      </c>
      <c r="E46" s="156" t="s">
        <v>393</v>
      </c>
      <c r="F46" s="156" t="s">
        <v>394</v>
      </c>
      <c r="G46" s="80" t="s">
        <v>395</v>
      </c>
      <c r="H46" s="25"/>
      <c r="I46" s="174" t="s">
        <v>396</v>
      </c>
      <c r="J46" s="175" t="s">
        <v>397</v>
      </c>
      <c r="K46" s="25"/>
      <c r="L46" s="80" t="s">
        <v>398</v>
      </c>
      <c r="M46" s="25"/>
      <c r="N46" s="156" t="s">
        <v>399</v>
      </c>
      <c r="O46" s="156" t="s">
        <v>400</v>
      </c>
      <c r="P46" s="80" t="s">
        <v>401</v>
      </c>
      <c r="Q46" s="25"/>
      <c r="R46" s="80" t="s">
        <v>402</v>
      </c>
      <c r="S46" s="25"/>
      <c r="T46" s="80" t="s">
        <v>403</v>
      </c>
      <c r="U46" s="24"/>
      <c r="V46" s="22"/>
      <c r="W46" s="26"/>
      <c r="X46" s="27" t="s">
        <v>12</v>
      </c>
      <c r="Y46" s="27" t="s">
        <v>13</v>
      </c>
      <c r="Z46" s="28"/>
      <c r="AA46" s="14"/>
      <c r="AB46" s="15" t="str">
        <f>IFERROR(__xludf.DUMMYFUNCTION("join("","",filter(split($H$84,"",""),ARRAYFORMULA(ISERROR(FIND(split($H$84,"",""),CONCATENATE(E46:V46))))=TRUE))"),"СЗ,КЗ,206,402,408,409,410")</f>
        <v>СЗ,КЗ,206,402,408,409,410</v>
      </c>
      <c r="AC46" s="14"/>
      <c r="AD46" s="14"/>
      <c r="AE46" s="14"/>
      <c r="AF46" s="29"/>
      <c r="AG46" s="29"/>
      <c r="AH46" s="29"/>
    </row>
    <row r="47" ht="40.5" customHeight="1">
      <c r="A47" s="30"/>
      <c r="B47" s="31">
        <v>2.0</v>
      </c>
      <c r="C47" s="32" t="s">
        <v>21</v>
      </c>
      <c r="D47" s="32" t="s">
        <v>22</v>
      </c>
      <c r="E47" s="44" t="s">
        <v>404</v>
      </c>
      <c r="F47" s="44" t="s">
        <v>405</v>
      </c>
      <c r="G47" s="45" t="s">
        <v>406</v>
      </c>
      <c r="H47" s="13"/>
      <c r="I47" s="173"/>
      <c r="J47" s="157" t="s">
        <v>407</v>
      </c>
      <c r="K47" s="13"/>
      <c r="L47" s="80" t="s">
        <v>408</v>
      </c>
      <c r="M47" s="25"/>
      <c r="N47" s="44" t="s">
        <v>409</v>
      </c>
      <c r="O47" s="44" t="s">
        <v>410</v>
      </c>
      <c r="P47" s="45" t="s">
        <v>411</v>
      </c>
      <c r="Q47" s="13"/>
      <c r="R47" s="44" t="s">
        <v>412</v>
      </c>
      <c r="S47" s="90" t="s">
        <v>413</v>
      </c>
      <c r="T47" s="45" t="s">
        <v>414</v>
      </c>
      <c r="U47" s="36"/>
      <c r="V47" s="41"/>
      <c r="W47" s="26"/>
      <c r="X47" s="42" t="s">
        <v>21</v>
      </c>
      <c r="Y47" s="42" t="s">
        <v>22</v>
      </c>
      <c r="Z47" s="28"/>
      <c r="AA47" s="14"/>
      <c r="AB47" s="15" t="str">
        <f>IFERROR(__xludf.DUMMYFUNCTION("join("","",filter(split($H$84,"",""),ARRAYFORMULA(ISERROR(FIND(split($H$84,"",""),CONCATENATE(E47:V47))))=TRUE))"),"СЗ,КЗ,206,408,409,410,АЗ")</f>
        <v>СЗ,КЗ,206,408,409,410,АЗ</v>
      </c>
      <c r="AC47" s="14"/>
      <c r="AD47" s="14"/>
      <c r="AE47" s="14"/>
      <c r="AF47" s="29"/>
      <c r="AG47" s="29"/>
      <c r="AH47" s="29"/>
    </row>
    <row r="48" ht="40.5" customHeight="1">
      <c r="A48" s="30"/>
      <c r="B48" s="31">
        <v>3.0</v>
      </c>
      <c r="C48" s="32" t="s">
        <v>33</v>
      </c>
      <c r="D48" s="32" t="s">
        <v>34</v>
      </c>
      <c r="E48" s="40" t="s">
        <v>415</v>
      </c>
      <c r="F48" s="13"/>
      <c r="G48" s="176" t="s">
        <v>416</v>
      </c>
      <c r="H48" s="4"/>
      <c r="I48" s="90" t="s">
        <v>417</v>
      </c>
      <c r="J48" s="44" t="s">
        <v>418</v>
      </c>
      <c r="K48" s="44" t="s">
        <v>419</v>
      </c>
      <c r="L48" s="44" t="s">
        <v>420</v>
      </c>
      <c r="M48" s="44" t="s">
        <v>421</v>
      </c>
      <c r="N48" s="164" t="s">
        <v>422</v>
      </c>
      <c r="O48" s="36"/>
      <c r="P48" s="36"/>
      <c r="Q48" s="13"/>
      <c r="R48" s="44" t="s">
        <v>423</v>
      </c>
      <c r="S48" s="90" t="s">
        <v>424</v>
      </c>
      <c r="T48" s="45" t="s">
        <v>425</v>
      </c>
      <c r="U48" s="36"/>
      <c r="V48" s="41"/>
      <c r="W48" s="26"/>
      <c r="X48" s="42" t="s">
        <v>33</v>
      </c>
      <c r="Y48" s="42" t="s">
        <v>34</v>
      </c>
      <c r="Z48" s="48" t="s">
        <v>47</v>
      </c>
      <c r="AA48" s="85" t="str">
        <f>AA$5</f>
        <v/>
      </c>
      <c r="AB48" s="15" t="str">
        <f>IFERROR(__xludf.DUMMYFUNCTION("join("","",filter(split($H$84,"",""),ARRAYFORMULA(ISERROR(FIND(split($H$84,"",""),CONCATENATE(E48:V48))))=TRUE))"),"СЗ,КЗ,206,209,409,410")</f>
        <v>СЗ,КЗ,206,209,409,410</v>
      </c>
      <c r="AC48" s="14"/>
      <c r="AD48" s="14"/>
      <c r="AE48" s="14"/>
      <c r="AF48" s="29"/>
      <c r="AG48" s="29"/>
      <c r="AH48" s="29"/>
    </row>
    <row r="49" ht="40.5" customHeight="1">
      <c r="A49" s="30"/>
      <c r="B49" s="31">
        <v>4.0</v>
      </c>
      <c r="C49" s="32" t="s">
        <v>48</v>
      </c>
      <c r="D49" s="32" t="s">
        <v>49</v>
      </c>
      <c r="E49" s="40" t="s">
        <v>426</v>
      </c>
      <c r="F49" s="13"/>
      <c r="G49" s="104"/>
      <c r="H49" s="72"/>
      <c r="I49" s="90" t="s">
        <v>427</v>
      </c>
      <c r="J49" s="44" t="s">
        <v>428</v>
      </c>
      <c r="K49" s="44" t="s">
        <v>429</v>
      </c>
      <c r="L49" s="44" t="s">
        <v>430</v>
      </c>
      <c r="M49" s="44" t="s">
        <v>431</v>
      </c>
      <c r="N49" s="164" t="s">
        <v>432</v>
      </c>
      <c r="O49" s="36"/>
      <c r="P49" s="36"/>
      <c r="Q49" s="13"/>
      <c r="R49" s="97" t="s">
        <v>433</v>
      </c>
      <c r="S49" s="133" t="s">
        <v>434</v>
      </c>
      <c r="T49" s="45" t="s">
        <v>435</v>
      </c>
      <c r="U49" s="36"/>
      <c r="V49" s="41"/>
      <c r="W49" s="26"/>
      <c r="X49" s="42" t="s">
        <v>48</v>
      </c>
      <c r="Y49" s="42" t="s">
        <v>49</v>
      </c>
      <c r="Z49" s="48" t="s">
        <v>57</v>
      </c>
      <c r="AA49" s="85" t="str">
        <f>AA$6</f>
        <v/>
      </c>
      <c r="AB49" s="15" t="str">
        <f>IFERROR(__xludf.DUMMYFUNCTION("join("","",filter(split($H$84,"",""),ARRAYFORMULA(ISERROR(FIND(split($H$84,"",""),CONCATENATE(E49:V49))))=TRUE))"),"СЗ,КЗ,201,206,409,410,АЗ")</f>
        <v>СЗ,КЗ,201,206,409,410,АЗ</v>
      </c>
      <c r="AC49" s="14"/>
      <c r="AD49" s="14"/>
      <c r="AE49" s="14"/>
      <c r="AF49" s="29"/>
      <c r="AG49" s="29"/>
      <c r="AH49" s="29"/>
    </row>
    <row r="50" ht="40.5" customHeight="1">
      <c r="A50" s="30"/>
      <c r="B50" s="31">
        <v>5.0</v>
      </c>
      <c r="C50" s="32" t="s">
        <v>58</v>
      </c>
      <c r="D50" s="53">
        <v>44847.0</v>
      </c>
      <c r="E50" s="45" t="s">
        <v>436</v>
      </c>
      <c r="F50" s="13"/>
      <c r="G50" s="44" t="s">
        <v>437</v>
      </c>
      <c r="H50" s="44" t="s">
        <v>438</v>
      </c>
      <c r="I50" s="44" t="s">
        <v>439</v>
      </c>
      <c r="J50" s="45" t="s">
        <v>440</v>
      </c>
      <c r="K50" s="13"/>
      <c r="L50" s="45" t="s">
        <v>441</v>
      </c>
      <c r="M50" s="13"/>
      <c r="N50" s="177" t="s">
        <v>442</v>
      </c>
      <c r="O50" s="124" t="s">
        <v>443</v>
      </c>
      <c r="P50" s="45" t="s">
        <v>444</v>
      </c>
      <c r="Q50" s="13"/>
      <c r="R50" s="97" t="s">
        <v>445</v>
      </c>
      <c r="S50" s="133" t="s">
        <v>446</v>
      </c>
      <c r="T50" s="45" t="s">
        <v>447</v>
      </c>
      <c r="U50" s="36"/>
      <c r="V50" s="41"/>
      <c r="W50" s="26"/>
      <c r="X50" s="42" t="s">
        <v>58</v>
      </c>
      <c r="Y50" s="54">
        <v>44847.0</v>
      </c>
      <c r="Z50" s="48" t="s">
        <v>70</v>
      </c>
      <c r="AA50" s="85" t="str">
        <f>AA$7</f>
        <v/>
      </c>
      <c r="AB50" s="15" t="str">
        <f>IFERROR(__xludf.DUMMYFUNCTION("join("","",filter(split($H$84,"",""),ARRAYFORMULA(ISERROR(FIND(split($H$84,"",""),CONCATENATE(E50:V50))))=TRUE))"),"СЗ,КЗ,206,401,404,408,409,410")</f>
        <v>СЗ,КЗ,206,401,404,408,409,410</v>
      </c>
      <c r="AC50" s="14"/>
      <c r="AD50" s="14"/>
      <c r="AE50" s="14"/>
      <c r="AF50" s="29"/>
      <c r="AG50" s="29"/>
      <c r="AH50" s="29"/>
    </row>
    <row r="51" ht="48.75" customHeight="1">
      <c r="A51" s="30"/>
      <c r="B51" s="31">
        <v>6.0</v>
      </c>
      <c r="C51" s="55" t="s">
        <v>71</v>
      </c>
      <c r="D51" s="56" t="s">
        <v>72</v>
      </c>
      <c r="E51" s="45" t="s">
        <v>448</v>
      </c>
      <c r="F51" s="13"/>
      <c r="G51" s="44" t="s">
        <v>449</v>
      </c>
      <c r="H51" s="44" t="s">
        <v>450</v>
      </c>
      <c r="I51" s="44" t="s">
        <v>451</v>
      </c>
      <c r="J51" s="45" t="s">
        <v>452</v>
      </c>
      <c r="K51" s="13"/>
      <c r="L51" s="45" t="s">
        <v>453</v>
      </c>
      <c r="M51" s="13"/>
      <c r="N51" s="177" t="s">
        <v>454</v>
      </c>
      <c r="O51" s="124" t="s">
        <v>455</v>
      </c>
      <c r="P51" s="45" t="s">
        <v>456</v>
      </c>
      <c r="Q51" s="13"/>
      <c r="R51" s="162" t="s">
        <v>457</v>
      </c>
      <c r="S51" s="178" t="s">
        <v>458</v>
      </c>
      <c r="T51" s="44" t="s">
        <v>459</v>
      </c>
      <c r="U51" s="44" t="s">
        <v>460</v>
      </c>
      <c r="V51" s="34"/>
      <c r="W51" s="179"/>
      <c r="X51" s="58" t="s">
        <v>71</v>
      </c>
      <c r="Y51" s="59" t="s">
        <v>72</v>
      </c>
      <c r="Z51" s="48" t="s">
        <v>84</v>
      </c>
      <c r="AA51" s="85"/>
      <c r="AB51" s="15" t="str">
        <f>IFERROR(__xludf.DUMMYFUNCTION("join("","",filter(split($H$84,"",""),ARRAYFORMULA(ISERROR(FIND(split($H$84,"",""),CONCATENATE(E51:V51))))=TRUE))"),"СЗ,206,404,409,410")</f>
        <v>СЗ,206,404,409,410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461</v>
      </c>
      <c r="F52" s="13"/>
      <c r="G52" s="44" t="s">
        <v>462</v>
      </c>
      <c r="H52" s="44" t="s">
        <v>463</v>
      </c>
      <c r="I52" s="44" t="s">
        <v>464</v>
      </c>
      <c r="J52" s="45" t="s">
        <v>465</v>
      </c>
      <c r="K52" s="13"/>
      <c r="L52" s="45" t="s">
        <v>466</v>
      </c>
      <c r="M52" s="13"/>
      <c r="N52" s="86" t="s">
        <v>467</v>
      </c>
      <c r="O52" s="13"/>
      <c r="P52" s="124" t="s">
        <v>468</v>
      </c>
      <c r="Q52" s="37" t="s">
        <v>469</v>
      </c>
      <c r="R52" s="180" t="s">
        <v>470</v>
      </c>
      <c r="S52" s="181" t="s">
        <v>471</v>
      </c>
      <c r="T52" s="44" t="s">
        <v>472</v>
      </c>
      <c r="U52" s="44"/>
      <c r="V52" s="34"/>
      <c r="W52" s="26"/>
      <c r="X52" s="42" t="s">
        <v>85</v>
      </c>
      <c r="Y52" s="42" t="s">
        <v>86</v>
      </c>
      <c r="Z52" s="48" t="s">
        <v>97</v>
      </c>
      <c r="AA52" s="85" t="str">
        <f>AA$9</f>
        <v/>
      </c>
      <c r="AB52" s="15" t="str">
        <f>IFERROR(__xludf.DUMMYFUNCTION("join("","",filter(split($H$84,"",""),ARRAYFORMULA(ISERROR(FIND(split($H$84,"",""),CONCATENATE(E52:V52))))=TRUE))"),"СЗ,206,404,410")</f>
        <v>СЗ,206,404,410</v>
      </c>
      <c r="AC52" s="14"/>
      <c r="AD52" s="14"/>
      <c r="AE52" s="14"/>
      <c r="AF52" s="29"/>
      <c r="AG52" s="29"/>
      <c r="AH52" s="29"/>
    </row>
    <row r="53" ht="51.75" customHeight="1">
      <c r="A53" s="30"/>
      <c r="B53" s="31">
        <v>8.0</v>
      </c>
      <c r="C53" s="32" t="s">
        <v>98</v>
      </c>
      <c r="D53" s="32" t="s">
        <v>99</v>
      </c>
      <c r="E53" s="44" t="s">
        <v>473</v>
      </c>
      <c r="F53" s="44" t="s">
        <v>474</v>
      </c>
      <c r="G53" s="177"/>
      <c r="H53" s="163"/>
      <c r="I53" s="13"/>
      <c r="J53" s="45" t="s">
        <v>475</v>
      </c>
      <c r="K53" s="13"/>
      <c r="L53" s="45"/>
      <c r="M53" s="13"/>
      <c r="N53" s="182"/>
      <c r="O53" s="177"/>
      <c r="P53" s="124" t="s">
        <v>476</v>
      </c>
      <c r="Q53" s="37" t="s">
        <v>160</v>
      </c>
      <c r="R53" s="183" t="s">
        <v>477</v>
      </c>
      <c r="S53" s="181" t="s">
        <v>478</v>
      </c>
      <c r="T53" s="144"/>
      <c r="U53" s="144"/>
      <c r="V53" s="184"/>
      <c r="W53" s="26"/>
      <c r="X53" s="42" t="s">
        <v>98</v>
      </c>
      <c r="Y53" s="42" t="s">
        <v>99</v>
      </c>
      <c r="Z53" s="11"/>
      <c r="AA53" s="14"/>
      <c r="AB53" s="15" t="str">
        <f>IFERROR(__xludf.DUMMYFUNCTION("join("","",filter(split($H$84,"",""),ARRAYFORMULA(ISERROR(FIND(split($H$84,"",""),CONCATENATE(E53:V53))))=TRUE))"),"СЗ,КЗ,201,206,401,404,405,406,408,410")</f>
        <v>СЗ,КЗ,201,206,401,404,405,406,408,410</v>
      </c>
      <c r="AC53" s="14"/>
      <c r="AD53" s="14"/>
      <c r="AE53" s="14"/>
      <c r="AF53" s="29"/>
      <c r="AG53" s="29"/>
      <c r="AH53" s="29"/>
    </row>
    <row r="54" ht="42.0" customHeight="1">
      <c r="A54" s="30"/>
      <c r="B54" s="31"/>
      <c r="C54" s="65"/>
      <c r="D54" s="44"/>
      <c r="E54" s="185" t="s">
        <v>479</v>
      </c>
      <c r="F54" s="36"/>
      <c r="G54" s="36"/>
      <c r="H54" s="36"/>
      <c r="I54" s="36"/>
      <c r="J54" s="36"/>
      <c r="K54" s="36"/>
      <c r="L54" s="36"/>
      <c r="M54" s="36"/>
      <c r="N54" s="36"/>
      <c r="O54" s="36"/>
      <c r="P54" s="36"/>
      <c r="Q54" s="36"/>
      <c r="R54" s="36"/>
      <c r="S54" s="36"/>
      <c r="T54" s="36"/>
      <c r="U54" s="36"/>
      <c r="V54" s="13"/>
      <c r="W54" s="186"/>
      <c r="X54" s="69"/>
      <c r="Y54" s="70"/>
      <c r="Z54" s="28"/>
      <c r="AA54" s="14"/>
      <c r="AB54" s="15"/>
      <c r="AC54" s="14"/>
      <c r="AD54" s="14"/>
      <c r="AE54" s="14"/>
      <c r="AF54" s="29"/>
      <c r="AG54" s="29"/>
      <c r="AH54" s="29"/>
    </row>
    <row r="55" ht="71.25" customHeight="1">
      <c r="A55" s="30"/>
      <c r="B55" s="31">
        <v>9.0</v>
      </c>
      <c r="C55" s="65">
        <v>44697.0</v>
      </c>
      <c r="D55" s="44" t="s">
        <v>109</v>
      </c>
      <c r="E55" s="187" t="s">
        <v>480</v>
      </c>
      <c r="F55" s="8"/>
      <c r="G55" s="8"/>
      <c r="H55" s="8"/>
      <c r="I55" s="8"/>
      <c r="J55" s="8"/>
      <c r="K55" s="8"/>
      <c r="L55" s="8"/>
      <c r="M55" s="8"/>
      <c r="N55" s="163"/>
      <c r="O55" s="177"/>
      <c r="P55" s="187" t="s">
        <v>480</v>
      </c>
      <c r="Q55" s="8"/>
      <c r="R55" s="8"/>
      <c r="S55" s="8"/>
      <c r="T55" s="8"/>
      <c r="U55" s="8"/>
      <c r="V55" s="8"/>
      <c r="W55" s="186"/>
      <c r="X55" s="69">
        <v>44697.0</v>
      </c>
      <c r="Y55" s="70" t="s">
        <v>109</v>
      </c>
      <c r="Z55" s="28"/>
      <c r="AA55" s="14"/>
      <c r="AB55" s="15" t="str">
        <f>IFERROR(__xludf.DUMMYFUNCTION("join("","",filter(split($H$84,"",""),ARRAYFORMULA(ISERROR(FIND(split($H$84,"",""),CONCATENATE(E55:V55))))=TRUE))"),"206,209,401,403,404,405,408,409,410,АЗ")</f>
        <v>206,209,401,403,404,405,408,409,410,АЗ</v>
      </c>
      <c r="AC55" s="14"/>
      <c r="AD55" s="14"/>
      <c r="AE55" s="14"/>
      <c r="AF55" s="29"/>
      <c r="AG55" s="29"/>
      <c r="AH55" s="29"/>
    </row>
    <row r="56" ht="40.5" customHeight="1">
      <c r="A56" s="30"/>
      <c r="B56" s="31">
        <v>10.0</v>
      </c>
      <c r="C56" s="44" t="s">
        <v>120</v>
      </c>
      <c r="D56" s="44" t="s">
        <v>121</v>
      </c>
      <c r="E56" s="104"/>
      <c r="F56" s="64"/>
      <c r="G56" s="64"/>
      <c r="H56" s="64"/>
      <c r="I56" s="64"/>
      <c r="J56" s="64"/>
      <c r="K56" s="64"/>
      <c r="L56" s="64"/>
      <c r="M56" s="64"/>
      <c r="N56" s="188"/>
      <c r="O56" s="189"/>
      <c r="P56" s="104"/>
      <c r="Q56" s="64"/>
      <c r="R56" s="64"/>
      <c r="S56" s="64"/>
      <c r="T56" s="64"/>
      <c r="U56" s="64"/>
      <c r="V56" s="64"/>
      <c r="W56" s="190"/>
      <c r="X56" s="70" t="s">
        <v>120</v>
      </c>
      <c r="Y56" s="70" t="s">
        <v>121</v>
      </c>
      <c r="Z56" s="28"/>
      <c r="AA56" s="14"/>
      <c r="AB56" s="15" t="str">
        <f>IFERROR(__xludf.DUMMYFUNCTION("join("","",filter(split($H$84,"",""),ARRAYFORMULA(ISERROR(FIND(split($H$84,"",""),CONCATENATE(E56:V56))))=TRUE))"),"СЗ,КЗ,201,202,206,209,210,401,402,403,404,405,406,408,409,410,АЗ")</f>
        <v>СЗ,КЗ,201,202,206,209,210,401,402,403,404,405,406,408,409,410,АЗ</v>
      </c>
      <c r="AC56" s="14"/>
      <c r="AD56" s="14"/>
      <c r="AE56" s="14"/>
      <c r="AF56" s="29"/>
      <c r="AG56" s="29"/>
      <c r="AH56" s="29"/>
    </row>
    <row r="57" ht="40.5" customHeight="1">
      <c r="A57" s="30"/>
      <c r="B57" s="75">
        <v>11.0</v>
      </c>
      <c r="C57" s="76" t="s">
        <v>124</v>
      </c>
      <c r="D57" s="76" t="s">
        <v>125</v>
      </c>
      <c r="E57" s="111"/>
      <c r="F57" s="111"/>
      <c r="G57" s="111"/>
      <c r="H57" s="111"/>
      <c r="I57" s="111"/>
      <c r="J57" s="111"/>
      <c r="K57" s="111"/>
      <c r="L57" s="111"/>
      <c r="M57" s="111"/>
      <c r="N57" s="111"/>
      <c r="O57" s="111"/>
      <c r="P57" s="111"/>
      <c r="Q57" s="111"/>
      <c r="R57" s="111"/>
      <c r="S57" s="111"/>
      <c r="T57" s="111"/>
      <c r="U57" s="111"/>
      <c r="V57" s="112"/>
      <c r="W57" s="26"/>
      <c r="X57" s="79" t="s">
        <v>124</v>
      </c>
      <c r="Y57" s="79" t="s">
        <v>125</v>
      </c>
      <c r="Z57" s="28"/>
      <c r="AA57" s="14"/>
      <c r="AB57" s="15" t="str">
        <f>IFERROR(__xludf.DUMMYFUNCTION("join("","",filter(split($H$84,"",""),ARRAYFORMULA(ISERROR(FIND(split($H$84,"",""),CONCATENATE(E57:V57))))=TRUE))"),"СЗ,КЗ,201,202,206,209,210,401,402,403,404,405,406,408,409,410,АЗ")</f>
        <v>СЗ,КЗ,201,202,206,209,210,401,402,403,404,405,406,408,409,410,АЗ</v>
      </c>
      <c r="AC57" s="14"/>
      <c r="AD57" s="14"/>
      <c r="AE57" s="14"/>
      <c r="AF57" s="29"/>
      <c r="AG57" s="29"/>
      <c r="AH57" s="29"/>
    </row>
    <row r="58" ht="40.5" customHeight="1">
      <c r="A58" s="18">
        <v>45017.0</v>
      </c>
      <c r="B58" s="191">
        <v>1.0</v>
      </c>
      <c r="C58" s="192" t="str">
        <f>D$1</f>
        <v/>
      </c>
      <c r="D58" s="72"/>
      <c r="E58" s="193"/>
      <c r="F58" s="193"/>
      <c r="G58" s="194" t="s">
        <v>481</v>
      </c>
      <c r="H58" s="64"/>
      <c r="I58" s="72"/>
      <c r="J58" s="195"/>
      <c r="K58" s="64"/>
      <c r="L58" s="64"/>
      <c r="M58" s="72"/>
      <c r="N58" s="193"/>
      <c r="O58" s="177"/>
      <c r="P58" s="187" t="s">
        <v>482</v>
      </c>
      <c r="Q58" s="8"/>
      <c r="R58" s="8"/>
      <c r="S58" s="4"/>
      <c r="T58" s="196" t="s">
        <v>483</v>
      </c>
      <c r="U58" s="64"/>
      <c r="V58" s="72"/>
      <c r="W58" s="15"/>
      <c r="X58" s="197" t="str">
        <f>Y$1</f>
        <v/>
      </c>
      <c r="Y58" s="13"/>
      <c r="Z58" s="28"/>
      <c r="AA58" s="14"/>
      <c r="AB58" s="15"/>
      <c r="AC58" s="14"/>
      <c r="AD58" s="14"/>
      <c r="AE58" s="14"/>
      <c r="AF58" s="29"/>
      <c r="AG58" s="29"/>
      <c r="AH58" s="29"/>
    </row>
    <row r="59" ht="40.5" customHeight="1">
      <c r="A59" s="30"/>
      <c r="B59" s="31">
        <v>2.0</v>
      </c>
      <c r="C59" s="85"/>
      <c r="D59" s="85"/>
      <c r="E59" s="15"/>
      <c r="F59" s="15"/>
      <c r="G59" s="15"/>
      <c r="H59" s="15"/>
      <c r="I59" s="15"/>
      <c r="J59" s="15"/>
      <c r="K59" s="15"/>
      <c r="L59" s="15"/>
      <c r="M59" s="15"/>
      <c r="N59" s="15"/>
      <c r="O59" s="177"/>
      <c r="P59" s="104"/>
      <c r="Q59" s="64"/>
      <c r="R59" s="64"/>
      <c r="S59" s="72"/>
      <c r="T59" s="15"/>
      <c r="U59" s="15"/>
      <c r="V59" s="15"/>
      <c r="W59" s="15"/>
      <c r="X59" s="85"/>
      <c r="Y59" s="85"/>
      <c r="Z59" s="198"/>
      <c r="AA59" s="14"/>
      <c r="AB59" s="15"/>
      <c r="AC59" s="14"/>
      <c r="AD59" s="14"/>
      <c r="AE59" s="14"/>
      <c r="AF59" s="29"/>
      <c r="AG59" s="29"/>
      <c r="AH59" s="29"/>
    </row>
    <row r="60" ht="40.5" customHeight="1">
      <c r="A60" s="30"/>
      <c r="B60" s="31">
        <v>3.0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AA$5</f>
        <v/>
      </c>
      <c r="AB60" s="15"/>
      <c r="AC60" s="14"/>
      <c r="AD60" s="14"/>
      <c r="AE60" s="14"/>
      <c r="AF60" s="29"/>
      <c r="AG60" s="29"/>
      <c r="AH60" s="29"/>
    </row>
    <row r="61" ht="40.5" customHeight="1">
      <c r="A61" s="30"/>
      <c r="B61" s="31">
        <v>4.0</v>
      </c>
      <c r="C61" s="85"/>
      <c r="D61" s="85"/>
      <c r="E61" s="15"/>
      <c r="F61" s="15"/>
      <c r="G61" s="15"/>
      <c r="H61" s="15"/>
      <c r="I61" s="15"/>
      <c r="J61" s="44"/>
      <c r="K61" s="44"/>
      <c r="L61" s="44"/>
      <c r="M61" s="44"/>
      <c r="N61" s="15"/>
      <c r="O61" s="15"/>
      <c r="P61" s="199"/>
      <c r="Q61" s="199"/>
      <c r="R61" s="199"/>
      <c r="S61" s="199"/>
      <c r="T61" s="15"/>
      <c r="U61" s="15"/>
      <c r="V61" s="15"/>
      <c r="W61" s="15"/>
      <c r="X61" s="85"/>
      <c r="Y61" s="85"/>
      <c r="Z61" s="198"/>
      <c r="AA61" s="85" t="str">
        <f>AA$6</f>
        <v/>
      </c>
      <c r="AB61" s="15"/>
      <c r="AC61" s="14"/>
      <c r="AD61" s="14"/>
      <c r="AE61" s="14"/>
      <c r="AF61" s="29"/>
      <c r="AG61" s="29"/>
      <c r="AH61" s="29"/>
    </row>
    <row r="62" ht="40.5" customHeight="1">
      <c r="A62" s="30"/>
      <c r="B62" s="31">
        <v>5.0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AA$7</f>
        <v/>
      </c>
      <c r="AB62" s="15"/>
      <c r="AC62" s="14"/>
      <c r="AD62" s="14"/>
      <c r="AE62" s="14"/>
      <c r="AF62" s="29"/>
      <c r="AG62" s="29"/>
      <c r="AH62" s="29"/>
    </row>
    <row r="63" ht="40.5" customHeight="1">
      <c r="A63" s="30"/>
      <c r="B63" s="31">
        <v>6.0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t="str">
        <f>AA$8</f>
        <v/>
      </c>
      <c r="AB63" s="15"/>
      <c r="AC63" s="14"/>
      <c r="AD63" s="14"/>
      <c r="AE63" s="14"/>
      <c r="AF63" s="29"/>
      <c r="AG63" s="29"/>
      <c r="AH63" s="29"/>
    </row>
    <row r="64" ht="40.5" customHeight="1">
      <c r="A64" s="30"/>
      <c r="B64" s="31">
        <v>7.0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c r="AB64" s="14"/>
      <c r="AC64" s="14"/>
      <c r="AD64" s="14"/>
      <c r="AE64" s="14"/>
      <c r="AF64" s="29"/>
      <c r="AG64" s="29"/>
      <c r="AH64" s="29"/>
    </row>
    <row r="65" ht="40.5" customHeight="1">
      <c r="A65" s="30"/>
      <c r="B65" s="31">
        <v>8.0</v>
      </c>
      <c r="C65" s="85"/>
      <c r="D65" s="85"/>
      <c r="E65" s="15"/>
      <c r="F65" s="15"/>
      <c r="G65" s="15"/>
      <c r="H65" s="15"/>
      <c r="I65" s="15"/>
      <c r="J65" s="44"/>
      <c r="K65" s="44"/>
      <c r="L65" s="44"/>
      <c r="M65" s="44"/>
      <c r="N65" s="15"/>
      <c r="O65" s="15"/>
      <c r="P65" s="15"/>
      <c r="Q65" s="15"/>
      <c r="R65" s="15"/>
      <c r="S65" s="15"/>
      <c r="T65" s="15"/>
      <c r="U65" s="15"/>
      <c r="V65" s="15"/>
      <c r="W65" s="15"/>
      <c r="X65" s="85"/>
      <c r="Y65" s="85"/>
      <c r="Z65" s="198"/>
      <c r="AA65" s="85" t="str">
        <f>AA$9</f>
        <v/>
      </c>
      <c r="AB65" s="14"/>
      <c r="AC65" s="14"/>
      <c r="AD65" s="14"/>
      <c r="AE65" s="14"/>
      <c r="AF65" s="29"/>
      <c r="AG65" s="29"/>
      <c r="AH65" s="29"/>
    </row>
    <row r="66" ht="40.5" customHeight="1">
      <c r="A66" s="30"/>
      <c r="B66" s="31">
        <v>9.0</v>
      </c>
      <c r="C66" s="85"/>
      <c r="D66" s="85"/>
      <c r="E66" s="15"/>
      <c r="F66" s="15"/>
      <c r="G66" s="15"/>
      <c r="H66" s="15"/>
      <c r="I66" s="15"/>
      <c r="J66" s="44"/>
      <c r="K66" s="44"/>
      <c r="L66" s="44"/>
      <c r="M66" s="44"/>
      <c r="N66" s="15"/>
      <c r="O66" s="15"/>
      <c r="P66" s="15"/>
      <c r="Q66" s="15"/>
      <c r="R66" s="15"/>
      <c r="S66" s="15"/>
      <c r="T66" s="15"/>
      <c r="U66" s="15"/>
      <c r="V66" s="15"/>
      <c r="W66" s="15"/>
      <c r="X66" s="85"/>
      <c r="Y66" s="85"/>
      <c r="Z66" s="198"/>
      <c r="AA66" s="14"/>
      <c r="AB66" s="15"/>
      <c r="AC66" s="14"/>
      <c r="AD66" s="14"/>
      <c r="AE66" s="14"/>
      <c r="AF66" s="29"/>
      <c r="AG66" s="29"/>
      <c r="AH66" s="29"/>
    </row>
    <row r="67" ht="40.5" customHeight="1">
      <c r="A67" s="30"/>
      <c r="B67" s="200"/>
      <c r="C67" s="85"/>
      <c r="D67" s="85"/>
      <c r="E67" s="15"/>
      <c r="F67" s="15"/>
      <c r="G67" s="15"/>
      <c r="H67" s="15"/>
      <c r="I67" s="15"/>
      <c r="J67" s="15"/>
      <c r="K67" s="45"/>
      <c r="L67" s="13"/>
      <c r="M67" s="15"/>
      <c r="N67" s="15"/>
      <c r="O67" s="15"/>
      <c r="P67" s="15"/>
      <c r="Q67" s="15"/>
      <c r="R67" s="15"/>
      <c r="S67" s="15"/>
      <c r="T67" s="15"/>
      <c r="U67" s="15"/>
      <c r="V67" s="15"/>
      <c r="W67" s="15"/>
      <c r="X67" s="85"/>
      <c r="Y67" s="85"/>
      <c r="Z67" s="198" t="str">
        <f>Z$12</f>
        <v/>
      </c>
      <c r="AA67" s="14"/>
      <c r="AB67" s="14"/>
      <c r="AC67" s="14"/>
      <c r="AD67" s="14"/>
      <c r="AE67" s="14"/>
      <c r="AF67" s="29"/>
      <c r="AG67" s="29"/>
      <c r="AH67" s="29"/>
    </row>
    <row r="68" ht="40.5" customHeight="1">
      <c r="A68" s="30"/>
      <c r="B68" s="200"/>
      <c r="C68" s="14"/>
      <c r="D68" s="15"/>
      <c r="E68" s="15"/>
      <c r="F68" s="15"/>
      <c r="G68" s="15"/>
      <c r="H68" s="15"/>
      <c r="I68" s="15"/>
      <c r="J68" s="15"/>
      <c r="K68" s="45"/>
      <c r="L68" s="13"/>
      <c r="M68" s="15"/>
      <c r="N68" s="15"/>
      <c r="O68" s="15"/>
      <c r="P68" s="15"/>
      <c r="Q68" s="15"/>
      <c r="R68" s="15"/>
      <c r="S68" s="15"/>
      <c r="T68" s="15"/>
      <c r="U68" s="15"/>
      <c r="V68" s="15"/>
      <c r="W68" s="15"/>
      <c r="X68" s="14"/>
      <c r="Y68" s="15"/>
      <c r="Z68" s="198" t="str">
        <f>#REF!</f>
        <v>#REF!</v>
      </c>
      <c r="AA68" s="14"/>
      <c r="AB68" s="14"/>
      <c r="AC68" s="14"/>
      <c r="AD68" s="14"/>
      <c r="AE68" s="14"/>
      <c r="AF68" s="29"/>
      <c r="AG68" s="29"/>
      <c r="AH68" s="29"/>
    </row>
    <row r="69" ht="40.5" customHeight="1">
      <c r="A69" s="201"/>
      <c r="B69" s="200"/>
      <c r="C69" s="14"/>
      <c r="D69" s="14"/>
      <c r="E69" s="15"/>
      <c r="F69" s="15"/>
      <c r="G69" s="15"/>
      <c r="H69" s="15"/>
      <c r="I69" s="15"/>
      <c r="J69" s="15"/>
      <c r="K69" s="45"/>
      <c r="L69" s="13"/>
      <c r="M69" s="15"/>
      <c r="N69" s="15"/>
      <c r="O69" s="15"/>
      <c r="P69" s="15"/>
      <c r="Q69" s="15"/>
      <c r="R69" s="15"/>
      <c r="S69" s="15"/>
      <c r="T69" s="15"/>
      <c r="U69" s="15"/>
      <c r="V69" s="15"/>
      <c r="W69" s="15"/>
      <c r="X69" s="14"/>
      <c r="Y69" s="14"/>
      <c r="Z69" s="19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5"/>
      <c r="D71" s="14"/>
      <c r="E71" s="15"/>
      <c r="F71" s="15"/>
      <c r="G71" s="15"/>
      <c r="H71" s="15"/>
      <c r="I71" s="15"/>
      <c r="J71" s="15"/>
      <c r="K71" s="15"/>
      <c r="L71" s="15"/>
      <c r="M71" s="15"/>
      <c r="N71" s="15"/>
      <c r="O71" s="15"/>
      <c r="P71" s="15"/>
      <c r="Q71" s="15"/>
      <c r="R71" s="15"/>
      <c r="S71" s="15"/>
      <c r="T71" s="15"/>
      <c r="U71" s="15"/>
      <c r="V71" s="15"/>
      <c r="W71" s="15"/>
      <c r="X71" s="15"/>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15"/>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44" t="s">
        <v>484</v>
      </c>
      <c r="F83" s="15"/>
      <c r="G83" s="15"/>
      <c r="H83" s="15"/>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202" t="s">
        <v>485</v>
      </c>
      <c r="F84" s="203"/>
      <c r="G84" s="203"/>
      <c r="H84" s="204" t="s">
        <v>486</v>
      </c>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15"/>
      <c r="K85" s="15"/>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205" t="s">
        <v>487</v>
      </c>
      <c r="K86" s="205" t="b">
        <f>IFERROR(__xludf.DUMMYFUNCTION("IF(COUNTA(filter($E3:$W3,ARRAYFORMULA(ISERROR(FIND(join("","",filter(split($H$84,"",""),ARRAYFORMULA(ISERROR(FIND(split($H$84,"",""),E3)))=FALSE)),$E3:$W3))=FALSE)))&gt;1,FALSE,TRUE)"),TRUE)</f>
        <v>1</v>
      </c>
      <c r="L86" s="15"/>
      <c r="M86" s="15"/>
      <c r="N86" s="15"/>
      <c r="O86" s="15"/>
      <c r="P86" s="15"/>
      <c r="Q86" s="15"/>
      <c r="R86" s="15"/>
      <c r="S86" s="15"/>
      <c r="T86" s="15"/>
      <c r="U86" s="15"/>
      <c r="V86" s="15"/>
      <c r="W86" s="15"/>
      <c r="X86" s="14"/>
      <c r="Y86" s="14"/>
      <c r="Z86" s="28"/>
      <c r="AA86" s="14"/>
      <c r="AB86" s="14"/>
      <c r="AC86" s="14"/>
      <c r="AD86" s="14"/>
      <c r="AE86" s="14"/>
      <c r="AF86" s="29"/>
      <c r="AG86" s="29"/>
      <c r="AH86" s="29"/>
    </row>
    <row r="87" ht="40.5" customHeight="1">
      <c r="A87" s="201"/>
      <c r="B87" s="200"/>
      <c r="C87" s="14"/>
      <c r="D87" s="14"/>
      <c r="E87" s="15"/>
      <c r="F87" s="15"/>
      <c r="G87" s="15"/>
      <c r="H87" s="15"/>
      <c r="I87" s="15"/>
      <c r="J87" s="15"/>
      <c r="K87" s="15"/>
      <c r="L87" s="15"/>
      <c r="M87" s="15"/>
      <c r="N87" s="15"/>
      <c r="O87" s="15"/>
      <c r="P87" s="15"/>
      <c r="Q87" s="15"/>
      <c r="R87" s="15"/>
      <c r="S87" s="15"/>
      <c r="T87" s="15"/>
      <c r="U87" s="15"/>
      <c r="V87" s="15"/>
      <c r="W87" s="15"/>
      <c r="X87" s="14"/>
      <c r="Y87" s="14"/>
      <c r="Z87" s="28"/>
      <c r="AA87" s="14"/>
      <c r="AB87" s="14"/>
      <c r="AC87" s="14"/>
      <c r="AD87" s="14"/>
      <c r="AE87" s="14"/>
      <c r="AF87" s="29"/>
      <c r="AG87" s="29"/>
      <c r="AH87" s="29"/>
    </row>
  </sheetData>
  <mergeCells count="284">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G1:I1"/>
    <mergeCell ref="G3:I3"/>
    <mergeCell ref="N4:O4"/>
    <mergeCell ref="P4:Q4"/>
    <mergeCell ref="P5:Q5"/>
    <mergeCell ref="R5:S5"/>
    <mergeCell ref="H6:I6"/>
    <mergeCell ref="N6:O6"/>
    <mergeCell ref="P6:Q6"/>
    <mergeCell ref="R6:S6"/>
    <mergeCell ref="H7:I7"/>
    <mergeCell ref="J7:K7"/>
    <mergeCell ref="U13:V13"/>
    <mergeCell ref="U14:V14"/>
    <mergeCell ref="T15:V15"/>
    <mergeCell ref="T16:V16"/>
    <mergeCell ref="T17:V17"/>
    <mergeCell ref="T18:V18"/>
    <mergeCell ref="T19:V19"/>
    <mergeCell ref="L7:M7"/>
    <mergeCell ref="N7:O7"/>
    <mergeCell ref="U7:V7"/>
    <mergeCell ref="U8:V8"/>
    <mergeCell ref="R9:V9"/>
    <mergeCell ref="S10:V10"/>
    <mergeCell ref="T11:V11"/>
    <mergeCell ref="G5:I5"/>
    <mergeCell ref="N5:O5"/>
    <mergeCell ref="P7:Q7"/>
    <mergeCell ref="R7:S7"/>
    <mergeCell ref="E8:F8"/>
    <mergeCell ref="H8:I8"/>
    <mergeCell ref="J8:K8"/>
    <mergeCell ref="L8:M8"/>
    <mergeCell ref="N8:O8"/>
    <mergeCell ref="P8:Q8"/>
    <mergeCell ref="E10:F10"/>
    <mergeCell ref="H10:I10"/>
    <mergeCell ref="J10:K10"/>
    <mergeCell ref="L10:M10"/>
    <mergeCell ref="R8:S8"/>
    <mergeCell ref="E9:F9"/>
    <mergeCell ref="H9:I9"/>
    <mergeCell ref="J9:K9"/>
    <mergeCell ref="L9:M9"/>
    <mergeCell ref="N9:O9"/>
    <mergeCell ref="N10:O10"/>
    <mergeCell ref="E11:S11"/>
    <mergeCell ref="H13:I13"/>
    <mergeCell ref="J13:K13"/>
    <mergeCell ref="L13:M13"/>
    <mergeCell ref="N13:O13"/>
    <mergeCell ref="P13:Q13"/>
    <mergeCell ref="R13:S14"/>
    <mergeCell ref="E14:F14"/>
    <mergeCell ref="H14:I14"/>
    <mergeCell ref="J14:K14"/>
    <mergeCell ref="L14:M14"/>
    <mergeCell ref="N14:O14"/>
    <mergeCell ref="P14:Q14"/>
    <mergeCell ref="E15:F15"/>
    <mergeCell ref="G15:I15"/>
    <mergeCell ref="J15:K15"/>
    <mergeCell ref="L15:M15"/>
    <mergeCell ref="N15:O15"/>
    <mergeCell ref="E16:F16"/>
    <mergeCell ref="G16:I16"/>
    <mergeCell ref="J16:K16"/>
    <mergeCell ref="L16:M16"/>
    <mergeCell ref="N16:O16"/>
    <mergeCell ref="E17:F17"/>
    <mergeCell ref="H17:I17"/>
    <mergeCell ref="J17:K17"/>
    <mergeCell ref="L17:M17"/>
    <mergeCell ref="N17:O17"/>
    <mergeCell ref="E18:F18"/>
    <mergeCell ref="H18:I18"/>
    <mergeCell ref="J18:K18"/>
    <mergeCell ref="L18:M18"/>
    <mergeCell ref="N18:O18"/>
    <mergeCell ref="E19:F19"/>
    <mergeCell ref="H19:I19"/>
    <mergeCell ref="J19:K19"/>
    <mergeCell ref="L19:M19"/>
    <mergeCell ref="N19:O19"/>
    <mergeCell ref="P19:Q19"/>
    <mergeCell ref="E20:F20"/>
    <mergeCell ref="H20:I20"/>
    <mergeCell ref="T25:V25"/>
    <mergeCell ref="T26:V26"/>
    <mergeCell ref="T27:V27"/>
    <mergeCell ref="J20:K20"/>
    <mergeCell ref="L20:M20"/>
    <mergeCell ref="T20:V20"/>
    <mergeCell ref="T21:V21"/>
    <mergeCell ref="T22:V22"/>
    <mergeCell ref="R23:V23"/>
    <mergeCell ref="T24:V24"/>
    <mergeCell ref="J27:K27"/>
    <mergeCell ref="L27:M27"/>
    <mergeCell ref="P27:Q27"/>
    <mergeCell ref="L25:M25"/>
    <mergeCell ref="N25:O25"/>
    <mergeCell ref="G26:I26"/>
    <mergeCell ref="J26:K26"/>
    <mergeCell ref="L26:M26"/>
    <mergeCell ref="N26:O26"/>
    <mergeCell ref="N27:O27"/>
    <mergeCell ref="J1:M1"/>
    <mergeCell ref="N1:O1"/>
    <mergeCell ref="P1:Q1"/>
    <mergeCell ref="R1:S1"/>
    <mergeCell ref="A2:A12"/>
    <mergeCell ref="R2:S2"/>
    <mergeCell ref="A13:A23"/>
    <mergeCell ref="P22:S22"/>
    <mergeCell ref="H22:M22"/>
    <mergeCell ref="N22:O22"/>
    <mergeCell ref="H24:I24"/>
    <mergeCell ref="J24:M24"/>
    <mergeCell ref="P24:S24"/>
    <mergeCell ref="H25:I25"/>
    <mergeCell ref="J25:K25"/>
    <mergeCell ref="C1:D1"/>
    <mergeCell ref="E13:F13"/>
    <mergeCell ref="N20:O20"/>
    <mergeCell ref="P20:Q20"/>
    <mergeCell ref="H21:M21"/>
    <mergeCell ref="N21:O21"/>
    <mergeCell ref="P21:Q21"/>
    <mergeCell ref="R21:S21"/>
    <mergeCell ref="P25:Q25"/>
    <mergeCell ref="R25:S25"/>
    <mergeCell ref="R26:S26"/>
    <mergeCell ref="T28:V32"/>
    <mergeCell ref="R30:R31"/>
    <mergeCell ref="P31:Q32"/>
    <mergeCell ref="Q43:V44"/>
    <mergeCell ref="L29:M29"/>
    <mergeCell ref="N29:O29"/>
    <mergeCell ref="M30:M31"/>
    <mergeCell ref="G31:I32"/>
    <mergeCell ref="J31:L32"/>
    <mergeCell ref="N31:O31"/>
    <mergeCell ref="N32:O32"/>
    <mergeCell ref="N43:O43"/>
    <mergeCell ref="N44:O44"/>
    <mergeCell ref="J29:K29"/>
    <mergeCell ref="J30:K30"/>
    <mergeCell ref="G27:H27"/>
    <mergeCell ref="G28:H28"/>
    <mergeCell ref="J28:K28"/>
    <mergeCell ref="L28:M28"/>
    <mergeCell ref="N28:O28"/>
    <mergeCell ref="G29:H29"/>
    <mergeCell ref="G30:H30"/>
    <mergeCell ref="N30:O30"/>
    <mergeCell ref="E21:F22"/>
    <mergeCell ref="G21:G22"/>
    <mergeCell ref="E24:F24"/>
    <mergeCell ref="E25:F25"/>
    <mergeCell ref="E26:F26"/>
    <mergeCell ref="E31:F31"/>
    <mergeCell ref="E34:F34"/>
    <mergeCell ref="A46:A57"/>
    <mergeCell ref="A58:A68"/>
    <mergeCell ref="E32:F32"/>
    <mergeCell ref="E33:F33"/>
    <mergeCell ref="E48:F48"/>
    <mergeCell ref="E49:F49"/>
    <mergeCell ref="E50:F50"/>
    <mergeCell ref="E51:F51"/>
    <mergeCell ref="E52:F52"/>
    <mergeCell ref="C58:D58"/>
    <mergeCell ref="N35:O35"/>
    <mergeCell ref="N36:O36"/>
    <mergeCell ref="G33:Q34"/>
    <mergeCell ref="E35:F35"/>
    <mergeCell ref="H35:I35"/>
    <mergeCell ref="T35:V35"/>
    <mergeCell ref="E36:F36"/>
    <mergeCell ref="H36:I36"/>
    <mergeCell ref="J36:K36"/>
    <mergeCell ref="T36:V36"/>
    <mergeCell ref="N37:Q37"/>
    <mergeCell ref="N38:Q38"/>
    <mergeCell ref="E37:F37"/>
    <mergeCell ref="H37:I37"/>
    <mergeCell ref="J37:K37"/>
    <mergeCell ref="T37:V37"/>
    <mergeCell ref="E38:F38"/>
    <mergeCell ref="H38:I38"/>
    <mergeCell ref="J38:K38"/>
    <mergeCell ref="T38:V38"/>
    <mergeCell ref="P39:Q39"/>
    <mergeCell ref="P40:Q40"/>
    <mergeCell ref="E39:F39"/>
    <mergeCell ref="H39:I39"/>
    <mergeCell ref="L39:M39"/>
    <mergeCell ref="T39:V39"/>
    <mergeCell ref="E40:F40"/>
    <mergeCell ref="H40:I40"/>
    <mergeCell ref="L40:M40"/>
    <mergeCell ref="T40:V40"/>
    <mergeCell ref="L41:M41"/>
    <mergeCell ref="L42:M42"/>
    <mergeCell ref="K67:L67"/>
    <mergeCell ref="K68:L68"/>
    <mergeCell ref="K69:L69"/>
    <mergeCell ref="R42:S42"/>
    <mergeCell ref="T42:V42"/>
    <mergeCell ref="E41:F41"/>
    <mergeCell ref="H41:I41"/>
    <mergeCell ref="N41:O41"/>
    <mergeCell ref="P41:Q41"/>
    <mergeCell ref="T41:V41"/>
    <mergeCell ref="E42:F42"/>
    <mergeCell ref="H42:I42"/>
    <mergeCell ref="T47:V47"/>
    <mergeCell ref="T48:V48"/>
    <mergeCell ref="N42:O42"/>
    <mergeCell ref="P42:Q42"/>
    <mergeCell ref="P46:Q46"/>
    <mergeCell ref="R46:S46"/>
    <mergeCell ref="T46:V46"/>
    <mergeCell ref="P47:Q47"/>
    <mergeCell ref="N48:Q48"/>
    <mergeCell ref="E55:M56"/>
    <mergeCell ref="P55:V56"/>
    <mergeCell ref="G58:I58"/>
    <mergeCell ref="J58:M58"/>
    <mergeCell ref="P58:S59"/>
    <mergeCell ref="T58:V58"/>
    <mergeCell ref="X58:Y58"/>
    <mergeCell ref="N49:Q49"/>
    <mergeCell ref="T49:V49"/>
    <mergeCell ref="P50:Q50"/>
    <mergeCell ref="T50:V50"/>
    <mergeCell ref="P51:Q51"/>
    <mergeCell ref="N52:O52"/>
    <mergeCell ref="E54:V54"/>
    <mergeCell ref="A24:A34"/>
    <mergeCell ref="A35:A45"/>
    <mergeCell ref="E43:F44"/>
    <mergeCell ref="G43:G44"/>
    <mergeCell ref="H43:J43"/>
    <mergeCell ref="K43:L44"/>
    <mergeCell ref="H44:J44"/>
    <mergeCell ref="J47:K47"/>
    <mergeCell ref="J50:K50"/>
    <mergeCell ref="J51:K51"/>
    <mergeCell ref="J52:K52"/>
    <mergeCell ref="H53:I53"/>
    <mergeCell ref="J53:K53"/>
    <mergeCell ref="L50:M50"/>
    <mergeCell ref="L51:M51"/>
    <mergeCell ref="L52:M52"/>
    <mergeCell ref="L53:M53"/>
    <mergeCell ref="G46:H46"/>
    <mergeCell ref="I46:I47"/>
    <mergeCell ref="J46:K46"/>
    <mergeCell ref="L46:M46"/>
    <mergeCell ref="G47:H47"/>
    <mergeCell ref="L47:M47"/>
    <mergeCell ref="G48:H49"/>
  </mergeCells>
  <conditionalFormatting sqref="E1:T87 U1:U31 V32:V34 U35:U87 V50:V52 W51">
    <cfRule type="containsText" dxfId="0" priority="1" operator="containsText" text="Физика">
      <formula>NOT(ISERROR(SEARCH(("Физика"),(E1))))</formula>
    </cfRule>
  </conditionalFormatting>
  <conditionalFormatting sqref="N52:O52 E54:W56">
    <cfRule type="containsText" dxfId="1" priority="2" operator="containsText" text="Шерашова">
      <formula>NOT(ISERROR(SEARCH(("Шерашова"),(N52))))</formula>
    </cfRule>
  </conditionalFormatting>
  <conditionalFormatting sqref="E2:E54 F2:T53 U2:U31 V32:V34 U35:U53 V50:V52 W51 O55 O58:O59 P58 K62:L69">
    <cfRule type="containsText" dxfId="2" priority="3" operator="containsText" text="Шерашова">
      <formula>NOT(ISERROR(SEARCH(("Шерашова"),(E2))))</formula>
    </cfRule>
  </conditionalFormatting>
  <conditionalFormatting sqref="E2:E54 F2:T53 U2:U31 V32:V34 U35:U53 V50:V52 W51 O55 O58:O59 P58 K62:L69">
    <cfRule type="containsText" dxfId="3" priority="4" operator="containsText" text="Англ">
      <formula>NOT(ISERROR(SEARCH(("Англ"),(E2))))</formula>
    </cfRule>
  </conditionalFormatting>
  <conditionalFormatting sqref="E2:E54 F2:T53 U2:U31 V32:V34 U35:U53 V50:V52 W51 O55 O58:O59 P58 K62:L69">
    <cfRule type="containsText" dxfId="4" priority="5" operator="containsText" text="Театр">
      <formula>NOT(ISERROR(SEARCH(("Театр"),(E2))))</formula>
    </cfRule>
  </conditionalFormatting>
  <conditionalFormatting sqref="E2:E54 F2:T53 U2:U31 V32:V34 U35:U53 V50:V52 W51 O55 O58:O59 P58 K62:L69">
    <cfRule type="containsText" dxfId="5" priority="6" operator="containsText" text="Колечкин">
      <formula>NOT(ISERROR(SEARCH(("Колечкин"),(E2))))</formula>
    </cfRule>
  </conditionalFormatting>
  <conditionalFormatting sqref="E2:G73 H2:H74 I2:W73">
    <cfRule type="containsText" dxfId="0" priority="7" operator="containsText" text="Репнев">
      <formula>NOT(ISERROR(SEARCH(("Репнев"),(E2))))</formula>
    </cfRule>
  </conditionalFormatting>
  <conditionalFormatting sqref="E2:G66 H2:H74 I2:J66 K2:L69 M2:W66">
    <cfRule type="containsText" dxfId="6" priority="8" operator="containsText" text="Рогацкина">
      <formula>NOT(ISERROR(SEARCH(("Рогацкина"),(E2))))</formula>
    </cfRule>
  </conditionalFormatting>
  <conditionalFormatting sqref="E2:G68 H2:H74 I2:J68 K2:L69 M2:W68">
    <cfRule type="containsText" dxfId="7" priority="9" operator="containsText" text="Белоусова">
      <formula>NOT(ISERROR(SEARCH(("Белоусова"),(E2))))</formula>
    </cfRule>
  </conditionalFormatting>
  <conditionalFormatting sqref="E2:G61 H2:H74 I2:J66 K2:L69 M2:M66 N2:W61">
    <cfRule type="containsText" dxfId="8" priority="10" operator="containsText" text="Караванова">
      <formula>NOT(ISERROR(SEARCH(("Караванова"),(E2))))</formula>
    </cfRule>
  </conditionalFormatting>
  <conditionalFormatting sqref="E2:G64 H2:H74 I2:J66 K2:L69 M2:M66 N2:W64">
    <cfRule type="containsText" dxfId="9" priority="11" operator="containsText" text="Дронзик">
      <formula>NOT(ISERROR(SEARCH(("Дронзик"),(E2))))</formula>
    </cfRule>
  </conditionalFormatting>
  <conditionalFormatting sqref="E2:G65 H2:H74 I2:J66 K2:L69 M2:M66 N2:W65">
    <cfRule type="containsText" dxfId="10" priority="12" operator="containsText" text="Старунова">
      <formula>NOT(ISERROR(SEARCH(("Старунова"),(E2))))</formula>
    </cfRule>
  </conditionalFormatting>
  <conditionalFormatting sqref="E2:G63 H2:H74 I2:J66 K2:L69 M2:M66 N2:W63">
    <cfRule type="containsText" dxfId="11" priority="13" operator="containsText" text="Харитонов">
      <formula>NOT(ISERROR(SEARCH(("Харитонов"),(E2))))</formula>
    </cfRule>
  </conditionalFormatting>
  <conditionalFormatting sqref="E2:G68 H2:H74 I2:J68 K2:L69 M2:W68">
    <cfRule type="containsText" dxfId="12" priority="14" operator="containsText" text="Хуснутдинов">
      <formula>NOT(ISERROR(SEARCH(("Хуснутдинов"),(E2))))</formula>
    </cfRule>
  </conditionalFormatting>
  <conditionalFormatting sqref="E2:G67 H2:H74 I2:J67 K2:L69 M2:W67">
    <cfRule type="containsText" dxfId="13" priority="15" operator="containsText" text="Решетников">
      <formula>NOT(ISERROR(SEARCH(("Решетников"),(E2))))</formula>
    </cfRule>
  </conditionalFormatting>
  <conditionalFormatting sqref="E2:G70 H2:H74 I2:W70">
    <cfRule type="containsText" dxfId="14" priority="16" operator="containsText" text="Заводов">
      <formula>NOT(ISERROR(SEARCH(("Заводов"),(E2))))</formula>
    </cfRule>
  </conditionalFormatting>
  <conditionalFormatting sqref="E1:G67 H1:H74 I1:J67 K1:L69 M1:W67">
    <cfRule type="containsText" dxfId="15" priority="17" operator="containsText" text="Абрамов">
      <formula>NOT(ISERROR(SEARCH(("Абрамов"),(E1))))</formula>
    </cfRule>
  </conditionalFormatting>
  <conditionalFormatting sqref="E2:G68 H2:H74 I2:J68 K2:L69 M2:W68">
    <cfRule type="containsText" dxfId="16" priority="18" operator="containsText" text="Климов">
      <formula>NOT(ISERROR(SEARCH(("Климов"),(E2))))</formula>
    </cfRule>
  </conditionalFormatting>
  <conditionalFormatting sqref="E2:G62 H2:H74 I2:J66 K2:L69 M2:M66 N2:W62">
    <cfRule type="containsText" dxfId="17" priority="19" operator="containsText" text="Клейменов">
      <formula>NOT(ISERROR(SEARCH(("Клейменов"),(E2))))</formula>
    </cfRule>
  </conditionalFormatting>
  <conditionalFormatting sqref="E2:G69 H2:H74 I2:W69">
    <cfRule type="containsText" dxfId="18" priority="20" operator="containsText" text="Попович">
      <formula>NOT(ISERROR(SEARCH(("Попович"),(E2))))</formula>
    </cfRule>
  </conditionalFormatting>
  <conditionalFormatting sqref="E2:G69 H2:H74 I2:W69">
    <cfRule type="containsText" dxfId="19" priority="21" operator="containsText" text="Исмаилов">
      <formula>NOT(ISERROR(SEARCH(("Исмаилов"),(E2))))</formula>
    </cfRule>
  </conditionalFormatting>
  <conditionalFormatting sqref="E2:E20 F2:F12 G2:I45 J2:K49 L2:Q45 R2:S6 T2:V8 S10:S32 T10:V45 R11:R46 F15:F17 F19:F20 E24:F30 E32:E54 F32:F45 S35:S41 S43:S45 S47:S53 T47:T50 F48:F49 N48:N49 R49:R53 G50:H53 I50:I52 P50:P53 F52:F53 J52:J53 N52:N53 Q52:Q53 K53:M53 P58 K62:L69">
    <cfRule type="containsText" dxfId="20" priority="22" operator="containsText" text="Ларченко">
      <formula>NOT(ISERROR(SEARCH(("Ларченко"),(E2))))</formula>
    </cfRule>
  </conditionalFormatting>
  <conditionalFormatting sqref="E2:G66 H2:H74 I2:J66 K2:L69 M2:W66">
    <cfRule type="containsText" dxfId="21" priority="23" operator="containsText" text="Краснова">
      <formula>NOT(ISERROR(SEARCH(("Краснова"),(E2))))</formula>
    </cfRule>
  </conditionalFormatting>
  <conditionalFormatting sqref="E2:G66 H2:H74 I2:J66 K2:L69 M2:W66">
    <cfRule type="containsText" dxfId="22" priority="24" operator="containsText" text="Белоус">
      <formula>NOT(ISERROR(SEARCH(("Белоус"),(E2))))</formula>
    </cfRule>
  </conditionalFormatting>
  <conditionalFormatting sqref="E2:G66 H2:H74 I2:J66 K2:L69 M2:W66">
    <cfRule type="containsText" dxfId="23" priority="25" operator="containsText" text="Куницын">
      <formula>NOT(ISERROR(SEARCH(("Куницын"),(E2))))</formula>
    </cfRule>
  </conditionalFormatting>
  <dataValidations>
    <dataValidation type="custom" allowBlank="1" showDropDown="1" sqref="R10">
      <formula1>IF(COUNTA(filter($E55:$W55,ARRAYFORMULA(ISERROR(FIND(join(",",filter(split($H$84,","),ARRAYFORMULA(ISERROR(FIND(split($H$84,","),R10)))=FALSE)),$E55:$W55))=FALSE)))&gt;1,FALSE,TRUE)</formula1>
    </dataValidation>
    <dataValidation type="custom" allowBlank="1" showDropDown="1" sqref="P13:P16 G27:G28 L27:L28 J30 N31:N32 J35:K35 J36 N35:N36 E35:E38 T39:T40 E41:E42 P41:P42 R46 T47:T48 K48:K49 P50:P51 E50:E52 Q52:Q53">
      <formula1>IF(COUNTA(filter(#REF!,ARRAYFORMULA(ISERROR(FIND(join(",",filter(split($H$84,","),ARRAYFORMULA(ISERROR(FIND(split($H$84,","),E13)))=FALSE)),#REF!))=FALSE)))&gt;1,FALSE,TRUE)</formula1>
    </dataValidation>
    <dataValidation type="custom" allowBlank="1" showDropDown="1" sqref="H4:I4">
      <formula1>IF(COUNTA(filter($E7:$W7,ARRAYFORMULA(ISERROR(FIND(join(",",filter(split($H$84,","),ARRAYFORMULA(ISERROR(FIND(split($H$84,","),#REF!)))=FALSE)),$E7:$W7))=FALSE)))&gt;1,FALSE,TRUE)</formula1>
    </dataValidation>
    <dataValidation type="custom" allowBlank="1" showDropDown="1" sqref="E3:F3 G4 J5:J6 E15:E16 E46:E47 J48:J49 G50:G52 E53">
      <formula1>IF(COUNTA(filter($E3:$W3,ARRAYFORMULA(ISERROR(FIND(join(",",filter(split($H$84,","),ARRAYFORMULA(ISERROR(FIND(split($H$84,","),#REF!)))=FALSE)),$E3:$W3))=FALSE)))&gt;1,FALSE,TRUE)</formula1>
    </dataValidation>
    <dataValidation type="custom" allowBlank="1" showDropDown="1" sqref="F4 E5:G5 E6:E7 H7:H8 E24 G24:H24 G25 E26 R27:S28 R29 H35:H36 G37:G38 E48:E49 N52 N55">
      <formula1>IF(COUNTA(filter($E5:$W5,ARRAYFORMULA(ISERROR(FIND(join(",",filter(split($H$84,","),ARRAYFORMULA(ISERROR(FIND(split($H$84,","),E4)))=FALSE)),$E5:$W5))=FALSE)))&gt;1,FALSE,TRUE)</formula1>
    </dataValidation>
    <dataValidation type="custom" allowBlank="1" showDropDown="1" sqref="H9 G10 H17:H18 G19:G20 I29:I30 L50 J50:J51 R53">
      <formula1>IF(COUNTA(filter($E5:$W5,ARRAYFORMULA(ISERROR(FIND(join(",",filter(split($H$84,","),ARRAYFORMULA(ISERROR(FIND(split($H$84,","),G9)))=FALSE)),$E5:$W5))=FALSE)))&gt;1,FALSE,TRUE)</formula1>
    </dataValidation>
    <dataValidation type="custom" allowBlank="1" showDropDown="1" sqref="S51">
      <formula1>IF(COUNTA(filter($E31:$W31,ARRAYFORMULA(ISERROR(FIND(join(",",filter(split($H$84,","),ARRAYFORMULA(ISERROR(FIND(split($H$84,","),S51)))=FALSE)),$E31:$W31))=FALSE)))&gt;1,FALSE,TRUE)</formula1>
    </dataValidation>
    <dataValidation type="custom" allowBlank="1" showDropDown="1" sqref="N8">
      <formula1>IF(COUNTA(filter($E1:$W1,ARRAYFORMULA(ISERROR(FIND(join(",",filter(split($H$84,","),ARRAYFORMULA(ISERROR(FIND(split($H$84,","),#REF!)))=FALSE)),$E1:$W1))=FALSE)))&gt;1,FALSE,TRUE)</formula1>
    </dataValidation>
    <dataValidation type="custom" allowBlank="1" showDropDown="1" sqref="T11 W11">
      <formula1>IF(COUNTA(filter($F11:$W11,ARRAYFORMULA(ISERROR(FIND(join(",",filter(split($H$84,","),ARRAYFORMULA(ISERROR(FIND(split($H$84,","),T11)))=FALSE)),$F11:$W11))=FALSE)))&gt;1,FALSE,TRUE)</formula1>
    </dataValidation>
    <dataValidation type="custom" allowBlank="1" showDropDown="1" sqref="R3:R4">
      <formula1>IF(COUNTA(filter($E17:$W17,ARRAYFORMULA(ISERROR(FIND(join(",",filter(split($H$84,","),ARRAYFORMULA(ISERROR(FIND(split($H$84,","),R3)))=FALSE)),$E17:$W17))=FALSE)))&gt;1,FALSE,TRUE)</formula1>
    </dataValidation>
    <dataValidation type="custom" allowBlank="1" showDropDown="1" sqref="K67">
      <formula1>IF(COUNTA(filter($E28:$W28,ARRAYFORMULA(ISERROR(FIND(join(",",filter(split($H$84,","),ARRAYFORMULA(ISERROR(FIND(split($H$84,","),K67)))=FALSE)),$E28:$W28))=FALSE)))&gt;1,FALSE,TRUE)</formula1>
    </dataValidation>
    <dataValidation type="custom" allowBlank="1" showDropDown="1" sqref="T13:U14 T15:T16 P24 J26">
      <formula1>IF(COUNTA(filter($E17:$W17,ARRAYFORMULA(ISERROR(FIND(join(",",filter(split($H$84,","),ARRAYFORMULA(ISERROR(FIND(split($H$84,","),J13)))=FALSE)),$E17:$W17))=FALSE)))&gt;1,FALSE,TRUE)</formula1>
    </dataValidation>
    <dataValidation type="custom" allowBlank="1" showDropDown="1" sqref="E4 F6:F7 L25 F27:F28 E29:E30">
      <formula1>IF(COUNTA(filter($E7:$W7,ARRAYFORMULA(ISERROR(FIND(join(",",filter(split($H$84,","),ARRAYFORMULA(ISERROR(FIND(split($H$84,","),E4)))=FALSE)),$E7:$W7))=FALSE)))&gt;1,FALSE,TRUE)</formula1>
    </dataValidation>
    <dataValidation type="custom" allowBlank="1" showDropDown="1" sqref="N2 R2 T2 G2:G3 J2:J3 L4 P2:P4 G6:H6 K5:M6 T5:T6 L7:L8 P7:P8 T7:U8 G7:G9 H10 J9:J10 N9:N10 Q9:Q10 S10 W2:W10 E12:W12 H13 E13:E14 L13:L14 E17:E18 G15:G18 S17:S18 H19:H20 J15:J20 L17:L20 G21 R19:R21 T21 H22 G23:R23 J24 P25 R25 Q26 P27 E27:E28 I27:I28 Q28 T28 F29:G30 P29:Q30 W13:W32 R33:R34 T33:W34 G35:G36 L35:M36 P35:Q36 H37:H38 J37:J38 L37:N38 E39:E40 G39:G40 J39:K40 N39:P40 R37:S40 R41:T41 J41:L42 T42 E43 G41:H43 K43 Q43 H44 M43:N44 W35:W44 E45:W45 I46 F46:G47 L46:L47 N46:P47 G48 L48:M49 L51 N50:O51 I50:I52 P52 G53:H53 O53:P53 O55 N56:O56 W46:W56 E57:W57 E58:G58 J58 N58:O58 T58 W58 E59:O61 T59:W61 E62:W66 K68:K69 H67:H74">
      <formula1>IF(COUNTA(filter($E2:$W2,ARRAYFORMULA(ISERROR(FIND(join(",",filter(split($H$84,","),ARRAYFORMULA(ISERROR(FIND(split($H$84,","),E2)))=FALSE)),$E2:$W2))=FALSE)))&gt;1,FALSE,TRUE)</formula1>
    </dataValidation>
    <dataValidation type="custom" allowBlank="1" showDropDown="1" sqref="N3 P5:P6 J7:J8 L9:L10">
      <formula1>IF(COUNTA(filter($E35:$W35,ARRAYFORMULA(ISERROR(FIND(join(",",filter(split($H$84,","),ARRAYFORMULA(ISERROR(FIND(split($H$84,","),J3)))=FALSE)),$E35:$W35))=FALSE)))&gt;1,FALSE,TRUE)</formula1>
    </dataValidation>
    <dataValidation type="custom" allowBlank="1" showDropDown="1" sqref="N22">
      <formula1>IF(COUNTA(filter($E34:$W34,ARRAYFORMULA(ISERROR(FIND(join(",",filter(split($H$84,","),ARRAYFORMULA(ISERROR(FIND(split($H$84,","),N22)))=FALSE)),$E34:$W34))=FALSE)))&gt;1,FALSE,TRUE)</formula1>
    </dataValidation>
    <dataValidation type="custom" allowBlank="1" showDropDown="1" sqref="R13">
      <formula1>IF(COUNTA(filter($E3:$W3,ARRAYFORMULA(ISERROR(FIND(join(",",filter(split($H$84,","),ARRAYFORMULA(ISERROR(FIND(split($H$84,","),R13)))=FALSE)),$E3:$W3))=FALSE)))&gt;1,FALSE,TRUE)</formula1>
    </dataValidation>
    <dataValidation type="custom" allowBlank="1" showDropDown="1" sqref="J13:J14 L15:L16 N17:N18 P19:P20 H39:H40 T49:T50">
      <formula1>IF(COUNTA(filter($E46:$W46,ARRAYFORMULA(ISERROR(FIND(join(",",filter(split($H$84,","),ARRAYFORMULA(ISERROR(FIND(split($H$84,","),H13)))=FALSE)),$E46:$W46))=FALSE)))&gt;1,FALSE,TRUE)</formula1>
    </dataValidation>
    <dataValidation type="custom" allowBlank="1" showDropDown="1" sqref="T19:T20 T46">
      <formula1>IF(COUNTA(filter($E25:$W25,ARRAYFORMULA(ISERROR(FIND(join(",",filter(split($H$84,","),ARRAYFORMULA(ISERROR(FIND(split($H$84,","),T19)))=FALSE)),$E25:$W25))=FALSE)))&gt;1,FALSE,TRUE)</formula1>
    </dataValidation>
    <dataValidation type="custom" allowBlank="1" showDropDown="1" sqref="S52:S53">
      <formula1>IF(COUNTA(filter($E9:$W9,ARRAYFORMULA(ISERROR(FIND(join(",",filter(split($H$84,","),ARRAYFORMULA(ISERROR(FIND(split($H$84,","),S52)))=FALSE)),$E9:$W9))=FALSE)))&gt;1,FALSE,TRUE)</formula1>
    </dataValidation>
    <dataValidation type="custom" allowBlank="1" showDropDown="1" sqref="P31 P43:P44">
      <formula1>IF(COUNTA(filter($E40:$W40,ARRAYFORMULA(ISERROR(FIND(join(",",filter(split($H$84,","),ARRAYFORMULA(ISERROR(FIND(split($H$84,","),P31)))=FALSE)),$E40:$W40))=FALSE)))&gt;1,FALSE,TRUE)</formula1>
    </dataValidation>
    <dataValidation type="custom" allowBlank="1" showDropDown="1" sqref="J25">
      <formula1>IF(COUNTA(filter($E30:$W30,ARRAYFORMULA(ISERROR(FIND(join(",",filter(split($H$84,","),ARRAYFORMULA(ISERROR(FIND(split($H$84,","),J25)))=FALSE)),$E30:$W30))=FALSE)))&gt;1,FALSE,TRUE)</formula1>
    </dataValidation>
    <dataValidation type="custom" allowBlank="1" showDropDown="1" sqref="N4:N6 N13:N14 N25:N26 T24:T27 T37:T38 N41:N42 N53 E54">
      <formula1>IF(COUNTA(filter($E6:$W6,ARRAYFORMULA(ISERROR(FIND(join(",",filter(split($H$84,","),ARRAYFORMULA(ISERROR(FIND(split($H$84,","),E4)))=FALSE)),$E6:$W6))=FALSE)))&gt;1,FALSE,TRUE)</formula1>
    </dataValidation>
    <dataValidation type="custom" allowBlank="1" showDropDown="1" sqref="N21">
      <formula1>IF(COUNTA(filter($E32:$W32,ARRAYFORMULA(ISERROR(FIND(join(",",filter(split($H$84,","),ARRAYFORMULA(ISERROR(FIND(split($H$84,","),N21)))=FALSE)),$E32:$W32))=FALSE)))&gt;1,FALSE,TRUE)</formula1>
    </dataValidation>
    <dataValidation type="custom" allowBlank="1" showDropDown="1" sqref="T17:T18">
      <formula1>IF(COUNTA(filter($E25:$W25,ARRAYFORMULA(ISERROR(FIND(join(",",filter(split($H$84,","),ARRAYFORMULA(ISERROR(FIND(split($H$84,","),T17)))=FALSE)),$E25:$W25))=FALSE)))&gt;1,FALSE,TRUE)</formula1>
    </dataValidation>
    <dataValidation type="custom" allowBlank="1" showDropDown="1" sqref="N7">
      <formula1>IF(COUNTA(filter(#REF!,ARRAYFORMULA(ISERROR(FIND(join(",",filter(split($H$84,","),ARRAYFORMULA(ISERROR(FIND(split($H$84,","),#REF!)))=FALSE)),#REF!))=FALSE)))&gt;1,FALSE,TRUE)</formula1>
    </dataValidation>
    <dataValidation type="custom" allowBlank="1" showDropDown="1" sqref="P26 P28 S32 R47:R48 T51:V52 P58">
      <formula1>IF(COUNTA(filter($E25:$W25,ARRAYFORMULA(ISERROR(FIND(join(",",filter(split($H$84,","),ARRAYFORMULA(ISERROR(FIND(split($H$84,","),P26)))=FALSE)),$E25:$W25))=FALSE)))&gt;1,FALSE,TRUE)</formula1>
    </dataValidation>
    <dataValidation type="custom" allowBlank="1" showDropDown="1" sqref="T35:T36">
      <formula1>IF(COUNTA(filter($E13:$W13,ARRAYFORMULA(ISERROR(FIND(join(",",filter(split($H$84,","),ARRAYFORMULA(ISERROR(FIND(split($H$84,","),T35)))=FALSE)),$E13:$W13))=FALSE)))&gt;1,FALSE,TRUE)</formula1>
    </dataValidation>
    <dataValidation type="custom" allowBlank="1" showDropDown="1" sqref="M30 M32">
      <formula1>IF(COUNTA(filter($E31:$W31,ARRAYFORMULA(ISERROR(FIND(join(",",filter(split($H$85,","),ARRAYFORMULA(ISERROR(FIND(split($H$85,","),M30)))=FALSE)),$E31:$W31))=FALSE)))&gt;1,FALSE,TRUE)</formula1>
    </dataValidation>
    <dataValidation type="custom" allowBlank="1" showDropDown="1" sqref="T3:T4">
      <formula1>IF(COUNTA(filter($E46:$W46,ARRAYFORMULA(ISERROR(FIND(join(",",filter(split($H$84,","),ARRAYFORMULA(ISERROR(FIND(split($H$84,","),T3)))=FALSE)),$E46:$W46))=FALSE)))&gt;1,FALSE,TRUE)</formula1>
    </dataValidation>
    <dataValidation type="custom" allowBlank="1" showDropDown="1" sqref="G31 E32:E34">
      <formula1>IF(COUNTA(filter($E31:$W31,ARRAYFORMULA(ISERROR(FIND(join(",",filter(split($H$83,","),ARRAYFORMULA(ISERROR(FIND(split($H$83,","),#REF!)))=FALSE)),$E31:$W31))=FALSE)))&gt;1,FALSE,TRUE)</formula1>
    </dataValidation>
    <dataValidation type="custom" allowBlank="1" showDropDown="1" sqref="J46:J47">
      <formula1>IF(COUNTA(filter($E9:$W9,ARRAYFORMULA(ISERROR(FIND(join(",",filter(split($H$84,","),ARRAYFORMULA(ISERROR(FIND(split($H$84,","),J46)))=FALSE)),$E9:$W9))=FALSE)))&gt;1,FALSE,TRUE)</formula1>
    </dataValidation>
    <dataValidation type="custom" allowBlank="1" showDropDown="1" sqref="E2 R30">
      <formula1>IF(COUNTA(filter($E2:$W2,ARRAYFORMULA(ISERROR(FIND(join(",",filter(split($H$83,","),ARRAYFORMULA(ISERROR(FIND(split($H$83,","),E2)))=FALSE)),$E2:$W2))=FALSE)))&gt;1,FALSE,TRUE)</formula1>
    </dataValidation>
    <dataValidation type="custom" allowBlank="1" showDropDown="1" sqref="P9:P10 R15:S16 P17:Q18 N19:N20 N24:O24 N29:N30 J52:J53 L52:L53">
      <formula1>IF(COUNTA(filter($E7:$W7,ARRAYFORMULA(ISERROR(FIND(join(",",filter(split($H$84,","),ARRAYFORMULA(ISERROR(FIND(split($H$84,","),J9)))=FALSE)),$E7:$W7))=FALSE)))&gt;1,FALSE,TRUE)</formula1>
    </dataValidation>
    <dataValidation type="custom" allowBlank="1" showDropDown="1" sqref="J31 E55 P55">
      <formula1>IF(COUNTA(filter($E31:$W31,ARRAYFORMULA(ISERROR(FIND(join(",",filter(split($H$85,","),ARRAYFORMULA(ISERROR(FIND(split($H$85,","),E31)))=FALSE)),$E31:$W31))=FALSE)))&gt;1,FALSE,TRUE)</formula1>
    </dataValidation>
    <dataValidation type="custom" allowBlank="1" showDropDown="1" sqref="R8:R9">
      <formula1>IF(COUNTA(filter($E52:$W52,ARRAYFORMULA(ISERROR(FIND(join(",",filter(split($H$84,","),ARRAYFORMULA(ISERROR(FIND(split($H$84,","),R8)))=FALSE)),$E52:$W52))=FALSE)))&gt;1,FALSE,TRUE)</formula1>
    </dataValidation>
    <dataValidation type="custom" allowBlank="1" showDropDown="1" sqref="S3:S4">
      <formula1>IF(COUNTA(filter($E26:$W26,ARRAYFORMULA(ISERROR(FIND(join(",",filter(split($H$84,","),ARRAYFORMULA(ISERROR(FIND(split($H$84,","),S3)))=FALSE)),$E26:$W26))=FALSE)))&gt;1,FALSE,TRUE)</formula1>
    </dataValidation>
    <dataValidation type="custom" allowBlank="1" showDropDown="1" sqref="H50:H52 F53">
      <formula1>IF(COUNTA(filter($E1:$W1,ARRAYFORMULA(ISERROR(FIND(join(",",filter(split($H$84,","),ARRAYFORMULA(ISERROR(FIND(split($H$84,","),F50)))=FALSE)),$E1:$W1))=FALSE)))&gt;1,FALSE,TRUE)</formula1>
    </dataValidation>
    <dataValidation type="custom" allowBlank="1" showDropDown="1" sqref="L39:L40">
      <formula1>IF(COUNTA(filter($E1:$W1,ARRAYFORMULA(ISERROR(FIND(join(",",filter(split($H$84,","),ARRAYFORMULA(ISERROR(FIND(split($H$84,","),L39)))=FALSE)),$E1:$W1))=FALSE)))&gt;1,FALSE,TRUE)</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25"/>
    <col customWidth="1" min="2" max="2" width="5.88"/>
    <col customWidth="1" hidden="1" min="3" max="3" width="6.75"/>
    <col customWidth="1" min="5" max="5" width="9.75"/>
    <col customWidth="1" min="6" max="6" width="14.13"/>
    <col customWidth="1" min="7" max="7" width="9.0"/>
    <col customWidth="1" min="8" max="9" width="12.88"/>
    <col customWidth="1" min="10" max="10" width="10.13"/>
    <col customWidth="1" min="11" max="12" width="12.88"/>
    <col customWidth="1" min="13" max="13" width="15.25"/>
    <col customWidth="1" min="14" max="14" width="14.25"/>
    <col customWidth="1" min="15" max="15" width="16.75"/>
    <col customWidth="1" min="16" max="16" width="10.25"/>
    <col customWidth="1" min="19" max="19" width="14.75"/>
    <col customWidth="1" min="20" max="20" width="5.5"/>
    <col customWidth="1" min="21" max="21" width="10.38"/>
    <col customWidth="1" min="26" max="26" width="16.0"/>
  </cols>
  <sheetData>
    <row r="1" ht="40.5" customHeight="1">
      <c r="A1" s="201"/>
      <c r="B1" s="206"/>
      <c r="C1" s="207" t="s">
        <v>488</v>
      </c>
      <c r="D1" s="12" t="s">
        <v>1</v>
      </c>
      <c r="E1" s="13"/>
      <c r="F1" s="208" t="s">
        <v>2</v>
      </c>
      <c r="G1" s="36"/>
      <c r="H1" s="13"/>
      <c r="I1" s="208" t="s">
        <v>3</v>
      </c>
      <c r="J1" s="36"/>
      <c r="K1" s="36"/>
      <c r="L1" s="13"/>
      <c r="M1" s="12" t="s">
        <v>4</v>
      </c>
      <c r="N1" s="13"/>
      <c r="O1" s="12" t="s">
        <v>5</v>
      </c>
      <c r="P1" s="13"/>
      <c r="Q1" s="12" t="s">
        <v>6</v>
      </c>
      <c r="R1" s="13"/>
      <c r="S1" s="208" t="s">
        <v>7</v>
      </c>
      <c r="T1" s="36"/>
      <c r="U1" s="13"/>
      <c r="V1" s="167" t="s">
        <v>489</v>
      </c>
      <c r="W1" s="4"/>
      <c r="X1" s="209"/>
      <c r="Y1" s="209"/>
      <c r="Z1" s="210" t="s">
        <v>10</v>
      </c>
      <c r="AA1" s="211" t="s">
        <v>11</v>
      </c>
      <c r="AB1" s="17">
        <f>1/24/60</f>
        <v>0.0006944444444</v>
      </c>
      <c r="AC1" s="17"/>
      <c r="AD1" s="17"/>
      <c r="AE1" s="17"/>
      <c r="AF1" s="17"/>
    </row>
    <row r="2" ht="40.5" hidden="1" customHeight="1">
      <c r="A2" s="212"/>
      <c r="B2" s="15">
        <v>1.0</v>
      </c>
      <c r="C2" s="15"/>
      <c r="D2" s="45" t="s">
        <v>490</v>
      </c>
      <c r="E2" s="13"/>
      <c r="F2" s="45" t="s">
        <v>491</v>
      </c>
      <c r="G2" s="36"/>
      <c r="H2" s="13"/>
      <c r="I2" s="45" t="s">
        <v>492</v>
      </c>
      <c r="J2" s="36"/>
      <c r="K2" s="36"/>
      <c r="L2" s="13"/>
      <c r="M2" s="45" t="s">
        <v>493</v>
      </c>
      <c r="N2" s="13"/>
      <c r="O2" s="45" t="s">
        <v>494</v>
      </c>
      <c r="P2" s="13"/>
      <c r="Q2" s="45" t="s">
        <v>495</v>
      </c>
      <c r="R2" s="13"/>
      <c r="S2" s="45" t="s">
        <v>496</v>
      </c>
      <c r="T2" s="36"/>
      <c r="U2" s="13"/>
      <c r="V2" s="213"/>
      <c r="W2" s="213"/>
      <c r="X2" s="214"/>
      <c r="Y2" s="214"/>
      <c r="Z2" s="146"/>
      <c r="AA2" s="215"/>
      <c r="AB2" s="215"/>
      <c r="AC2" s="215"/>
      <c r="AD2" s="215"/>
      <c r="AE2" s="215"/>
      <c r="AF2" s="215"/>
    </row>
    <row r="3" ht="40.5" hidden="1" customHeight="1">
      <c r="A3" s="216" t="s">
        <v>497</v>
      </c>
      <c r="B3" s="15">
        <v>2.0</v>
      </c>
      <c r="C3" s="15"/>
      <c r="D3" s="44" t="s">
        <v>498</v>
      </c>
      <c r="E3" s="44" t="s">
        <v>499</v>
      </c>
      <c r="F3" s="40" t="s">
        <v>500</v>
      </c>
      <c r="G3" s="13"/>
      <c r="H3" s="44" t="s">
        <v>501</v>
      </c>
      <c r="I3" s="45" t="s">
        <v>502</v>
      </c>
      <c r="J3" s="13"/>
      <c r="K3" s="165" t="s">
        <v>503</v>
      </c>
      <c r="L3" s="13"/>
      <c r="M3" s="45" t="s">
        <v>504</v>
      </c>
      <c r="N3" s="13"/>
      <c r="O3" s="45" t="s">
        <v>505</v>
      </c>
      <c r="P3" s="13"/>
      <c r="Q3" s="132" t="s">
        <v>506</v>
      </c>
      <c r="R3" s="132" t="s">
        <v>507</v>
      </c>
      <c r="S3" s="44" t="s">
        <v>508</v>
      </c>
      <c r="T3" s="45" t="s">
        <v>509</v>
      </c>
      <c r="U3" s="13"/>
      <c r="V3" s="217">
        <v>0.3784722222222222</v>
      </c>
      <c r="W3" s="217">
        <f t="shared" ref="W3:W13" si="1">V3+40*$AB$1</f>
        <v>0.40625</v>
      </c>
      <c r="X3" s="218"/>
      <c r="Y3" s="218"/>
      <c r="Z3" s="219" t="str">
        <f>IFERROR(__xludf.DUMMYFUNCTION("join("","",filter(split(#REF!,"",""),ARRAYFORMULA(ISERROR(FIND(split(#REF!,"",""),CONCATENATE(D3:R3))))=TRUE))"),"#REF!")</f>
        <v>#REF!</v>
      </c>
      <c r="AA3" s="220"/>
      <c r="AB3" s="221"/>
      <c r="AC3" s="215"/>
      <c r="AD3" s="215"/>
      <c r="AE3" s="215"/>
      <c r="AF3" s="215"/>
    </row>
    <row r="4" ht="40.5" hidden="1" customHeight="1">
      <c r="A4" s="222"/>
      <c r="B4" s="15">
        <v>3.0</v>
      </c>
      <c r="C4" s="15"/>
      <c r="D4" s="44" t="s">
        <v>510</v>
      </c>
      <c r="E4" s="44" t="s">
        <v>499</v>
      </c>
      <c r="F4" s="40" t="s">
        <v>500</v>
      </c>
      <c r="G4" s="13"/>
      <c r="H4" s="44" t="s">
        <v>501</v>
      </c>
      <c r="I4" s="165" t="s">
        <v>503</v>
      </c>
      <c r="J4" s="13"/>
      <c r="K4" s="45" t="s">
        <v>502</v>
      </c>
      <c r="L4" s="13"/>
      <c r="M4" s="45" t="s">
        <v>504</v>
      </c>
      <c r="N4" s="13"/>
      <c r="O4" s="45" t="s">
        <v>511</v>
      </c>
      <c r="P4" s="13"/>
      <c r="Q4" s="132" t="s">
        <v>506</v>
      </c>
      <c r="R4" s="132" t="s">
        <v>512</v>
      </c>
      <c r="S4" s="44" t="s">
        <v>513</v>
      </c>
      <c r="T4" s="45" t="s">
        <v>514</v>
      </c>
      <c r="U4" s="13"/>
      <c r="V4" s="85">
        <f t="shared" ref="V4:V5" si="2">W3+5*$AB$1</f>
        <v>0.4097222222</v>
      </c>
      <c r="W4" s="85">
        <f t="shared" si="1"/>
        <v>0.4375</v>
      </c>
      <c r="X4" s="15"/>
      <c r="Y4" s="206"/>
      <c r="Z4" s="15" t="str">
        <f>IFERROR(__xludf.DUMMYFUNCTION("join("","",filter(split(#REF!,"",""),ARRAYFORMULA(ISERROR(FIND(split(#REF!,"",""),CONCATENATE(D4:R4))))=TRUE))"),"#REF!")</f>
        <v>#REF!</v>
      </c>
      <c r="AA4" s="215"/>
      <c r="AB4" s="223"/>
      <c r="AC4" s="215"/>
      <c r="AD4" s="215"/>
      <c r="AE4" s="215"/>
      <c r="AF4" s="215"/>
    </row>
    <row r="5" ht="40.5" hidden="1" customHeight="1">
      <c r="A5" s="222"/>
      <c r="B5" s="15">
        <v>4.0</v>
      </c>
      <c r="C5" s="15"/>
      <c r="D5" s="44" t="s">
        <v>515</v>
      </c>
      <c r="E5" s="44" t="s">
        <v>516</v>
      </c>
      <c r="F5" s="45" t="s">
        <v>501</v>
      </c>
      <c r="G5" s="13"/>
      <c r="H5" s="132" t="s">
        <v>500</v>
      </c>
      <c r="I5" s="44" t="s">
        <v>510</v>
      </c>
      <c r="J5" s="44" t="s">
        <v>499</v>
      </c>
      <c r="K5" s="44" t="s">
        <v>517</v>
      </c>
      <c r="L5" s="44" t="s">
        <v>518</v>
      </c>
      <c r="M5" s="45" t="s">
        <v>519</v>
      </c>
      <c r="N5" s="13"/>
      <c r="O5" s="45" t="s">
        <v>504</v>
      </c>
      <c r="P5" s="13"/>
      <c r="Q5" s="89" t="s">
        <v>520</v>
      </c>
      <c r="R5" s="13"/>
      <c r="S5" s="163" t="s">
        <v>521</v>
      </c>
      <c r="T5" s="36"/>
      <c r="U5" s="13"/>
      <c r="V5" s="85">
        <f t="shared" si="2"/>
        <v>0.4409722222</v>
      </c>
      <c r="W5" s="85">
        <f t="shared" si="1"/>
        <v>0.46875</v>
      </c>
      <c r="X5" s="15"/>
      <c r="Y5" s="206"/>
      <c r="Z5" s="15" t="str">
        <f>IFERROR(__xludf.DUMMYFUNCTION("join("","",filter(split(#REF!,"",""),ARRAYFORMULA(ISERROR(FIND(split(#REF!,"",""),CONCATENATE(D5:R5))))=TRUE))"),"#REF!")</f>
        <v>#REF!</v>
      </c>
      <c r="AA5" s="215"/>
      <c r="AB5" s="223"/>
      <c r="AC5" s="215"/>
      <c r="AD5" s="215"/>
      <c r="AE5" s="215"/>
      <c r="AF5" s="215"/>
    </row>
    <row r="6" ht="40.5" hidden="1" customHeight="1">
      <c r="A6" s="222"/>
      <c r="B6" s="15">
        <v>5.0</v>
      </c>
      <c r="C6" s="15"/>
      <c r="D6" s="44" t="s">
        <v>522</v>
      </c>
      <c r="E6" s="44" t="s">
        <v>523</v>
      </c>
      <c r="F6" s="45" t="s">
        <v>501</v>
      </c>
      <c r="G6" s="13"/>
      <c r="H6" s="132" t="s">
        <v>500</v>
      </c>
      <c r="I6" s="44" t="s">
        <v>510</v>
      </c>
      <c r="J6" s="44" t="s">
        <v>499</v>
      </c>
      <c r="K6" s="44" t="s">
        <v>524</v>
      </c>
      <c r="L6" s="44" t="s">
        <v>525</v>
      </c>
      <c r="M6" s="45" t="s">
        <v>519</v>
      </c>
      <c r="N6" s="13"/>
      <c r="O6" s="45" t="s">
        <v>504</v>
      </c>
      <c r="P6" s="13"/>
      <c r="Q6" s="89" t="s">
        <v>520</v>
      </c>
      <c r="R6" s="13"/>
      <c r="S6" s="163" t="s">
        <v>521</v>
      </c>
      <c r="T6" s="36"/>
      <c r="U6" s="13"/>
      <c r="V6" s="85">
        <f>W5+20*$AB$1</f>
        <v>0.4826388889</v>
      </c>
      <c r="W6" s="85">
        <f t="shared" si="1"/>
        <v>0.5104166667</v>
      </c>
      <c r="X6" s="15"/>
      <c r="Y6" s="206"/>
      <c r="Z6" s="15" t="str">
        <f>IFERROR(__xludf.DUMMYFUNCTION("join("","",filter(split(#REF!,"",""),ARRAYFORMULA(ISERROR(FIND(split(#REF!,"",""),CONCATENATE(D6:R6))))=TRUE))"),"#REF!")</f>
        <v>#REF!</v>
      </c>
      <c r="AA6" s="215"/>
      <c r="AB6" s="223"/>
      <c r="AC6" s="215"/>
      <c r="AD6" s="215"/>
      <c r="AE6" s="215"/>
      <c r="AF6" s="215"/>
    </row>
    <row r="7" ht="40.5" hidden="1" customHeight="1">
      <c r="A7" s="222"/>
      <c r="B7" s="15">
        <v>6.0</v>
      </c>
      <c r="C7" s="15"/>
      <c r="D7" s="44" t="s">
        <v>526</v>
      </c>
      <c r="E7" s="44" t="s">
        <v>527</v>
      </c>
      <c r="F7" s="44" t="s">
        <v>510</v>
      </c>
      <c r="G7" s="44" t="s">
        <v>499</v>
      </c>
      <c r="H7" s="44" t="s">
        <v>528</v>
      </c>
      <c r="I7" s="40" t="s">
        <v>504</v>
      </c>
      <c r="J7" s="13"/>
      <c r="K7" s="45" t="s">
        <v>529</v>
      </c>
      <c r="L7" s="13"/>
      <c r="M7" s="167" t="s">
        <v>530</v>
      </c>
      <c r="N7" s="4"/>
      <c r="O7" s="44" t="s">
        <v>531</v>
      </c>
      <c r="P7" s="181" t="s">
        <v>532</v>
      </c>
      <c r="Q7" s="45" t="s">
        <v>533</v>
      </c>
      <c r="R7" s="13"/>
      <c r="S7" s="45" t="s">
        <v>534</v>
      </c>
      <c r="T7" s="36"/>
      <c r="U7" s="13"/>
      <c r="V7" s="85">
        <f t="shared" ref="V7:V8" si="3">W6+5*$AB$1</f>
        <v>0.5138888889</v>
      </c>
      <c r="W7" s="85">
        <f t="shared" si="1"/>
        <v>0.5416666667</v>
      </c>
      <c r="X7" s="85"/>
      <c r="Y7" s="206"/>
      <c r="Z7" s="15" t="str">
        <f>IFERROR(__xludf.DUMMYFUNCTION("join("","",filter(split(#REF!,"",""),ARRAYFORMULA(ISERROR(FIND(split(#REF!,"",""),CONCATENATE(D7:R7))))=TRUE))"),"#REF!")</f>
        <v>#REF!</v>
      </c>
      <c r="AA7" s="215"/>
      <c r="AB7" s="223"/>
      <c r="AC7" s="215"/>
      <c r="AD7" s="215"/>
      <c r="AE7" s="215"/>
      <c r="AF7" s="215"/>
    </row>
    <row r="8" ht="40.5" hidden="1" customHeight="1">
      <c r="A8" s="222"/>
      <c r="B8" s="15">
        <v>7.0</v>
      </c>
      <c r="C8" s="15"/>
      <c r="D8" s="44" t="s">
        <v>535</v>
      </c>
      <c r="E8" s="44" t="s">
        <v>536</v>
      </c>
      <c r="F8" s="144"/>
      <c r="G8" s="144"/>
      <c r="H8" s="144"/>
      <c r="I8" s="40" t="s">
        <v>504</v>
      </c>
      <c r="J8" s="13"/>
      <c r="K8" s="45" t="s">
        <v>537</v>
      </c>
      <c r="L8" s="13"/>
      <c r="M8" s="104"/>
      <c r="N8" s="72"/>
      <c r="O8" s="44" t="s">
        <v>531</v>
      </c>
      <c r="P8" s="181" t="s">
        <v>532</v>
      </c>
      <c r="Q8" s="45" t="s">
        <v>533</v>
      </c>
      <c r="R8" s="13"/>
      <c r="S8" s="45" t="s">
        <v>534</v>
      </c>
      <c r="T8" s="36"/>
      <c r="U8" s="13"/>
      <c r="V8" s="85">
        <f t="shared" si="3"/>
        <v>0.5451388889</v>
      </c>
      <c r="W8" s="85">
        <f t="shared" si="1"/>
        <v>0.5729166667</v>
      </c>
      <c r="X8" s="15"/>
      <c r="Y8" s="206"/>
      <c r="Z8" s="15" t="str">
        <f>IFERROR(__xludf.DUMMYFUNCTION("join("","",filter(split(#REF!,"",""),ARRAYFORMULA(ISERROR(FIND(split(#REF!,"",""),CONCATENATE(D8:R8))))=TRUE))"),"#REF!")</f>
        <v>#REF!</v>
      </c>
      <c r="AA8" s="215"/>
      <c r="AB8" s="223"/>
      <c r="AC8" s="215"/>
      <c r="AD8" s="215"/>
      <c r="AE8" s="215"/>
      <c r="AF8" s="215"/>
    </row>
    <row r="9" ht="40.5" hidden="1" customHeight="1">
      <c r="A9" s="222"/>
      <c r="B9" s="15">
        <v>8.0</v>
      </c>
      <c r="C9" s="15"/>
      <c r="D9" s="44" t="s">
        <v>538</v>
      </c>
      <c r="E9" s="44" t="s">
        <v>539</v>
      </c>
      <c r="F9" s="44" t="s">
        <v>540</v>
      </c>
      <c r="G9" s="45" t="s">
        <v>519</v>
      </c>
      <c r="H9" s="13"/>
      <c r="I9" s="45" t="s">
        <v>541</v>
      </c>
      <c r="J9" s="13"/>
      <c r="K9" s="40" t="s">
        <v>504</v>
      </c>
      <c r="L9" s="13"/>
      <c r="M9" s="87" t="s">
        <v>521</v>
      </c>
      <c r="N9" s="13"/>
      <c r="O9" s="90" t="s">
        <v>542</v>
      </c>
      <c r="P9" s="44" t="s">
        <v>531</v>
      </c>
      <c r="Q9" s="122" t="s">
        <v>543</v>
      </c>
      <c r="R9" s="13"/>
      <c r="S9" s="176" t="s">
        <v>544</v>
      </c>
      <c r="T9" s="8"/>
      <c r="U9" s="4"/>
      <c r="V9" s="85">
        <f>W8+50*$AB$1</f>
        <v>0.6076388889</v>
      </c>
      <c r="W9" s="85">
        <f t="shared" si="1"/>
        <v>0.6354166667</v>
      </c>
      <c r="X9" s="15"/>
      <c r="Y9" s="206"/>
      <c r="Z9" s="15" t="str">
        <f>IFERROR(__xludf.DUMMYFUNCTION("join("","",filter(split(#REF!,"",""),ARRAYFORMULA(ISERROR(FIND(split(#REF!,"",""),CONCATENATE(D9:R9))))=TRUE))"),"#REF!")</f>
        <v>#REF!</v>
      </c>
      <c r="AA9" s="215"/>
      <c r="AB9" s="223"/>
      <c r="AC9" s="215"/>
      <c r="AD9" s="215"/>
      <c r="AE9" s="215"/>
      <c r="AF9" s="215"/>
    </row>
    <row r="10" ht="40.5" hidden="1" customHeight="1">
      <c r="A10" s="222"/>
      <c r="B10" s="15">
        <v>9.0</v>
      </c>
      <c r="C10" s="15"/>
      <c r="D10" s="44" t="s">
        <v>545</v>
      </c>
      <c r="E10" s="44" t="s">
        <v>546</v>
      </c>
      <c r="F10" s="44" t="s">
        <v>519</v>
      </c>
      <c r="G10" s="45" t="s">
        <v>540</v>
      </c>
      <c r="H10" s="13"/>
      <c r="I10" s="45" t="s">
        <v>547</v>
      </c>
      <c r="J10" s="13"/>
      <c r="K10" s="40" t="s">
        <v>504</v>
      </c>
      <c r="L10" s="13"/>
      <c r="M10" s="87" t="s">
        <v>521</v>
      </c>
      <c r="N10" s="13"/>
      <c r="O10" s="90" t="s">
        <v>548</v>
      </c>
      <c r="P10" s="44" t="s">
        <v>531</v>
      </c>
      <c r="Q10" s="89" t="s">
        <v>543</v>
      </c>
      <c r="R10" s="13"/>
      <c r="S10" s="224"/>
      <c r="U10" s="139"/>
      <c r="V10" s="85">
        <f>W9+5*$AB$1</f>
        <v>0.6388888889</v>
      </c>
      <c r="W10" s="85">
        <f t="shared" si="1"/>
        <v>0.6666666667</v>
      </c>
      <c r="X10" s="206"/>
      <c r="Y10" s="206"/>
      <c r="Z10" s="15" t="str">
        <f>IFERROR(__xludf.DUMMYFUNCTION("join("","",filter(split(#REF!,"",""),ARRAYFORMULA(ISERROR(FIND(split(#REF!,"",""),CONCATENATE(D10:R10))))=TRUE))"),"#REF!")</f>
        <v>#REF!</v>
      </c>
      <c r="AA10" s="215"/>
      <c r="AB10" s="223"/>
      <c r="AC10" s="215"/>
      <c r="AD10" s="215"/>
      <c r="AE10" s="215"/>
      <c r="AF10" s="215"/>
    </row>
    <row r="11" ht="40.5" hidden="1" customHeight="1">
      <c r="A11" s="222"/>
      <c r="B11" s="15">
        <v>10.0</v>
      </c>
      <c r="C11" s="44"/>
      <c r="D11" s="45" t="s">
        <v>549</v>
      </c>
      <c r="E11" s="36"/>
      <c r="F11" s="36"/>
      <c r="G11" s="36"/>
      <c r="H11" s="36"/>
      <c r="I11" s="36"/>
      <c r="J11" s="36"/>
      <c r="K11" s="36"/>
      <c r="L11" s="36"/>
      <c r="M11" s="36"/>
      <c r="N11" s="36"/>
      <c r="O11" s="36"/>
      <c r="P11" s="36"/>
      <c r="Q11" s="36"/>
      <c r="R11" s="13"/>
      <c r="S11" s="224"/>
      <c r="U11" s="139"/>
      <c r="V11" s="85">
        <f>W10+15*$AB$1</f>
        <v>0.6770833333</v>
      </c>
      <c r="W11" s="85">
        <f t="shared" si="1"/>
        <v>0.7048611111</v>
      </c>
      <c r="X11" s="206"/>
      <c r="Y11" s="206"/>
      <c r="Z11" s="225" t="str">
        <f>IFERROR(__xludf.DUMMYFUNCTION("join("","",filter(split(#REF!,"",""),ARRAYFORMULA(ISERROR(FIND(split(#REF!,"",""),CONCATENATE(D11:R11))))=TRUE))"),"#REF!")</f>
        <v>#REF!</v>
      </c>
      <c r="AA11" s="215"/>
      <c r="AB11" s="223"/>
      <c r="AC11" s="215"/>
      <c r="AD11" s="215"/>
      <c r="AE11" s="215"/>
      <c r="AF11" s="215"/>
    </row>
    <row r="12" ht="40.5" hidden="1" customHeight="1">
      <c r="A12" s="222"/>
      <c r="B12" s="15">
        <v>11.0</v>
      </c>
      <c r="C12" s="44"/>
      <c r="D12" s="44"/>
      <c r="E12" s="44"/>
      <c r="F12" s="44"/>
      <c r="G12" s="44"/>
      <c r="H12" s="44"/>
      <c r="I12" s="44"/>
      <c r="J12" s="44"/>
      <c r="K12" s="44"/>
      <c r="L12" s="44"/>
      <c r="M12" s="44"/>
      <c r="N12" s="44"/>
      <c r="O12" s="44"/>
      <c r="P12" s="44"/>
      <c r="Q12" s="44"/>
      <c r="R12" s="44"/>
      <c r="S12" s="104"/>
      <c r="T12" s="64"/>
      <c r="U12" s="72"/>
      <c r="V12" s="85">
        <f t="shared" ref="V12:V13" si="4">W11+5*$AB$1</f>
        <v>0.7083333333</v>
      </c>
      <c r="W12" s="85">
        <f t="shared" si="1"/>
        <v>0.7361111111</v>
      </c>
      <c r="X12" s="206"/>
      <c r="Y12" s="206"/>
      <c r="Z12" s="173"/>
      <c r="AA12" s="215"/>
      <c r="AB12" s="223"/>
      <c r="AC12" s="215"/>
      <c r="AD12" s="215"/>
      <c r="AE12" s="215"/>
      <c r="AF12" s="215"/>
    </row>
    <row r="13" ht="40.5" hidden="1" customHeight="1">
      <c r="A13" s="222"/>
      <c r="B13" s="15">
        <v>12.0</v>
      </c>
      <c r="C13" s="15"/>
      <c r="D13" s="15"/>
      <c r="E13" s="15"/>
      <c r="F13" s="15"/>
      <c r="G13" s="15"/>
      <c r="H13" s="15"/>
      <c r="I13" s="15"/>
      <c r="J13" s="15"/>
      <c r="K13" s="15"/>
      <c r="L13" s="15"/>
      <c r="M13" s="15"/>
      <c r="N13" s="15"/>
      <c r="O13" s="15"/>
      <c r="P13" s="15"/>
      <c r="Q13" s="15"/>
      <c r="R13" s="15"/>
      <c r="S13" s="15"/>
      <c r="T13" s="206"/>
      <c r="U13" s="15"/>
      <c r="V13" s="85">
        <f t="shared" si="4"/>
        <v>0.7395833333</v>
      </c>
      <c r="W13" s="85">
        <f t="shared" si="1"/>
        <v>0.7673611111</v>
      </c>
      <c r="X13" s="206"/>
      <c r="Y13" s="206"/>
      <c r="Z13" s="15"/>
      <c r="AA13" s="215"/>
      <c r="AB13" s="223"/>
      <c r="AC13" s="215"/>
      <c r="AD13" s="215"/>
      <c r="AE13" s="215"/>
      <c r="AF13" s="215"/>
    </row>
    <row r="14" ht="40.5" hidden="1" customHeight="1">
      <c r="A14" s="173"/>
      <c r="B14" s="15"/>
      <c r="C14" s="15"/>
      <c r="D14" s="15"/>
      <c r="E14" s="15"/>
      <c r="F14" s="15"/>
      <c r="G14" s="15"/>
      <c r="H14" s="15"/>
      <c r="I14" s="15"/>
      <c r="J14" s="15"/>
      <c r="K14" s="15"/>
      <c r="L14" s="15"/>
      <c r="M14" s="15"/>
      <c r="N14" s="15"/>
      <c r="O14" s="15"/>
      <c r="P14" s="15"/>
      <c r="Q14" s="15"/>
      <c r="R14" s="15"/>
      <c r="S14" s="15"/>
      <c r="T14" s="206"/>
      <c r="U14" s="15"/>
      <c r="V14" s="226" t="str">
        <f>W$1</f>
        <v/>
      </c>
      <c r="W14" s="227"/>
      <c r="X14" s="155"/>
      <c r="Y14" s="155"/>
      <c r="Z14" s="155"/>
      <c r="AA14" s="155"/>
      <c r="AB14" s="228"/>
      <c r="AC14" s="215"/>
      <c r="AD14" s="215"/>
      <c r="AE14" s="215"/>
      <c r="AF14" s="215"/>
    </row>
    <row r="15" ht="40.5" hidden="1" customHeight="1">
      <c r="A15" s="216" t="s">
        <v>550</v>
      </c>
      <c r="B15" s="15">
        <v>1.0</v>
      </c>
      <c r="C15" s="15"/>
      <c r="D15" s="44" t="s">
        <v>500</v>
      </c>
      <c r="E15" s="44" t="s">
        <v>500</v>
      </c>
      <c r="F15" s="94" t="s">
        <v>551</v>
      </c>
      <c r="G15" s="13"/>
      <c r="H15" s="44" t="s">
        <v>552</v>
      </c>
      <c r="I15" s="45" t="s">
        <v>504</v>
      </c>
      <c r="J15" s="13"/>
      <c r="K15" s="45" t="s">
        <v>553</v>
      </c>
      <c r="L15" s="13"/>
      <c r="M15" s="45" t="s">
        <v>554</v>
      </c>
      <c r="N15" s="13"/>
      <c r="O15" s="45" t="s">
        <v>555</v>
      </c>
      <c r="P15" s="13"/>
      <c r="Q15" s="45" t="s">
        <v>556</v>
      </c>
      <c r="R15" s="13"/>
      <c r="S15" s="44" t="s">
        <v>557</v>
      </c>
      <c r="T15" s="45" t="s">
        <v>558</v>
      </c>
      <c r="U15" s="13"/>
      <c r="V15" s="229">
        <f t="shared" ref="V15:W15" si="5">V$3</f>
        <v>0.3784722222</v>
      </c>
      <c r="W15" s="229">
        <f t="shared" si="5"/>
        <v>0.40625</v>
      </c>
      <c r="X15" s="229"/>
      <c r="Y15" s="229"/>
      <c r="Z15" s="193" t="str">
        <f>IFERROR(__xludf.DUMMYFUNCTION("join("","",filter(split(#REF!,"",""),ARRAYFORMULA(ISERROR(FIND(split(#REF!,"",""),CONCATENATE(D15:R15))))=TRUE))"),"#REF!")</f>
        <v>#REF!</v>
      </c>
      <c r="AA15" s="215"/>
      <c r="AB15" s="215"/>
      <c r="AC15" s="215"/>
      <c r="AD15" s="215"/>
      <c r="AE15" s="215"/>
      <c r="AF15" s="215"/>
    </row>
    <row r="16" ht="40.5" hidden="1" customHeight="1">
      <c r="A16" s="222"/>
      <c r="B16" s="15">
        <v>2.0</v>
      </c>
      <c r="C16" s="15"/>
      <c r="D16" s="44" t="s">
        <v>500</v>
      </c>
      <c r="E16" s="44" t="s">
        <v>500</v>
      </c>
      <c r="F16" s="165" t="s">
        <v>503</v>
      </c>
      <c r="G16" s="13"/>
      <c r="H16" s="230" t="s">
        <v>559</v>
      </c>
      <c r="I16" s="45" t="s">
        <v>504</v>
      </c>
      <c r="J16" s="13"/>
      <c r="K16" s="45" t="s">
        <v>560</v>
      </c>
      <c r="L16" s="13"/>
      <c r="M16" s="45" t="s">
        <v>561</v>
      </c>
      <c r="N16" s="13"/>
      <c r="O16" s="45" t="s">
        <v>555</v>
      </c>
      <c r="P16" s="13"/>
      <c r="Q16" s="45" t="s">
        <v>556</v>
      </c>
      <c r="R16" s="13"/>
      <c r="S16" s="44" t="s">
        <v>562</v>
      </c>
      <c r="T16" s="45" t="s">
        <v>563</v>
      </c>
      <c r="U16" s="13"/>
      <c r="V16" s="85">
        <f t="shared" ref="V16:W16" si="6">V$4</f>
        <v>0.4097222222</v>
      </c>
      <c r="W16" s="85">
        <f t="shared" si="6"/>
        <v>0.4375</v>
      </c>
      <c r="X16" s="85"/>
      <c r="Y16" s="85"/>
      <c r="Z16" s="15" t="str">
        <f>IFERROR(__xludf.DUMMYFUNCTION("join("","",filter(split(#REF!,"",""),ARRAYFORMULA(ISERROR(FIND(split(#REF!,"",""),CONCATENATE(D16:R16))))=TRUE))"),"#REF!")</f>
        <v>#REF!</v>
      </c>
      <c r="AA16" s="215"/>
      <c r="AB16" s="215"/>
      <c r="AC16" s="215"/>
      <c r="AD16" s="215"/>
      <c r="AE16" s="215"/>
      <c r="AF16" s="215"/>
    </row>
    <row r="17" ht="40.5" hidden="1" customHeight="1">
      <c r="A17" s="222"/>
      <c r="B17" s="15">
        <v>3.0</v>
      </c>
      <c r="C17" s="15"/>
      <c r="D17" s="40" t="s">
        <v>564</v>
      </c>
      <c r="E17" s="13"/>
      <c r="F17" s="45" t="s">
        <v>565</v>
      </c>
      <c r="G17" s="36"/>
      <c r="H17" s="13"/>
      <c r="I17" s="45" t="s">
        <v>566</v>
      </c>
      <c r="J17" s="13"/>
      <c r="K17" s="45" t="s">
        <v>504</v>
      </c>
      <c r="L17" s="13"/>
      <c r="M17" s="89" t="s">
        <v>567</v>
      </c>
      <c r="N17" s="13"/>
      <c r="O17" s="45" t="s">
        <v>519</v>
      </c>
      <c r="P17" s="13"/>
      <c r="Q17" s="44" t="s">
        <v>568</v>
      </c>
      <c r="R17" s="44" t="s">
        <v>569</v>
      </c>
      <c r="S17" s="163" t="s">
        <v>521</v>
      </c>
      <c r="T17" s="36"/>
      <c r="U17" s="13"/>
      <c r="V17" s="85">
        <f t="shared" ref="V17:W17" si="7">V$5</f>
        <v>0.4409722222</v>
      </c>
      <c r="W17" s="85">
        <f t="shared" si="7"/>
        <v>0.46875</v>
      </c>
      <c r="X17" s="85"/>
      <c r="Y17" s="85" t="str">
        <f>Y$5</f>
        <v/>
      </c>
      <c r="Z17" s="15" t="str">
        <f>IFERROR(__xludf.DUMMYFUNCTION("join("","",filter(split(#REF!,"",""),ARRAYFORMULA(ISERROR(FIND(split(#REF!,"",""),CONCATENATE(D17:R17))))=TRUE))"),"#REF!")</f>
        <v>#REF!</v>
      </c>
      <c r="AA17" s="215"/>
      <c r="AB17" s="215"/>
      <c r="AC17" s="215"/>
      <c r="AD17" s="215"/>
      <c r="AE17" s="215"/>
      <c r="AF17" s="215"/>
    </row>
    <row r="18" ht="40.5" hidden="1" customHeight="1">
      <c r="A18" s="222"/>
      <c r="B18" s="15">
        <v>4.0</v>
      </c>
      <c r="C18" s="15"/>
      <c r="D18" s="40" t="s">
        <v>564</v>
      </c>
      <c r="E18" s="13"/>
      <c r="F18" s="45" t="s">
        <v>570</v>
      </c>
      <c r="G18" s="36"/>
      <c r="H18" s="13"/>
      <c r="I18" s="45" t="s">
        <v>571</v>
      </c>
      <c r="J18" s="13"/>
      <c r="K18" s="45" t="s">
        <v>504</v>
      </c>
      <c r="L18" s="13"/>
      <c r="M18" s="89" t="s">
        <v>567</v>
      </c>
      <c r="N18" s="13"/>
      <c r="O18" s="45" t="s">
        <v>519</v>
      </c>
      <c r="P18" s="13"/>
      <c r="Q18" s="44" t="s">
        <v>572</v>
      </c>
      <c r="R18" s="44" t="s">
        <v>573</v>
      </c>
      <c r="S18" s="163" t="s">
        <v>521</v>
      </c>
      <c r="T18" s="36"/>
      <c r="U18" s="13"/>
      <c r="V18" s="85">
        <f t="shared" ref="V18:W18" si="8">V$6</f>
        <v>0.4826388889</v>
      </c>
      <c r="W18" s="85">
        <f t="shared" si="8"/>
        <v>0.5104166667</v>
      </c>
      <c r="X18" s="85"/>
      <c r="Y18" s="85" t="str">
        <f>Y$6</f>
        <v/>
      </c>
      <c r="Z18" s="15" t="str">
        <f>IFERROR(__xludf.DUMMYFUNCTION("join("","",filter(split(#REF!,"",""),ARRAYFORMULA(ISERROR(FIND(split(#REF!,"",""),CONCATENATE(D18:R18))))=TRUE))"),"#REF!")</f>
        <v>#REF!</v>
      </c>
      <c r="AA18" s="215"/>
      <c r="AB18" s="215"/>
      <c r="AC18" s="215"/>
      <c r="AD18" s="215"/>
      <c r="AE18" s="215"/>
      <c r="AF18" s="215"/>
    </row>
    <row r="19" ht="40.5" hidden="1" customHeight="1">
      <c r="A19" s="222"/>
      <c r="B19" s="15">
        <v>5.0</v>
      </c>
      <c r="C19" s="15"/>
      <c r="D19" s="94" t="s">
        <v>551</v>
      </c>
      <c r="E19" s="13"/>
      <c r="F19" s="44" t="s">
        <v>500</v>
      </c>
      <c r="G19" s="45" t="s">
        <v>519</v>
      </c>
      <c r="H19" s="13"/>
      <c r="I19" s="45" t="s">
        <v>556</v>
      </c>
      <c r="J19" s="13"/>
      <c r="K19" s="40" t="s">
        <v>564</v>
      </c>
      <c r="L19" s="13"/>
      <c r="M19" s="45" t="s">
        <v>504</v>
      </c>
      <c r="N19" s="13"/>
      <c r="O19" s="44" t="s">
        <v>574</v>
      </c>
      <c r="P19" s="44" t="s">
        <v>575</v>
      </c>
      <c r="Q19" s="231" t="s">
        <v>576</v>
      </c>
      <c r="R19" s="132" t="s">
        <v>577</v>
      </c>
      <c r="S19" s="157" t="s">
        <v>578</v>
      </c>
      <c r="T19" s="36"/>
      <c r="U19" s="13"/>
      <c r="V19" s="85">
        <f t="shared" ref="V19:W19" si="9">V$7</f>
        <v>0.5138888889</v>
      </c>
      <c r="W19" s="85">
        <f t="shared" si="9"/>
        <v>0.5416666667</v>
      </c>
      <c r="X19" s="85"/>
      <c r="Y19" s="85" t="str">
        <f>Y$7</f>
        <v/>
      </c>
      <c r="Z19" s="15" t="str">
        <f>IFERROR(__xludf.DUMMYFUNCTION("join("","",filter(split(#REF!,"",""),ARRAYFORMULA(ISERROR(FIND(split(#REF!,"",""),CONCATENATE(D19:R19))))=TRUE))"),"#REF!")</f>
        <v>#REF!</v>
      </c>
      <c r="AA19" s="215"/>
      <c r="AB19" s="215"/>
      <c r="AC19" s="215"/>
      <c r="AD19" s="215"/>
      <c r="AE19" s="215"/>
      <c r="AF19" s="215"/>
    </row>
    <row r="20" ht="40.5" hidden="1" customHeight="1">
      <c r="A20" s="222"/>
      <c r="B20" s="15">
        <v>6.0</v>
      </c>
      <c r="C20" s="15"/>
      <c r="D20" s="94" t="s">
        <v>551</v>
      </c>
      <c r="E20" s="13"/>
      <c r="F20" s="44" t="s">
        <v>500</v>
      </c>
      <c r="G20" s="45" t="s">
        <v>519</v>
      </c>
      <c r="H20" s="13"/>
      <c r="I20" s="45" t="s">
        <v>556</v>
      </c>
      <c r="J20" s="13"/>
      <c r="K20" s="40" t="s">
        <v>564</v>
      </c>
      <c r="L20" s="13"/>
      <c r="M20" s="45" t="s">
        <v>504</v>
      </c>
      <c r="N20" s="13"/>
      <c r="O20" s="44" t="s">
        <v>579</v>
      </c>
      <c r="P20" s="44" t="s">
        <v>580</v>
      </c>
      <c r="Q20" s="231" t="s">
        <v>581</v>
      </c>
      <c r="R20" s="132" t="s">
        <v>582</v>
      </c>
      <c r="S20" s="157" t="s">
        <v>578</v>
      </c>
      <c r="T20" s="36"/>
      <c r="U20" s="13"/>
      <c r="V20" s="85">
        <f t="shared" ref="V20:W20" si="10">V$8</f>
        <v>0.5451388889</v>
      </c>
      <c r="W20" s="85">
        <f t="shared" si="10"/>
        <v>0.5729166667</v>
      </c>
      <c r="X20" s="85"/>
      <c r="Y20" s="85" t="str">
        <f>Y$8</f>
        <v/>
      </c>
      <c r="Z20" s="15" t="str">
        <f>IFERROR(__xludf.DUMMYFUNCTION("join("","",filter(split(#REF!,"",""),ARRAYFORMULA(ISERROR(FIND(split(#REF!,"",""),CONCATENATE(I20:R20))))=TRUE))"),"#REF!")</f>
        <v>#REF!</v>
      </c>
      <c r="AA20" s="215"/>
      <c r="AB20" s="215"/>
      <c r="AC20" s="215"/>
      <c r="AD20" s="215"/>
      <c r="AE20" s="215"/>
      <c r="AF20" s="215"/>
    </row>
    <row r="21" ht="40.5" hidden="1" customHeight="1">
      <c r="A21" s="222"/>
      <c r="B21" s="15">
        <v>7.0</v>
      </c>
      <c r="C21" s="15"/>
      <c r="D21" s="45" t="s">
        <v>583</v>
      </c>
      <c r="E21" s="13"/>
      <c r="F21" s="44" t="s">
        <v>519</v>
      </c>
      <c r="G21" s="44" t="s">
        <v>500</v>
      </c>
      <c r="H21" s="44" t="s">
        <v>500</v>
      </c>
      <c r="I21" s="40" t="s">
        <v>564</v>
      </c>
      <c r="J21" s="13"/>
      <c r="K21" s="45" t="s">
        <v>556</v>
      </c>
      <c r="L21" s="13"/>
      <c r="M21" s="87" t="s">
        <v>521</v>
      </c>
      <c r="N21" s="13"/>
      <c r="O21" s="45" t="s">
        <v>504</v>
      </c>
      <c r="P21" s="13"/>
      <c r="Q21" s="132" t="s">
        <v>584</v>
      </c>
      <c r="R21" s="232" t="s">
        <v>585</v>
      </c>
      <c r="S21" s="157" t="s">
        <v>578</v>
      </c>
      <c r="T21" s="36"/>
      <c r="U21" s="13"/>
      <c r="V21" s="85">
        <f t="shared" ref="V21:W21" si="11">V$9</f>
        <v>0.6076388889</v>
      </c>
      <c r="W21" s="85">
        <f t="shared" si="11"/>
        <v>0.6354166667</v>
      </c>
      <c r="X21" s="85"/>
      <c r="Y21" s="85" t="str">
        <f>Y$9</f>
        <v/>
      </c>
      <c r="Z21" s="15" t="str">
        <f>IFERROR(__xludf.DUMMYFUNCTION("join("","",filter(split(#REF!,"",""),ARRAYFORMULA(ISERROR(FIND(split(#REF!,"",""),CONCATENATE(D21:R21))))=TRUE))"),"#REF!")</f>
        <v>#REF!</v>
      </c>
      <c r="AA21" s="215"/>
      <c r="AB21" s="215"/>
      <c r="AC21" s="215"/>
      <c r="AD21" s="215"/>
      <c r="AE21" s="215"/>
      <c r="AF21" s="215"/>
    </row>
    <row r="22" ht="40.5" hidden="1" customHeight="1">
      <c r="A22" s="222"/>
      <c r="B22" s="15">
        <v>8.0</v>
      </c>
      <c r="C22" s="15"/>
      <c r="D22" s="45" t="s">
        <v>586</v>
      </c>
      <c r="E22" s="13"/>
      <c r="F22" s="44" t="s">
        <v>519</v>
      </c>
      <c r="G22" s="44" t="s">
        <v>500</v>
      </c>
      <c r="H22" s="44" t="s">
        <v>500</v>
      </c>
      <c r="I22" s="40" t="s">
        <v>564</v>
      </c>
      <c r="J22" s="13"/>
      <c r="K22" s="45" t="s">
        <v>556</v>
      </c>
      <c r="L22" s="13"/>
      <c r="M22" s="87" t="s">
        <v>521</v>
      </c>
      <c r="N22" s="13"/>
      <c r="O22" s="45" t="s">
        <v>504</v>
      </c>
      <c r="P22" s="13"/>
      <c r="Q22" s="132" t="s">
        <v>587</v>
      </c>
      <c r="R22" s="232" t="s">
        <v>585</v>
      </c>
      <c r="S22" s="157" t="s">
        <v>578</v>
      </c>
      <c r="T22" s="36"/>
      <c r="U22" s="13"/>
      <c r="V22" s="85">
        <f t="shared" ref="V22:W22" si="12">V$10</f>
        <v>0.6388888889</v>
      </c>
      <c r="W22" s="85">
        <f t="shared" si="12"/>
        <v>0.6666666667</v>
      </c>
      <c r="X22" s="233"/>
      <c r="Y22" s="233"/>
      <c r="Z22" s="15" t="str">
        <f>IFERROR(__xludf.DUMMYFUNCTION("join("","",filter(split(#REF!,"",""),ARRAYFORMULA(ISERROR(FIND(split(#REF!,"",""),CONCATENATE(D22:R22))))=TRUE))"),"#REF!")</f>
        <v>#REF!</v>
      </c>
      <c r="AA22" s="215"/>
      <c r="AB22" s="215"/>
      <c r="AC22" s="215"/>
      <c r="AD22" s="215"/>
      <c r="AE22" s="215"/>
      <c r="AF22" s="215"/>
    </row>
    <row r="23" ht="40.5" hidden="1" customHeight="1">
      <c r="A23" s="222"/>
      <c r="B23" s="15">
        <v>9.0</v>
      </c>
      <c r="C23" s="15"/>
      <c r="D23" s="144"/>
      <c r="E23" s="144"/>
      <c r="F23" s="40" t="s">
        <v>588</v>
      </c>
      <c r="G23" s="36"/>
      <c r="H23" s="36"/>
      <c r="I23" s="36"/>
      <c r="J23" s="36"/>
      <c r="K23" s="36"/>
      <c r="L23" s="13"/>
      <c r="M23" s="45" t="s">
        <v>589</v>
      </c>
      <c r="N23" s="13"/>
      <c r="O23" s="89" t="s">
        <v>590</v>
      </c>
      <c r="P23" s="13"/>
      <c r="Q23" s="45" t="s">
        <v>211</v>
      </c>
      <c r="R23" s="13"/>
      <c r="S23" s="165" t="s">
        <v>591</v>
      </c>
      <c r="T23" s="36"/>
      <c r="U23" s="13"/>
      <c r="V23" s="85">
        <f t="shared" ref="V23:W23" si="13">V$11</f>
        <v>0.6770833333</v>
      </c>
      <c r="W23" s="85">
        <f t="shared" si="13"/>
        <v>0.7048611111</v>
      </c>
      <c r="X23" s="233"/>
      <c r="Y23" s="233"/>
      <c r="Z23" s="225" t="str">
        <f>IFERROR(__xludf.DUMMYFUNCTION("join("","",filter(split(#REF!,"",""),ARRAYFORMULA(ISERROR(FIND(split(#REF!,"",""),CONCATENATE(D23:R23))))=TRUE))"),"#REF!")</f>
        <v>#REF!</v>
      </c>
      <c r="AA23" s="215"/>
      <c r="AB23" s="215"/>
      <c r="AC23" s="215"/>
      <c r="AD23" s="215"/>
      <c r="AE23" s="215"/>
      <c r="AF23" s="215"/>
    </row>
    <row r="24" ht="40.5" hidden="1" customHeight="1">
      <c r="A24" s="222"/>
      <c r="B24" s="15">
        <v>10.0</v>
      </c>
      <c r="C24" s="15"/>
      <c r="D24" s="144"/>
      <c r="E24" s="144"/>
      <c r="F24" s="40" t="s">
        <v>588</v>
      </c>
      <c r="G24" s="36"/>
      <c r="H24" s="36"/>
      <c r="I24" s="36"/>
      <c r="J24" s="36"/>
      <c r="K24" s="36"/>
      <c r="L24" s="13"/>
      <c r="M24" s="45" t="s">
        <v>589</v>
      </c>
      <c r="N24" s="13"/>
      <c r="O24" s="144"/>
      <c r="P24" s="144"/>
      <c r="Q24" s="44"/>
      <c r="R24" s="44"/>
      <c r="S24" s="89" t="s">
        <v>211</v>
      </c>
      <c r="T24" s="36"/>
      <c r="U24" s="13"/>
      <c r="V24" s="85">
        <f t="shared" ref="V24:W24" si="14">V$12</f>
        <v>0.7083333333</v>
      </c>
      <c r="W24" s="85">
        <f t="shared" si="14"/>
        <v>0.7361111111</v>
      </c>
      <c r="X24" s="233"/>
      <c r="Y24" s="233"/>
      <c r="Z24" s="173"/>
      <c r="AA24" s="215"/>
      <c r="AB24" s="215"/>
      <c r="AC24" s="215"/>
      <c r="AD24" s="215"/>
      <c r="AE24" s="215"/>
      <c r="AF24" s="215"/>
    </row>
    <row r="25" ht="40.5" hidden="1" customHeight="1">
      <c r="A25" s="222"/>
      <c r="B25" s="15">
        <v>11.0</v>
      </c>
      <c r="C25" s="15"/>
      <c r="D25" s="144"/>
      <c r="E25" s="144"/>
      <c r="F25" s="15"/>
      <c r="G25" s="15"/>
      <c r="H25" s="15"/>
      <c r="I25" s="15"/>
      <c r="J25" s="15"/>
      <c r="K25" s="15"/>
      <c r="L25" s="15"/>
      <c r="M25" s="15"/>
      <c r="N25" s="15"/>
      <c r="O25" s="15"/>
      <c r="P25" s="15"/>
      <c r="Q25" s="15"/>
      <c r="R25" s="15"/>
      <c r="S25" s="15"/>
      <c r="T25" s="15"/>
      <c r="U25" s="15"/>
      <c r="V25" s="85">
        <f t="shared" ref="V25:W25" si="15">V$13</f>
        <v>0.7395833333</v>
      </c>
      <c r="W25" s="85">
        <f t="shared" si="15"/>
        <v>0.7673611111</v>
      </c>
      <c r="X25" s="233"/>
      <c r="Y25" s="233"/>
      <c r="Z25" s="206"/>
      <c r="AA25" s="215"/>
      <c r="AB25" s="215"/>
      <c r="AC25" s="215"/>
      <c r="AD25" s="215"/>
      <c r="AE25" s="215"/>
      <c r="AF25" s="215"/>
    </row>
    <row r="26" ht="40.5" hidden="1" customHeight="1">
      <c r="A26" s="173"/>
      <c r="B26" s="15">
        <v>12.0</v>
      </c>
      <c r="C26" s="15"/>
      <c r="D26" s="15"/>
      <c r="E26" s="15"/>
      <c r="F26" s="15"/>
      <c r="G26" s="15"/>
      <c r="H26" s="15"/>
      <c r="I26" s="15"/>
      <c r="J26" s="15"/>
      <c r="K26" s="15"/>
      <c r="L26" s="15"/>
      <c r="M26" s="15"/>
      <c r="N26" s="15"/>
      <c r="O26" s="15"/>
      <c r="P26" s="15"/>
      <c r="Q26" s="15"/>
      <c r="R26" s="15"/>
      <c r="S26" s="15"/>
      <c r="T26" s="15"/>
      <c r="U26" s="15"/>
      <c r="V26" s="234" t="str">
        <f>W$1</f>
        <v/>
      </c>
      <c r="W26" s="4"/>
      <c r="X26" s="209"/>
      <c r="Y26" s="209"/>
      <c r="Z26" s="225"/>
      <c r="AA26" s="215"/>
      <c r="AB26" s="215"/>
      <c r="AC26" s="215"/>
      <c r="AD26" s="215"/>
      <c r="AE26" s="215"/>
      <c r="AF26" s="215"/>
    </row>
    <row r="27" ht="40.5" hidden="1" customHeight="1">
      <c r="A27" s="216" t="s">
        <v>592</v>
      </c>
      <c r="B27" s="15">
        <v>1.0</v>
      </c>
      <c r="C27" s="15"/>
      <c r="D27" s="45" t="s">
        <v>556</v>
      </c>
      <c r="E27" s="13"/>
      <c r="F27" s="45" t="s">
        <v>593</v>
      </c>
      <c r="G27" s="13"/>
      <c r="H27" s="235" t="s">
        <v>594</v>
      </c>
      <c r="I27" s="122" t="s">
        <v>595</v>
      </c>
      <c r="J27" s="13"/>
      <c r="K27" s="45"/>
      <c r="L27" s="13"/>
      <c r="M27" s="127" t="s">
        <v>596</v>
      </c>
      <c r="N27" s="13"/>
      <c r="O27" s="40" t="s">
        <v>597</v>
      </c>
      <c r="P27" s="36"/>
      <c r="Q27" s="36"/>
      <c r="R27" s="13"/>
      <c r="S27" s="165" t="s">
        <v>591</v>
      </c>
      <c r="T27" s="36"/>
      <c r="U27" s="13"/>
      <c r="V27" s="217">
        <f t="shared" ref="V27:W27" si="16">V$3</f>
        <v>0.3784722222</v>
      </c>
      <c r="W27" s="217">
        <f t="shared" si="16"/>
        <v>0.40625</v>
      </c>
      <c r="X27" s="217"/>
      <c r="Y27" s="218"/>
      <c r="Z27" s="219" t="str">
        <f>IFERROR(__xludf.DUMMYFUNCTION("join("","",filter(split(#REF!,"",""),ARRAYFORMULA(ISERROR(FIND(split(#REF!,"",""),CONCATENATE(D27:R27))))=TRUE))"),"#REF!")</f>
        <v>#REF!</v>
      </c>
      <c r="AA27" s="220"/>
      <c r="AB27" s="221"/>
      <c r="AC27" s="215"/>
      <c r="AD27" s="215"/>
      <c r="AE27" s="215"/>
      <c r="AF27" s="215"/>
    </row>
    <row r="28" ht="40.5" hidden="1" customHeight="1">
      <c r="A28" s="222"/>
      <c r="B28" s="15">
        <v>2.0</v>
      </c>
      <c r="C28" s="15"/>
      <c r="D28" s="89" t="s">
        <v>598</v>
      </c>
      <c r="E28" s="13"/>
      <c r="F28" s="40" t="s">
        <v>594</v>
      </c>
      <c r="G28" s="13"/>
      <c r="H28" s="232" t="s">
        <v>599</v>
      </c>
      <c r="I28" s="122" t="s">
        <v>595</v>
      </c>
      <c r="J28" s="13"/>
      <c r="K28" s="40" t="s">
        <v>600</v>
      </c>
      <c r="L28" s="13"/>
      <c r="M28" s="45" t="s">
        <v>519</v>
      </c>
      <c r="N28" s="13"/>
      <c r="O28" s="40" t="s">
        <v>601</v>
      </c>
      <c r="P28" s="13"/>
      <c r="Q28" s="122" t="s">
        <v>576</v>
      </c>
      <c r="R28" s="13"/>
      <c r="S28" s="165" t="s">
        <v>591</v>
      </c>
      <c r="T28" s="36"/>
      <c r="U28" s="13"/>
      <c r="V28" s="85">
        <f t="shared" ref="V28:W28" si="17">V$4</f>
        <v>0.4097222222</v>
      </c>
      <c r="W28" s="85">
        <f t="shared" si="17"/>
        <v>0.4375</v>
      </c>
      <c r="X28" s="85"/>
      <c r="Y28" s="206"/>
      <c r="Z28" s="15" t="str">
        <f>IFERROR(__xludf.DUMMYFUNCTION("join("","",filter(split(#REF!,"",""),ARRAYFORMULA(ISERROR(FIND(split(#REF!,"",""),CONCATENATE(D28:R28))))=TRUE))"),"#REF!")</f>
        <v>#REF!</v>
      </c>
      <c r="AA28" s="215"/>
      <c r="AB28" s="223"/>
      <c r="AC28" s="215"/>
      <c r="AD28" s="215"/>
      <c r="AE28" s="215"/>
      <c r="AF28" s="215"/>
    </row>
    <row r="29" ht="40.5" hidden="1" customHeight="1">
      <c r="A29" s="222"/>
      <c r="B29" s="15">
        <v>3.0</v>
      </c>
      <c r="C29" s="15"/>
      <c r="D29" s="45" t="s">
        <v>556</v>
      </c>
      <c r="E29" s="13"/>
      <c r="F29" s="89" t="s">
        <v>598</v>
      </c>
      <c r="G29" s="36"/>
      <c r="H29" s="13"/>
      <c r="I29" s="40" t="s">
        <v>602</v>
      </c>
      <c r="J29" s="13"/>
      <c r="K29" s="45" t="s">
        <v>593</v>
      </c>
      <c r="L29" s="13"/>
      <c r="M29" s="40" t="s">
        <v>603</v>
      </c>
      <c r="N29" s="13"/>
      <c r="O29" s="40" t="s">
        <v>601</v>
      </c>
      <c r="P29" s="13"/>
      <c r="Q29" s="89" t="s">
        <v>520</v>
      </c>
      <c r="R29" s="13"/>
      <c r="S29" s="163" t="s">
        <v>521</v>
      </c>
      <c r="T29" s="36"/>
      <c r="U29" s="13"/>
      <c r="V29" s="85">
        <f t="shared" ref="V29:W29" si="18">V$5</f>
        <v>0.4409722222</v>
      </c>
      <c r="W29" s="85">
        <f t="shared" si="18"/>
        <v>0.46875</v>
      </c>
      <c r="X29" s="85"/>
      <c r="Y29" s="85" t="str">
        <f>Y$5</f>
        <v/>
      </c>
      <c r="Z29" s="15" t="str">
        <f>IFERROR(__xludf.DUMMYFUNCTION("join("","",filter(split(#REF!,"",""),ARRAYFORMULA(ISERROR(FIND(split(#REF!,"",""),CONCATENATE(D29:R29))))=TRUE))"),"#REF!")</f>
        <v>#REF!</v>
      </c>
      <c r="AA29" s="215"/>
      <c r="AB29" s="223"/>
      <c r="AC29" s="215"/>
      <c r="AD29" s="215"/>
      <c r="AE29" s="215"/>
      <c r="AF29" s="215"/>
    </row>
    <row r="30" ht="40.5" hidden="1" customHeight="1">
      <c r="A30" s="222"/>
      <c r="B30" s="15">
        <v>4.0</v>
      </c>
      <c r="C30" s="15"/>
      <c r="D30" s="44" t="s">
        <v>500</v>
      </c>
      <c r="E30" s="177" t="s">
        <v>594</v>
      </c>
      <c r="F30" s="45" t="s">
        <v>519</v>
      </c>
      <c r="G30" s="13"/>
      <c r="H30" s="132" t="s">
        <v>564</v>
      </c>
      <c r="I30" s="40" t="s">
        <v>597</v>
      </c>
      <c r="J30" s="13"/>
      <c r="K30" s="45" t="s">
        <v>556</v>
      </c>
      <c r="L30" s="13"/>
      <c r="M30" s="40" t="s">
        <v>603</v>
      </c>
      <c r="N30" s="13"/>
      <c r="O30" s="132" t="s">
        <v>502</v>
      </c>
      <c r="P30" s="124" t="s">
        <v>576</v>
      </c>
      <c r="Q30" s="132" t="s">
        <v>604</v>
      </c>
      <c r="R30" s="132"/>
      <c r="S30" s="163" t="s">
        <v>521</v>
      </c>
      <c r="T30" s="36"/>
      <c r="U30" s="13"/>
      <c r="V30" s="85">
        <f t="shared" ref="V30:W30" si="19">V$6</f>
        <v>0.4826388889</v>
      </c>
      <c r="W30" s="85">
        <f t="shared" si="19"/>
        <v>0.5104166667</v>
      </c>
      <c r="X30" s="85"/>
      <c r="Y30" s="85" t="str">
        <f>Y$6</f>
        <v/>
      </c>
      <c r="Z30" s="15" t="str">
        <f>IFERROR(__xludf.DUMMYFUNCTION("join("","",filter(split(#REF!,"",""),ARRAYFORMULA(ISERROR(FIND(split(#REF!,"",""),CONCATENATE(D30:R30))))=TRUE))"),"#REF!")</f>
        <v>#REF!</v>
      </c>
      <c r="AA30" s="215"/>
      <c r="AB30" s="223"/>
      <c r="AC30" s="215"/>
      <c r="AD30" s="215"/>
      <c r="AE30" s="215"/>
      <c r="AF30" s="215"/>
    </row>
    <row r="31" ht="40.5" hidden="1" customHeight="1">
      <c r="A31" s="222"/>
      <c r="B31" s="15">
        <v>5.0</v>
      </c>
      <c r="C31" s="15"/>
      <c r="D31" s="44" t="s">
        <v>500</v>
      </c>
      <c r="E31" s="177" t="s">
        <v>594</v>
      </c>
      <c r="F31" s="45" t="s">
        <v>519</v>
      </c>
      <c r="G31" s="13"/>
      <c r="H31" s="132" t="s">
        <v>564</v>
      </c>
      <c r="I31" s="45" t="s">
        <v>593</v>
      </c>
      <c r="J31" s="13"/>
      <c r="K31" s="45" t="s">
        <v>556</v>
      </c>
      <c r="L31" s="13"/>
      <c r="M31" s="40" t="s">
        <v>597</v>
      </c>
      <c r="N31" s="13"/>
      <c r="O31" s="132" t="s">
        <v>502</v>
      </c>
      <c r="P31" s="124" t="s">
        <v>576</v>
      </c>
      <c r="Q31" s="132" t="s">
        <v>605</v>
      </c>
      <c r="R31" s="144"/>
      <c r="S31" s="167" t="s">
        <v>606</v>
      </c>
      <c r="T31" s="8"/>
      <c r="U31" s="4"/>
      <c r="V31" s="85">
        <f t="shared" ref="V31:W31" si="20">V$7</f>
        <v>0.5138888889</v>
      </c>
      <c r="W31" s="85">
        <f t="shared" si="20"/>
        <v>0.5416666667</v>
      </c>
      <c r="X31" s="85"/>
      <c r="Y31" s="85" t="str">
        <f>Y$7</f>
        <v/>
      </c>
      <c r="Z31" s="15" t="str">
        <f>IFERROR(__xludf.DUMMYFUNCTION("join("","",filter(split(#REF!,"",""),ARRAYFORMULA(ISERROR(FIND(split(#REF!,"",""),CONCATENATE(D31:R31))))=TRUE))"),"#REF!")</f>
        <v>#REF!</v>
      </c>
      <c r="AA31" s="215"/>
      <c r="AB31" s="223"/>
      <c r="AC31" s="215"/>
      <c r="AD31" s="215"/>
      <c r="AE31" s="215"/>
      <c r="AF31" s="215"/>
    </row>
    <row r="32" ht="40.5" hidden="1" customHeight="1">
      <c r="A32" s="222"/>
      <c r="B32" s="15">
        <v>6.0</v>
      </c>
      <c r="C32" s="15"/>
      <c r="D32" s="236" t="s">
        <v>594</v>
      </c>
      <c r="E32" s="44" t="s">
        <v>500</v>
      </c>
      <c r="F32" s="40" t="s">
        <v>564</v>
      </c>
      <c r="G32" s="13"/>
      <c r="H32" s="44" t="s">
        <v>519</v>
      </c>
      <c r="I32" s="45" t="s">
        <v>593</v>
      </c>
      <c r="J32" s="13"/>
      <c r="K32" s="40" t="s">
        <v>597</v>
      </c>
      <c r="L32" s="13"/>
      <c r="M32" s="130" t="s">
        <v>521</v>
      </c>
      <c r="N32" s="13"/>
      <c r="O32" s="124" t="s">
        <v>576</v>
      </c>
      <c r="P32" s="132" t="s">
        <v>502</v>
      </c>
      <c r="Q32" s="45" t="s">
        <v>603</v>
      </c>
      <c r="R32" s="13"/>
      <c r="S32" s="224"/>
      <c r="U32" s="139"/>
      <c r="V32" s="85">
        <f t="shared" ref="V32:W32" si="21">V$8</f>
        <v>0.5451388889</v>
      </c>
      <c r="W32" s="85">
        <f t="shared" si="21"/>
        <v>0.5729166667</v>
      </c>
      <c r="X32" s="85"/>
      <c r="Y32" s="85" t="str">
        <f>Y$8</f>
        <v/>
      </c>
      <c r="Z32" s="15" t="str">
        <f>IFERROR(__xludf.DUMMYFUNCTION("join("","",filter(split(#REF!,"",""),ARRAYFORMULA(ISERROR(FIND(split(#REF!,"",""),CONCATENATE(D32:Q32))))=TRUE))"),"#REF!")</f>
        <v>#REF!</v>
      </c>
      <c r="AA32" s="215"/>
      <c r="AB32" s="223"/>
      <c r="AC32" s="215"/>
      <c r="AD32" s="215"/>
      <c r="AE32" s="215"/>
      <c r="AF32" s="215"/>
    </row>
    <row r="33" ht="40.5" hidden="1" customHeight="1">
      <c r="A33" s="222"/>
      <c r="B33" s="15">
        <v>7.0</v>
      </c>
      <c r="C33" s="15"/>
      <c r="D33" s="236" t="s">
        <v>594</v>
      </c>
      <c r="E33" s="44" t="s">
        <v>500</v>
      </c>
      <c r="F33" s="40" t="s">
        <v>564</v>
      </c>
      <c r="G33" s="13"/>
      <c r="H33" s="44" t="s">
        <v>519</v>
      </c>
      <c r="I33" s="45" t="s">
        <v>556</v>
      </c>
      <c r="J33" s="13"/>
      <c r="K33" s="45" t="s">
        <v>593</v>
      </c>
      <c r="L33" s="13"/>
      <c r="M33" s="130" t="s">
        <v>521</v>
      </c>
      <c r="N33" s="13"/>
      <c r="O33" s="124" t="s">
        <v>576</v>
      </c>
      <c r="P33" s="132" t="s">
        <v>502</v>
      </c>
      <c r="Q33" s="45" t="s">
        <v>603</v>
      </c>
      <c r="R33" s="13"/>
      <c r="S33" s="224"/>
      <c r="U33" s="139"/>
      <c r="V33" s="85">
        <f t="shared" ref="V33:W33" si="22">V$9</f>
        <v>0.6076388889</v>
      </c>
      <c r="W33" s="85">
        <f t="shared" si="22"/>
        <v>0.6354166667</v>
      </c>
      <c r="X33" s="85"/>
      <c r="Y33" s="85" t="str">
        <f>Y$9</f>
        <v/>
      </c>
      <c r="Z33" s="15" t="str">
        <f>IFERROR(__xludf.DUMMYFUNCTION("join("","",filter(split(#REF!,"",""),ARRAYFORMULA(ISERROR(FIND(split(#REF!,"",""),CONCATENATE(D33:P33))))=TRUE))"),"#REF!")</f>
        <v>#REF!</v>
      </c>
      <c r="AA33" s="215"/>
      <c r="AB33" s="223"/>
      <c r="AC33" s="215"/>
      <c r="AD33" s="215"/>
      <c r="AE33" s="215"/>
      <c r="AF33" s="215"/>
    </row>
    <row r="34" ht="40.5" hidden="1" customHeight="1">
      <c r="A34" s="222"/>
      <c r="B34" s="15">
        <v>8.0</v>
      </c>
      <c r="C34" s="15"/>
      <c r="D34" s="165" t="s">
        <v>607</v>
      </c>
      <c r="E34" s="13"/>
      <c r="F34" s="237"/>
      <c r="G34" s="237"/>
      <c r="H34" s="132"/>
      <c r="I34" s="45" t="s">
        <v>556</v>
      </c>
      <c r="J34" s="13"/>
      <c r="K34" s="144"/>
      <c r="L34" s="144"/>
      <c r="M34" s="45" t="s">
        <v>555</v>
      </c>
      <c r="N34" s="13"/>
      <c r="O34" s="45" t="s">
        <v>608</v>
      </c>
      <c r="P34" s="13"/>
      <c r="Q34" s="144"/>
      <c r="R34" s="132" t="s">
        <v>609</v>
      </c>
      <c r="S34" s="104"/>
      <c r="T34" s="64"/>
      <c r="U34" s="72"/>
      <c r="V34" s="85">
        <f t="shared" ref="V34:W34" si="23">V$10</f>
        <v>0.6388888889</v>
      </c>
      <c r="W34" s="85">
        <f t="shared" si="23"/>
        <v>0.6666666667</v>
      </c>
      <c r="X34" s="85"/>
      <c r="Y34" s="206"/>
      <c r="Z34" s="15" t="str">
        <f>IFERROR(__xludf.DUMMYFUNCTION("join("","",filter(split(#REF!,"",""),ARRAYFORMULA(ISERROR(FIND(split(#REF!,"",""),CONCATENATE(D34:P34))))=TRUE))"),"#REF!")</f>
        <v>#REF!</v>
      </c>
      <c r="AA34" s="215"/>
      <c r="AB34" s="223"/>
      <c r="AC34" s="215"/>
      <c r="AD34" s="215"/>
      <c r="AE34" s="215"/>
      <c r="AF34" s="215"/>
    </row>
    <row r="35" ht="40.5" hidden="1" customHeight="1">
      <c r="A35" s="222"/>
      <c r="B35" s="15">
        <v>9.0</v>
      </c>
      <c r="C35" s="15"/>
      <c r="D35" s="15"/>
      <c r="E35" s="15"/>
      <c r="F35" s="144"/>
      <c r="G35" s="144"/>
      <c r="H35" s="144"/>
      <c r="I35" s="144"/>
      <c r="J35" s="144"/>
      <c r="K35" s="144"/>
      <c r="L35" s="144"/>
      <c r="M35" s="45" t="s">
        <v>555</v>
      </c>
      <c r="N35" s="13"/>
      <c r="O35" s="45" t="s">
        <v>608</v>
      </c>
      <c r="P35" s="13"/>
      <c r="Q35" s="144"/>
      <c r="R35" s="132" t="s">
        <v>610</v>
      </c>
      <c r="S35" s="15"/>
      <c r="T35" s="206"/>
      <c r="U35" s="15"/>
      <c r="V35" s="85">
        <f t="shared" ref="V35:W35" si="24">V$11</f>
        <v>0.6770833333</v>
      </c>
      <c r="W35" s="85">
        <f t="shared" si="24"/>
        <v>0.7048611111</v>
      </c>
      <c r="X35" s="85"/>
      <c r="Y35" s="206"/>
      <c r="Z35" s="15" t="str">
        <f>IFERROR(__xludf.DUMMYFUNCTION("join("","",filter(split(#REF!,"",""),ARRAYFORMULA(ISERROR(FIND(split(#REF!,"",""),CONCATENATE(D35:R35))))=TRUE))"),"#REF!")</f>
        <v>#REF!</v>
      </c>
      <c r="AA35" s="215"/>
      <c r="AB35" s="223"/>
      <c r="AC35" s="215"/>
      <c r="AD35" s="215"/>
      <c r="AE35" s="215"/>
      <c r="AF35" s="215"/>
    </row>
    <row r="36" ht="40.5" hidden="1" customHeight="1">
      <c r="A36" s="173"/>
      <c r="B36" s="225">
        <v>10.0</v>
      </c>
      <c r="C36" s="225"/>
      <c r="D36" s="225"/>
      <c r="E36" s="225"/>
      <c r="F36" s="238"/>
      <c r="G36" s="238"/>
      <c r="H36" s="238"/>
      <c r="I36" s="238"/>
      <c r="J36" s="238"/>
      <c r="K36" s="238"/>
      <c r="L36" s="238"/>
      <c r="M36" s="238"/>
      <c r="N36" s="238"/>
      <c r="O36" s="225"/>
      <c r="P36" s="225"/>
      <c r="Q36" s="225"/>
      <c r="R36" s="238"/>
      <c r="S36" s="225"/>
      <c r="T36" s="209"/>
      <c r="U36" s="225"/>
      <c r="V36" s="239">
        <f t="shared" ref="V36:W36" si="25">V$12</f>
        <v>0.7083333333</v>
      </c>
      <c r="W36" s="239">
        <f t="shared" si="25"/>
        <v>0.7361111111</v>
      </c>
      <c r="X36" s="239"/>
      <c r="Y36" s="155"/>
      <c r="Z36" s="155"/>
      <c r="AA36" s="155"/>
      <c r="AB36" s="228"/>
      <c r="AC36" s="215"/>
      <c r="AD36" s="215"/>
      <c r="AE36" s="215"/>
      <c r="AF36" s="215"/>
    </row>
    <row r="37" ht="40.5" hidden="1" customHeight="1">
      <c r="A37" s="18">
        <v>44805.0</v>
      </c>
      <c r="B37" s="219">
        <v>1.0</v>
      </c>
      <c r="C37" s="219"/>
      <c r="D37" s="240" t="s">
        <v>611</v>
      </c>
      <c r="E37" s="24"/>
      <c r="F37" s="24"/>
      <c r="G37" s="24"/>
      <c r="H37" s="24"/>
      <c r="I37" s="24"/>
      <c r="J37" s="24"/>
      <c r="K37" s="24"/>
      <c r="L37" s="24"/>
      <c r="M37" s="24"/>
      <c r="N37" s="24"/>
      <c r="O37" s="24"/>
      <c r="P37" s="24"/>
      <c r="Q37" s="24"/>
      <c r="R37" s="24"/>
      <c r="S37" s="24"/>
      <c r="T37" s="24"/>
      <c r="U37" s="22"/>
      <c r="V37" s="43" t="s">
        <v>612</v>
      </c>
      <c r="W37" s="229"/>
      <c r="X37" s="229"/>
      <c r="Y37" s="241"/>
      <c r="Z37" s="193" t="str">
        <f>IFERROR(__xludf.DUMMYFUNCTION("join("","",filter(split($G$82,"",""),ARRAYFORMULA(ISERROR(FIND(split($G$82,"",""),CONCATENATE(D37:U37))))=TRUE))"),"СЗ,КЗ,201,202,206,209,210,401,402,403,404,405,406,408,409,410,АЗ")</f>
        <v>СЗ,КЗ,201,202,206,209,210,401,402,403,404,405,406,408,409,410,АЗ</v>
      </c>
      <c r="AA37" s="215"/>
      <c r="AB37" s="215"/>
      <c r="AC37" s="215"/>
      <c r="AD37" s="215"/>
      <c r="AE37" s="215"/>
      <c r="AF37" s="215"/>
    </row>
    <row r="38" ht="40.5" hidden="1" customHeight="1">
      <c r="A38" s="30"/>
      <c r="B38" s="15">
        <v>2.0</v>
      </c>
      <c r="C38" s="15"/>
      <c r="D38" s="242" t="s">
        <v>613</v>
      </c>
      <c r="E38" s="8"/>
      <c r="F38" s="8"/>
      <c r="G38" s="8"/>
      <c r="H38" s="8"/>
      <c r="I38" s="8"/>
      <c r="J38" s="8"/>
      <c r="K38" s="8"/>
      <c r="L38" s="8"/>
      <c r="M38" s="8"/>
      <c r="N38" s="8"/>
      <c r="O38" s="8"/>
      <c r="P38" s="8"/>
      <c r="Q38" s="8"/>
      <c r="R38" s="8"/>
      <c r="S38" s="8"/>
      <c r="T38" s="8"/>
      <c r="U38" s="129"/>
      <c r="V38" s="243"/>
      <c r="W38" s="85"/>
      <c r="X38" s="85"/>
      <c r="Y38" s="206"/>
      <c r="Z38" s="193" t="str">
        <f>IFERROR(__xludf.DUMMYFUNCTION("join("","",filter(split($G$82,"",""),ARRAYFORMULA(ISERROR(FIND(split($G$82,"",""),CONCATENATE(D38:U38))))=TRUE))"),"СЗ,КЗ,201,202,206,209,210,401,402,403,404,405,406,408,409,410")</f>
        <v>СЗ,КЗ,201,202,206,209,210,401,402,403,404,405,406,408,409,410</v>
      </c>
      <c r="AA38" s="215"/>
      <c r="AB38" s="215"/>
      <c r="AC38" s="215"/>
      <c r="AD38" s="215"/>
      <c r="AE38" s="215"/>
      <c r="AF38" s="215"/>
    </row>
    <row r="39" ht="40.5" hidden="1" customHeight="1">
      <c r="A39" s="30"/>
      <c r="B39" s="15">
        <v>3.0</v>
      </c>
      <c r="C39" s="197"/>
      <c r="D39" s="244" t="s">
        <v>614</v>
      </c>
      <c r="E39" s="245"/>
      <c r="F39" s="246" t="s">
        <v>615</v>
      </c>
      <c r="G39" s="247"/>
      <c r="H39" s="245"/>
      <c r="I39" s="246" t="s">
        <v>616</v>
      </c>
      <c r="J39" s="247"/>
      <c r="K39" s="247"/>
      <c r="L39" s="245"/>
      <c r="M39" s="246" t="s">
        <v>617</v>
      </c>
      <c r="N39" s="245"/>
      <c r="O39" s="248" t="s">
        <v>618</v>
      </c>
      <c r="P39" s="245"/>
      <c r="Q39" s="246" t="s">
        <v>619</v>
      </c>
      <c r="R39" s="245"/>
      <c r="S39" s="249" t="s">
        <v>620</v>
      </c>
      <c r="T39" s="247"/>
      <c r="U39" s="6"/>
      <c r="V39" s="243"/>
      <c r="W39" s="85"/>
      <c r="X39" s="85"/>
      <c r="Y39" s="85" t="str">
        <f>Y$5</f>
        <v/>
      </c>
      <c r="Z39" s="193" t="str">
        <f>IFERROR(__xludf.DUMMYFUNCTION("join("","",filter(split($G$82,"",""),ARRAYFORMULA(ISERROR(FIND(split($G$82,"",""),CONCATENATE(D39:U39))))=TRUE))"),"СЗ,КЗ,202,402,403,404,405,406,408,409,410")</f>
        <v>СЗ,КЗ,202,402,403,404,405,406,408,409,410</v>
      </c>
      <c r="AA39" s="215"/>
      <c r="AB39" s="215"/>
      <c r="AC39" s="215"/>
      <c r="AD39" s="215"/>
      <c r="AE39" s="215"/>
      <c r="AF39" s="215"/>
    </row>
    <row r="40" ht="40.5" hidden="1" customHeight="1">
      <c r="A40" s="30"/>
      <c r="B40" s="15">
        <v>4.0</v>
      </c>
      <c r="C40" s="197"/>
      <c r="D40" s="142"/>
      <c r="E40" s="72"/>
      <c r="F40" s="104"/>
      <c r="G40" s="64"/>
      <c r="H40" s="72"/>
      <c r="I40" s="104"/>
      <c r="J40" s="64"/>
      <c r="K40" s="64"/>
      <c r="L40" s="72"/>
      <c r="M40" s="104"/>
      <c r="N40" s="72"/>
      <c r="O40" s="104"/>
      <c r="P40" s="72"/>
      <c r="Q40" s="104"/>
      <c r="R40" s="72"/>
      <c r="S40" s="104"/>
      <c r="T40" s="64"/>
      <c r="U40" s="88"/>
      <c r="V40" s="243"/>
      <c r="W40" s="85"/>
      <c r="X40" s="85"/>
      <c r="Y40" s="85" t="str">
        <f>Y$6</f>
        <v/>
      </c>
      <c r="Z40" s="193" t="str">
        <f>IFERROR(__xludf.DUMMYFUNCTION("join("","",filter(split($G$82,"",""),ARRAYFORMULA(ISERROR(FIND(split($G$82,"",""),CONCATENATE(D40:U40))))=TRUE))"),"СЗ,КЗ,201,202,206,209,210,401,402,403,404,405,406,408,409,410,АЗ")</f>
        <v>СЗ,КЗ,201,202,206,209,210,401,402,403,404,405,406,408,409,410,АЗ</v>
      </c>
      <c r="AA40" s="215"/>
      <c r="AB40" s="215"/>
      <c r="AC40" s="215"/>
      <c r="AD40" s="215"/>
      <c r="AE40" s="215"/>
      <c r="AF40" s="215"/>
    </row>
    <row r="41" ht="40.5" hidden="1" customHeight="1">
      <c r="A41" s="30"/>
      <c r="B41" s="15">
        <v>5.0</v>
      </c>
      <c r="C41" s="197"/>
      <c r="D41" s="37" t="s">
        <v>621</v>
      </c>
      <c r="E41" s="13"/>
      <c r="F41" s="44" t="s">
        <v>622</v>
      </c>
      <c r="G41" s="250" t="s">
        <v>623</v>
      </c>
      <c r="H41" s="13"/>
      <c r="I41" s="45" t="s">
        <v>624</v>
      </c>
      <c r="J41" s="13"/>
      <c r="K41" s="45" t="s">
        <v>625</v>
      </c>
      <c r="L41" s="13"/>
      <c r="M41" s="44" t="s">
        <v>626</v>
      </c>
      <c r="N41" s="44" t="s">
        <v>627</v>
      </c>
      <c r="O41" s="44" t="s">
        <v>628</v>
      </c>
      <c r="P41" s="44" t="s">
        <v>629</v>
      </c>
      <c r="Q41" s="44" t="s">
        <v>630</v>
      </c>
      <c r="R41" s="132" t="s">
        <v>631</v>
      </c>
      <c r="S41" s="44" t="s">
        <v>632</v>
      </c>
      <c r="T41" s="45" t="s">
        <v>633</v>
      </c>
      <c r="U41" s="41"/>
      <c r="V41" s="43" t="s">
        <v>58</v>
      </c>
      <c r="W41" s="251">
        <v>44847.0</v>
      </c>
      <c r="X41" s="85"/>
      <c r="Y41" s="85" t="str">
        <f>Y$7</f>
        <v/>
      </c>
      <c r="Z41" s="193" t="str">
        <f>IFERROR(__xludf.DUMMYFUNCTION("join("","",filter(split($G$82,"",""),ARRAYFORMULA(ISERROR(FIND(split($G$82,"",""),CONCATENATE(D41:U41))))=TRUE))"),"СЗ,КЗ,403,404,406")</f>
        <v>СЗ,КЗ,403,404,406</v>
      </c>
      <c r="AA41" s="215"/>
      <c r="AB41" s="215"/>
      <c r="AC41" s="215"/>
      <c r="AD41" s="215"/>
      <c r="AE41" s="215"/>
      <c r="AF41" s="215"/>
    </row>
    <row r="42" ht="40.5" hidden="1" customHeight="1">
      <c r="A42" s="74"/>
      <c r="B42" s="111">
        <v>6.0</v>
      </c>
      <c r="C42" s="226"/>
      <c r="D42" s="252" t="s">
        <v>621</v>
      </c>
      <c r="E42" s="227"/>
      <c r="F42" s="253" t="s">
        <v>634</v>
      </c>
      <c r="G42" s="254" t="s">
        <v>635</v>
      </c>
      <c r="H42" s="227"/>
      <c r="I42" s="254" t="s">
        <v>636</v>
      </c>
      <c r="J42" s="227"/>
      <c r="K42" s="254" t="s">
        <v>637</v>
      </c>
      <c r="L42" s="227"/>
      <c r="M42" s="76" t="s">
        <v>638</v>
      </c>
      <c r="N42" s="76" t="s">
        <v>639</v>
      </c>
      <c r="O42" s="76" t="s">
        <v>640</v>
      </c>
      <c r="P42" s="76" t="s">
        <v>641</v>
      </c>
      <c r="Q42" s="255" t="s">
        <v>642</v>
      </c>
      <c r="R42" s="76" t="s">
        <v>643</v>
      </c>
      <c r="S42" s="76" t="s">
        <v>644</v>
      </c>
      <c r="T42" s="254" t="s">
        <v>645</v>
      </c>
      <c r="U42" s="67"/>
      <c r="V42" s="43" t="s">
        <v>646</v>
      </c>
      <c r="W42" s="44" t="s">
        <v>647</v>
      </c>
      <c r="X42" s="85"/>
      <c r="Y42" s="85" t="str">
        <f>Y$8</f>
        <v/>
      </c>
      <c r="Z42" s="193" t="str">
        <f>IFERROR(__xludf.DUMMYFUNCTION("join("","",filter(split($G$82,"",""),ARRAYFORMULA(ISERROR(FIND(split($G$82,"",""),CONCATENATE(D42:U42))))=TRUE))"),"СЗ,КЗ,403,404,406")</f>
        <v>СЗ,КЗ,403,404,406</v>
      </c>
      <c r="AA42" s="215"/>
      <c r="AB42" s="215"/>
      <c r="AC42" s="215"/>
      <c r="AD42" s="215"/>
      <c r="AE42" s="215"/>
      <c r="AF42" s="215"/>
    </row>
    <row r="43" ht="40.5" hidden="1" customHeight="1">
      <c r="A43" s="256" t="s">
        <v>648</v>
      </c>
      <c r="B43" s="193">
        <v>1.0</v>
      </c>
      <c r="C43" s="192"/>
      <c r="D43" s="257" t="s">
        <v>510</v>
      </c>
      <c r="E43" s="258" t="s">
        <v>499</v>
      </c>
      <c r="F43" s="195" t="s">
        <v>593</v>
      </c>
      <c r="G43" s="72"/>
      <c r="H43" s="258" t="s">
        <v>530</v>
      </c>
      <c r="I43" s="195" t="s">
        <v>594</v>
      </c>
      <c r="J43" s="72"/>
      <c r="K43" s="195" t="s">
        <v>649</v>
      </c>
      <c r="L43" s="72"/>
      <c r="M43" s="258" t="s">
        <v>650</v>
      </c>
      <c r="N43" s="258" t="s">
        <v>651</v>
      </c>
      <c r="O43" s="258" t="s">
        <v>531</v>
      </c>
      <c r="P43" s="259"/>
      <c r="Q43" s="195" t="s">
        <v>652</v>
      </c>
      <c r="R43" s="72"/>
      <c r="S43" s="195" t="s">
        <v>581</v>
      </c>
      <c r="T43" s="64"/>
      <c r="U43" s="88"/>
      <c r="V43" s="260">
        <f t="shared" ref="V43:W43" si="26">V$3</f>
        <v>0.3784722222</v>
      </c>
      <c r="W43" s="217">
        <f t="shared" si="26"/>
        <v>0.40625</v>
      </c>
      <c r="X43" s="217"/>
      <c r="Y43" s="218"/>
      <c r="Z43" s="193" t="str">
        <f>IFERROR(__xludf.DUMMYFUNCTION("join("","",filter(split($G$82,"",""),ARRAYFORMULA(ISERROR(FIND(split($G$82,"",""),CONCATENATE(D43:U43))))=TRUE))"),"СЗ,КЗ,201,202,206,209,210,401,402,403,406,408,409,410")</f>
        <v>СЗ,КЗ,201,202,206,209,210,401,402,403,406,408,409,410</v>
      </c>
      <c r="AA43" s="220"/>
      <c r="AB43" s="220"/>
      <c r="AC43" s="215"/>
      <c r="AD43" s="215"/>
      <c r="AE43" s="215"/>
      <c r="AF43" s="215"/>
    </row>
    <row r="44" ht="40.5" hidden="1" customHeight="1">
      <c r="A44" s="222"/>
      <c r="B44" s="15">
        <v>2.0</v>
      </c>
      <c r="C44" s="197"/>
      <c r="D44" s="33" t="s">
        <v>510</v>
      </c>
      <c r="E44" s="44" t="s">
        <v>499</v>
      </c>
      <c r="F44" s="45" t="s">
        <v>593</v>
      </c>
      <c r="G44" s="13"/>
      <c r="H44" s="44" t="s">
        <v>530</v>
      </c>
      <c r="I44" s="45" t="s">
        <v>594</v>
      </c>
      <c r="J44" s="13"/>
      <c r="K44" s="45" t="s">
        <v>649</v>
      </c>
      <c r="L44" s="13"/>
      <c r="M44" s="44" t="s">
        <v>653</v>
      </c>
      <c r="N44" s="44" t="s">
        <v>654</v>
      </c>
      <c r="O44" s="44" t="s">
        <v>531</v>
      </c>
      <c r="P44" s="144"/>
      <c r="Q44" s="44" t="s">
        <v>504</v>
      </c>
      <c r="R44" s="232" t="s">
        <v>655</v>
      </c>
      <c r="S44" s="45" t="s">
        <v>556</v>
      </c>
      <c r="T44" s="36"/>
      <c r="U44" s="41"/>
      <c r="V44" s="243">
        <f t="shared" ref="V44:W44" si="27">V$4</f>
        <v>0.4097222222</v>
      </c>
      <c r="W44" s="85">
        <f t="shared" si="27"/>
        <v>0.4375</v>
      </c>
      <c r="X44" s="85"/>
      <c r="Y44" s="206"/>
      <c r="Z44" s="193" t="str">
        <f>IFERROR(__xludf.DUMMYFUNCTION("join("","",filter(split($G$82,"",""),ARRAYFORMULA(ISERROR(FIND(split($G$82,"",""),CONCATENATE(D44:U44))))=TRUE))"),"СЗ,КЗ,201,202,206,209,210,401,402,403,406,408,409,410")</f>
        <v>СЗ,КЗ,201,202,206,209,210,401,402,403,406,408,409,410</v>
      </c>
      <c r="AA44" s="215"/>
      <c r="AB44" s="215"/>
      <c r="AC44" s="215"/>
      <c r="AD44" s="215"/>
      <c r="AE44" s="215"/>
      <c r="AF44" s="215"/>
    </row>
    <row r="45" ht="40.5" hidden="1" customHeight="1">
      <c r="A45" s="222"/>
      <c r="B45" s="15">
        <v>3.0</v>
      </c>
      <c r="C45" s="197"/>
      <c r="D45" s="37" t="s">
        <v>594</v>
      </c>
      <c r="E45" s="13"/>
      <c r="F45" s="176" t="s">
        <v>656</v>
      </c>
      <c r="G45" s="4"/>
      <c r="H45" s="232" t="s">
        <v>599</v>
      </c>
      <c r="I45" s="44" t="s">
        <v>510</v>
      </c>
      <c r="J45" s="44" t="s">
        <v>499</v>
      </c>
      <c r="K45" s="44" t="s">
        <v>657</v>
      </c>
      <c r="L45" s="44" t="s">
        <v>658</v>
      </c>
      <c r="M45" s="45" t="s">
        <v>649</v>
      </c>
      <c r="N45" s="13"/>
      <c r="O45" s="181" t="s">
        <v>532</v>
      </c>
      <c r="P45" s="44" t="s">
        <v>531</v>
      </c>
      <c r="Q45" s="44" t="s">
        <v>504</v>
      </c>
      <c r="R45" s="232" t="s">
        <v>655</v>
      </c>
      <c r="S45" s="45" t="s">
        <v>556</v>
      </c>
      <c r="T45" s="36"/>
      <c r="U45" s="41"/>
      <c r="V45" s="243">
        <f t="shared" ref="V45:W45" si="28">V$5</f>
        <v>0.4409722222</v>
      </c>
      <c r="W45" s="85">
        <f t="shared" si="28"/>
        <v>0.46875</v>
      </c>
      <c r="X45" s="85"/>
      <c r="Y45" s="85" t="str">
        <f>Y$5</f>
        <v/>
      </c>
      <c r="Z45" s="193" t="str">
        <f>IFERROR(__xludf.DUMMYFUNCTION("join("","",filter(split($G$82,"",""),ARRAYFORMULA(ISERROR(FIND(split($G$82,"",""),CONCATENATE(D45:U45))))=TRUE))"),"СЗ,КЗ,201,202,206,209,210,401,402,403,406,408,409,410")</f>
        <v>СЗ,КЗ,201,202,206,209,210,401,402,403,406,408,409,410</v>
      </c>
      <c r="AA45" s="215"/>
      <c r="AB45" s="215"/>
      <c r="AC45" s="215"/>
      <c r="AD45" s="215"/>
      <c r="AE45" s="215"/>
      <c r="AF45" s="215"/>
    </row>
    <row r="46" ht="40.5" hidden="1" customHeight="1">
      <c r="A46" s="222"/>
      <c r="B46" s="15">
        <v>4.0</v>
      </c>
      <c r="C46" s="197"/>
      <c r="D46" s="37" t="s">
        <v>594</v>
      </c>
      <c r="E46" s="13"/>
      <c r="F46" s="104"/>
      <c r="G46" s="72"/>
      <c r="H46" s="232" t="s">
        <v>599</v>
      </c>
      <c r="I46" s="44" t="s">
        <v>510</v>
      </c>
      <c r="J46" s="44" t="s">
        <v>499</v>
      </c>
      <c r="K46" s="44" t="s">
        <v>659</v>
      </c>
      <c r="L46" s="44" t="s">
        <v>660</v>
      </c>
      <c r="M46" s="45" t="s">
        <v>649</v>
      </c>
      <c r="N46" s="13"/>
      <c r="O46" s="181" t="s">
        <v>532</v>
      </c>
      <c r="P46" s="44" t="s">
        <v>531</v>
      </c>
      <c r="Q46" s="261" t="s">
        <v>661</v>
      </c>
      <c r="R46" s="44" t="s">
        <v>581</v>
      </c>
      <c r="S46" s="45" t="s">
        <v>504</v>
      </c>
      <c r="T46" s="36"/>
      <c r="U46" s="41"/>
      <c r="V46" s="243">
        <f t="shared" ref="V46:W46" si="29">V$6</f>
        <v>0.4826388889</v>
      </c>
      <c r="W46" s="85">
        <f t="shared" si="29"/>
        <v>0.5104166667</v>
      </c>
      <c r="X46" s="85"/>
      <c r="Y46" s="85" t="str">
        <f>Y$6</f>
        <v/>
      </c>
      <c r="Z46" s="193" t="str">
        <f>IFERROR(__xludf.DUMMYFUNCTION("join("","",filter(split($G$82,"",""),ARRAYFORMULA(ISERROR(FIND(split($G$82,"",""),CONCATENATE(D46:U46))))=TRUE))"),"СЗ,КЗ,201,202,206,209,210,401,402,403,406,408,409,410,АЗ")</f>
        <v>СЗ,КЗ,201,202,206,209,210,401,402,403,406,408,409,410,АЗ</v>
      </c>
      <c r="AA46" s="215"/>
      <c r="AB46" s="215"/>
      <c r="AC46" s="215"/>
      <c r="AD46" s="215"/>
      <c r="AE46" s="215"/>
      <c r="AF46" s="215"/>
    </row>
    <row r="47" ht="40.5" hidden="1" customHeight="1">
      <c r="A47" s="222"/>
      <c r="B47" s="15">
        <v>5.0</v>
      </c>
      <c r="C47" s="197"/>
      <c r="D47" s="37" t="s">
        <v>556</v>
      </c>
      <c r="E47" s="13"/>
      <c r="F47" s="44" t="s">
        <v>510</v>
      </c>
      <c r="G47" s="44" t="s">
        <v>499</v>
      </c>
      <c r="H47" s="44" t="s">
        <v>662</v>
      </c>
      <c r="I47" s="45" t="s">
        <v>530</v>
      </c>
      <c r="J47" s="13"/>
      <c r="K47" s="45" t="s">
        <v>502</v>
      </c>
      <c r="L47" s="13"/>
      <c r="M47" s="177" t="s">
        <v>501</v>
      </c>
      <c r="N47" s="124" t="s">
        <v>595</v>
      </c>
      <c r="O47" s="45" t="s">
        <v>519</v>
      </c>
      <c r="P47" s="13"/>
      <c r="Q47" s="261" t="s">
        <v>661</v>
      </c>
      <c r="R47" s="44" t="s">
        <v>581</v>
      </c>
      <c r="S47" s="45" t="s">
        <v>504</v>
      </c>
      <c r="T47" s="36"/>
      <c r="U47" s="41"/>
      <c r="V47" s="243">
        <f t="shared" ref="V47:W47" si="30">V$7</f>
        <v>0.5138888889</v>
      </c>
      <c r="W47" s="85">
        <f t="shared" si="30"/>
        <v>0.5416666667</v>
      </c>
      <c r="X47" s="85"/>
      <c r="Y47" s="85" t="str">
        <f>Y$7</f>
        <v/>
      </c>
      <c r="Z47" s="193" t="str">
        <f>IFERROR(__xludf.DUMMYFUNCTION("join("","",filter(split($G$82,"",""),ARRAYFORMULA(ISERROR(FIND(split($G$82,"",""),CONCATENATE(D47:U47))))=TRUE))"),"СЗ,КЗ,201,202,206,209,210,401,402,403,404,405,406,408,409,410")</f>
        <v>СЗ,КЗ,201,202,206,209,210,401,402,403,404,405,406,408,409,410</v>
      </c>
      <c r="AA47" s="215"/>
      <c r="AB47" s="215"/>
      <c r="AC47" s="215"/>
      <c r="AD47" s="215"/>
      <c r="AE47" s="215"/>
      <c r="AF47" s="215"/>
    </row>
    <row r="48" ht="40.5" hidden="1" customHeight="1">
      <c r="A48" s="222"/>
      <c r="B48" s="15">
        <v>6.0</v>
      </c>
      <c r="C48" s="197"/>
      <c r="D48" s="37" t="s">
        <v>556</v>
      </c>
      <c r="E48" s="13"/>
      <c r="F48" s="44" t="s">
        <v>510</v>
      </c>
      <c r="G48" s="44" t="s">
        <v>499</v>
      </c>
      <c r="H48" s="44" t="s">
        <v>662</v>
      </c>
      <c r="I48" s="45" t="s">
        <v>502</v>
      </c>
      <c r="J48" s="13"/>
      <c r="K48" s="45" t="s">
        <v>530</v>
      </c>
      <c r="L48" s="13"/>
      <c r="M48" s="177" t="s">
        <v>501</v>
      </c>
      <c r="N48" s="124" t="s">
        <v>595</v>
      </c>
      <c r="O48" s="45" t="s">
        <v>519</v>
      </c>
      <c r="P48" s="13"/>
      <c r="Q48" s="232" t="s">
        <v>532</v>
      </c>
      <c r="R48" s="178" t="s">
        <v>663</v>
      </c>
      <c r="S48" s="44" t="s">
        <v>664</v>
      </c>
      <c r="T48" s="44"/>
      <c r="U48" s="34" t="s">
        <v>665</v>
      </c>
      <c r="V48" s="262"/>
      <c r="W48" s="85">
        <f>V$8</f>
        <v>0.5451388889</v>
      </c>
      <c r="X48" s="85"/>
      <c r="Y48" s="85" t="str">
        <f>X$8</f>
        <v/>
      </c>
      <c r="Z48" s="193" t="str">
        <f>IFERROR(__xludf.DUMMYFUNCTION("join("","",filter(split($G$82,"",""),ARRAYFORMULA(ISERROR(FIND(split($G$82,"",""),CONCATENATE(D48:U48))))=TRUE))"),"СЗ,КЗ,201,202,206,209,210,401,402,403,405,406,408,409,410")</f>
        <v>СЗ,КЗ,201,202,206,209,210,401,402,403,405,406,408,409,410</v>
      </c>
      <c r="AA48" s="15" t="str">
        <f>IFERROR(__xludf.DUMMYFUNCTION("join("","",filter(split(#REF!,"",""),ARRAYFORMULA(ISERROR(FIND(split(#REF!,"",""),CONCATENATE(D48:R48))))=TRUE))"),"#REF!")</f>
        <v>#REF!</v>
      </c>
      <c r="AB48" s="215"/>
      <c r="AC48" s="215"/>
      <c r="AD48" s="215"/>
      <c r="AE48" s="215"/>
      <c r="AF48" s="215"/>
    </row>
    <row r="49" ht="40.5" hidden="1" customHeight="1">
      <c r="A49" s="222"/>
      <c r="B49" s="15">
        <v>7.0</v>
      </c>
      <c r="C49" s="197"/>
      <c r="D49" s="37" t="s">
        <v>666</v>
      </c>
      <c r="E49" s="13"/>
      <c r="F49" s="44" t="s">
        <v>510</v>
      </c>
      <c r="G49" s="44" t="s">
        <v>499</v>
      </c>
      <c r="H49" s="44" t="s">
        <v>667</v>
      </c>
      <c r="I49" s="45" t="s">
        <v>502</v>
      </c>
      <c r="J49" s="13"/>
      <c r="K49" s="45" t="s">
        <v>668</v>
      </c>
      <c r="L49" s="13"/>
      <c r="M49" s="124"/>
      <c r="N49" s="177" t="s">
        <v>501</v>
      </c>
      <c r="O49" s="157" t="s">
        <v>661</v>
      </c>
      <c r="P49" s="13"/>
      <c r="Q49" s="232" t="s">
        <v>532</v>
      </c>
      <c r="R49" s="144"/>
      <c r="S49" s="44" t="s">
        <v>664</v>
      </c>
      <c r="T49" s="44"/>
      <c r="U49" s="34" t="s">
        <v>669</v>
      </c>
      <c r="V49" s="243">
        <f t="shared" ref="V49:W49" si="31">V$9</f>
        <v>0.6076388889</v>
      </c>
      <c r="W49" s="85">
        <f t="shared" si="31"/>
        <v>0.6354166667</v>
      </c>
      <c r="X49" s="85"/>
      <c r="Y49" s="85" t="str">
        <f>Y$9</f>
        <v/>
      </c>
      <c r="Z49" s="193" t="str">
        <f>IFERROR(__xludf.DUMMYFUNCTION("join("","",filter(split($G$82,"",""),ARRAYFORMULA(ISERROR(FIND(split($G$82,"",""),CONCATENATE(D49:U49))))=TRUE))"),"СЗ,201,202,206,209,210,401,402,403,406,408,409,410,АЗ")</f>
        <v>СЗ,201,202,206,209,210,401,402,403,406,408,409,410,АЗ</v>
      </c>
      <c r="AA49" s="215"/>
      <c r="AB49" s="215"/>
      <c r="AC49" s="215"/>
      <c r="AD49" s="215"/>
      <c r="AE49" s="215"/>
      <c r="AF49" s="215"/>
    </row>
    <row r="50" ht="40.5" hidden="1" customHeight="1">
      <c r="A50" s="222"/>
      <c r="B50" s="15">
        <v>8.0</v>
      </c>
      <c r="C50" s="197"/>
      <c r="D50" s="37"/>
      <c r="E50" s="13"/>
      <c r="F50" s="263" t="s">
        <v>670</v>
      </c>
      <c r="G50" s="86" t="s">
        <v>559</v>
      </c>
      <c r="H50" s="13"/>
      <c r="I50" s="45" t="s">
        <v>671</v>
      </c>
      <c r="J50" s="13"/>
      <c r="K50" s="45" t="s">
        <v>502</v>
      </c>
      <c r="L50" s="13"/>
      <c r="M50" s="124"/>
      <c r="N50" s="177" t="s">
        <v>501</v>
      </c>
      <c r="O50" s="157" t="s">
        <v>661</v>
      </c>
      <c r="P50" s="13"/>
      <c r="Q50" s="122" t="s">
        <v>576</v>
      </c>
      <c r="R50" s="13"/>
      <c r="S50" s="144"/>
      <c r="T50" s="144"/>
      <c r="U50" s="184"/>
      <c r="V50" s="243">
        <f t="shared" ref="V50:W50" si="32">V$10</f>
        <v>0.6388888889</v>
      </c>
      <c r="W50" s="85">
        <f t="shared" si="32"/>
        <v>0.6666666667</v>
      </c>
      <c r="X50" s="85"/>
      <c r="Y50" s="206"/>
      <c r="Z50" s="193" t="str">
        <f>IFERROR(__xludf.DUMMYFUNCTION("join("","",filter(split($G$82,"",""),ARRAYFORMULA(ISERROR(FIND(split($G$82,"",""),CONCATENATE(D50:U50))))=TRUE))"),"СЗ,201,202,206,209,210,401,402,403,404,405,406,408,409,410,АЗ")</f>
        <v>СЗ,201,202,206,209,210,401,402,403,404,405,406,408,409,410,АЗ</v>
      </c>
      <c r="AA50" s="215"/>
      <c r="AB50" s="215"/>
      <c r="AC50" s="215"/>
      <c r="AD50" s="215"/>
      <c r="AE50" s="215"/>
      <c r="AF50" s="215"/>
    </row>
    <row r="51" ht="40.5" hidden="1" customHeight="1">
      <c r="A51" s="222"/>
      <c r="B51" s="15">
        <v>9.0</v>
      </c>
      <c r="C51" s="197"/>
      <c r="D51" s="140" t="s">
        <v>672</v>
      </c>
      <c r="E51" s="8"/>
      <c r="F51" s="8"/>
      <c r="G51" s="8"/>
      <c r="H51" s="8"/>
      <c r="I51" s="8"/>
      <c r="J51" s="8"/>
      <c r="K51" s="8"/>
      <c r="L51" s="8"/>
      <c r="M51" s="8"/>
      <c r="N51" s="8"/>
      <c r="O51" s="8"/>
      <c r="P51" s="8"/>
      <c r="Q51" s="8"/>
      <c r="R51" s="8"/>
      <c r="S51" s="8"/>
      <c r="T51" s="8"/>
      <c r="U51" s="129"/>
      <c r="V51" s="243">
        <f t="shared" ref="V51:W51" si="33">V$11</f>
        <v>0.6770833333</v>
      </c>
      <c r="W51" s="85">
        <f t="shared" si="33"/>
        <v>0.7048611111</v>
      </c>
      <c r="X51" s="85"/>
      <c r="Y51" s="206"/>
      <c r="Z51" s="193" t="str">
        <f>IFERROR(__xludf.DUMMYFUNCTION("join("","",filter(split($G$82,"",""),ARRAYFORMULA(ISERROR(FIND(split($G$82,"",""),CONCATENATE(D51:U51))))=TRUE))"),"СЗ,КЗ,201,202,206,209,210,401,402,403,404,405,406,408,409,410,АЗ")</f>
        <v>СЗ,КЗ,201,202,206,209,210,401,402,403,404,405,406,408,409,410,АЗ</v>
      </c>
      <c r="AA51" s="215"/>
      <c r="AB51" s="215"/>
      <c r="AC51" s="215"/>
      <c r="AD51" s="215"/>
      <c r="AE51" s="215"/>
      <c r="AF51" s="215"/>
    </row>
    <row r="52" ht="40.5" hidden="1" customHeight="1">
      <c r="A52" s="222"/>
      <c r="B52" s="15">
        <v>10.0</v>
      </c>
      <c r="C52" s="197"/>
      <c r="D52" s="142"/>
      <c r="E52" s="64"/>
      <c r="F52" s="64"/>
      <c r="G52" s="64"/>
      <c r="H52" s="64"/>
      <c r="I52" s="64"/>
      <c r="J52" s="64"/>
      <c r="K52" s="64"/>
      <c r="L52" s="64"/>
      <c r="M52" s="64"/>
      <c r="N52" s="64"/>
      <c r="O52" s="64"/>
      <c r="P52" s="64"/>
      <c r="Q52" s="64"/>
      <c r="R52" s="64"/>
      <c r="S52" s="64"/>
      <c r="T52" s="64"/>
      <c r="U52" s="88"/>
      <c r="V52" s="243">
        <f t="shared" ref="V52:W52" si="34">V$12</f>
        <v>0.7083333333</v>
      </c>
      <c r="W52" s="85">
        <f t="shared" si="34"/>
        <v>0.7361111111</v>
      </c>
      <c r="X52" s="85"/>
      <c r="Y52" s="206"/>
      <c r="Z52" s="193" t="str">
        <f>IFERROR(__xludf.DUMMYFUNCTION("join("","",filter(split($G$82,"",""),ARRAYFORMULA(ISERROR(FIND(split($G$82,"",""),CONCATENATE(D52:U52))))=TRUE))"),"СЗ,КЗ,201,202,206,209,210,401,402,403,404,405,406,408,409,410,АЗ")</f>
        <v>СЗ,КЗ,201,202,206,209,210,401,402,403,404,405,406,408,409,410,АЗ</v>
      </c>
      <c r="AA52" s="215"/>
      <c r="AB52" s="215"/>
      <c r="AC52" s="215"/>
      <c r="AD52" s="215"/>
      <c r="AE52" s="215"/>
      <c r="AF52" s="215"/>
    </row>
    <row r="53" ht="40.5" hidden="1" customHeight="1">
      <c r="A53" s="222"/>
      <c r="B53" s="15">
        <v>11.0</v>
      </c>
      <c r="C53" s="197"/>
      <c r="D53" s="264"/>
      <c r="E53" s="15"/>
      <c r="F53" s="15"/>
      <c r="G53" s="15"/>
      <c r="H53" s="15"/>
      <c r="I53" s="15"/>
      <c r="J53" s="15"/>
      <c r="K53" s="15"/>
      <c r="L53" s="15"/>
      <c r="M53" s="15"/>
      <c r="N53" s="15"/>
      <c r="O53" s="15"/>
      <c r="P53" s="15"/>
      <c r="Q53" s="15"/>
      <c r="R53" s="15"/>
      <c r="S53" s="15"/>
      <c r="T53" s="15"/>
      <c r="U53" s="265"/>
      <c r="V53" s="243">
        <f t="shared" ref="V53:W53" si="35">V$13</f>
        <v>0.7395833333</v>
      </c>
      <c r="W53" s="85">
        <f t="shared" si="35"/>
        <v>0.7673611111</v>
      </c>
      <c r="X53" s="85"/>
      <c r="Y53" s="206"/>
      <c r="Z53" s="193" t="str">
        <f>IFERROR(__xludf.DUMMYFUNCTION("join("","",filter(split($G$82,"",""),ARRAYFORMULA(ISERROR(FIND(split($G$82,"",""),CONCATENATE(D53:U53))))=TRUE))"),"СЗ,КЗ,201,202,206,209,210,401,402,403,404,405,406,408,409,410,АЗ")</f>
        <v>СЗ,КЗ,201,202,206,209,210,401,402,403,404,405,406,408,409,410,АЗ</v>
      </c>
      <c r="AA53" s="215"/>
      <c r="AB53" s="215"/>
      <c r="AC53" s="215"/>
      <c r="AD53" s="215"/>
      <c r="AE53" s="215"/>
      <c r="AF53" s="215"/>
    </row>
    <row r="54" ht="40.5" hidden="1" customHeight="1">
      <c r="A54" s="173"/>
      <c r="B54" s="15">
        <v>12.0</v>
      </c>
      <c r="C54" s="197"/>
      <c r="D54" s="264"/>
      <c r="E54" s="15"/>
      <c r="F54" s="15"/>
      <c r="G54" s="15"/>
      <c r="H54" s="15"/>
      <c r="I54" s="15"/>
      <c r="J54" s="15"/>
      <c r="K54" s="15"/>
      <c r="L54" s="15"/>
      <c r="M54" s="15"/>
      <c r="N54" s="15"/>
      <c r="O54" s="15"/>
      <c r="P54" s="15"/>
      <c r="Q54" s="15"/>
      <c r="R54" s="15"/>
      <c r="S54" s="15"/>
      <c r="T54" s="15"/>
      <c r="U54" s="265"/>
      <c r="V54" s="266" t="str">
        <f>W$1</f>
        <v/>
      </c>
      <c r="W54" s="13"/>
      <c r="X54" s="206"/>
      <c r="Y54" s="206"/>
      <c r="Z54" s="193" t="str">
        <f>IFERROR(__xludf.DUMMYFUNCTION("join("","",filter(split($G$82,"",""),ARRAYFORMULA(ISERROR(FIND(split($G$82,"",""),CONCATENATE(D54:U54))))=TRUE))"),"СЗ,КЗ,201,202,206,209,210,401,402,403,404,405,406,408,409,410,АЗ")</f>
        <v>СЗ,КЗ,201,202,206,209,210,401,402,403,404,405,406,408,409,410,АЗ</v>
      </c>
      <c r="AA54" s="215"/>
      <c r="AB54" s="215"/>
      <c r="AC54" s="215"/>
      <c r="AD54" s="215"/>
      <c r="AE54" s="215"/>
      <c r="AF54" s="215"/>
    </row>
    <row r="55" ht="40.5" hidden="1" customHeight="1">
      <c r="A55" s="267">
        <f>IF(TODAY()-(TODAY()-WEEKDAY(TODAY(),2)+ROUNDDOWN(ROW()/12)+1)&gt;1,TODAY()-WEEKDAY(TODAY(),2)+7+ROUNDDOWN(ROW()/12)+1,TODAY()-WEEKDAY(TODAY(),2)+ROUNDDOWN(ROW()/12)+1)</f>
        <v>45149</v>
      </c>
      <c r="B55" s="15">
        <v>1.0</v>
      </c>
      <c r="C55" s="197"/>
      <c r="D55" s="264"/>
      <c r="E55" s="15"/>
      <c r="F55" s="15"/>
      <c r="G55" s="15"/>
      <c r="H55" s="15"/>
      <c r="I55" s="45"/>
      <c r="J55" s="36"/>
      <c r="K55" s="36"/>
      <c r="L55" s="13"/>
      <c r="M55" s="15"/>
      <c r="N55" s="15"/>
      <c r="O55" s="15"/>
      <c r="P55" s="15"/>
      <c r="Q55" s="15"/>
      <c r="R55" s="15"/>
      <c r="S55" s="15"/>
      <c r="T55" s="15"/>
      <c r="U55" s="265"/>
      <c r="V55" s="243">
        <f t="shared" ref="V55:W55" si="36">V$3</f>
        <v>0.3784722222</v>
      </c>
      <c r="W55" s="85">
        <f t="shared" si="36"/>
        <v>0.40625</v>
      </c>
      <c r="X55" s="85"/>
      <c r="Y55" s="206"/>
      <c r="Z55" s="193" t="str">
        <f>IFERROR(__xludf.DUMMYFUNCTION("join("","",filter(split($G$82,"",""),ARRAYFORMULA(ISERROR(FIND(split($G$82,"",""),CONCATENATE(D55:U55))))=TRUE))"),"СЗ,КЗ,201,202,206,209,210,401,402,403,404,405,406,408,409,410,АЗ")</f>
        <v>СЗ,КЗ,201,202,206,209,210,401,402,403,404,405,406,408,409,410,АЗ</v>
      </c>
      <c r="AA55" s="215"/>
      <c r="AB55" s="215"/>
      <c r="AC55" s="215"/>
      <c r="AD55" s="215"/>
      <c r="AE55" s="215"/>
      <c r="AF55" s="215"/>
    </row>
    <row r="56" ht="40.5" hidden="1" customHeight="1">
      <c r="A56" s="222"/>
      <c r="B56" s="15">
        <v>2.0</v>
      </c>
      <c r="C56" s="197"/>
      <c r="D56" s="264"/>
      <c r="E56" s="15"/>
      <c r="F56" s="15"/>
      <c r="G56" s="15"/>
      <c r="H56" s="15"/>
      <c r="I56" s="15"/>
      <c r="J56" s="15"/>
      <c r="K56" s="15"/>
      <c r="L56" s="15"/>
      <c r="M56" s="15"/>
      <c r="N56" s="15"/>
      <c r="O56" s="15"/>
      <c r="P56" s="15"/>
      <c r="Q56" s="15"/>
      <c r="R56" s="15"/>
      <c r="S56" s="15"/>
      <c r="T56" s="15"/>
      <c r="U56" s="265"/>
      <c r="V56" s="243">
        <f t="shared" ref="V56:W56" si="37">V$4</f>
        <v>0.4097222222</v>
      </c>
      <c r="W56" s="85">
        <f t="shared" si="37"/>
        <v>0.4375</v>
      </c>
      <c r="X56" s="85"/>
      <c r="Y56" s="206"/>
      <c r="Z56" s="193" t="str">
        <f>IFERROR(__xludf.DUMMYFUNCTION("join("","",filter(split($G$82,"",""),ARRAYFORMULA(ISERROR(FIND(split($G$82,"",""),CONCATENATE(D56:U56))))=TRUE))"),"СЗ,КЗ,201,202,206,209,210,401,402,403,404,405,406,408,409,410,АЗ")</f>
        <v>СЗ,КЗ,201,202,206,209,210,401,402,403,404,405,406,408,409,410,АЗ</v>
      </c>
      <c r="AA56" s="215"/>
      <c r="AB56" s="215"/>
      <c r="AC56" s="215"/>
      <c r="AD56" s="215"/>
      <c r="AE56" s="215"/>
      <c r="AF56" s="215"/>
    </row>
    <row r="57" ht="40.5" hidden="1" customHeight="1">
      <c r="A57" s="222"/>
      <c r="B57" s="15">
        <v>3.0</v>
      </c>
      <c r="C57" s="197"/>
      <c r="D57" s="264"/>
      <c r="E57" s="15"/>
      <c r="F57" s="15"/>
      <c r="G57" s="15"/>
      <c r="H57" s="15"/>
      <c r="I57" s="45"/>
      <c r="J57" s="36"/>
      <c r="K57" s="36"/>
      <c r="L57" s="13"/>
      <c r="M57" s="15"/>
      <c r="N57" s="15"/>
      <c r="O57" s="15"/>
      <c r="P57" s="15"/>
      <c r="Q57" s="15"/>
      <c r="R57" s="15"/>
      <c r="S57" s="15"/>
      <c r="T57" s="15"/>
      <c r="U57" s="265"/>
      <c r="V57" s="243">
        <f t="shared" ref="V57:W57" si="38">V$5</f>
        <v>0.4409722222</v>
      </c>
      <c r="W57" s="85">
        <f t="shared" si="38"/>
        <v>0.46875</v>
      </c>
      <c r="X57" s="85"/>
      <c r="Y57" s="85" t="str">
        <f>Y$5</f>
        <v/>
      </c>
      <c r="Z57" s="193" t="str">
        <f>IFERROR(__xludf.DUMMYFUNCTION("join("","",filter(split($G$82,"",""),ARRAYFORMULA(ISERROR(FIND(split($G$82,"",""),CONCATENATE(D57:U57))))=TRUE))"),"СЗ,КЗ,201,202,206,209,210,401,402,403,404,405,406,408,409,410,АЗ")</f>
        <v>СЗ,КЗ,201,202,206,209,210,401,402,403,404,405,406,408,409,410,АЗ</v>
      </c>
      <c r="AA57" s="215"/>
      <c r="AB57" s="215"/>
      <c r="AC57" s="215"/>
      <c r="AD57" s="215"/>
      <c r="AE57" s="215"/>
      <c r="AF57" s="215"/>
    </row>
    <row r="58" ht="40.5" hidden="1" customHeight="1">
      <c r="A58" s="222"/>
      <c r="B58" s="15">
        <v>4.0</v>
      </c>
      <c r="C58" s="197"/>
      <c r="D58" s="264"/>
      <c r="E58" s="15"/>
      <c r="F58" s="15"/>
      <c r="G58" s="15"/>
      <c r="H58" s="15"/>
      <c r="I58" s="45"/>
      <c r="J58" s="36"/>
      <c r="K58" s="36"/>
      <c r="L58" s="13"/>
      <c r="M58" s="15"/>
      <c r="N58" s="15"/>
      <c r="O58" s="15"/>
      <c r="P58" s="15"/>
      <c r="Q58" s="15"/>
      <c r="R58" s="15"/>
      <c r="S58" s="15"/>
      <c r="T58" s="15"/>
      <c r="U58" s="265"/>
      <c r="V58" s="243">
        <f t="shared" ref="V58:W58" si="39">V$6</f>
        <v>0.4826388889</v>
      </c>
      <c r="W58" s="85">
        <f t="shared" si="39"/>
        <v>0.5104166667</v>
      </c>
      <c r="X58" s="85"/>
      <c r="Y58" s="85" t="str">
        <f>Y$6</f>
        <v/>
      </c>
      <c r="Z58" s="193" t="str">
        <f>IFERROR(__xludf.DUMMYFUNCTION("join("","",filter(split($G$82,"",""),ARRAYFORMULA(ISERROR(FIND(split($G$82,"",""),CONCATENATE(D58:U58))))=TRUE))"),"СЗ,КЗ,201,202,206,209,210,401,402,403,404,405,406,408,409,410,АЗ")</f>
        <v>СЗ,КЗ,201,202,206,209,210,401,402,403,404,405,406,408,409,410,АЗ</v>
      </c>
      <c r="AA58" s="215"/>
      <c r="AB58" s="215"/>
      <c r="AC58" s="215"/>
      <c r="AD58" s="215"/>
      <c r="AE58" s="215"/>
      <c r="AF58" s="215"/>
    </row>
    <row r="59" ht="40.5" hidden="1" customHeight="1">
      <c r="A59" s="222"/>
      <c r="B59" s="15">
        <v>5.0</v>
      </c>
      <c r="C59" s="197"/>
      <c r="D59" s="264"/>
      <c r="E59" s="15"/>
      <c r="F59" s="15"/>
      <c r="G59" s="15"/>
      <c r="H59" s="167" t="s">
        <v>673</v>
      </c>
      <c r="I59" s="4"/>
      <c r="J59" s="15"/>
      <c r="K59" s="15"/>
      <c r="L59" s="15"/>
      <c r="M59" s="15"/>
      <c r="N59" s="15"/>
      <c r="O59" s="15"/>
      <c r="P59" s="15"/>
      <c r="Q59" s="15"/>
      <c r="R59" s="15"/>
      <c r="S59" s="15"/>
      <c r="T59" s="15"/>
      <c r="U59" s="265"/>
      <c r="V59" s="243">
        <f t="shared" ref="V59:W59" si="40">V$7</f>
        <v>0.5138888889</v>
      </c>
      <c r="W59" s="85">
        <f t="shared" si="40"/>
        <v>0.5416666667</v>
      </c>
      <c r="X59" s="85"/>
      <c r="Y59" s="85" t="str">
        <f>Y$7</f>
        <v/>
      </c>
      <c r="Z59" s="193" t="str">
        <f>IFERROR(__xludf.DUMMYFUNCTION("join("","",filter(split($G$82,"",""),ARRAYFORMULA(ISERROR(FIND(split($G$82,"",""),CONCATENATE(D59:U59))))=TRUE))"),"СЗ,КЗ,201,202,206,209,210,401,402,403,404,405,406,408,409,410,АЗ")</f>
        <v>СЗ,КЗ,201,202,206,209,210,401,402,403,404,405,406,408,409,410,АЗ</v>
      </c>
      <c r="AA59" s="215"/>
      <c r="AB59" s="215"/>
      <c r="AC59" s="215"/>
      <c r="AD59" s="215"/>
      <c r="AE59" s="215"/>
      <c r="AF59" s="215"/>
    </row>
    <row r="60" ht="40.5" hidden="1" customHeight="1">
      <c r="A60" s="222"/>
      <c r="B60" s="15">
        <v>6.0</v>
      </c>
      <c r="C60" s="197"/>
      <c r="D60" s="264"/>
      <c r="E60" s="15"/>
      <c r="F60" s="15"/>
      <c r="G60" s="15"/>
      <c r="H60" s="224"/>
      <c r="I60" s="139"/>
      <c r="J60" s="15"/>
      <c r="K60" s="15"/>
      <c r="L60" s="15"/>
      <c r="M60" s="15"/>
      <c r="N60" s="15"/>
      <c r="O60" s="15"/>
      <c r="P60" s="15"/>
      <c r="Q60" s="15"/>
      <c r="R60" s="15"/>
      <c r="S60" s="15"/>
      <c r="T60" s="15"/>
      <c r="U60" s="265"/>
      <c r="V60" s="243">
        <f t="shared" ref="V60:W60" si="41">V$8</f>
        <v>0.5451388889</v>
      </c>
      <c r="W60" s="85">
        <f t="shared" si="41"/>
        <v>0.5729166667</v>
      </c>
      <c r="X60" s="85"/>
      <c r="Y60" s="85" t="str">
        <f>Y$8</f>
        <v/>
      </c>
      <c r="Z60" s="193" t="str">
        <f>IFERROR(__xludf.DUMMYFUNCTION("join("","",filter(split($G$82,"",""),ARRAYFORMULA(ISERROR(FIND(split($G$82,"",""),CONCATENATE(D60:U60))))=TRUE))"),"СЗ,КЗ,201,202,206,209,210,401,402,403,404,405,406,408,409,410,АЗ")</f>
        <v>СЗ,КЗ,201,202,206,209,210,401,402,403,404,405,406,408,409,410,АЗ</v>
      </c>
      <c r="AA60" s="215"/>
      <c r="AB60" s="215"/>
      <c r="AC60" s="215"/>
      <c r="AD60" s="215"/>
      <c r="AE60" s="215"/>
      <c r="AF60" s="215"/>
    </row>
    <row r="61" ht="40.5" hidden="1" customHeight="1">
      <c r="A61" s="222"/>
      <c r="B61" s="15">
        <v>7.0</v>
      </c>
      <c r="C61" s="197"/>
      <c r="D61" s="264"/>
      <c r="E61" s="15"/>
      <c r="F61" s="15"/>
      <c r="G61" s="15"/>
      <c r="H61" s="224"/>
      <c r="I61" s="139"/>
      <c r="J61" s="15"/>
      <c r="K61" s="15"/>
      <c r="L61" s="15"/>
      <c r="M61" s="15"/>
      <c r="N61" s="15"/>
      <c r="O61" s="15"/>
      <c r="P61" s="15"/>
      <c r="Q61" s="15"/>
      <c r="R61" s="15"/>
      <c r="S61" s="15"/>
      <c r="T61" s="15"/>
      <c r="U61" s="265"/>
      <c r="V61" s="243">
        <f t="shared" ref="V61:W61" si="42">V$9</f>
        <v>0.6076388889</v>
      </c>
      <c r="W61" s="85">
        <f t="shared" si="42"/>
        <v>0.6354166667</v>
      </c>
      <c r="X61" s="85"/>
      <c r="Y61" s="85"/>
      <c r="Z61" s="193" t="str">
        <f>IFERROR(__xludf.DUMMYFUNCTION("join("","",filter(split($G$82,"",""),ARRAYFORMULA(ISERROR(FIND(split($G$82,"",""),CONCATENATE(D61:U61))))=TRUE))"),"СЗ,КЗ,201,202,206,209,210,401,402,403,404,405,406,408,409,410,АЗ")</f>
        <v>СЗ,КЗ,201,202,206,209,210,401,402,403,404,405,406,408,409,410,АЗ</v>
      </c>
      <c r="AA61" s="215"/>
      <c r="AB61" s="215"/>
      <c r="AC61" s="215"/>
      <c r="AD61" s="215"/>
      <c r="AE61" s="215"/>
      <c r="AF61" s="215"/>
    </row>
    <row r="62" ht="40.5" hidden="1" customHeight="1">
      <c r="A62" s="222"/>
      <c r="B62" s="15">
        <v>8.0</v>
      </c>
      <c r="C62" s="197"/>
      <c r="D62" s="264"/>
      <c r="E62" s="15"/>
      <c r="F62" s="15"/>
      <c r="G62" s="15"/>
      <c r="H62" s="224"/>
      <c r="I62" s="139"/>
      <c r="J62" s="15"/>
      <c r="K62" s="15"/>
      <c r="L62" s="15"/>
      <c r="M62" s="15"/>
      <c r="N62" s="15"/>
      <c r="O62" s="15"/>
      <c r="P62" s="15"/>
      <c r="Q62" s="15"/>
      <c r="R62" s="15"/>
      <c r="S62" s="15"/>
      <c r="T62" s="15"/>
      <c r="U62" s="265"/>
      <c r="V62" s="243">
        <f t="shared" ref="V62:W62" si="43">V$10</f>
        <v>0.6388888889</v>
      </c>
      <c r="W62" s="85">
        <f t="shared" si="43"/>
        <v>0.6666666667</v>
      </c>
      <c r="X62" s="85"/>
      <c r="Y62" s="85" t="str">
        <f>Y$9</f>
        <v/>
      </c>
      <c r="Z62" s="193" t="str">
        <f>IFERROR(__xludf.DUMMYFUNCTION("join("","",filter(split($G$82,"",""),ARRAYFORMULA(ISERROR(FIND(split($G$82,"",""),CONCATENATE(D62:U62))))=TRUE))"),"СЗ,КЗ,201,202,206,209,210,401,402,403,404,405,406,408,409,410,АЗ")</f>
        <v>СЗ,КЗ,201,202,206,209,210,401,402,403,404,405,406,408,409,410,АЗ</v>
      </c>
      <c r="AA62" s="206"/>
      <c r="AB62" s="206"/>
      <c r="AC62" s="215"/>
      <c r="AD62" s="215"/>
      <c r="AE62" s="215"/>
      <c r="AF62" s="215"/>
    </row>
    <row r="63" ht="40.5" hidden="1" customHeight="1">
      <c r="A63" s="173"/>
      <c r="B63" s="15">
        <v>9.0</v>
      </c>
      <c r="C63" s="197"/>
      <c r="D63" s="264"/>
      <c r="E63" s="15"/>
      <c r="F63" s="15"/>
      <c r="G63" s="15"/>
      <c r="H63" s="104"/>
      <c r="I63" s="72"/>
      <c r="J63" s="15"/>
      <c r="K63" s="15"/>
      <c r="L63" s="15"/>
      <c r="M63" s="15"/>
      <c r="N63" s="15"/>
      <c r="O63" s="15"/>
      <c r="P63" s="15"/>
      <c r="Q63" s="15"/>
      <c r="R63" s="15"/>
      <c r="S63" s="15"/>
      <c r="T63" s="15"/>
      <c r="U63" s="265"/>
      <c r="V63" s="243">
        <f>V$11</f>
        <v>0.6770833333</v>
      </c>
      <c r="W63" s="85">
        <v>0.7395833333333334</v>
      </c>
      <c r="X63" s="85"/>
      <c r="Y63" s="206"/>
      <c r="Z63" s="193" t="str">
        <f>IFERROR(__xludf.DUMMYFUNCTION("join("","",filter(split($G$82,"",""),ARRAYFORMULA(ISERROR(FIND(split($G$82,"",""),CONCATENATE(D63:U63))))=TRUE))"),"СЗ,КЗ,201,202,206,209,210,401,402,403,404,405,406,408,409,410,АЗ")</f>
        <v>СЗ,КЗ,201,202,206,209,210,401,402,403,404,405,406,408,409,410,АЗ</v>
      </c>
      <c r="AA63" s="206"/>
      <c r="AB63" s="206"/>
      <c r="AC63" s="215"/>
      <c r="AD63" s="215"/>
      <c r="AE63" s="215"/>
      <c r="AF63" s="215"/>
    </row>
    <row r="64" ht="40.5" hidden="1" customHeight="1">
      <c r="A64" s="201"/>
      <c r="B64" s="206"/>
      <c r="C64" s="197"/>
      <c r="D64" s="264"/>
      <c r="E64" s="15"/>
      <c r="F64" s="15"/>
      <c r="G64" s="15"/>
      <c r="H64" s="15"/>
      <c r="I64" s="15"/>
      <c r="J64" s="15"/>
      <c r="K64" s="15"/>
      <c r="L64" s="15"/>
      <c r="M64" s="15"/>
      <c r="N64" s="15"/>
      <c r="O64" s="15"/>
      <c r="P64" s="15"/>
      <c r="Q64" s="15"/>
      <c r="R64" s="15"/>
      <c r="S64" s="15"/>
      <c r="T64" s="15"/>
      <c r="U64" s="265"/>
      <c r="V64" s="243"/>
      <c r="W64" s="85"/>
      <c r="X64" s="85"/>
      <c r="Y64" s="206"/>
      <c r="Z64" s="193" t="str">
        <f>IFERROR(__xludf.DUMMYFUNCTION("join("","",filter(split($G$82,"",""),ARRAYFORMULA(ISERROR(FIND(split($G$82,"",""),CONCATENATE(D64:U64))))=TRUE))"),"СЗ,КЗ,201,202,206,209,210,401,402,403,404,405,406,408,409,410,АЗ")</f>
        <v>СЗ,КЗ,201,202,206,209,210,401,402,403,404,405,406,408,409,410,АЗ</v>
      </c>
      <c r="AA64" s="215"/>
      <c r="AB64" s="215"/>
      <c r="AC64" s="215"/>
      <c r="AD64" s="215"/>
      <c r="AE64" s="215"/>
      <c r="AF64" s="215"/>
    </row>
    <row r="65" ht="40.5" hidden="1" customHeight="1">
      <c r="A65" s="1"/>
      <c r="B65" s="206"/>
      <c r="C65" s="197"/>
      <c r="D65" s="268"/>
      <c r="E65" s="225"/>
      <c r="F65" s="225"/>
      <c r="G65" s="225"/>
      <c r="H65" s="225"/>
      <c r="I65" s="225"/>
      <c r="J65" s="225"/>
      <c r="K65" s="225"/>
      <c r="L65" s="225"/>
      <c r="M65" s="225"/>
      <c r="N65" s="225"/>
      <c r="O65" s="225"/>
      <c r="P65" s="225"/>
      <c r="Q65" s="225"/>
      <c r="R65" s="225"/>
      <c r="S65" s="225"/>
      <c r="T65" s="225"/>
      <c r="U65" s="269"/>
      <c r="V65" s="270"/>
      <c r="W65" s="15"/>
      <c r="X65" s="85"/>
      <c r="Y65" s="206"/>
      <c r="Z65" s="193" t="str">
        <f>IFERROR(__xludf.DUMMYFUNCTION("join("","",filter(split($G$82,"",""),ARRAYFORMULA(ISERROR(FIND(split($G$82,"",""),CONCATENATE(D65:U65))))=TRUE))"),"СЗ,КЗ,201,202,206,209,210,401,402,403,404,405,406,408,409,410,АЗ")</f>
        <v>СЗ,КЗ,201,202,206,209,210,401,402,403,404,405,406,408,409,410,АЗ</v>
      </c>
      <c r="AA65" s="215"/>
      <c r="AB65" s="215"/>
      <c r="AC65" s="215"/>
      <c r="AD65" s="215"/>
      <c r="AE65" s="215"/>
      <c r="AF65" s="215"/>
    </row>
    <row r="66" ht="40.5" customHeight="1">
      <c r="A66" s="271">
        <v>44806.0</v>
      </c>
      <c r="B66" s="26">
        <v>1.0</v>
      </c>
      <c r="C66" s="197"/>
      <c r="D66" s="116" t="s">
        <v>674</v>
      </c>
      <c r="E66" s="272" t="s">
        <v>675</v>
      </c>
      <c r="F66" s="23" t="s">
        <v>676</v>
      </c>
      <c r="G66" s="25"/>
      <c r="H66" s="273" t="s">
        <v>677</v>
      </c>
      <c r="I66" s="23" t="s">
        <v>678</v>
      </c>
      <c r="J66" s="24"/>
      <c r="K66" s="24"/>
      <c r="L66" s="22"/>
      <c r="M66" s="84" t="s">
        <v>679</v>
      </c>
      <c r="N66" s="156" t="s">
        <v>680</v>
      </c>
      <c r="O66" s="80" t="s">
        <v>681</v>
      </c>
      <c r="P66" s="22"/>
      <c r="Q66" s="23" t="s">
        <v>682</v>
      </c>
      <c r="R66" s="22"/>
      <c r="S66" s="23" t="s">
        <v>683</v>
      </c>
      <c r="T66" s="24"/>
      <c r="U66" s="22"/>
      <c r="V66" s="43" t="s">
        <v>12</v>
      </c>
      <c r="W66" s="44" t="s">
        <v>13</v>
      </c>
      <c r="X66" s="217"/>
      <c r="Y66" s="217" t="str">
        <f>Y$3</f>
        <v/>
      </c>
      <c r="Z66" s="193" t="str">
        <f>IFERROR(__xludf.DUMMYFUNCTION("join("","",filter(split($G$82,"",""),ARRAYFORMULA(ISERROR(FIND(split($G$82,"",""),CONCATENATE(D66:U66))))=TRUE))"),"СЗ,КЗ,206,401,402,406,408,409,410")</f>
        <v>СЗ,КЗ,206,401,402,406,408,409,410</v>
      </c>
      <c r="AA66" s="217" t="str">
        <f>AA$3</f>
        <v/>
      </c>
      <c r="AB66" s="218"/>
      <c r="AC66" s="218" t="str">
        <f>IFERROR(__xludf.DUMMYFUNCTION("join("","",filter(split(#REF!,"",""),ARRAYFORMULA(ISERROR(FIND(split(#REF!,"",""),CONCATENATE(D66:R66))))=TRUE))"),"#REF!")</f>
        <v>#REF!</v>
      </c>
      <c r="AD66" s="220"/>
      <c r="AE66" s="220"/>
      <c r="AF66" s="215"/>
    </row>
    <row r="67" ht="40.5" customHeight="1">
      <c r="A67" s="274"/>
      <c r="B67" s="26">
        <v>2.0</v>
      </c>
      <c r="C67" s="197"/>
      <c r="D67" s="33" t="s">
        <v>684</v>
      </c>
      <c r="E67" s="34" t="s">
        <v>685</v>
      </c>
      <c r="F67" s="35" t="s">
        <v>686</v>
      </c>
      <c r="G67" s="13"/>
      <c r="H67" s="275"/>
      <c r="I67" s="35" t="s">
        <v>678</v>
      </c>
      <c r="J67" s="36"/>
      <c r="K67" s="36"/>
      <c r="L67" s="41"/>
      <c r="M67" s="43" t="s">
        <v>687</v>
      </c>
      <c r="N67" s="44" t="s">
        <v>688</v>
      </c>
      <c r="O67" s="45" t="s">
        <v>689</v>
      </c>
      <c r="P67" s="41"/>
      <c r="Q67" s="43" t="s">
        <v>690</v>
      </c>
      <c r="R67" s="276" t="s">
        <v>691</v>
      </c>
      <c r="S67" s="35" t="s">
        <v>692</v>
      </c>
      <c r="T67" s="36"/>
      <c r="U67" s="41"/>
      <c r="V67" s="43" t="s">
        <v>21</v>
      </c>
      <c r="W67" s="44" t="s">
        <v>22</v>
      </c>
      <c r="X67" s="85"/>
      <c r="Y67" s="85" t="str">
        <f>Y$4</f>
        <v/>
      </c>
      <c r="Z67" s="193" t="str">
        <f>IFERROR(__xludf.DUMMYFUNCTION("join("","",filter(split($G$82,"",""),ARRAYFORMULA(ISERROR(FIND(split($G$82,"",""),CONCATENATE(D67:U67))))=TRUE))"),"СЗ,КЗ,206,401,406,408,409,410")</f>
        <v>СЗ,КЗ,206,401,406,408,409,410</v>
      </c>
      <c r="AA67" s="85" t="str">
        <f>AA$4</f>
        <v/>
      </c>
      <c r="AB67" s="206"/>
      <c r="AC67" s="15" t="str">
        <f>IFERROR(__xludf.DUMMYFUNCTION("join("","",filter(split(#REF!,"",""),ARRAYFORMULA(ISERROR(FIND(split(#REF!,"",""),CONCATENATE(D67:R67))))=TRUE))"),"#REF!")</f>
        <v>#REF!</v>
      </c>
      <c r="AD67" s="215"/>
      <c r="AE67" s="215"/>
      <c r="AF67" s="215"/>
    </row>
    <row r="68" ht="40.5" customHeight="1">
      <c r="A68" s="274"/>
      <c r="B68" s="26">
        <v>3.0</v>
      </c>
      <c r="C68" s="197"/>
      <c r="D68" s="37" t="s">
        <v>693</v>
      </c>
      <c r="E68" s="41"/>
      <c r="F68" s="277" t="s">
        <v>694</v>
      </c>
      <c r="G68" s="4"/>
      <c r="H68" s="276" t="s">
        <v>695</v>
      </c>
      <c r="I68" s="43" t="s">
        <v>696</v>
      </c>
      <c r="J68" s="44" t="s">
        <v>697</v>
      </c>
      <c r="K68" s="44" t="s">
        <v>698</v>
      </c>
      <c r="L68" s="34" t="s">
        <v>699</v>
      </c>
      <c r="M68" s="35" t="s">
        <v>700</v>
      </c>
      <c r="N68" s="36"/>
      <c r="O68" s="36"/>
      <c r="P68" s="41"/>
      <c r="Q68" s="43" t="s">
        <v>701</v>
      </c>
      <c r="R68" s="276" t="s">
        <v>702</v>
      </c>
      <c r="S68" s="35" t="s">
        <v>703</v>
      </c>
      <c r="T68" s="36"/>
      <c r="U68" s="41"/>
      <c r="V68" s="43" t="s">
        <v>33</v>
      </c>
      <c r="W68" s="44" t="s">
        <v>34</v>
      </c>
      <c r="X68" s="85"/>
      <c r="Y68" s="85" t="str">
        <f>Y$5</f>
        <v/>
      </c>
      <c r="Z68" s="193" t="str">
        <f>IFERROR(__xludf.DUMMYFUNCTION("join("","",filter(split($G$82,"",""),ARRAYFORMULA(ISERROR(FIND(split($G$82,"",""),CONCATENATE(D68:U68))))=TRUE))"),"СЗ,КЗ,206,401,403,406,409,410")</f>
        <v>СЗ,КЗ,206,401,403,406,409,410</v>
      </c>
      <c r="AA68" s="85" t="str">
        <f t="shared" ref="AA68:AB68" si="44">AA$5</f>
        <v/>
      </c>
      <c r="AB68" s="85" t="str">
        <f t="shared" si="44"/>
        <v/>
      </c>
      <c r="AC68" s="15" t="str">
        <f>IFERROR(__xludf.DUMMYFUNCTION("join("","",filter(split(#REF!,"",""),ARRAYFORMULA(ISERROR(FIND(split(#REF!,"",""),CONCATENATE(D68:R68))))=TRUE))"),"#REF!")</f>
        <v>#REF!</v>
      </c>
      <c r="AD68" s="215"/>
      <c r="AE68" s="215"/>
      <c r="AF68" s="215"/>
    </row>
    <row r="69" ht="40.5" customHeight="1">
      <c r="A69" s="274"/>
      <c r="B69" s="26">
        <v>4.0</v>
      </c>
      <c r="C69" s="197"/>
      <c r="D69" s="37" t="s">
        <v>704</v>
      </c>
      <c r="E69" s="41"/>
      <c r="F69" s="64"/>
      <c r="G69" s="72"/>
      <c r="H69" s="276" t="s">
        <v>705</v>
      </c>
      <c r="I69" s="43" t="s">
        <v>706</v>
      </c>
      <c r="J69" s="44" t="s">
        <v>707</v>
      </c>
      <c r="K69" s="44" t="s">
        <v>708</v>
      </c>
      <c r="L69" s="34" t="s">
        <v>709</v>
      </c>
      <c r="M69" s="35" t="s">
        <v>710</v>
      </c>
      <c r="N69" s="36"/>
      <c r="O69" s="36"/>
      <c r="P69" s="41"/>
      <c r="Q69" s="278" t="s">
        <v>711</v>
      </c>
      <c r="R69" s="34" t="s">
        <v>712</v>
      </c>
      <c r="S69" s="35" t="s">
        <v>713</v>
      </c>
      <c r="T69" s="36"/>
      <c r="U69" s="41"/>
      <c r="V69" s="43" t="s">
        <v>48</v>
      </c>
      <c r="W69" s="44" t="s">
        <v>49</v>
      </c>
      <c r="X69" s="85"/>
      <c r="Y69" s="85" t="str">
        <f>Y$6</f>
        <v/>
      </c>
      <c r="Z69" s="193" t="str">
        <f>IFERROR(__xludf.DUMMYFUNCTION("join("","",filter(split($G$82,"",""),ARRAYFORMULA(ISERROR(FIND(split($G$82,"",""),CONCATENATE(D69:U69))))=TRUE))"),"СЗ,КЗ,201,206,403,406,409,410")</f>
        <v>СЗ,КЗ,201,206,403,406,409,410</v>
      </c>
      <c r="AA69" s="85" t="str">
        <f t="shared" ref="AA69:AB69" si="45">AA$6</f>
        <v/>
      </c>
      <c r="AB69" s="85" t="str">
        <f t="shared" si="45"/>
        <v/>
      </c>
      <c r="AC69" s="15" t="str">
        <f>IFERROR(__xludf.DUMMYFUNCTION("join("","",filter(split(#REF!,"",""),ARRAYFORMULA(ISERROR(FIND(split(#REF!,"",""),CONCATENATE(D69:R69))))=TRUE))"),"#REF!")</f>
        <v>#REF!</v>
      </c>
      <c r="AD69" s="215"/>
      <c r="AE69" s="215"/>
      <c r="AF69" s="215"/>
    </row>
    <row r="70" ht="51.75" customHeight="1">
      <c r="A70" s="274"/>
      <c r="B70" s="26">
        <v>5.0</v>
      </c>
      <c r="C70" s="197"/>
      <c r="D70" s="37" t="s">
        <v>714</v>
      </c>
      <c r="E70" s="41"/>
      <c r="F70" s="43" t="s">
        <v>715</v>
      </c>
      <c r="G70" s="44" t="s">
        <v>716</v>
      </c>
      <c r="H70" s="34" t="s">
        <v>717</v>
      </c>
      <c r="I70" s="35" t="s">
        <v>718</v>
      </c>
      <c r="J70" s="13"/>
      <c r="K70" s="45" t="s">
        <v>719</v>
      </c>
      <c r="L70" s="41"/>
      <c r="M70" s="279" t="s">
        <v>720</v>
      </c>
      <c r="N70" s="280" t="s">
        <v>721</v>
      </c>
      <c r="O70" s="35" t="s">
        <v>722</v>
      </c>
      <c r="P70" s="41"/>
      <c r="Q70" s="278" t="s">
        <v>723</v>
      </c>
      <c r="R70" s="34" t="s">
        <v>724</v>
      </c>
      <c r="S70" s="35" t="s">
        <v>725</v>
      </c>
      <c r="T70" s="36"/>
      <c r="U70" s="41"/>
      <c r="V70" s="43" t="s">
        <v>58</v>
      </c>
      <c r="W70" s="251">
        <v>44847.0</v>
      </c>
      <c r="X70" s="85"/>
      <c r="Y70" s="85" t="str">
        <f>Y$7</f>
        <v/>
      </c>
      <c r="Z70" s="193" t="str">
        <f>IFERROR(__xludf.DUMMYFUNCTION("join("","",filter(split($G$82,"",""),ARRAYFORMULA(ISERROR(FIND(split($G$82,"",""),CONCATENATE(D70:U70))))=TRUE))"),"СЗ,КЗ,206,404,406,408,410")</f>
        <v>СЗ,КЗ,206,404,406,408,410</v>
      </c>
      <c r="AA70" s="85" t="str">
        <f t="shared" ref="AA70:AB70" si="46">AA$7</f>
        <v/>
      </c>
      <c r="AB70" s="85" t="str">
        <f t="shared" si="46"/>
        <v/>
      </c>
      <c r="AC70" s="15" t="str">
        <f>IFERROR(__xludf.DUMMYFUNCTION("join("","",filter(split(#REF!,"",""),ARRAYFORMULA(ISERROR(FIND(split(#REF!,"",""),CONCATENATE(D70:R70))))=TRUE))"),"#REF!")</f>
        <v>#REF!</v>
      </c>
      <c r="AD70" s="215"/>
      <c r="AE70" s="215"/>
      <c r="AF70" s="215"/>
    </row>
    <row r="71" ht="49.5" customHeight="1">
      <c r="A71" s="274"/>
      <c r="B71" s="26">
        <v>6.0</v>
      </c>
      <c r="C71" s="197"/>
      <c r="D71" s="37" t="s">
        <v>726</v>
      </c>
      <c r="E71" s="41"/>
      <c r="F71" s="43" t="s">
        <v>727</v>
      </c>
      <c r="G71" s="44" t="s">
        <v>728</v>
      </c>
      <c r="H71" s="34" t="s">
        <v>729</v>
      </c>
      <c r="I71" s="35" t="s">
        <v>730</v>
      </c>
      <c r="J71" s="13"/>
      <c r="K71" s="281" t="s">
        <v>731</v>
      </c>
      <c r="L71" s="41"/>
      <c r="M71" s="279" t="s">
        <v>732</v>
      </c>
      <c r="N71" s="280" t="s">
        <v>733</v>
      </c>
      <c r="O71" s="35" t="s">
        <v>734</v>
      </c>
      <c r="P71" s="41"/>
      <c r="Q71" s="282"/>
      <c r="R71" s="283" t="s">
        <v>735</v>
      </c>
      <c r="S71" s="35" t="s">
        <v>736</v>
      </c>
      <c r="T71" s="13"/>
      <c r="U71" s="34"/>
      <c r="V71" s="284" t="s">
        <v>646</v>
      </c>
      <c r="W71" s="44" t="s">
        <v>647</v>
      </c>
      <c r="X71" s="85"/>
      <c r="Y71" s="85" t="str">
        <f>X$8</f>
        <v/>
      </c>
      <c r="Z71" s="193" t="str">
        <f>IFERROR(__xludf.DUMMYFUNCTION("join("","",filter(split($G$82,"",""),ARRAYFORMULA(ISERROR(FIND(split($G$82,"",""),CONCATENATE(D71:U71))))=TRUE))"),"СЗ,КЗ,206,404,406,408,410")</f>
        <v>СЗ,КЗ,206,404,406,408,410</v>
      </c>
      <c r="AA71" s="85" t="str">
        <f t="shared" ref="AA71:AC71" si="47">Z$8</f>
        <v>#REF!</v>
      </c>
      <c r="AB71" s="85" t="str">
        <f t="shared" si="47"/>
        <v/>
      </c>
      <c r="AC71" s="85" t="str">
        <f t="shared" si="47"/>
        <v/>
      </c>
      <c r="AD71" s="15" t="str">
        <f>IFERROR(__xludf.DUMMYFUNCTION("join("","",filter(split(#REF!,"",""),ARRAYFORMULA(ISERROR(FIND(split(#REF!,"",""),CONCATENATE(D71:R71))))=TRUE))"),"#REF!")</f>
        <v>#REF!</v>
      </c>
      <c r="AE71" s="215"/>
      <c r="AF71" s="215"/>
    </row>
    <row r="72" ht="49.5" customHeight="1">
      <c r="A72" s="274"/>
      <c r="B72" s="26">
        <v>7.0</v>
      </c>
      <c r="C72" s="197"/>
      <c r="D72" s="37" t="s">
        <v>737</v>
      </c>
      <c r="E72" s="41"/>
      <c r="F72" s="43" t="s">
        <v>738</v>
      </c>
      <c r="G72" s="44" t="s">
        <v>739</v>
      </c>
      <c r="H72" s="34" t="s">
        <v>740</v>
      </c>
      <c r="I72" s="35" t="s">
        <v>741</v>
      </c>
      <c r="J72" s="13"/>
      <c r="K72" s="45" t="s">
        <v>742</v>
      </c>
      <c r="L72" s="41"/>
      <c r="M72" s="285"/>
      <c r="N72" s="286" t="s">
        <v>743</v>
      </c>
      <c r="O72" s="287" t="s">
        <v>744</v>
      </c>
      <c r="P72" s="280" t="s">
        <v>745</v>
      </c>
      <c r="Q72" s="285"/>
      <c r="R72" s="288" t="s">
        <v>746</v>
      </c>
      <c r="S72" s="35" t="s">
        <v>747</v>
      </c>
      <c r="T72" s="13"/>
      <c r="U72" s="34"/>
      <c r="V72" s="43" t="s">
        <v>85</v>
      </c>
      <c r="W72" s="44" t="s">
        <v>86</v>
      </c>
      <c r="X72" s="85"/>
      <c r="Y72" s="85" t="str">
        <f>Y$9</f>
        <v/>
      </c>
      <c r="Z72" s="193" t="str">
        <f>IFERROR(__xludf.DUMMYFUNCTION("join("","",filter(split($G$82,"",""),ARRAYFORMULA(ISERROR(FIND(split($G$82,"",""),CONCATENATE(D72:U72))))=TRUE))"),"СЗ,КЗ,206,404,406,408,409,410")</f>
        <v>СЗ,КЗ,206,404,406,408,409,410</v>
      </c>
      <c r="AA72" s="85" t="str">
        <f t="shared" ref="AA72:AB72" si="48">AA$9</f>
        <v/>
      </c>
      <c r="AB72" s="85" t="str">
        <f t="shared" si="48"/>
        <v/>
      </c>
      <c r="AC72" s="15" t="str">
        <f>IFERROR(__xludf.DUMMYFUNCTION("join("","",filter(split(#REF!,"",""),ARRAYFORMULA(ISERROR(FIND(split(#REF!,"",""),CONCATENATE(I72:R72))))=TRUE))"),"#REF!")</f>
        <v>#REF!</v>
      </c>
      <c r="AD72" s="215"/>
      <c r="AE72" s="215"/>
      <c r="AF72" s="215"/>
    </row>
    <row r="73" ht="52.5" customHeight="1">
      <c r="A73" s="289"/>
      <c r="B73" s="290">
        <v>8.0</v>
      </c>
      <c r="C73" s="234"/>
      <c r="D73" s="291" t="s">
        <v>748</v>
      </c>
      <c r="E73" s="292" t="s">
        <v>749</v>
      </c>
      <c r="F73" s="293" t="s">
        <v>750</v>
      </c>
      <c r="G73" s="294" t="s">
        <v>751</v>
      </c>
      <c r="H73" s="67"/>
      <c r="I73" s="295" t="s">
        <v>742</v>
      </c>
      <c r="J73" s="227"/>
      <c r="K73" s="254" t="s">
        <v>752</v>
      </c>
      <c r="L73" s="67"/>
      <c r="M73" s="296"/>
      <c r="N73" s="297" t="s">
        <v>753</v>
      </c>
      <c r="O73" s="298" t="s">
        <v>754</v>
      </c>
      <c r="P73" s="299" t="s">
        <v>755</v>
      </c>
      <c r="Q73" s="300"/>
      <c r="R73" s="301" t="s">
        <v>756</v>
      </c>
      <c r="S73" s="300"/>
      <c r="T73" s="108"/>
      <c r="U73" s="302"/>
      <c r="V73" s="43" t="s">
        <v>98</v>
      </c>
      <c r="W73" s="44" t="s">
        <v>99</v>
      </c>
      <c r="X73" s="85"/>
      <c r="Y73" s="85" t="str">
        <f>Y$10</f>
        <v/>
      </c>
      <c r="Z73" s="193" t="str">
        <f>IFERROR(__xludf.DUMMYFUNCTION("join("","",filter(split($G$82,"",""),ARRAYFORMULA(ISERROR(FIND(split($G$82,"",""),CONCATENATE(D73:U73))))=TRUE))"),"СЗ,КЗ,201,206,402,404,405,406,409,410")</f>
        <v>СЗ,КЗ,201,206,402,404,405,406,409,410</v>
      </c>
      <c r="AA73" s="85" t="str">
        <f>AA$10</f>
        <v/>
      </c>
      <c r="AB73" s="206"/>
      <c r="AC73" s="15" t="str">
        <f>IFERROR(__xludf.DUMMYFUNCTION("join("","",filter(split(#REF!,"",""),ARRAYFORMULA(ISERROR(FIND(split(#REF!,"",""),CONCATENATE(I73:R73))))=TRUE))"),"#REF!")</f>
        <v>#REF!</v>
      </c>
      <c r="AD73" s="215"/>
      <c r="AE73" s="215"/>
      <c r="AF73" s="215"/>
    </row>
    <row r="74" ht="40.5" customHeight="1">
      <c r="A74" s="18">
        <v>44807.0</v>
      </c>
      <c r="B74" s="303">
        <v>1.0</v>
      </c>
      <c r="C74" s="304"/>
      <c r="D74" s="305"/>
      <c r="E74" s="219"/>
      <c r="F74" s="219"/>
      <c r="G74" s="306" t="s">
        <v>757</v>
      </c>
      <c r="H74" s="247"/>
      <c r="I74" s="247"/>
      <c r="J74" s="247"/>
      <c r="K74" s="247"/>
      <c r="L74" s="247"/>
      <c r="M74" s="247"/>
      <c r="N74" s="247"/>
      <c r="O74" s="247"/>
      <c r="P74" s="247"/>
      <c r="Q74" s="247"/>
      <c r="R74" s="247"/>
      <c r="S74" s="247"/>
      <c r="T74" s="247"/>
      <c r="U74" s="6"/>
      <c r="V74" s="215"/>
      <c r="W74" s="215"/>
      <c r="X74" s="215"/>
      <c r="Y74" s="215"/>
      <c r="Z74" s="215"/>
      <c r="AA74" s="215"/>
      <c r="AB74" s="215"/>
      <c r="AC74" s="215"/>
      <c r="AD74" s="215"/>
      <c r="AE74" s="215"/>
      <c r="AF74" s="215"/>
    </row>
    <row r="75" ht="40.5" customHeight="1">
      <c r="A75" s="30"/>
      <c r="B75" s="207">
        <v>2.0</v>
      </c>
      <c r="C75" s="197"/>
      <c r="D75" s="264"/>
      <c r="E75" s="15"/>
      <c r="F75" s="15"/>
      <c r="G75" s="224"/>
      <c r="U75" s="134"/>
      <c r="V75" s="215"/>
      <c r="W75" s="215"/>
      <c r="X75" s="215"/>
      <c r="Y75" s="215"/>
      <c r="Z75" s="215"/>
      <c r="AA75" s="215"/>
      <c r="AB75" s="215"/>
      <c r="AC75" s="215"/>
      <c r="AD75" s="215"/>
      <c r="AE75" s="215"/>
      <c r="AF75" s="215"/>
    </row>
    <row r="76" ht="40.5" customHeight="1">
      <c r="A76" s="30"/>
      <c r="B76" s="207">
        <v>3.0</v>
      </c>
      <c r="C76" s="197"/>
      <c r="D76" s="264"/>
      <c r="E76" s="15"/>
      <c r="F76" s="15"/>
      <c r="G76" s="224"/>
      <c r="U76" s="134"/>
      <c r="V76" s="215"/>
      <c r="W76" s="215"/>
      <c r="X76" s="215"/>
      <c r="Y76" s="215"/>
      <c r="Z76" s="215"/>
      <c r="AA76" s="215"/>
      <c r="AB76" s="215"/>
      <c r="AC76" s="215"/>
      <c r="AD76" s="215"/>
      <c r="AE76" s="215"/>
      <c r="AF76" s="215"/>
    </row>
    <row r="77" ht="40.5" customHeight="1">
      <c r="A77" s="30"/>
      <c r="B77" s="207">
        <v>4.0</v>
      </c>
      <c r="C77" s="197"/>
      <c r="D77" s="264"/>
      <c r="E77" s="15"/>
      <c r="F77" s="15"/>
      <c r="G77" s="104"/>
      <c r="H77" s="64"/>
      <c r="I77" s="64"/>
      <c r="J77" s="64"/>
      <c r="K77" s="64"/>
      <c r="L77" s="64"/>
      <c r="M77" s="64"/>
      <c r="N77" s="64"/>
      <c r="O77" s="64"/>
      <c r="P77" s="64"/>
      <c r="Q77" s="64"/>
      <c r="R77" s="64"/>
      <c r="S77" s="64"/>
      <c r="T77" s="64"/>
      <c r="U77" s="88"/>
      <c r="V77" s="215"/>
      <c r="W77" s="215"/>
      <c r="X77" s="215"/>
      <c r="Y77" s="215"/>
      <c r="Z77" s="215"/>
      <c r="AA77" s="215"/>
      <c r="AB77" s="215"/>
      <c r="AC77" s="215"/>
      <c r="AD77" s="215"/>
      <c r="AE77" s="215"/>
      <c r="AF77" s="215"/>
    </row>
    <row r="78" ht="40.5" customHeight="1">
      <c r="A78" s="74"/>
      <c r="B78" s="77">
        <v>5.0</v>
      </c>
      <c r="C78" s="226"/>
      <c r="D78" s="110"/>
      <c r="E78" s="111"/>
      <c r="F78" s="111"/>
      <c r="G78" s="111"/>
      <c r="H78" s="111"/>
      <c r="I78" s="111"/>
      <c r="J78" s="111"/>
      <c r="K78" s="111"/>
      <c r="L78" s="111"/>
      <c r="M78" s="111"/>
      <c r="N78" s="111"/>
      <c r="O78" s="111"/>
      <c r="P78" s="111"/>
      <c r="Q78" s="111"/>
      <c r="R78" s="111"/>
      <c r="S78" s="111"/>
      <c r="T78" s="111"/>
      <c r="U78" s="112"/>
      <c r="V78" s="215"/>
      <c r="W78" s="215"/>
      <c r="X78" s="215"/>
      <c r="Y78" s="215"/>
      <c r="Z78" s="215"/>
      <c r="AA78" s="215"/>
      <c r="AB78" s="215"/>
      <c r="AC78" s="215"/>
      <c r="AD78" s="215"/>
      <c r="AE78" s="215"/>
      <c r="AF78" s="215"/>
    </row>
    <row r="79" ht="40.5" customHeight="1">
      <c r="A79" s="307"/>
      <c r="B79" s="241"/>
      <c r="C79" s="193"/>
      <c r="D79" s="193"/>
      <c r="E79" s="193"/>
      <c r="F79" s="193"/>
      <c r="G79" s="193"/>
      <c r="H79" s="193"/>
      <c r="I79" s="193"/>
      <c r="J79" s="193"/>
      <c r="K79" s="193"/>
      <c r="L79" s="193"/>
      <c r="M79" s="193"/>
      <c r="N79" s="193"/>
      <c r="O79" s="193"/>
      <c r="P79" s="193"/>
      <c r="Q79" s="193"/>
      <c r="R79" s="193"/>
      <c r="S79" s="193"/>
      <c r="T79" s="193"/>
      <c r="U79" s="193"/>
      <c r="V79" s="215"/>
      <c r="W79" s="215"/>
      <c r="X79" s="215"/>
      <c r="Y79" s="215"/>
      <c r="Z79" s="215"/>
      <c r="AA79" s="215"/>
      <c r="AB79" s="215"/>
      <c r="AC79" s="215"/>
      <c r="AD79" s="215"/>
      <c r="AE79" s="215"/>
      <c r="AF79" s="215"/>
    </row>
    <row r="80" ht="40.5" customHeight="1">
      <c r="A80" s="308"/>
      <c r="B80" s="215"/>
      <c r="C80" s="309"/>
      <c r="D80" s="310" t="s">
        <v>484</v>
      </c>
      <c r="E80" s="311"/>
      <c r="F80" s="211"/>
      <c r="G80" s="211"/>
      <c r="H80" s="211"/>
      <c r="I80" s="312"/>
      <c r="J80" s="211"/>
      <c r="K80" s="211"/>
      <c r="L80" s="311"/>
      <c r="M80" s="211"/>
      <c r="N80" s="211"/>
      <c r="O80" s="312"/>
      <c r="P80" s="311"/>
      <c r="Q80" s="211"/>
      <c r="R80" s="211"/>
      <c r="S80" s="312"/>
      <c r="T80" s="311"/>
      <c r="U80" s="211"/>
      <c r="V80" s="215"/>
      <c r="W80" s="215"/>
      <c r="X80" s="215"/>
      <c r="Y80" s="215"/>
      <c r="Z80" s="215"/>
      <c r="AA80" s="215"/>
      <c r="AB80" s="215"/>
      <c r="AC80" s="215"/>
      <c r="AD80" s="215"/>
      <c r="AE80" s="215"/>
      <c r="AF80" s="215"/>
    </row>
    <row r="81" ht="40.5" customHeight="1">
      <c r="A81" s="308"/>
      <c r="B81" s="215"/>
      <c r="C81" s="309"/>
      <c r="D81" s="313" t="s">
        <v>758</v>
      </c>
      <c r="E81" s="203"/>
      <c r="F81" s="203"/>
      <c r="G81" s="314" t="s">
        <v>759</v>
      </c>
      <c r="H81" s="211"/>
      <c r="I81" s="312"/>
      <c r="J81" s="211"/>
      <c r="K81" s="211"/>
      <c r="L81" s="311"/>
      <c r="M81" s="211"/>
      <c r="N81" s="211"/>
      <c r="O81" s="312"/>
      <c r="P81" s="311"/>
      <c r="Q81" s="211"/>
      <c r="R81" s="211"/>
      <c r="S81" s="312"/>
      <c r="T81" s="311"/>
      <c r="U81" s="211"/>
      <c r="V81" s="215"/>
      <c r="W81" s="215"/>
      <c r="X81" s="215"/>
      <c r="Y81" s="215"/>
      <c r="Z81" s="215"/>
      <c r="AA81" s="215"/>
      <c r="AB81" s="215"/>
      <c r="AC81" s="215"/>
      <c r="AD81" s="215"/>
      <c r="AE81" s="215"/>
      <c r="AF81" s="215"/>
    </row>
    <row r="82" ht="40.5" customHeight="1">
      <c r="A82" s="308"/>
      <c r="B82" s="215"/>
      <c r="C82" s="309"/>
      <c r="D82" s="202" t="s">
        <v>485</v>
      </c>
      <c r="E82" s="203"/>
      <c r="F82" s="203"/>
      <c r="G82" s="204" t="s">
        <v>486</v>
      </c>
      <c r="H82" s="211"/>
      <c r="I82" s="312"/>
      <c r="J82" s="211"/>
      <c r="K82" s="211"/>
      <c r="L82" s="311"/>
      <c r="M82" s="211"/>
      <c r="N82" s="211"/>
      <c r="O82" s="312"/>
      <c r="P82" s="311"/>
      <c r="Q82" s="211"/>
      <c r="R82" s="211"/>
      <c r="S82" s="312"/>
      <c r="T82" s="311"/>
      <c r="U82" s="211"/>
      <c r="V82" s="215"/>
      <c r="W82" s="215"/>
      <c r="X82" s="215"/>
      <c r="Y82" s="215"/>
      <c r="Z82" s="215"/>
      <c r="AA82" s="215"/>
      <c r="AB82" s="215"/>
      <c r="AC82" s="215"/>
      <c r="AD82" s="215"/>
      <c r="AE82" s="215"/>
      <c r="AF82" s="215"/>
    </row>
    <row r="83" ht="40.5" customHeight="1">
      <c r="A83" s="308"/>
      <c r="B83" s="215"/>
      <c r="C83" s="309"/>
      <c r="D83" s="312"/>
      <c r="E83" s="311"/>
      <c r="F83" s="211"/>
      <c r="G83" s="211"/>
      <c r="H83" s="211"/>
      <c r="I83" s="205" t="s">
        <v>487</v>
      </c>
      <c r="J83" s="205" t="b">
        <f>IFERROR(__xludf.DUMMYFUNCTION("IF(COUNTA(filter($D3:$U3,ARRAYFORMULA(ISERROR(FIND(join("","",filter(split($G$81,"",""),ARRAYFORMULA(ISERROR(FIND(split($G$81,"",""),D3)))=FALSE)),$D3:$U3))=FALSE)))&gt;1,FALSE,TRUE)"),TRUE)</f>
        <v>1</v>
      </c>
      <c r="K83" s="211"/>
      <c r="L83" s="311"/>
      <c r="M83" s="211"/>
      <c r="N83" s="211"/>
      <c r="O83" s="312"/>
      <c r="P83" s="311"/>
      <c r="Q83" s="211"/>
      <c r="R83" s="211"/>
      <c r="S83" s="312"/>
      <c r="T83" s="311"/>
      <c r="U83" s="211"/>
      <c r="V83" s="215"/>
      <c r="W83" s="215"/>
      <c r="X83" s="215"/>
      <c r="Y83" s="215"/>
      <c r="Z83" s="215"/>
      <c r="AA83" s="215"/>
      <c r="AB83" s="215"/>
      <c r="AC83" s="215"/>
      <c r="AD83" s="215"/>
      <c r="AE83" s="215"/>
      <c r="AF83" s="215"/>
    </row>
    <row r="84" ht="40.5" customHeight="1">
      <c r="A84" s="308"/>
      <c r="B84" s="215"/>
      <c r="C84" s="309"/>
      <c r="D84" s="312"/>
      <c r="E84" s="311"/>
      <c r="F84" s="211"/>
      <c r="G84" s="211"/>
      <c r="H84" s="211"/>
      <c r="I84" s="312"/>
      <c r="J84" s="211"/>
      <c r="K84" s="211"/>
      <c r="L84" s="311"/>
      <c r="M84" s="211"/>
      <c r="N84" s="211"/>
      <c r="O84" s="312"/>
      <c r="P84" s="311"/>
      <c r="Q84" s="211"/>
      <c r="R84" s="211"/>
      <c r="S84" s="312"/>
      <c r="T84" s="311"/>
      <c r="U84" s="211"/>
      <c r="V84" s="215"/>
      <c r="W84" s="215"/>
      <c r="X84" s="215"/>
      <c r="Y84" s="215"/>
      <c r="Z84" s="215"/>
      <c r="AA84" s="215"/>
      <c r="AB84" s="215"/>
      <c r="AC84" s="215"/>
      <c r="AD84" s="215"/>
      <c r="AE84" s="215"/>
      <c r="AF84" s="215"/>
    </row>
    <row r="85" ht="40.5" customHeight="1">
      <c r="A85" s="308"/>
      <c r="B85" s="215"/>
      <c r="C85" s="309"/>
      <c r="D85" s="312"/>
      <c r="E85" s="311"/>
      <c r="F85" s="211"/>
      <c r="G85" s="211"/>
      <c r="H85" s="211"/>
      <c r="I85" s="312"/>
      <c r="J85" s="211"/>
      <c r="K85" s="211"/>
      <c r="L85" s="311"/>
      <c r="M85" s="211"/>
      <c r="N85" s="211"/>
      <c r="O85" s="312"/>
      <c r="P85" s="311"/>
      <c r="Q85" s="211"/>
      <c r="R85" s="211"/>
      <c r="S85" s="312"/>
      <c r="T85" s="311"/>
      <c r="U85" s="211"/>
      <c r="V85" s="215"/>
      <c r="W85" s="215"/>
      <c r="X85" s="215"/>
      <c r="Y85" s="215"/>
      <c r="Z85" s="215"/>
      <c r="AA85" s="215"/>
      <c r="AB85" s="215"/>
      <c r="AC85" s="215"/>
      <c r="AD85" s="215"/>
      <c r="AE85" s="215"/>
      <c r="AF85" s="215"/>
    </row>
    <row r="86" ht="40.5" customHeight="1">
      <c r="A86" s="308"/>
      <c r="B86" s="215"/>
      <c r="C86" s="309"/>
      <c r="D86" s="312"/>
      <c r="E86" s="311"/>
      <c r="F86" s="211"/>
      <c r="G86" s="211"/>
      <c r="H86" s="211"/>
      <c r="I86" s="312"/>
      <c r="J86" s="211"/>
      <c r="K86" s="211"/>
      <c r="L86" s="311"/>
      <c r="M86" s="211"/>
      <c r="N86" s="211"/>
      <c r="O86" s="312"/>
      <c r="P86" s="311"/>
      <c r="Q86" s="211"/>
      <c r="R86" s="211"/>
      <c r="S86" s="312"/>
      <c r="T86" s="311"/>
      <c r="U86" s="211"/>
      <c r="V86" s="215"/>
      <c r="W86" s="215"/>
      <c r="X86" s="215"/>
      <c r="Y86" s="215"/>
      <c r="Z86" s="215"/>
      <c r="AA86" s="215"/>
      <c r="AB86" s="215"/>
      <c r="AC86" s="215"/>
      <c r="AD86" s="215"/>
      <c r="AE86" s="215"/>
      <c r="AF86" s="215"/>
    </row>
    <row r="87" ht="40.5" customHeight="1">
      <c r="A87" s="308"/>
      <c r="B87" s="215"/>
      <c r="C87" s="309"/>
      <c r="D87" s="312"/>
      <c r="E87" s="311"/>
      <c r="F87" s="211"/>
      <c r="G87" s="211"/>
      <c r="H87" s="211"/>
      <c r="I87" s="312"/>
      <c r="J87" s="211"/>
      <c r="K87" s="211"/>
      <c r="L87" s="311"/>
      <c r="M87" s="211"/>
      <c r="N87" s="211"/>
      <c r="O87" s="312"/>
      <c r="P87" s="311"/>
      <c r="Q87" s="211"/>
      <c r="R87" s="211"/>
      <c r="S87" s="312"/>
      <c r="T87" s="311"/>
      <c r="U87" s="211"/>
      <c r="V87" s="215"/>
      <c r="W87" s="215"/>
      <c r="X87" s="215"/>
      <c r="Y87" s="215"/>
      <c r="Z87" s="215"/>
      <c r="AA87" s="215"/>
      <c r="AB87" s="215"/>
      <c r="AC87" s="215"/>
      <c r="AD87" s="215"/>
      <c r="AE87" s="215"/>
      <c r="AF87" s="215"/>
    </row>
    <row r="88" ht="40.5" customHeight="1">
      <c r="A88" s="308"/>
      <c r="B88" s="215"/>
      <c r="C88" s="309"/>
      <c r="D88" s="312"/>
      <c r="E88" s="311"/>
      <c r="F88" s="211"/>
      <c r="G88" s="211"/>
      <c r="H88" s="211"/>
      <c r="I88" s="312"/>
      <c r="J88" s="211"/>
      <c r="K88" s="211"/>
      <c r="L88" s="311"/>
      <c r="M88" s="211"/>
      <c r="N88" s="211"/>
      <c r="O88" s="312"/>
      <c r="P88" s="311"/>
      <c r="Q88" s="211"/>
      <c r="R88" s="211"/>
      <c r="S88" s="312"/>
      <c r="T88" s="311"/>
      <c r="U88" s="211"/>
      <c r="V88" s="215"/>
      <c r="W88" s="215"/>
      <c r="X88" s="215"/>
      <c r="Y88" s="215"/>
      <c r="Z88" s="215"/>
      <c r="AA88" s="215"/>
      <c r="AB88" s="215"/>
      <c r="AC88" s="215"/>
      <c r="AD88" s="215"/>
      <c r="AE88" s="215"/>
      <c r="AF88" s="215"/>
    </row>
    <row r="89" ht="40.5" customHeight="1">
      <c r="A89" s="308"/>
      <c r="B89" s="215"/>
      <c r="C89" s="309"/>
      <c r="D89" s="312"/>
      <c r="E89" s="311"/>
      <c r="F89" s="211"/>
      <c r="G89" s="211"/>
      <c r="H89" s="211"/>
      <c r="I89" s="312"/>
      <c r="J89" s="211"/>
      <c r="K89" s="211"/>
      <c r="L89" s="311"/>
      <c r="M89" s="211"/>
      <c r="N89" s="211"/>
      <c r="O89" s="312"/>
      <c r="P89" s="311"/>
      <c r="Q89" s="211"/>
      <c r="R89" s="211"/>
      <c r="S89" s="312"/>
      <c r="T89" s="311"/>
      <c r="U89" s="211"/>
      <c r="V89" s="215"/>
      <c r="W89" s="215"/>
      <c r="X89" s="215"/>
      <c r="Y89" s="215"/>
      <c r="Z89" s="215"/>
      <c r="AA89" s="215"/>
      <c r="AB89" s="215"/>
      <c r="AC89" s="215"/>
      <c r="AD89" s="215"/>
      <c r="AE89" s="215"/>
      <c r="AF89" s="215"/>
    </row>
    <row r="90" ht="40.5" customHeight="1">
      <c r="A90" s="308"/>
      <c r="B90" s="215"/>
      <c r="C90" s="309"/>
      <c r="D90" s="312"/>
      <c r="E90" s="311"/>
      <c r="F90" s="211"/>
      <c r="G90" s="211"/>
      <c r="H90" s="211"/>
      <c r="I90" s="312"/>
      <c r="J90" s="211"/>
      <c r="K90" s="211"/>
      <c r="L90" s="311"/>
      <c r="M90" s="211"/>
      <c r="N90" s="211"/>
      <c r="O90" s="312"/>
      <c r="P90" s="311"/>
      <c r="Q90" s="211"/>
      <c r="R90" s="211"/>
      <c r="S90" s="312"/>
      <c r="T90" s="311"/>
      <c r="U90" s="211"/>
      <c r="V90" s="215"/>
      <c r="W90" s="215"/>
      <c r="X90" s="215"/>
      <c r="Y90" s="215"/>
      <c r="Z90" s="215"/>
      <c r="AA90" s="215"/>
      <c r="AB90" s="215"/>
      <c r="AC90" s="215"/>
      <c r="AD90" s="215"/>
      <c r="AE90" s="215"/>
      <c r="AF90" s="215"/>
    </row>
  </sheetData>
  <mergeCells count="274">
    <mergeCell ref="I19:J19"/>
    <mergeCell ref="I27:J27"/>
    <mergeCell ref="K27:L27"/>
    <mergeCell ref="M27:N27"/>
    <mergeCell ref="O27:R27"/>
    <mergeCell ref="S27:U27"/>
    <mergeCell ref="I18:J18"/>
    <mergeCell ref="K18:L18"/>
    <mergeCell ref="G19:H19"/>
    <mergeCell ref="K19:L19"/>
    <mergeCell ref="M19:N19"/>
    <mergeCell ref="S19:U19"/>
    <mergeCell ref="V26:W26"/>
    <mergeCell ref="A27:A36"/>
    <mergeCell ref="A37:A42"/>
    <mergeCell ref="A43:A54"/>
    <mergeCell ref="A55:A63"/>
    <mergeCell ref="A66:A73"/>
    <mergeCell ref="A74:A78"/>
    <mergeCell ref="D2:E2"/>
    <mergeCell ref="A3:A14"/>
    <mergeCell ref="A15:A26"/>
    <mergeCell ref="D17:E17"/>
    <mergeCell ref="D18:E18"/>
    <mergeCell ref="D19:E19"/>
    <mergeCell ref="D34:E34"/>
    <mergeCell ref="D28:E28"/>
    <mergeCell ref="D29:E29"/>
    <mergeCell ref="D39:E40"/>
    <mergeCell ref="D41:E41"/>
    <mergeCell ref="D42:E42"/>
    <mergeCell ref="D45:E45"/>
    <mergeCell ref="D46:E46"/>
    <mergeCell ref="D71:E71"/>
    <mergeCell ref="D72:E72"/>
    <mergeCell ref="D47:E47"/>
    <mergeCell ref="D48:E48"/>
    <mergeCell ref="D49:E49"/>
    <mergeCell ref="D50:E50"/>
    <mergeCell ref="D68:E68"/>
    <mergeCell ref="D69:E69"/>
    <mergeCell ref="D70:E70"/>
    <mergeCell ref="F1:H1"/>
    <mergeCell ref="I1:L1"/>
    <mergeCell ref="M1:N1"/>
    <mergeCell ref="O1:P1"/>
    <mergeCell ref="Q1:R1"/>
    <mergeCell ref="S1:U1"/>
    <mergeCell ref="V1:W1"/>
    <mergeCell ref="D1:E1"/>
    <mergeCell ref="F2:H2"/>
    <mergeCell ref="I2:L2"/>
    <mergeCell ref="M2:N2"/>
    <mergeCell ref="O2:P2"/>
    <mergeCell ref="Q2:R2"/>
    <mergeCell ref="S2:U2"/>
    <mergeCell ref="M4:N4"/>
    <mergeCell ref="O4:P4"/>
    <mergeCell ref="M5:N5"/>
    <mergeCell ref="O5:P5"/>
    <mergeCell ref="Q5:R5"/>
    <mergeCell ref="S5:U5"/>
    <mergeCell ref="S6:U6"/>
    <mergeCell ref="F3:G3"/>
    <mergeCell ref="I3:J3"/>
    <mergeCell ref="K3:L3"/>
    <mergeCell ref="M3:N3"/>
    <mergeCell ref="O3:P3"/>
    <mergeCell ref="T3:U3"/>
    <mergeCell ref="F4:G4"/>
    <mergeCell ref="T4:U4"/>
    <mergeCell ref="I4:J4"/>
    <mergeCell ref="K4:L4"/>
    <mergeCell ref="F5:G5"/>
    <mergeCell ref="F6:G6"/>
    <mergeCell ref="M6:N6"/>
    <mergeCell ref="O6:P6"/>
    <mergeCell ref="Q6:R6"/>
    <mergeCell ref="O28:P28"/>
    <mergeCell ref="Q28:R28"/>
    <mergeCell ref="S28:U28"/>
    <mergeCell ref="D20:E20"/>
    <mergeCell ref="D27:E27"/>
    <mergeCell ref="F27:G27"/>
    <mergeCell ref="F28:G28"/>
    <mergeCell ref="I28:J28"/>
    <mergeCell ref="K28:L28"/>
    <mergeCell ref="M28:N28"/>
    <mergeCell ref="F29:H29"/>
    <mergeCell ref="K29:L29"/>
    <mergeCell ref="M29:N29"/>
    <mergeCell ref="O29:P29"/>
    <mergeCell ref="Q29:R29"/>
    <mergeCell ref="S29:U29"/>
    <mergeCell ref="F30:G30"/>
    <mergeCell ref="S30:U30"/>
    <mergeCell ref="K32:L32"/>
    <mergeCell ref="K33:L33"/>
    <mergeCell ref="Q32:R32"/>
    <mergeCell ref="Q33:R33"/>
    <mergeCell ref="I33:J33"/>
    <mergeCell ref="I34:J34"/>
    <mergeCell ref="M34:N34"/>
    <mergeCell ref="O34:P34"/>
    <mergeCell ref="M35:N35"/>
    <mergeCell ref="O35:P35"/>
    <mergeCell ref="D37:U37"/>
    <mergeCell ref="D38:U38"/>
    <mergeCell ref="K30:L30"/>
    <mergeCell ref="M30:N30"/>
    <mergeCell ref="K31:L31"/>
    <mergeCell ref="M31:N31"/>
    <mergeCell ref="S31:U34"/>
    <mergeCell ref="M32:N32"/>
    <mergeCell ref="M33:N33"/>
    <mergeCell ref="I29:J29"/>
    <mergeCell ref="I30:J30"/>
    <mergeCell ref="F31:G31"/>
    <mergeCell ref="I31:J31"/>
    <mergeCell ref="F32:G32"/>
    <mergeCell ref="I32:J32"/>
    <mergeCell ref="F33:G33"/>
    <mergeCell ref="F43:G43"/>
    <mergeCell ref="F44:G44"/>
    <mergeCell ref="F45:G46"/>
    <mergeCell ref="F66:G66"/>
    <mergeCell ref="F67:G67"/>
    <mergeCell ref="F68:G69"/>
    <mergeCell ref="I50:J50"/>
    <mergeCell ref="K50:L50"/>
    <mergeCell ref="I57:L57"/>
    <mergeCell ref="I58:L58"/>
    <mergeCell ref="H59:I63"/>
    <mergeCell ref="H66:H67"/>
    <mergeCell ref="I66:L66"/>
    <mergeCell ref="G73:H73"/>
    <mergeCell ref="I73:J73"/>
    <mergeCell ref="K73:L73"/>
    <mergeCell ref="I67:L67"/>
    <mergeCell ref="I70:J70"/>
    <mergeCell ref="K70:L70"/>
    <mergeCell ref="I71:J71"/>
    <mergeCell ref="K71:L71"/>
    <mergeCell ref="I72:J72"/>
    <mergeCell ref="K72:L72"/>
    <mergeCell ref="S68:U68"/>
    <mergeCell ref="S69:U69"/>
    <mergeCell ref="O71:P71"/>
    <mergeCell ref="S71:T71"/>
    <mergeCell ref="S72:T72"/>
    <mergeCell ref="G74:U77"/>
    <mergeCell ref="O66:P66"/>
    <mergeCell ref="Q66:R66"/>
    <mergeCell ref="S66:U66"/>
    <mergeCell ref="O67:P67"/>
    <mergeCell ref="S67:U67"/>
    <mergeCell ref="M68:P68"/>
    <mergeCell ref="M69:P69"/>
    <mergeCell ref="T41:U41"/>
    <mergeCell ref="T42:U42"/>
    <mergeCell ref="Q43:R43"/>
    <mergeCell ref="S43:U43"/>
    <mergeCell ref="S44:U44"/>
    <mergeCell ref="S45:U45"/>
    <mergeCell ref="S46:U46"/>
    <mergeCell ref="S47:U47"/>
    <mergeCell ref="F39:H40"/>
    <mergeCell ref="I39:L40"/>
    <mergeCell ref="M39:N40"/>
    <mergeCell ref="O39:P40"/>
    <mergeCell ref="Q39:R40"/>
    <mergeCell ref="S39:U40"/>
    <mergeCell ref="G41:H41"/>
    <mergeCell ref="I41:J41"/>
    <mergeCell ref="K41:L41"/>
    <mergeCell ref="G42:H42"/>
    <mergeCell ref="I42:J42"/>
    <mergeCell ref="K42:L42"/>
    <mergeCell ref="I43:J43"/>
    <mergeCell ref="K43:L43"/>
    <mergeCell ref="I44:J44"/>
    <mergeCell ref="K44:L44"/>
    <mergeCell ref="M45:N45"/>
    <mergeCell ref="M46:N46"/>
    <mergeCell ref="I47:J47"/>
    <mergeCell ref="K47:L47"/>
    <mergeCell ref="O47:P47"/>
    <mergeCell ref="O50:P50"/>
    <mergeCell ref="Q50:R50"/>
    <mergeCell ref="D51:U52"/>
    <mergeCell ref="V54:W54"/>
    <mergeCell ref="I55:L55"/>
    <mergeCell ref="I48:J48"/>
    <mergeCell ref="K48:L48"/>
    <mergeCell ref="O48:P48"/>
    <mergeCell ref="I49:J49"/>
    <mergeCell ref="K49:L49"/>
    <mergeCell ref="O49:P49"/>
    <mergeCell ref="G50:H50"/>
    <mergeCell ref="O70:P70"/>
    <mergeCell ref="S70:U70"/>
    <mergeCell ref="Q8:R8"/>
    <mergeCell ref="S8:U8"/>
    <mergeCell ref="I7:J7"/>
    <mergeCell ref="K7:L7"/>
    <mergeCell ref="M7:N8"/>
    <mergeCell ref="Q7:R7"/>
    <mergeCell ref="S7:U7"/>
    <mergeCell ref="I8:J8"/>
    <mergeCell ref="K8:L8"/>
    <mergeCell ref="Q9:R9"/>
    <mergeCell ref="Q10:R10"/>
    <mergeCell ref="G9:H9"/>
    <mergeCell ref="I9:J9"/>
    <mergeCell ref="K9:L9"/>
    <mergeCell ref="M9:N9"/>
    <mergeCell ref="S9:U12"/>
    <mergeCell ref="G10:H10"/>
    <mergeCell ref="M10:N10"/>
    <mergeCell ref="Z11:Z12"/>
    <mergeCell ref="Q15:R15"/>
    <mergeCell ref="T15:U15"/>
    <mergeCell ref="I10:J10"/>
    <mergeCell ref="K10:L10"/>
    <mergeCell ref="D11:R11"/>
    <mergeCell ref="V14:W14"/>
    <mergeCell ref="F15:G15"/>
    <mergeCell ref="I15:J15"/>
    <mergeCell ref="K15:L15"/>
    <mergeCell ref="Q16:R16"/>
    <mergeCell ref="T16:U16"/>
    <mergeCell ref="M15:N15"/>
    <mergeCell ref="O15:P15"/>
    <mergeCell ref="F16:G16"/>
    <mergeCell ref="I16:J16"/>
    <mergeCell ref="K16:L16"/>
    <mergeCell ref="M16:N16"/>
    <mergeCell ref="O16:P16"/>
    <mergeCell ref="M18:N18"/>
    <mergeCell ref="O18:P18"/>
    <mergeCell ref="F17:H17"/>
    <mergeCell ref="I17:J17"/>
    <mergeCell ref="K17:L17"/>
    <mergeCell ref="M17:N17"/>
    <mergeCell ref="O17:P17"/>
    <mergeCell ref="S17:U17"/>
    <mergeCell ref="F18:H18"/>
    <mergeCell ref="S18:U18"/>
    <mergeCell ref="M21:N21"/>
    <mergeCell ref="O21:P21"/>
    <mergeCell ref="G20:H20"/>
    <mergeCell ref="I20:J20"/>
    <mergeCell ref="K20:L20"/>
    <mergeCell ref="M20:N20"/>
    <mergeCell ref="S20:U20"/>
    <mergeCell ref="I21:J21"/>
    <mergeCell ref="K21:L21"/>
    <mergeCell ref="S21:U21"/>
    <mergeCell ref="D21:E21"/>
    <mergeCell ref="D22:E22"/>
    <mergeCell ref="I22:J22"/>
    <mergeCell ref="K22:L22"/>
    <mergeCell ref="M22:N22"/>
    <mergeCell ref="O22:P22"/>
    <mergeCell ref="S22:U22"/>
    <mergeCell ref="S23:U23"/>
    <mergeCell ref="S24:U24"/>
    <mergeCell ref="F23:L23"/>
    <mergeCell ref="M23:N23"/>
    <mergeCell ref="O23:P23"/>
    <mergeCell ref="Q23:R23"/>
    <mergeCell ref="Z23:Z24"/>
    <mergeCell ref="F24:L24"/>
    <mergeCell ref="M24:N24"/>
  </mergeCells>
  <conditionalFormatting sqref="C1:S90 T1:T12 U13:U14 T15:T34 U35:U36 T37:T90 U42 U47:U49 U70:U72 V71">
    <cfRule type="containsText" dxfId="0" priority="1" operator="containsText" text="Физика">
      <formula>NOT(ISERROR(SEARCH(("Физика"),(C1))))</formula>
    </cfRule>
  </conditionalFormatting>
  <conditionalFormatting sqref="D51:U52">
    <cfRule type="containsText" dxfId="1" priority="2" operator="containsText" text="Шерашова">
      <formula>NOT(ISERROR(SEARCH(("Шерашова"),(D51))))</formula>
    </cfRule>
  </conditionalFormatting>
  <conditionalFormatting sqref="C2:S50 T2:T12 U13:U14 T15:T34 U35:U36 T37:T50 U42 U47:U49 C66:T73 U70:U72 V71">
    <cfRule type="containsText" dxfId="2" priority="3" operator="containsText" text="Шерашова">
      <formula>NOT(ISERROR(SEARCH(("Шерашова"),(C2))))</formula>
    </cfRule>
  </conditionalFormatting>
  <conditionalFormatting sqref="C2:S50 T2:T12 U13:U14 T15:T34 U35:U36 T37:T50 U42 U47:U49 C66:T73 U70:U72 V71">
    <cfRule type="containsText" dxfId="3" priority="4" operator="containsText" text="Англ">
      <formula>NOT(ISERROR(SEARCH(("Англ"),(C2))))</formula>
    </cfRule>
  </conditionalFormatting>
  <conditionalFormatting sqref="C2:S50 T2:T12 U13:U14 T15:T34 U35:U36 T37:T50 U42 U47:U49 C66:T73 U70:U72 V71">
    <cfRule type="containsText" dxfId="4" priority="5" operator="containsText" text="Театр">
      <formula>NOT(ISERROR(SEARCH(("Театр"),(C2))))</formula>
    </cfRule>
  </conditionalFormatting>
  <conditionalFormatting sqref="C2:S50 T2:T12 U13:U14 T15:T34 U35:U36 T37:T50 U42 U47:U49 C66:T73 U70:U72 V71">
    <cfRule type="containsText" dxfId="5" priority="6" operator="containsText" text="Колечкин">
      <formula>NOT(ISERROR(SEARCH(("Колечкин"),(C2))))</formula>
    </cfRule>
  </conditionalFormatting>
  <conditionalFormatting sqref="C2:U73 V48 V66:V73 W71">
    <cfRule type="containsText" dxfId="0" priority="7" operator="containsText" text="Репнев">
      <formula>NOT(ISERROR(SEARCH(("Репнев"),(C2))))</formula>
    </cfRule>
  </conditionalFormatting>
  <conditionalFormatting sqref="C2:U63 V48 C66:V73 W71">
    <cfRule type="containsText" dxfId="6" priority="8" operator="containsText" text="Рогацкина">
      <formula>NOT(ISERROR(SEARCH(("Рогацкина"),(C2))))</formula>
    </cfRule>
  </conditionalFormatting>
  <conditionalFormatting sqref="C2:U73 V48 V66:V73 W71">
    <cfRule type="containsText" dxfId="7" priority="9" operator="containsText" text="Белоусова">
      <formula>NOT(ISERROR(SEARCH(("Белоусова"),(C2))))</formula>
    </cfRule>
  </conditionalFormatting>
  <conditionalFormatting sqref="C2:U58 V48 C66:V73 W71">
    <cfRule type="containsText" dxfId="8" priority="10" operator="containsText" text="Караванова">
      <formula>NOT(ISERROR(SEARCH(("Караванова"),(C2))))</formula>
    </cfRule>
  </conditionalFormatting>
  <conditionalFormatting sqref="C2:U61 V48 C66:V73 W71">
    <cfRule type="containsText" dxfId="9" priority="11" operator="containsText" text="Дронзик">
      <formula>NOT(ISERROR(SEARCH(("Дронзик"),(C2))))</formula>
    </cfRule>
  </conditionalFormatting>
  <conditionalFormatting sqref="C2:U62 V48 C66:V73 W71">
    <cfRule type="containsText" dxfId="10" priority="12" operator="containsText" text="Старунова">
      <formula>NOT(ISERROR(SEARCH(("Старунова"),(C2))))</formula>
    </cfRule>
  </conditionalFormatting>
  <conditionalFormatting sqref="C2:U60 V48 C66:V73 W71">
    <cfRule type="containsText" dxfId="11" priority="13" operator="containsText" text="Харитонов">
      <formula>NOT(ISERROR(SEARCH(("Харитонов"),(C2))))</formula>
    </cfRule>
  </conditionalFormatting>
  <conditionalFormatting sqref="C2:U73 V48 V66:V73 W71">
    <cfRule type="containsText" dxfId="12" priority="14" operator="containsText" text="Хуснутдинов">
      <formula>NOT(ISERROR(SEARCH(("Хуснутдинов"),(C2))))</formula>
    </cfRule>
  </conditionalFormatting>
  <conditionalFormatting sqref="C2:U64 V48 C66:V73 W71">
    <cfRule type="containsText" dxfId="13" priority="15" operator="containsText" text="Решетников">
      <formula>NOT(ISERROR(SEARCH(("Решетников"),(C2))))</formula>
    </cfRule>
  </conditionalFormatting>
  <conditionalFormatting sqref="C2:U73 V48 V66:V73 W71">
    <cfRule type="containsText" dxfId="14" priority="16" operator="containsText" text="Заводов">
      <formula>NOT(ISERROR(SEARCH(("Заводов"),(C2))))</formula>
    </cfRule>
  </conditionalFormatting>
  <conditionalFormatting sqref="C1:U64 V48 C66:V73 W71">
    <cfRule type="containsText" dxfId="15" priority="17" operator="containsText" text="Абрамов">
      <formula>NOT(ISERROR(SEARCH(("Абрамов"),(C1))))</formula>
    </cfRule>
  </conditionalFormatting>
  <conditionalFormatting sqref="C2:U73 V48 V66:V73 W71">
    <cfRule type="containsText" dxfId="16" priority="18" operator="containsText" text="Климов">
      <formula>NOT(ISERROR(SEARCH(("Климов"),(C2))))</formula>
    </cfRule>
  </conditionalFormatting>
  <conditionalFormatting sqref="C2:U59 V48 C66:V73 W71">
    <cfRule type="containsText" dxfId="17" priority="19" operator="containsText" text="Клейменов">
      <formula>NOT(ISERROR(SEARCH(("Клейменов"),(C2))))</formula>
    </cfRule>
  </conditionalFormatting>
  <conditionalFormatting sqref="C2:U73 V48 V66:V73 W71">
    <cfRule type="containsText" dxfId="18" priority="20" operator="containsText" text="Попович">
      <formula>NOT(ISERROR(SEARCH(("Попович"),(C2))))</formula>
    </cfRule>
  </conditionalFormatting>
  <conditionalFormatting sqref="C2:U73 V48 V66:V73 W71">
    <cfRule type="containsText" dxfId="19" priority="21" operator="containsText" text="Исмаилов">
      <formula>NOT(ISERROR(SEARCH(("Исмаилов"),(C2))))</formula>
    </cfRule>
  </conditionalFormatting>
  <conditionalFormatting sqref="D2:E14 F2:H42 I2:J44 K2:N42 O2:O8 P2:P42 Q2:U6 S8:U42 Q9 O11:O42 Q11:Q43 R11:R35 D17:E18 D21:D22 E21 D24:E24 D26:E33 D35:E42 R37:R42 R44:R50 D45:E46 O45:O50 Q47:Q50 D49:G50 H49 P49:P50 I50:J50 I66:J67 Q66 R67:R73 D68:E69 Q69:Q73 H70:H72 O70:O73 K71 D72:G73 I73:J73">
    <cfRule type="containsText" dxfId="20" priority="22" operator="containsText" text="Ларченко">
      <formula>NOT(ISERROR(SEARCH(("Ларченко"),(D2))))</formula>
    </cfRule>
  </conditionalFormatting>
  <conditionalFormatting sqref="D2:U63 D66:V73">
    <cfRule type="containsText" dxfId="21" priority="23" operator="containsText" text="Краснова">
      <formula>NOT(ISERROR(SEARCH(("Краснова"),(D2))))</formula>
    </cfRule>
  </conditionalFormatting>
  <conditionalFormatting sqref="D2:U63 D66:V73">
    <cfRule type="containsText" dxfId="22" priority="24" operator="containsText" text="Белоус">
      <formula>NOT(ISERROR(SEARCH(("Белоус"),(D2))))</formula>
    </cfRule>
  </conditionalFormatting>
  <conditionalFormatting sqref="D2:U63 D66:V73">
    <cfRule type="containsText" dxfId="23" priority="25" operator="containsText" text="Куницын">
      <formula>NOT(ISERROR(SEARCH(("Куницын"),(D2))))</formula>
    </cfRule>
  </conditionalFormatting>
  <dataValidations>
    <dataValidation type="custom" allowBlank="1" showDropDown="1" sqref="O5">
      <formula1>IF(COUNTA(filter($D41:$U41,ARRAYFORMULA(ISERROR(FIND(join(",",filter(split($G$81,","),ARRAYFORMULA(ISERROR(FIND(split($G$81,","),O5)))=FALSE)),$D41:$U41))=FALSE)))&gt;1,FALSE,TRUE)</formula1>
    </dataValidation>
    <dataValidation type="custom" allowBlank="1" showDropDown="1" sqref="M31">
      <formula1>IF(COUNTA(filter($D32:$U32,ARRAYFORMULA(ISERROR(FIND(join(",",filter(split($G$81,","),ARRAYFORMULA(ISERROR(FIND(split($G$81,","),#REF!)))=FALSE)),$D32:$U32))=FALSE)))&gt;1,FALSE,TRUE)</formula1>
    </dataValidation>
    <dataValidation type="custom" allowBlank="1" showDropDown="1" sqref="Q67:Q68 S67:S72 U71:U72">
      <formula1>IF(COUNTA(filter($D66:$V66,ARRAYFORMULA(ISERROR(FIND(join(",",filter(split($G$87,","),ARRAYFORMULA(ISERROR(FIND(split($G$87,","),Q67)))=FALSE)),$D66:$V66))=FALSE)))&gt;1,FALSE,TRUE)</formula1>
    </dataValidation>
    <dataValidation type="custom" allowBlank="1" showDropDown="1" sqref="G9 F10 F19:G20 F21:H22 M21:M22 M28 F30:F31 H32:H33 I47 K48">
      <formula1>IF(COUNTA(filter($D5:$U5,ARRAYFORMULA(ISERROR(FIND(join(",",filter(split($G$81,","),ARRAYFORMULA(ISERROR(FIND(split($G$81,","),F9)))=FALSE)),$D5:$U5))=FALSE)))&gt;1,FALSE,TRUE)</formula1>
    </dataValidation>
    <dataValidation type="custom" allowBlank="1" showDropDown="1" sqref="S27:S28 O39 O49:O50">
      <formula1>IF(COUNTA(filter($D29:$U29,ARRAYFORMULA(ISERROR(FIND(join(",",filter(split($G$81,","),ARRAYFORMULA(ISERROR(FIND(split($G$81,","),O27)))=FALSE)),$D29:$U29))=FALSE)))&gt;1,FALSE,TRUE)</formula1>
    </dataValidation>
    <dataValidation type="custom" allowBlank="1" showDropDown="1" sqref="D66:F67 M66:O67 F68 I68:M69 F70:H70 K70 F71:I71 D70:D72 F72:H72 D73:G73 K72:K73 M70:N73 P72:P73 V66:V73">
      <formula1>IF(COUNTA(filter($D66:$V66,ARRAYFORMULA(ISERROR(FIND(join(",",filter(split($G$87,","),ARRAYFORMULA(ISERROR(FIND(split($G$87,","),D66)))=FALSE)),$D66:$V66))=FALSE)))&gt;1,FALSE,TRUE)</formula1>
    </dataValidation>
    <dataValidation type="custom" allowBlank="1" showDropDown="1" sqref="I66:I67 D68:D69">
      <formula1>IF(COUNTA(filter($D26:$V26,ARRAYFORMULA(ISERROR(FIND(join(",",filter(split($G$87,","),ARRAYFORMULA(ISERROR(FIND(split($G$87,","),D66)))=FALSE)),$D26:$V26))=FALSE)))&gt;1,FALSE,TRUE)</formula1>
    </dataValidation>
    <dataValidation type="custom" allowBlank="1" showDropDown="1" sqref="O34">
      <formula1>IF(COUNTA(filter($D42:$U42,ARRAYFORMULA(ISERROR(FIND(join(",",filter(split($G$81,","),ARRAYFORMULA(ISERROR(FIND(split($G$81,","),O34)))=FALSE)),$D42:$U42))=FALSE)))&gt;1,FALSE,TRUE)</formula1>
    </dataValidation>
    <dataValidation type="custom" allowBlank="1" showDropDown="1" sqref="M15:M16 Q17:R18 O19:P20 D21:D22 I30 I32 M32:M33 I49:I50">
      <formula1>IF(COUNTA(filter($D13:$U13,ARRAYFORMULA(ISERROR(FIND(join(",",filter(split($G$81,","),ARRAYFORMULA(ISERROR(FIND(split($G$81,","),D15)))=FALSE)),$D13:$U13))=FALSE)))&gt;1,FALSE,TRUE)</formula1>
    </dataValidation>
    <dataValidation type="custom" allowBlank="1" showDropDown="1" sqref="I7:I8 K9:K10">
      <formula1>IF(COUNTA(filter($D31:$U31,ARRAYFORMULA(ISERROR(FIND(join(",",filter(split($G$81,","),ARRAYFORMULA(ISERROR(FIND(split($G$81,","),I7)))=FALSE)),$D31:$U31))=FALSE)))&gt;1,FALSE,TRUE)</formula1>
    </dataValidation>
    <dataValidation type="custom" allowBlank="1" showDropDown="1" sqref="R48">
      <formula1>IF(COUNTA(filter($D34:$U34,ARRAYFORMULA(ISERROR(FIND(join(",",filter(split($G$81,","),ARRAYFORMULA(ISERROR(FIND(split($G$81,","),R48)))=FALSE)),$D34:$U34))=FALSE)))&gt;1,FALSE,TRUE)</formula1>
    </dataValidation>
    <dataValidation type="custom" allowBlank="1" showDropDown="1" sqref="O45:O46">
      <formula1>IF(COUNTA(filter($D9:$U9,ARRAYFORMULA(ISERROR(FIND(join(",",filter(split($G$81,","),ARRAYFORMULA(ISERROR(FIND(split($G$81,","),O45)))=FALSE)),$D9:$U9))=FALSE)))&gt;1,FALSE,TRUE)</formula1>
    </dataValidation>
    <dataValidation type="custom" allowBlank="1" showDropDown="1" sqref="K28">
      <formula1>IF(COUNTA(filter($D31:$U31,ARRAYFORMULA(ISERROR(FIND(join(",",filter(split($G$81,","),ARRAYFORMULA(ISERROR(FIND(split($G$81,","),K28)))=FALSE)),$D31:$U31))=FALSE)))&gt;1,FALSE,TRUE)</formula1>
    </dataValidation>
    <dataValidation type="custom" allowBlank="1" showDropDown="1" sqref="F4">
      <formula1>IF(COUNTA(filter($D29:$U29,ARRAYFORMULA(ISERROR(FIND(join(",",filter(split($G$81,","),ARRAYFORMULA(ISERROR(FIND(split($G$81,","),F4)))=FALSE)),$D29:$U29))=FALSE)))&gt;1,FALSE,TRUE)</formula1>
    </dataValidation>
    <dataValidation type="custom" allowBlank="1" showDropDown="1" sqref="R71">
      <formula1>IF(COUNTA(filter($D51:$V51,ARRAYFORMULA(ISERROR(FIND(join(",",filter(split($G$87,","),ARRAYFORMULA(ISERROR(FIND(split($G$87,","),R71)))=FALSE)),$D51:$V51))=FALSE)))&gt;1,FALSE,TRUE)</formula1>
    </dataValidation>
    <dataValidation type="custom" allowBlank="1" showDropDown="1" sqref="S19:S20 S22">
      <formula1>IF(COUNTA(filter($D28:$U28,ARRAYFORMULA(ISERROR(FIND(join(",",filter(split($G$81,","),ARRAYFORMULA(ISERROR(FIND(split($G$81,","),S19)))=FALSE)),$D28:$U28))=FALSE)))&gt;1,FALSE,TRUE)</formula1>
    </dataValidation>
    <dataValidation type="custom" allowBlank="1" showDropDown="1" sqref="D50">
      <formula1>IF(COUNTA(filter($D26:$U26,ARRAYFORMULA(ISERROR(FIND(join(",",filter(split($G$81,","),ARRAYFORMULA(ISERROR(FIND(split($G$81,","),D50)))=FALSE)),$D26:$U26))=FALSE)))&gt;1,FALSE,TRUE)</formula1>
    </dataValidation>
    <dataValidation type="custom" allowBlank="1" showDropDown="1" sqref="H43:H44">
      <formula1>IF(COUNTA(filter($D43:$U43,ARRAYFORMULA(ISERROR(FIND(join(",",filter(split($G$81,","),ARRAYFORMULA(ISERROR(FIND(split($G$81,","),#REF!)))=FALSE)),$D43:$U43))=FALSE)))&gt;1,FALSE,TRUE)</formula1>
    </dataValidation>
    <dataValidation type="custom" allowBlank="1" showDropDown="1" sqref="F7:H7 K27 F34:H34">
      <formula1>IF(COUNTA(filter($D7:$U7,ARRAYFORMULA(ISERROR(FIND(join(",",filter(split($G$81,","),ARRAYFORMULA(ISERROR(FIND(split($G$81,","),#REF!)))=FALSE)),$D7:$U7))=FALSE)))&gt;1,FALSE,TRUE)</formula1>
    </dataValidation>
    <dataValidation type="custom" allowBlank="1" showDropDown="1" sqref="M3:M4">
      <formula1>IF(COUNTA(filter($D37:$U37,ARRAYFORMULA(ISERROR(FIND(join(",",filter(split($G$81,","),ARRAYFORMULA(ISERROR(FIND(split($G$81,","),M3)))=FALSE)),$D37:$U37))=FALSE)))&gt;1,FALSE,TRUE)</formula1>
    </dataValidation>
    <dataValidation type="custom" allowBlank="1" showDropDown="1" sqref="S15:T16 S17:S18 O27 I29 K29">
      <formula1>IF(COUNTA(filter($D19:$U19,ARRAYFORMULA(ISERROR(FIND(join(",",filter(split($G$81,","),ARRAYFORMULA(ISERROR(FIND(split($G$81,","),I15)))=FALSE)),$D19:$U19))=FALSE)))&gt;1,FALSE,TRUE)</formula1>
    </dataValidation>
    <dataValidation type="custom" allowBlank="1" showDropDown="1" sqref="Q66 O70:O71">
      <formula1>IF(COUNTA(filter(#REF!,ARRAYFORMULA(ISERROR(FIND(join(",",filter(split($G$87,","),ARRAYFORMULA(ISERROR(FIND(split($G$87,","),O66)))=FALSE)),#REF!))=FALSE)))&gt;1,FALSE,TRUE)</formula1>
    </dataValidation>
    <dataValidation type="custom" allowBlank="1" showDropDown="1" sqref="Q15:Q16">
      <formula1>IF(COUNTA(filter($D3:$U3,ARRAYFORMULA(ISERROR(FIND(join(",",filter(split($G$81,","),ARRAYFORMULA(ISERROR(FIND(split($G$81,","),Q15)))=FALSE)),$D3:$U3))=FALSE)))&gt;1,FALSE,TRUE)</formula1>
    </dataValidation>
    <dataValidation type="custom" allowBlank="1" showDropDown="1" sqref="I43:I44 D45:D46">
      <formula1>IF(COUNTA(filter($D9:$U9,ARRAYFORMULA(ISERROR(FIND(join(",",filter(split($G$81,","),ARRAYFORMULA(ISERROR(FIND(split($G$81,","),D43)))=FALSE)),$D9:$U9))=FALSE)))&gt;1,FALSE,TRUE)</formula1>
    </dataValidation>
    <dataValidation type="custom" allowBlank="1" showDropDown="1" sqref="H66">
      <formula1>IF(COUNTA(filter($D66:$V66,ARRAYFORMULA(ISERROR(FIND(join(",",filter(split($G$87,","),ARRAYFORMULA(ISERROR(FIND(split($G$87,","),#REF!)))=FALSE)),$D66:$V66))=FALSE)))&gt;1,FALSE,TRUE)</formula1>
    </dataValidation>
    <dataValidation type="custom" allowBlank="1" showDropDown="1" sqref="K32">
      <formula1>IF(COUNTA(filter($D29:$U29,ARRAYFORMULA(ISERROR(FIND(join(",",filter(split($G$81,","),ARRAYFORMULA(ISERROR(FIND(split($G$81,","),K32)))=FALSE)),$D29:$U29))=FALSE)))&gt;1,FALSE,TRUE)</formula1>
    </dataValidation>
    <dataValidation type="custom" allowBlank="1" showDropDown="1" sqref="D39">
      <formula1>IF(COUNTA(filter($D39:$U39,ARRAYFORMULA(ISERROR(FIND(join(",",filter(split($G$82,","),ARRAYFORMULA(ISERROR(FIND(split($G$82,","),D39)))=FALSE)),$D39:$U39))=FALSE)))&gt;1,FALSE,TRUE)</formula1>
    </dataValidation>
    <dataValidation type="custom" allowBlank="1" showDropDown="1" sqref="I72:I73">
      <formula1>IF(COUNTA(filter($D70:$V70,ARRAYFORMULA(ISERROR(FIND(join(",",filter(split($G$87,","),ARRAYFORMULA(ISERROR(FIND(split($G$87,","),I72)))=FALSE)),$D70:$V70))=FALSE)))&gt;1,FALSE,TRUE)</formula1>
    </dataValidation>
    <dataValidation type="custom" allowBlank="1" showDropDown="1" sqref="O6">
      <formula1>IF(COUNTA(filter($D42:$U42,ARRAYFORMULA(ISERROR(FIND(join(",",filter(split($G$81,","),ARRAYFORMULA(ISERROR(FIND(split($G$81,","),#REF!)))=FALSE)),$D42:$U42))=FALSE)))&gt;1,FALSE,TRUE)</formula1>
    </dataValidation>
    <dataValidation type="custom" allowBlank="1" showDropDown="1" sqref="E15:E16">
      <formula1>IF(COUNTA(filter($D47:$U47,ARRAYFORMULA(ISERROR(FIND(join(",",filter(split($G$81,","),ARRAYFORMULA(ISERROR(FIND(split($G$81,","),E15)))=FALSE)),$D47:$U47))=FALSE)))&gt;1,FALSE,TRUE)</formula1>
    </dataValidation>
    <dataValidation type="custom" allowBlank="1" showDropDown="1" sqref="H3 Q32:Q33">
      <formula1>IF(COUNTA(filter($D8:$U8,ARRAYFORMULA(ISERROR(FIND(join(",",filter(split($G$81,","),ARRAYFORMULA(ISERROR(FIND(split($G$81,","),H3)))=FALSE)),$D8:$U8))=FALSE)))&gt;1,FALSE,TRUE)</formula1>
    </dataValidation>
    <dataValidation type="custom" allowBlank="1" showDropDown="1" sqref="R3:R4">
      <formula1>IF(COUNTA(filter($D29:$U29,ARRAYFORMULA(ISERROR(FIND(join(",",filter(split($G$81,","),ARRAYFORMULA(ISERROR(FIND(split($G$81,","),R3)))=FALSE)),$D29:$U29))=FALSE)))&gt;1,FALSE,TRUE)</formula1>
    </dataValidation>
    <dataValidation type="custom" allowBlank="1" showDropDown="1" sqref="F3 D15:D16">
      <formula1>IF(COUNTA(filter($D33:$U33,ARRAYFORMULA(ISERROR(FIND(join(",",filter(split($G$81,","),ARRAYFORMULA(ISERROR(FIND(split($G$81,","),D3)))=FALSE)),$D33:$U33))=FALSE)))&gt;1,FALSE,TRUE)</formula1>
    </dataValidation>
    <dataValidation type="custom" allowBlank="1" showDropDown="1" sqref="M5 O15:O18 M34:M35 O35 D37 Q43 R46:R47 O47:O48">
      <formula1>IF(COUNTA(filter(#REF!,ARRAYFORMULA(ISERROR(FIND(join(",",filter(split($G$81,","),ARRAYFORMULA(ISERROR(FIND(split($G$81,","),D5)))=FALSE)),#REF!))=FALSE)))&gt;1,FALSE,TRUE)</formula1>
    </dataValidation>
    <dataValidation type="custom" allowBlank="1" showDropDown="1" sqref="H5:H6">
      <formula1>IF(COUNTA(filter($D28:$U28,ARRAYFORMULA(ISERROR(FIND(join(",",filter(split($G$81,","),ARRAYFORMULA(ISERROR(FIND(split($G$81,","),H5)))=FALSE)),$D28:$U28))=FALSE)))&gt;1,FALSE,TRUE)</formula1>
    </dataValidation>
    <dataValidation type="custom" allowBlank="1" showDropDown="1" sqref="I70">
      <formula1>IF(COUNTA(filter($D66:$V66,ARRAYFORMULA(ISERROR(FIND(join(",",filter(split($G$87,","),ARRAYFORMULA(ISERROR(FIND(split($G$87,","),I70)))=FALSE)),$D66:$V66))=FALSE)))&gt;1,FALSE,TRUE)</formula1>
    </dataValidation>
    <dataValidation type="custom" allowBlank="1" showDropDown="1" sqref="K30:K31 O28:O31 K33 I33:I34 R34:R35 Q44:Q47 S44:S47 S48:U49">
      <formula1>IF(COUNTA(filter($D27:$U27,ARRAYFORMULA(ISERROR(FIND(join(",",filter(split($G$81,","),ARRAYFORMULA(ISERROR(FIND(split($G$81,","),I28)))=FALSE)),$D27:$U27))=FALSE)))&gt;1,FALSE,TRUE)</formula1>
    </dataValidation>
    <dataValidation type="custom" allowBlank="1" showDropDown="1" sqref="D2 F2 M2 Q2 S2 I2:I3 D3:E4 H4 K4 O2:O4 S3:T4 D5:F6 I5:L6 S5:S6 M7 D7:E8 K7:K8 O7:P8 D9:F9 P9:Q9 S9 D10:E10 G10 I9:I10 M9:M10 P10 D11 D12:R12 D13:U14 H15:I16 D17:D18 F17:F18 M19:M20 R19:R20 I17:I22 K15:K22 O21:O22 Q21:Q23 S23 F23:F24 Q24:R24 F25:U25 D26:U26 I27:I28 Q28 H30 D30:E31 H31:I31 P30:P31 S31 D32:F33 O32:P33 D35:E36 O36:Q36 S35:U36 D38 F39 I39 M39 Q39 S39 D41:D42 F41:G42 I41:I42 M41:T42 D43:F44 K41:K44 M43:O44 F45 I45:M46 P45:P46 F47:H47 K47 F48:I48 D47:D49 F49:H49 F50:G50 K49:K50 M47:N50 Q50 D51 D53:U54 D55:I55 M55:U55 D56:U56 D57:I58 M57:U58 D59:H59 D60:G63 J59:U63">
      <formula1>IF(COUNTA(filter($D2:$U2,ARRAYFORMULA(ISERROR(FIND(join(",",filter(split($G$81,","),ARRAYFORMULA(ISERROR(FIND(split($G$81,","),D2)))=FALSE)),$D2:$U2))=FALSE)))&gt;1,FALSE,TRUE)</formula1>
    </dataValidation>
    <dataValidation type="custom" allowBlank="1" showDropDown="1" sqref="Q72">
      <formula1>IF(COUNTA(filter($D73:$V73,ARRAYFORMULA(ISERROR(FIND(join(",",filter(split($G$87,","),ARRAYFORMULA(ISERROR(FIND(split($G$87,","),Q72)))=FALSE)),$D73:$V73))=FALSE)))&gt;1,FALSE,TRUE)</formula1>
    </dataValidation>
    <dataValidation type="custom" allowBlank="1" showDropDown="1" sqref="Q3:Q4">
      <formula1>IF(COUNTA(filter($D19:$U19,ARRAYFORMULA(ISERROR(FIND(join(",",filter(split($G$81,","),ARRAYFORMULA(ISERROR(FIND(split($G$81,","),Q3)))=FALSE)),$D19:$U19))=FALSE)))&gt;1,FALSE,TRUE)</formula1>
    </dataValidation>
    <dataValidation type="custom" allowBlank="1" showDropDown="1" sqref="Q7:Q8">
      <formula1>IF(COUNTA(filter($D49:$U49,ARRAYFORMULA(ISERROR(FIND(join(",",filter(split($G$81,","),ARRAYFORMULA(ISERROR(FIND(split($G$81,","),Q7)))=FALSE)),$D49:$U49))=FALSE)))&gt;1,FALSE,TRUE)</formula1>
    </dataValidation>
    <dataValidation type="custom" allowBlank="1" showDropDown="1" sqref="S43">
      <formula1>IF(COUNTA(filter($D49:$U49,ARRAYFORMULA(ISERROR(FIND(join(",",filter(split($G$81,","),ARRAYFORMULA(ISERROR(FIND(split($G$81,","),S43)))=FALSE)),$D49:$U49))=FALSE)))&gt;1,FALSE,TRUE)</formula1>
    </dataValidation>
    <dataValidation type="custom" allowBlank="1" showDropDown="1" sqref="M6">
      <formula1>IF(COUNTA(filter($D1:$U1,ARRAYFORMULA(ISERROR(FIND(join(",",filter(split($G$81,","),ARRAYFORMULA(ISERROR(FIND(split($G$81,","),M6)))=FALSE)),$D1:$U1))=FALSE)))&gt;1,FALSE,TRUE)</formula1>
    </dataValidation>
    <dataValidation type="custom" allowBlank="1" showDropDown="1" sqref="K71 O72:O73 R72:R73">
      <formula1>IF(COUNTA(filter($D25:$V25,ARRAYFORMULA(ISERROR(FIND(join(",",filter(split($G$87,","),ARRAYFORMULA(ISERROR(FIND(split($G$87,","),K71)))=FALSE)),$D25:$V25))=FALSE)))&gt;1,FALSE,TRUE)</formula1>
    </dataValidation>
    <dataValidation type="custom" allowBlank="1" showDropDown="1" sqref="M23:M24">
      <formula1>IF(COUNTA(filter($D35:$U35,ARRAYFORMULA(ISERROR(FIND(join(",",filter(split($G$81,","),ARRAYFORMULA(ISERROR(FIND(split($G$81,","),M23)))=FALSE)),$D35:$U35))=FALSE)))&gt;1,FALSE,TRUE)</formula1>
    </dataValidation>
    <dataValidation type="custom" allowBlank="1" showDropDown="1" sqref="S66">
      <formula1>IF(COUNTA(filter($D72:$V72,ARRAYFORMULA(ISERROR(FIND(join(",",filter(split($G$87,","),ARRAYFORMULA(ISERROR(FIND(split($G$87,","),S66)))=FALSE)),$D72:$V72))=FALSE)))&gt;1,FALSE,TRUE)</formula1>
    </dataValidation>
    <dataValidation type="custom" allowBlank="1" showDropDown="1" sqref="R69:R70">
      <formula1>IF(COUNTA(filter($D61:$V61,ARRAYFORMULA(ISERROR(FIND(join(",",filter(split($G$87,","),ARRAYFORMULA(ISERROR(FIND(split($G$87,","),R69)))=FALSE)),$D61:$V61))=FALSE)))&gt;1,FALSE,TRUE)</formula1>
    </dataValidation>
    <dataValidation type="custom" allowBlank="1" showDropDown="1" sqref="S29:S30">
      <formula1>IF(COUNTA(filter($D39:$U39,ARRAYFORMULA(ISERROR(FIND(join(",",filter(split($G$81,","),ARRAYFORMULA(ISERROR(FIND(split($G$81,","),S29)))=FALSE)),$D39:$U39))=FALSE)))&gt;1,FALSE,TRUE)</formula1>
    </dataValidation>
    <dataValidation type="custom" allowBlank="1" showDropDown="1" sqref="D27 H27 F27:F28 D29 M29:M30 Q30:R30 Q31">
      <formula1>IF(COUNTA(filter($D28:$U28,ARRAYFORMULA(ISERROR(FIND(join(",",filter(split($G$81,","),ARRAYFORMULA(ISERROR(FIND(split($G$81,","),D27)))=FALSE)),$D28:$U28))=FALSE)))&gt;1,FALSE,TRUE)</formula1>
    </dataValidation>
    <dataValidation type="custom" allowBlank="1" showDropDown="1" sqref="S7:S8">
      <formula1>IF(COUNTA(filter($D47:$U47,ARRAYFORMULA(ISERROR(FIND(join(",",filter(split($G$81,","),ARRAYFORMULA(ISERROR(FIND(split($G$81,","),S7)))=FALSE)),$D47:$U47))=FALSE)))&gt;1,FALSE,TRUE)</formula1>
    </dataValidation>
    <dataValidation type="custom" allowBlank="1" showDropDown="1" sqref="S21">
      <formula1>IF(COUNTA(filter($D28:$U28,ARRAYFORMULA(ISERROR(FIND(join(",",filter(split($G$81,","),ARRAYFORMULA(ISERROR(FIND(split($G$81,","),S21)))=FALSE)),$D28:$U28))=FALSE)))&gt;1,FALSE,TRUE)</formula1>
    </dataValidation>
  </dataValidations>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14.25"/>
    <col customWidth="1" min="2" max="2" width="5.13"/>
    <col customWidth="1" min="3" max="4" width="5.25"/>
    <col customWidth="1" min="5" max="6" width="16.25"/>
    <col customWidth="1" min="7" max="7" width="18.38"/>
    <col customWidth="1" min="8" max="8" width="15.63"/>
    <col customWidth="1" min="9" max="9" width="14.5"/>
    <col customWidth="1" min="11" max="11" width="12.38"/>
    <col customWidth="1" min="12" max="12" width="10.88"/>
    <col customWidth="1" min="13" max="13" width="12.0"/>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4" max="25" width="5.88"/>
    <col customWidth="1" min="26" max="26" width="18.0"/>
    <col customWidth="1" min="28" max="28" width="20.88"/>
  </cols>
  <sheetData>
    <row r="1" ht="40.5" customHeight="1">
      <c r="A1" s="1"/>
      <c r="B1" s="315"/>
      <c r="C1" s="12" t="s">
        <v>0</v>
      </c>
      <c r="D1" s="13"/>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48" t="s">
        <v>760</v>
      </c>
      <c r="AB1" s="11" t="s">
        <v>10</v>
      </c>
      <c r="AC1" s="15" t="s">
        <v>11</v>
      </c>
      <c r="AD1" s="16">
        <f>1/24/60</f>
        <v>0.0006944444444</v>
      </c>
      <c r="AE1" s="16"/>
    </row>
    <row r="2" ht="40.5" customHeight="1">
      <c r="A2" s="18">
        <v>44809.0</v>
      </c>
      <c r="B2" s="219">
        <v>1.0</v>
      </c>
      <c r="C2" s="32" t="s">
        <v>12</v>
      </c>
      <c r="D2" s="32" t="s">
        <v>13</v>
      </c>
      <c r="E2" s="21" t="s">
        <v>761</v>
      </c>
      <c r="F2" s="22"/>
      <c r="G2" s="23" t="s">
        <v>762</v>
      </c>
      <c r="H2" s="24"/>
      <c r="I2" s="25"/>
      <c r="J2" s="21" t="s">
        <v>763</v>
      </c>
      <c r="K2" s="24"/>
      <c r="L2" s="24"/>
      <c r="M2" s="25"/>
      <c r="N2" s="23" t="s">
        <v>764</v>
      </c>
      <c r="O2" s="25"/>
      <c r="P2" s="21" t="s">
        <v>765</v>
      </c>
      <c r="Q2" s="25"/>
      <c r="R2" s="21" t="s">
        <v>766</v>
      </c>
      <c r="S2" s="25"/>
      <c r="T2" s="21" t="s">
        <v>767</v>
      </c>
      <c r="U2" s="24"/>
      <c r="V2" s="22"/>
      <c r="W2" s="26"/>
      <c r="X2" s="32" t="s">
        <v>12</v>
      </c>
      <c r="Y2" s="32" t="s">
        <v>13</v>
      </c>
      <c r="Z2" s="28"/>
      <c r="AA2" s="48">
        <v>406.409</v>
      </c>
      <c r="AB2" s="15" t="str">
        <f>IFERROR(__xludf.DUMMYFUNCTION("join("","",filter(split($H$82,"",""),ARRAYFORMULA(ISERROR(FIND(split($H$82,"",""),CONCATENATE(E2:V2,AA2))))=TRUE))"),"СЗ,КЗ,209,403,404,405,408,410,501")</f>
        <v>СЗ,КЗ,209,403,404,405,408,410,501</v>
      </c>
      <c r="AC2" s="14"/>
      <c r="AD2" s="14"/>
      <c r="AE2" s="14"/>
    </row>
    <row r="3" ht="40.5" customHeight="1">
      <c r="A3" s="30"/>
      <c r="B3" s="15">
        <v>2.0</v>
      </c>
      <c r="C3" s="32" t="s">
        <v>21</v>
      </c>
      <c r="D3" s="32" t="s">
        <v>22</v>
      </c>
      <c r="E3" s="33" t="s">
        <v>768</v>
      </c>
      <c r="F3" s="34" t="s">
        <v>769</v>
      </c>
      <c r="G3" s="35" t="s">
        <v>770</v>
      </c>
      <c r="H3" s="36"/>
      <c r="I3" s="13"/>
      <c r="J3" s="37" t="s">
        <v>771</v>
      </c>
      <c r="K3" s="13"/>
      <c r="L3" s="38" t="s">
        <v>772</v>
      </c>
      <c r="M3" s="13"/>
      <c r="N3" s="35" t="s">
        <v>773</v>
      </c>
      <c r="O3" s="13"/>
      <c r="P3" s="37" t="s">
        <v>774</v>
      </c>
      <c r="Q3" s="13"/>
      <c r="R3" s="39" t="s">
        <v>775</v>
      </c>
      <c r="S3" s="40" t="s">
        <v>776</v>
      </c>
      <c r="T3" s="37" t="s">
        <v>777</v>
      </c>
      <c r="U3" s="36"/>
      <c r="V3" s="41"/>
      <c r="W3" s="26"/>
      <c r="X3" s="32" t="s">
        <v>21</v>
      </c>
      <c r="Y3" s="32" t="s">
        <v>22</v>
      </c>
      <c r="Z3" s="28"/>
      <c r="AA3" s="48">
        <v>406.409</v>
      </c>
      <c r="AB3" s="15" t="str">
        <f>IFERROR(__xludf.DUMMYFUNCTION("join("","",filter(split($H$82,"",""),ARRAYFORMULA(ISERROR(FIND(split($H$82,"",""),CONCATENATE(E3:V3,AA3))))=TRUE))"),"КЗ,201,206,405,410,501")</f>
        <v>КЗ,201,206,405,410,501</v>
      </c>
      <c r="AC3" s="14"/>
      <c r="AD3" s="14"/>
      <c r="AE3" s="14"/>
    </row>
    <row r="4" ht="40.5" customHeight="1">
      <c r="A4" s="30"/>
      <c r="B4" s="15">
        <v>3.0</v>
      </c>
      <c r="C4" s="32" t="s">
        <v>33</v>
      </c>
      <c r="D4" s="32" t="s">
        <v>34</v>
      </c>
      <c r="E4" s="33" t="s">
        <v>778</v>
      </c>
      <c r="F4" s="126" t="s">
        <v>779</v>
      </c>
      <c r="G4" s="43" t="s">
        <v>780</v>
      </c>
      <c r="H4" s="44" t="s">
        <v>781</v>
      </c>
      <c r="I4" s="45" t="s">
        <v>782</v>
      </c>
      <c r="J4" s="46" t="s">
        <v>783</v>
      </c>
      <c r="K4" s="13"/>
      <c r="L4" s="45" t="s">
        <v>784</v>
      </c>
      <c r="M4" s="13"/>
      <c r="N4" s="37" t="s">
        <v>785</v>
      </c>
      <c r="O4" s="13"/>
      <c r="P4" s="37" t="s">
        <v>786</v>
      </c>
      <c r="Q4" s="13"/>
      <c r="R4" s="39" t="s">
        <v>787</v>
      </c>
      <c r="S4" s="40" t="s">
        <v>788</v>
      </c>
      <c r="T4" s="37" t="s">
        <v>789</v>
      </c>
      <c r="U4" s="36"/>
      <c r="V4" s="41"/>
      <c r="W4" s="26"/>
      <c r="X4" s="32" t="s">
        <v>33</v>
      </c>
      <c r="Y4" s="32" t="s">
        <v>34</v>
      </c>
      <c r="Z4" s="48" t="s">
        <v>790</v>
      </c>
      <c r="AA4" s="48">
        <v>406.409</v>
      </c>
      <c r="AB4" s="15" t="str">
        <f>IFERROR(__xludf.DUMMYFUNCTION("join("","",filter(split($H$82,"",""),ARRAYFORMULA(ISERROR(FIND(split($H$82,"",""),CONCATENATE(E4:V4,AA4))))=TRUE))"),"КЗ,201,206,АЗ,501")</f>
        <v>КЗ,201,206,АЗ,501</v>
      </c>
      <c r="AC4" s="14"/>
      <c r="AD4" s="14"/>
      <c r="AE4" s="14"/>
    </row>
    <row r="5" ht="40.5" customHeight="1">
      <c r="A5" s="30"/>
      <c r="B5" s="15">
        <v>4.0</v>
      </c>
      <c r="C5" s="32" t="s">
        <v>48</v>
      </c>
      <c r="D5" s="32" t="s">
        <v>49</v>
      </c>
      <c r="E5" s="33" t="s">
        <v>791</v>
      </c>
      <c r="F5" s="126" t="s">
        <v>792</v>
      </c>
      <c r="G5" s="43" t="s">
        <v>793</v>
      </c>
      <c r="H5" s="45" t="s">
        <v>794</v>
      </c>
      <c r="I5" s="13"/>
      <c r="J5" s="33" t="s">
        <v>795</v>
      </c>
      <c r="K5" s="44" t="s">
        <v>796</v>
      </c>
      <c r="L5" s="44" t="s">
        <v>797</v>
      </c>
      <c r="M5" s="45" t="s">
        <v>798</v>
      </c>
      <c r="N5" s="37" t="s">
        <v>799</v>
      </c>
      <c r="O5" s="13"/>
      <c r="P5" s="37" t="s">
        <v>800</v>
      </c>
      <c r="Q5" s="13"/>
      <c r="R5" s="51" t="s">
        <v>801</v>
      </c>
      <c r="S5" s="13"/>
      <c r="T5" s="52" t="s">
        <v>802</v>
      </c>
      <c r="U5" s="36"/>
      <c r="V5" s="41"/>
      <c r="W5" s="26"/>
      <c r="X5" s="32" t="s">
        <v>48</v>
      </c>
      <c r="Y5" s="32" t="s">
        <v>49</v>
      </c>
      <c r="Z5" s="48" t="s">
        <v>803</v>
      </c>
      <c r="AA5" s="48">
        <v>406.409</v>
      </c>
      <c r="AB5" s="15" t="str">
        <f>IFERROR(__xludf.DUMMYFUNCTION("join("","",filter(split($H$82,"",""),ARRAYFORMULA(ISERROR(FIND(split($H$82,"",""),CONCATENATE(E5:V5,AA5))))=TRUE))"),"СЗ,КЗ,206,408,501")</f>
        <v>СЗ,КЗ,206,408,501</v>
      </c>
      <c r="AC5" s="14"/>
      <c r="AD5" s="14"/>
      <c r="AE5" s="14"/>
    </row>
    <row r="6" ht="40.5" customHeight="1">
      <c r="A6" s="30"/>
      <c r="B6" s="15">
        <v>5.0</v>
      </c>
      <c r="C6" s="32" t="s">
        <v>58</v>
      </c>
      <c r="D6" s="53">
        <v>44847.0</v>
      </c>
      <c r="E6" s="316" t="s">
        <v>804</v>
      </c>
      <c r="F6" s="34" t="s">
        <v>805</v>
      </c>
      <c r="G6" s="43" t="s">
        <v>806</v>
      </c>
      <c r="H6" s="45" t="s">
        <v>807</v>
      </c>
      <c r="I6" s="13"/>
      <c r="J6" s="33" t="s">
        <v>808</v>
      </c>
      <c r="K6" s="44" t="s">
        <v>809</v>
      </c>
      <c r="L6" s="44" t="s">
        <v>810</v>
      </c>
      <c r="M6" s="45" t="s">
        <v>811</v>
      </c>
      <c r="N6" s="37" t="s">
        <v>812</v>
      </c>
      <c r="O6" s="13"/>
      <c r="P6" s="37" t="s">
        <v>813</v>
      </c>
      <c r="Q6" s="13"/>
      <c r="R6" s="51" t="s">
        <v>814</v>
      </c>
      <c r="S6" s="13"/>
      <c r="T6" s="52" t="s">
        <v>815</v>
      </c>
      <c r="U6" s="36"/>
      <c r="V6" s="41"/>
      <c r="W6" s="26"/>
      <c r="X6" s="32" t="s">
        <v>58</v>
      </c>
      <c r="Y6" s="53">
        <v>44847.0</v>
      </c>
      <c r="Z6" s="48" t="s">
        <v>70</v>
      </c>
      <c r="AA6" s="48">
        <v>409.0</v>
      </c>
      <c r="AB6" s="15" t="str">
        <f>IFERROR(__xludf.DUMMYFUNCTION("join("","",filter(split($H$82,"",""),ARRAYFORMULA(ISERROR(FIND(split($H$82,"",""),CONCATENATE(E6:V6,AA6))))=TRUE))"),"СЗ,КЗ,206,406,408,501")</f>
        <v>СЗ,КЗ,206,406,408,501</v>
      </c>
      <c r="AC6" s="14"/>
      <c r="AD6" s="14"/>
      <c r="AE6" s="14"/>
    </row>
    <row r="7" ht="42.0" customHeight="1">
      <c r="A7" s="30"/>
      <c r="B7" s="15">
        <v>6.0</v>
      </c>
      <c r="C7" s="317" t="s">
        <v>646</v>
      </c>
      <c r="D7" s="32" t="s">
        <v>647</v>
      </c>
      <c r="E7" s="316" t="s">
        <v>816</v>
      </c>
      <c r="F7" s="34" t="s">
        <v>817</v>
      </c>
      <c r="G7" s="43" t="s">
        <v>818</v>
      </c>
      <c r="H7" s="45" t="s">
        <v>819</v>
      </c>
      <c r="I7" s="13"/>
      <c r="J7" s="37" t="s">
        <v>820</v>
      </c>
      <c r="K7" s="13"/>
      <c r="L7" s="45" t="s">
        <v>821</v>
      </c>
      <c r="M7" s="13"/>
      <c r="N7" s="37" t="s">
        <v>822</v>
      </c>
      <c r="O7" s="13"/>
      <c r="P7" s="37" t="s">
        <v>823</v>
      </c>
      <c r="Q7" s="13"/>
      <c r="R7" s="37"/>
      <c r="S7" s="13"/>
      <c r="T7" s="33" t="s">
        <v>824</v>
      </c>
      <c r="U7" s="45" t="s">
        <v>825</v>
      </c>
      <c r="V7" s="41"/>
      <c r="W7" s="26"/>
      <c r="X7" s="317" t="s">
        <v>646</v>
      </c>
      <c r="Y7" s="32" t="s">
        <v>647</v>
      </c>
      <c r="Z7" s="48" t="s">
        <v>84</v>
      </c>
      <c r="AA7" s="48">
        <v>409.0</v>
      </c>
      <c r="AB7" s="15" t="str">
        <f>IFERROR(__xludf.DUMMYFUNCTION("join("","",filter(split($H$82,"",""),ARRAYFORMULA(ISERROR(FIND(split($H$82,"",""),CONCATENATE(E7:V7,AA7))))=TRUE))"),"КЗ,206,403,406,408,АЗ,501,503")</f>
        <v>КЗ,206,403,406,408,АЗ,501,503</v>
      </c>
      <c r="AC7" s="14"/>
      <c r="AD7" s="14"/>
      <c r="AE7" s="14"/>
    </row>
    <row r="8" ht="42.0" customHeight="1">
      <c r="A8" s="30"/>
      <c r="B8" s="15">
        <v>7.0</v>
      </c>
      <c r="C8" s="32" t="s">
        <v>85</v>
      </c>
      <c r="D8" s="32" t="s">
        <v>86</v>
      </c>
      <c r="E8" s="318" t="s">
        <v>826</v>
      </c>
      <c r="F8" s="319" t="s">
        <v>827</v>
      </c>
      <c r="G8" s="43" t="s">
        <v>828</v>
      </c>
      <c r="H8" s="45" t="s">
        <v>829</v>
      </c>
      <c r="I8" s="13"/>
      <c r="J8" s="37" t="s">
        <v>830</v>
      </c>
      <c r="K8" s="13"/>
      <c r="L8" s="45" t="s">
        <v>831</v>
      </c>
      <c r="M8" s="13"/>
      <c r="N8" s="37" t="s">
        <v>832</v>
      </c>
      <c r="O8" s="13"/>
      <c r="P8" s="37" t="s">
        <v>833</v>
      </c>
      <c r="Q8" s="13"/>
      <c r="R8" s="37"/>
      <c r="S8" s="13"/>
      <c r="T8" s="33" t="s">
        <v>834</v>
      </c>
      <c r="U8" s="45" t="s">
        <v>835</v>
      </c>
      <c r="V8" s="41"/>
      <c r="W8" s="26"/>
      <c r="X8" s="32" t="s">
        <v>85</v>
      </c>
      <c r="Y8" s="32" t="s">
        <v>86</v>
      </c>
      <c r="Z8" s="48" t="s">
        <v>97</v>
      </c>
      <c r="AA8" s="48">
        <v>406.409</v>
      </c>
      <c r="AB8" s="15" t="str">
        <f>IFERROR(__xludf.DUMMYFUNCTION("join("","",filter(split($H$82,"",""),ARRAYFORMULA(ISERROR(FIND(split($H$82,"",""),CONCATENATE(E8:V8,AA8))))=TRUE))"),"КЗ,202,206,408,410,501,503")</f>
        <v>КЗ,202,206,408,410,501,503</v>
      </c>
      <c r="AC8" s="14"/>
      <c r="AD8" s="14"/>
      <c r="AE8" s="14"/>
    </row>
    <row r="9" ht="40.5" customHeight="1">
      <c r="A9" s="30"/>
      <c r="B9" s="15">
        <v>8.0</v>
      </c>
      <c r="C9" s="32" t="s">
        <v>98</v>
      </c>
      <c r="D9" s="32" t="s">
        <v>99</v>
      </c>
      <c r="E9" s="320" t="s">
        <v>836</v>
      </c>
      <c r="F9" s="276" t="s">
        <v>837</v>
      </c>
      <c r="G9" s="43" t="s">
        <v>838</v>
      </c>
      <c r="H9" s="45" t="s">
        <v>839</v>
      </c>
      <c r="I9" s="13"/>
      <c r="J9" s="37" t="s">
        <v>840</v>
      </c>
      <c r="K9" s="13"/>
      <c r="L9" s="45" t="s">
        <v>841</v>
      </c>
      <c r="M9" s="13"/>
      <c r="N9" s="61" t="s">
        <v>842</v>
      </c>
      <c r="O9" s="13"/>
      <c r="P9" s="321" t="s">
        <v>843</v>
      </c>
      <c r="Q9" s="45"/>
      <c r="S9" s="95"/>
      <c r="T9" s="322" t="s">
        <v>844</v>
      </c>
      <c r="U9" s="36"/>
      <c r="V9" s="41"/>
      <c r="W9" s="26"/>
      <c r="X9" s="32" t="s">
        <v>98</v>
      </c>
      <c r="Y9" s="32" t="s">
        <v>99</v>
      </c>
      <c r="Z9" s="11"/>
      <c r="AA9" s="48">
        <v>406.409</v>
      </c>
      <c r="AB9" s="15" t="str">
        <f>IFERROR(__xludf.DUMMYFUNCTION("join("","",filter(split($H$82,"",""),ARRAYFORMULA(ISERROR(FIND(split($H$82,"",""),CONCATENATE(E9:V9,AA9))))=TRUE))"),"КЗ,206,404,405,408,410,501,503")</f>
        <v>КЗ,206,404,405,408,410,501,503</v>
      </c>
      <c r="AC9" s="14"/>
      <c r="AD9" s="14"/>
      <c r="AE9" s="14"/>
    </row>
    <row r="10" ht="40.5" customHeight="1">
      <c r="A10" s="30"/>
      <c r="B10" s="15">
        <v>9.0</v>
      </c>
      <c r="C10" s="65">
        <v>44697.0</v>
      </c>
      <c r="D10" s="44" t="s">
        <v>109</v>
      </c>
      <c r="E10" s="66"/>
      <c r="F10" s="67"/>
      <c r="G10" s="43" t="s">
        <v>845</v>
      </c>
      <c r="H10" s="45" t="s">
        <v>846</v>
      </c>
      <c r="I10" s="13"/>
      <c r="J10" s="37" t="s">
        <v>847</v>
      </c>
      <c r="K10" s="13"/>
      <c r="L10" s="45" t="s">
        <v>848</v>
      </c>
      <c r="M10" s="13"/>
      <c r="N10" s="61" t="s">
        <v>849</v>
      </c>
      <c r="O10" s="13"/>
      <c r="P10" s="321" t="s">
        <v>850</v>
      </c>
      <c r="Q10" s="45"/>
      <c r="R10" s="36"/>
      <c r="S10" s="36"/>
      <c r="T10" s="36"/>
      <c r="U10" s="36"/>
      <c r="V10" s="41"/>
      <c r="W10" s="26"/>
      <c r="X10" s="65">
        <v>44697.0</v>
      </c>
      <c r="Y10" s="44" t="s">
        <v>109</v>
      </c>
      <c r="Z10" s="28"/>
      <c r="AA10" s="48">
        <v>406.409</v>
      </c>
      <c r="AB10" s="15" t="str">
        <f>IFERROR(__xludf.DUMMYFUNCTION("join("","",filter(split($H$82,"",""),ARRAYFORMULA(ISERROR(FIND(split($H$82,"",""),CONCATENATE(E10:V10,AA10))))=TRUE))"),"КЗ,206,210,403,404,405,408,410,АЗ,501,503")</f>
        <v>КЗ,206,210,403,404,405,408,410,АЗ,501,503</v>
      </c>
      <c r="AC10" s="14"/>
      <c r="AD10" s="14"/>
      <c r="AE10" s="14"/>
    </row>
    <row r="11" ht="40.5" customHeight="1">
      <c r="A11" s="30"/>
      <c r="B11" s="15">
        <v>10.0</v>
      </c>
      <c r="C11" s="44" t="s">
        <v>120</v>
      </c>
      <c r="D11" s="44" t="s">
        <v>121</v>
      </c>
      <c r="E11" s="323"/>
      <c r="F11" s="64"/>
      <c r="G11" s="64"/>
      <c r="H11" s="64"/>
      <c r="I11" s="64"/>
      <c r="J11" s="64"/>
      <c r="K11" s="72"/>
      <c r="L11" s="45"/>
      <c r="M11" s="36"/>
      <c r="N11" s="36"/>
      <c r="O11" s="36"/>
      <c r="P11" s="36"/>
      <c r="Q11" s="36"/>
      <c r="R11" s="36"/>
      <c r="S11" s="13"/>
      <c r="T11" s="324"/>
      <c r="U11" s="36"/>
      <c r="V11" s="41"/>
      <c r="W11" s="26"/>
      <c r="X11" s="44" t="s">
        <v>120</v>
      </c>
      <c r="Y11" s="44" t="s">
        <v>121</v>
      </c>
      <c r="Z11" s="28"/>
      <c r="AA11" s="48">
        <v>406.409</v>
      </c>
      <c r="AB11" s="15" t="str">
        <f>IFERROR(__xludf.DUMMYFUNCTION("join("","",filter(split($H$82,"",""),ARRAYFORMULA(ISERROR(FIND(split($H$82,"",""),CONCATENATE(E11:V11,AA11))))=TRUE))"),"СЗ,КЗ,201,202,206,209,210,401,402,403,404,405,408,410,АЗ,501,503")</f>
        <v>СЗ,КЗ,201,202,206,209,210,401,402,403,404,405,408,410,АЗ,501,503</v>
      </c>
      <c r="AC11" s="14"/>
      <c r="AD11" s="14"/>
      <c r="AE11" s="14"/>
    </row>
    <row r="12" ht="40.5" customHeight="1">
      <c r="A12" s="74"/>
      <c r="B12" s="111">
        <v>11.0</v>
      </c>
      <c r="C12" s="85"/>
      <c r="D12" s="85"/>
      <c r="E12" s="76"/>
      <c r="F12" s="76"/>
      <c r="G12" s="76"/>
      <c r="H12" s="76"/>
      <c r="I12" s="76"/>
      <c r="J12" s="76"/>
      <c r="K12" s="76"/>
      <c r="L12" s="76"/>
      <c r="M12" s="76"/>
      <c r="N12" s="76"/>
      <c r="O12" s="76"/>
      <c r="P12" s="76"/>
      <c r="Q12" s="76"/>
      <c r="R12" s="76"/>
      <c r="S12" s="76"/>
      <c r="T12" s="77"/>
      <c r="U12" s="77"/>
      <c r="V12" s="78"/>
      <c r="W12" s="26"/>
      <c r="X12" s="85"/>
      <c r="Y12" s="85"/>
      <c r="Z12" s="28"/>
      <c r="AA12" s="11"/>
      <c r="AB12" s="15" t="str">
        <f>IFERROR(__xludf.DUMMYFUNCTION("join("","",filter(split($H$82,"",""),ARRAYFORMULA(ISERROR(FIND(split($H$82,"",""),CONCATENATE(E12:V12,AA12))))=TRUE))"),"СЗ,КЗ,201,202,206,209,210,401,402,403,404,405,406,408,409,410,АЗ,501,503")</f>
        <v>СЗ,КЗ,201,202,206,209,210,401,402,403,404,405,406,408,409,410,АЗ,501,503</v>
      </c>
      <c r="AC12" s="14"/>
      <c r="AD12" s="14"/>
      <c r="AE12" s="14"/>
    </row>
    <row r="13" ht="40.5" customHeight="1">
      <c r="A13" s="18">
        <v>44810.0</v>
      </c>
      <c r="B13" s="219">
        <v>1.0</v>
      </c>
      <c r="C13" s="32" t="s">
        <v>12</v>
      </c>
      <c r="D13" s="32" t="s">
        <v>13</v>
      </c>
      <c r="E13" s="80" t="s">
        <v>851</v>
      </c>
      <c r="F13" s="25"/>
      <c r="G13" s="81" t="s">
        <v>852</v>
      </c>
      <c r="H13" s="25"/>
      <c r="I13" s="272" t="s">
        <v>853</v>
      </c>
      <c r="J13" s="23" t="s">
        <v>854</v>
      </c>
      <c r="K13" s="25"/>
      <c r="L13" s="80" t="s">
        <v>855</v>
      </c>
      <c r="M13" s="25"/>
      <c r="N13" s="82" t="s">
        <v>856</v>
      </c>
      <c r="O13" s="25"/>
      <c r="P13" s="21" t="s">
        <v>857</v>
      </c>
      <c r="Q13" s="22"/>
      <c r="R13" s="23" t="s">
        <v>858</v>
      </c>
      <c r="S13" s="22"/>
      <c r="T13" s="84" t="s">
        <v>859</v>
      </c>
      <c r="U13" s="80" t="s">
        <v>860</v>
      </c>
      <c r="V13" s="22"/>
      <c r="W13" s="26"/>
      <c r="X13" s="32" t="s">
        <v>12</v>
      </c>
      <c r="Y13" s="32" t="s">
        <v>13</v>
      </c>
      <c r="Z13" s="28"/>
      <c r="AA13" s="48" t="s">
        <v>861</v>
      </c>
      <c r="AB13" s="15" t="str">
        <f>IFERROR(__xludf.DUMMYFUNCTION("join("","",filter(split($H$82,"",""),ARRAYFORMULA(ISERROR(FIND(split($H$82,"",""),CONCATENATE(E13:V13,AA13))))=TRUE))"),"КЗ,202,403,410,АЗ,503")</f>
        <v>КЗ,202,403,410,АЗ,503</v>
      </c>
      <c r="AC13" s="14"/>
      <c r="AD13" s="14"/>
      <c r="AE13" s="14"/>
    </row>
    <row r="14" ht="40.5" customHeight="1">
      <c r="A14" s="30"/>
      <c r="B14" s="15">
        <v>2.0</v>
      </c>
      <c r="C14" s="32" t="s">
        <v>21</v>
      </c>
      <c r="D14" s="32" t="s">
        <v>22</v>
      </c>
      <c r="E14" s="45" t="s">
        <v>862</v>
      </c>
      <c r="F14" s="13"/>
      <c r="G14" s="46" t="s">
        <v>863</v>
      </c>
      <c r="H14" s="13"/>
      <c r="I14" s="325" t="s">
        <v>864</v>
      </c>
      <c r="J14" s="35" t="s">
        <v>865</v>
      </c>
      <c r="K14" s="13"/>
      <c r="L14" s="45" t="s">
        <v>866</v>
      </c>
      <c r="M14" s="13"/>
      <c r="N14" s="87" t="s">
        <v>867</v>
      </c>
      <c r="O14" s="13"/>
      <c r="P14" s="37" t="s">
        <v>868</v>
      </c>
      <c r="Q14" s="41"/>
      <c r="R14" s="35" t="s">
        <v>869</v>
      </c>
      <c r="S14" s="41"/>
      <c r="T14" s="43" t="s">
        <v>870</v>
      </c>
      <c r="U14" s="45" t="s">
        <v>871</v>
      </c>
      <c r="V14" s="41"/>
      <c r="W14" s="26"/>
      <c r="X14" s="32" t="s">
        <v>21</v>
      </c>
      <c r="Y14" s="32" t="s">
        <v>22</v>
      </c>
      <c r="Z14" s="28"/>
      <c r="AA14" s="48" t="s">
        <v>861</v>
      </c>
      <c r="AB14" s="15" t="str">
        <f>IFERROR(__xludf.DUMMYFUNCTION("join("","",filter(split($H$82,"",""),ARRAYFORMULA(ISERROR(FIND(split($H$82,"",""),CONCATENATE(E14:V14,AA14))))=TRUE))"),"КЗ,202,403,410,АЗ,503")</f>
        <v>КЗ,202,403,410,АЗ,503</v>
      </c>
      <c r="AC14" s="14"/>
      <c r="AD14" s="14"/>
      <c r="AE14" s="14"/>
    </row>
    <row r="15" ht="40.5" customHeight="1">
      <c r="A15" s="30"/>
      <c r="B15" s="15">
        <v>3.0</v>
      </c>
      <c r="C15" s="32" t="s">
        <v>33</v>
      </c>
      <c r="D15" s="32" t="s">
        <v>34</v>
      </c>
      <c r="E15" s="40" t="s">
        <v>872</v>
      </c>
      <c r="F15" s="13"/>
      <c r="G15" s="37" t="s">
        <v>873</v>
      </c>
      <c r="H15" s="36"/>
      <c r="I15" s="41"/>
      <c r="J15" s="35" t="s">
        <v>874</v>
      </c>
      <c r="K15" s="13"/>
      <c r="L15" s="45" t="s">
        <v>875</v>
      </c>
      <c r="M15" s="13"/>
      <c r="N15" s="89" t="s">
        <v>876</v>
      </c>
      <c r="O15" s="13"/>
      <c r="P15" s="37" t="s">
        <v>877</v>
      </c>
      <c r="Q15" s="41"/>
      <c r="R15" s="43" t="s">
        <v>878</v>
      </c>
      <c r="S15" s="34" t="s">
        <v>879</v>
      </c>
      <c r="T15" s="91" t="s">
        <v>880</v>
      </c>
      <c r="U15" s="36"/>
      <c r="V15" s="41"/>
      <c r="W15" s="26"/>
      <c r="X15" s="32" t="s">
        <v>33</v>
      </c>
      <c r="Y15" s="32" t="s">
        <v>34</v>
      </c>
      <c r="Z15" s="48" t="s">
        <v>790</v>
      </c>
      <c r="AA15" s="48">
        <v>206.409</v>
      </c>
      <c r="AB15" s="15" t="str">
        <f>IFERROR(__xludf.DUMMYFUNCTION("join("","",filter(split($H$82,"",""),ARRAYFORMULA(ISERROR(FIND(split($H$82,"",""),CONCATENATE(E15:V15,AA15))))=TRUE))"),"КЗ,201,202,210,403,408,410,АЗ")</f>
        <v>КЗ,201,202,210,403,408,410,АЗ</v>
      </c>
      <c r="AC15" s="14"/>
      <c r="AD15" s="14"/>
      <c r="AE15" s="14"/>
    </row>
    <row r="16" ht="40.5" customHeight="1">
      <c r="A16" s="30"/>
      <c r="B16" s="15">
        <v>4.0</v>
      </c>
      <c r="C16" s="32" t="s">
        <v>48</v>
      </c>
      <c r="D16" s="32" t="s">
        <v>49</v>
      </c>
      <c r="E16" s="40" t="s">
        <v>881</v>
      </c>
      <c r="F16" s="13"/>
      <c r="G16" s="37" t="s">
        <v>882</v>
      </c>
      <c r="H16" s="36"/>
      <c r="I16" s="41"/>
      <c r="J16" s="35" t="s">
        <v>883</v>
      </c>
      <c r="K16" s="13"/>
      <c r="L16" s="45" t="s">
        <v>884</v>
      </c>
      <c r="M16" s="13"/>
      <c r="N16" s="89" t="s">
        <v>885</v>
      </c>
      <c r="O16" s="13"/>
      <c r="P16" s="37" t="s">
        <v>886</v>
      </c>
      <c r="Q16" s="41"/>
      <c r="R16" s="43" t="s">
        <v>887</v>
      </c>
      <c r="S16" s="34" t="s">
        <v>888</v>
      </c>
      <c r="T16" s="91" t="s">
        <v>889</v>
      </c>
      <c r="U16" s="36"/>
      <c r="V16" s="41"/>
      <c r="W16" s="26"/>
      <c r="X16" s="32" t="s">
        <v>48</v>
      </c>
      <c r="Y16" s="32" t="s">
        <v>49</v>
      </c>
      <c r="Z16" s="48" t="s">
        <v>803</v>
      </c>
      <c r="AA16" s="48">
        <v>206.409</v>
      </c>
      <c r="AB16" s="15" t="str">
        <f>IFERROR(__xludf.DUMMYFUNCTION("join("","",filter(split($H$82,"",""),ARRAYFORMULA(ISERROR(FIND(split($H$82,"",""),CONCATENATE(E16:V16,AA16))))=TRUE))"),"КЗ,201,202,210,403,408,410,АЗ")</f>
        <v>КЗ,201,202,210,403,408,410,АЗ</v>
      </c>
      <c r="AC16" s="14"/>
      <c r="AD16" s="14"/>
      <c r="AE16" s="14"/>
    </row>
    <row r="17" ht="40.5" customHeight="1">
      <c r="A17" s="30"/>
      <c r="B17" s="15">
        <v>5.0</v>
      </c>
      <c r="C17" s="32" t="s">
        <v>58</v>
      </c>
      <c r="D17" s="53">
        <v>44847.0</v>
      </c>
      <c r="E17" s="45" t="s">
        <v>890</v>
      </c>
      <c r="F17" s="13"/>
      <c r="G17" s="33" t="s">
        <v>891</v>
      </c>
      <c r="H17" s="45" t="s">
        <v>892</v>
      </c>
      <c r="I17" s="41"/>
      <c r="J17" s="35" t="s">
        <v>893</v>
      </c>
      <c r="K17" s="13"/>
      <c r="L17" s="40" t="s">
        <v>894</v>
      </c>
      <c r="M17" s="13"/>
      <c r="N17" s="45" t="s">
        <v>895</v>
      </c>
      <c r="O17" s="13"/>
      <c r="P17" s="33" t="s">
        <v>896</v>
      </c>
      <c r="Q17" s="34" t="s">
        <v>897</v>
      </c>
      <c r="R17" s="326" t="s">
        <v>898</v>
      </c>
      <c r="S17" s="92" t="s">
        <v>899</v>
      </c>
      <c r="T17" s="93" t="s">
        <v>900</v>
      </c>
      <c r="U17" s="36"/>
      <c r="V17" s="41"/>
      <c r="W17" s="26"/>
      <c r="X17" s="32" t="s">
        <v>58</v>
      </c>
      <c r="Y17" s="53">
        <v>44847.0</v>
      </c>
      <c r="Z17" s="48" t="s">
        <v>70</v>
      </c>
      <c r="AA17" s="48" t="s">
        <v>901</v>
      </c>
      <c r="AB17" s="15" t="str">
        <f>IFERROR(__xludf.DUMMYFUNCTION("join("","",filter(split($H$82,"",""),ARRAYFORMULA(ISERROR(FIND(split($H$82,"",""),CONCATENATE(E17:V17,AA17))))=TRUE))"),"КЗ,202,206,209,403,408,410")</f>
        <v>КЗ,202,206,209,403,408,410</v>
      </c>
      <c r="AC17" s="14"/>
      <c r="AD17" s="14"/>
      <c r="AE17" s="14"/>
    </row>
    <row r="18" ht="40.5" customHeight="1">
      <c r="A18" s="30"/>
      <c r="B18" s="15">
        <v>6.0</v>
      </c>
      <c r="C18" s="317" t="s">
        <v>646</v>
      </c>
      <c r="D18" s="32" t="s">
        <v>647</v>
      </c>
      <c r="E18" s="45" t="s">
        <v>902</v>
      </c>
      <c r="F18" s="13"/>
      <c r="G18" s="33" t="s">
        <v>903</v>
      </c>
      <c r="H18" s="45" t="s">
        <v>904</v>
      </c>
      <c r="I18" s="41"/>
      <c r="J18" s="35" t="s">
        <v>893</v>
      </c>
      <c r="K18" s="13"/>
      <c r="L18" s="40" t="s">
        <v>905</v>
      </c>
      <c r="M18" s="13"/>
      <c r="N18" s="45" t="s">
        <v>906</v>
      </c>
      <c r="O18" s="13"/>
      <c r="P18" s="33" t="s">
        <v>907</v>
      </c>
      <c r="Q18" s="34" t="s">
        <v>908</v>
      </c>
      <c r="R18" s="326" t="s">
        <v>909</v>
      </c>
      <c r="S18" s="92" t="s">
        <v>910</v>
      </c>
      <c r="T18" s="93" t="s">
        <v>900</v>
      </c>
      <c r="U18" s="36"/>
      <c r="V18" s="41"/>
      <c r="W18" s="26"/>
      <c r="X18" s="317" t="s">
        <v>646</v>
      </c>
      <c r="Y18" s="32" t="s">
        <v>647</v>
      </c>
      <c r="Z18" s="48" t="s">
        <v>84</v>
      </c>
      <c r="AA18" s="48" t="s">
        <v>901</v>
      </c>
      <c r="AB18" s="15" t="str">
        <f>IFERROR(__xludf.DUMMYFUNCTION("join("","",filter(split($H$82,"",""),ARRAYFORMULA(ISERROR(FIND(split($H$82,"",""),CONCATENATE(E18:V18,AA18))))=TRUE))"),"КЗ,202,206,209,403,408,410")</f>
        <v>КЗ,202,206,209,403,408,410</v>
      </c>
      <c r="AC18" s="14"/>
      <c r="AD18" s="14"/>
      <c r="AE18" s="14"/>
    </row>
    <row r="19" ht="40.5" customHeight="1">
      <c r="A19" s="30"/>
      <c r="B19" s="15">
        <v>7.0</v>
      </c>
      <c r="C19" s="32" t="s">
        <v>85</v>
      </c>
      <c r="D19" s="32" t="s">
        <v>86</v>
      </c>
      <c r="E19" s="94" t="s">
        <v>852</v>
      </c>
      <c r="F19" s="13"/>
      <c r="G19" s="33" t="s">
        <v>911</v>
      </c>
      <c r="H19" s="45" t="s">
        <v>912</v>
      </c>
      <c r="I19" s="41"/>
      <c r="J19" s="95" t="s">
        <v>894</v>
      </c>
      <c r="K19" s="13"/>
      <c r="L19" s="45" t="s">
        <v>893</v>
      </c>
      <c r="M19" s="13"/>
      <c r="N19" s="45" t="s">
        <v>913</v>
      </c>
      <c r="O19" s="13"/>
      <c r="P19" s="37" t="s">
        <v>914</v>
      </c>
      <c r="Q19" s="41"/>
      <c r="R19" s="96" t="s">
        <v>915</v>
      </c>
      <c r="S19" s="97" t="s">
        <v>916</v>
      </c>
      <c r="T19" s="93" t="s">
        <v>900</v>
      </c>
      <c r="U19" s="36"/>
      <c r="V19" s="41"/>
      <c r="W19" s="26"/>
      <c r="X19" s="32" t="s">
        <v>85</v>
      </c>
      <c r="Y19" s="32" t="s">
        <v>86</v>
      </c>
      <c r="Z19" s="48" t="s">
        <v>97</v>
      </c>
      <c r="AA19" s="48" t="s">
        <v>901</v>
      </c>
      <c r="AB19" s="15" t="str">
        <f>IFERROR(__xludf.DUMMYFUNCTION("join("","",filter(split($H$82,"",""),ARRAYFORMULA(ISERROR(FIND(split($H$82,"",""),CONCATENATE(E19:V19,AA19))))=TRUE))"),"КЗ,202,206,209,403,404,405,410")</f>
        <v>КЗ,202,206,209,403,404,405,410</v>
      </c>
      <c r="AC19" s="14"/>
      <c r="AD19" s="14"/>
      <c r="AE19" s="14"/>
    </row>
    <row r="20" ht="40.5" customHeight="1">
      <c r="A20" s="30"/>
      <c r="B20" s="15">
        <v>8.0</v>
      </c>
      <c r="C20" s="32" t="s">
        <v>98</v>
      </c>
      <c r="D20" s="32" t="s">
        <v>99</v>
      </c>
      <c r="E20" s="94" t="s">
        <v>852</v>
      </c>
      <c r="F20" s="13"/>
      <c r="G20" s="33" t="s">
        <v>917</v>
      </c>
      <c r="H20" s="45" t="s">
        <v>918</v>
      </c>
      <c r="I20" s="41"/>
      <c r="J20" s="95" t="s">
        <v>894</v>
      </c>
      <c r="K20" s="13"/>
      <c r="L20" s="45" t="s">
        <v>893</v>
      </c>
      <c r="M20" s="13"/>
      <c r="N20" s="45" t="s">
        <v>919</v>
      </c>
      <c r="O20" s="13"/>
      <c r="P20" s="37" t="s">
        <v>920</v>
      </c>
      <c r="Q20" s="41"/>
      <c r="R20" s="96" t="s">
        <v>921</v>
      </c>
      <c r="S20" s="97" t="s">
        <v>922</v>
      </c>
      <c r="T20" s="93" t="s">
        <v>900</v>
      </c>
      <c r="U20" s="36"/>
      <c r="V20" s="41"/>
      <c r="W20" s="26"/>
      <c r="X20" s="32" t="s">
        <v>98</v>
      </c>
      <c r="Y20" s="32" t="s">
        <v>99</v>
      </c>
      <c r="Z20" s="11"/>
      <c r="AA20" s="48" t="s">
        <v>901</v>
      </c>
      <c r="AB20" s="15" t="str">
        <f>IFERROR(__xludf.DUMMYFUNCTION("join("","",filter(split($H$82,"",""),ARRAYFORMULA(ISERROR(FIND(split($H$82,"",""),CONCATENATE(E20:V20,AA20))))=TRUE))"),"КЗ,202,206,209,403,404,405,410")</f>
        <v>КЗ,202,206,209,403,404,405,410</v>
      </c>
      <c r="AC20" s="14"/>
      <c r="AD20" s="14"/>
      <c r="AE20" s="14"/>
    </row>
    <row r="21" ht="40.5" customHeight="1">
      <c r="A21" s="30"/>
      <c r="B21" s="15">
        <v>9.0</v>
      </c>
      <c r="C21" s="65">
        <v>44697.0</v>
      </c>
      <c r="D21" s="44" t="s">
        <v>109</v>
      </c>
      <c r="E21" s="144"/>
      <c r="F21" s="327"/>
      <c r="G21" s="328" t="s">
        <v>923</v>
      </c>
      <c r="H21" s="132"/>
      <c r="I21" s="92"/>
      <c r="J21" s="329"/>
      <c r="K21" s="199"/>
      <c r="L21" s="199"/>
      <c r="M21" s="199"/>
      <c r="N21" s="45" t="s">
        <v>924</v>
      </c>
      <c r="O21" s="13"/>
      <c r="P21" s="102" t="s">
        <v>925</v>
      </c>
      <c r="Q21" s="41"/>
      <c r="R21" s="35" t="s">
        <v>211</v>
      </c>
      <c r="S21" s="41"/>
      <c r="T21" s="103" t="s">
        <v>926</v>
      </c>
      <c r="U21" s="36"/>
      <c r="V21" s="41"/>
      <c r="W21" s="26"/>
      <c r="X21" s="65">
        <v>44697.0</v>
      </c>
      <c r="Y21" s="44" t="s">
        <v>109</v>
      </c>
      <c r="Z21" s="28"/>
      <c r="AA21" s="198"/>
      <c r="AB21" s="15" t="str">
        <f>IFERROR(__xludf.DUMMYFUNCTION("join("","",filter(split($H$82,"",""),ARRAYFORMULA(ISERROR(FIND(split($H$82,"",""),CONCATENATE(E21:V21,AA21))))=TRUE))"),"КЗ,201,206,209,210,401,403,404,405,406,408,410,501")</f>
        <v>КЗ,201,206,209,210,401,403,404,405,406,408,410,501</v>
      </c>
      <c r="AC21" s="14"/>
      <c r="AD21" s="14"/>
      <c r="AE21" s="14"/>
    </row>
    <row r="22" ht="40.5" customHeight="1">
      <c r="A22" s="30"/>
      <c r="B22" s="15">
        <v>10.0</v>
      </c>
      <c r="C22" s="44" t="s">
        <v>120</v>
      </c>
      <c r="D22" s="44" t="s">
        <v>121</v>
      </c>
      <c r="E22" s="144"/>
      <c r="F22" s="327"/>
      <c r="G22" s="328" t="s">
        <v>923</v>
      </c>
      <c r="H22" s="132"/>
      <c r="I22" s="92"/>
      <c r="J22" s="329"/>
      <c r="K22" s="199"/>
      <c r="L22" s="199"/>
      <c r="M22" s="199"/>
      <c r="N22" s="45" t="s">
        <v>927</v>
      </c>
      <c r="O22" s="13"/>
      <c r="P22" s="51" t="s">
        <v>928</v>
      </c>
      <c r="Q22" s="36"/>
      <c r="R22" s="36"/>
      <c r="S22" s="41"/>
      <c r="T22" s="107" t="s">
        <v>929</v>
      </c>
      <c r="U22" s="36"/>
      <c r="V22" s="41"/>
      <c r="W22" s="26"/>
      <c r="X22" s="44" t="s">
        <v>120</v>
      </c>
      <c r="Y22" s="44" t="s">
        <v>121</v>
      </c>
      <c r="Z22" s="28"/>
      <c r="AA22" s="198"/>
      <c r="AB22" s="15" t="str">
        <f>IFERROR(__xludf.DUMMYFUNCTION("join("","",filter(split($H$82,"",""),ARRAYFORMULA(ISERROR(FIND(split($H$82,"",""),CONCATENATE(E22:V22,AA22))))=TRUE))"),"КЗ,201,206,209,210,401,403,404,405,406,408,409,410,501,503")</f>
        <v>КЗ,201,206,209,210,401,403,404,405,406,408,409,410,501,503</v>
      </c>
      <c r="AC22" s="14"/>
      <c r="AD22" s="14"/>
      <c r="AE22" s="14"/>
    </row>
    <row r="23" ht="40.5" customHeight="1">
      <c r="A23" s="74"/>
      <c r="B23" s="111">
        <v>11.0</v>
      </c>
      <c r="C23" s="85"/>
      <c r="D23" s="85"/>
      <c r="E23" s="108"/>
      <c r="F23" s="109"/>
      <c r="G23" s="110"/>
      <c r="H23" s="111"/>
      <c r="I23" s="112"/>
      <c r="J23" s="113"/>
      <c r="K23" s="111"/>
      <c r="L23" s="111"/>
      <c r="M23" s="111"/>
      <c r="N23" s="111"/>
      <c r="O23" s="111"/>
      <c r="P23" s="111"/>
      <c r="Q23" s="111"/>
      <c r="R23" s="111"/>
      <c r="S23" s="111"/>
      <c r="T23" s="111"/>
      <c r="U23" s="111"/>
      <c r="V23" s="112"/>
      <c r="W23" s="26"/>
      <c r="X23" s="85"/>
      <c r="Y23" s="85"/>
      <c r="Z23" s="28"/>
      <c r="AA23" s="198"/>
      <c r="AB23" s="15" t="str">
        <f>IFERROR(__xludf.DUMMYFUNCTION("join("","",filter(split($H$82,"",""),ARRAYFORMULA(ISERROR(FIND(split($H$82,"",""),CONCATENATE(E23:V23,AA23))))=TRUE))"),"СЗ,КЗ,201,202,206,209,210,401,402,403,404,405,406,408,409,410,АЗ,501,503")</f>
        <v>СЗ,КЗ,201,202,206,209,210,401,402,403,404,405,406,408,409,410,АЗ,501,503</v>
      </c>
      <c r="AC23" s="14"/>
      <c r="AD23" s="14"/>
      <c r="AE23" s="14"/>
    </row>
    <row r="24" ht="40.5" customHeight="1">
      <c r="A24" s="271">
        <v>44811.0</v>
      </c>
      <c r="B24" s="330">
        <v>1.0</v>
      </c>
      <c r="C24" s="32" t="s">
        <v>12</v>
      </c>
      <c r="D24" s="32" t="s">
        <v>13</v>
      </c>
      <c r="E24" s="21" t="s">
        <v>930</v>
      </c>
      <c r="F24" s="22"/>
      <c r="G24" s="116" t="s">
        <v>931</v>
      </c>
      <c r="H24" s="117" t="s">
        <v>932</v>
      </c>
      <c r="I24" s="22"/>
      <c r="J24" s="118" t="s">
        <v>221</v>
      </c>
      <c r="K24" s="24"/>
      <c r="L24" s="24"/>
      <c r="M24" s="25"/>
      <c r="N24" s="80" t="s">
        <v>933</v>
      </c>
      <c r="O24" s="25"/>
      <c r="P24" s="331" t="s">
        <v>934</v>
      </c>
      <c r="Q24" s="24"/>
      <c r="R24" s="24"/>
      <c r="S24" s="22"/>
      <c r="T24" s="121" t="s">
        <v>935</v>
      </c>
      <c r="U24" s="24"/>
      <c r="V24" s="22"/>
      <c r="W24" s="26"/>
      <c r="X24" s="32" t="s">
        <v>12</v>
      </c>
      <c r="Y24" s="32" t="s">
        <v>13</v>
      </c>
      <c r="Z24" s="28"/>
      <c r="AA24" s="11"/>
      <c r="AB24" s="15" t="str">
        <f>IFERROR(__xludf.DUMMYFUNCTION("join("","",filter(split($H$82,"",""),ARRAYFORMULA(ISERROR(FIND(split($H$82,"",""),CONCATENATE(E24:V24,AA24))))=TRUE))"),"СЗ,КЗ,206,401,402,403,404,405,406,408,409,410,501")</f>
        <v>СЗ,КЗ,206,401,402,403,404,405,406,408,409,410,501</v>
      </c>
      <c r="AC24" s="14"/>
      <c r="AD24" s="14"/>
      <c r="AE24" s="14"/>
    </row>
    <row r="25" ht="40.5" customHeight="1">
      <c r="A25" s="274"/>
      <c r="B25" s="26">
        <v>2.0</v>
      </c>
      <c r="C25" s="32" t="s">
        <v>21</v>
      </c>
      <c r="D25" s="32" t="s">
        <v>22</v>
      </c>
      <c r="E25" s="51" t="s">
        <v>936</v>
      </c>
      <c r="F25" s="41"/>
      <c r="G25" s="39" t="s">
        <v>937</v>
      </c>
      <c r="H25" s="89" t="s">
        <v>938</v>
      </c>
      <c r="I25" s="41"/>
      <c r="J25" s="35" t="s">
        <v>939</v>
      </c>
      <c r="K25" s="13"/>
      <c r="L25" s="40" t="s">
        <v>940</v>
      </c>
      <c r="M25" s="13"/>
      <c r="N25" s="40" t="s">
        <v>231</v>
      </c>
      <c r="O25" s="13"/>
      <c r="P25" s="37" t="s">
        <v>941</v>
      </c>
      <c r="Q25" s="13"/>
      <c r="R25" s="122" t="s">
        <v>942</v>
      </c>
      <c r="S25" s="41"/>
      <c r="T25" s="103" t="s">
        <v>943</v>
      </c>
      <c r="U25" s="36"/>
      <c r="V25" s="41"/>
      <c r="W25" s="26"/>
      <c r="X25" s="32" t="s">
        <v>21</v>
      </c>
      <c r="Y25" s="32" t="s">
        <v>22</v>
      </c>
      <c r="Z25" s="28"/>
      <c r="AA25" s="11"/>
      <c r="AB25" s="15" t="str">
        <f>IFERROR(__xludf.DUMMYFUNCTION("join("","",filter(split($H$82,"",""),ARRAYFORMULA(ISERROR(FIND(split($H$82,"",""),CONCATENATE(E25:V25,AA25))))=TRUE))"),"СЗ,КЗ,206,209,403,404,405,408,410,АЗ")</f>
        <v>СЗ,КЗ,206,209,403,404,405,408,410,АЗ</v>
      </c>
      <c r="AC25" s="14"/>
      <c r="AD25" s="14"/>
      <c r="AE25" s="14"/>
    </row>
    <row r="26" ht="40.5" customHeight="1">
      <c r="A26" s="274"/>
      <c r="B26" s="26">
        <v>3.0</v>
      </c>
      <c r="C26" s="32" t="s">
        <v>33</v>
      </c>
      <c r="D26" s="32" t="s">
        <v>34</v>
      </c>
      <c r="E26" s="37" t="s">
        <v>944</v>
      </c>
      <c r="F26" s="41"/>
      <c r="G26" s="51" t="s">
        <v>945</v>
      </c>
      <c r="H26" s="36"/>
      <c r="I26" s="41"/>
      <c r="J26" s="95" t="s">
        <v>946</v>
      </c>
      <c r="K26" s="13"/>
      <c r="L26" s="45" t="s">
        <v>947</v>
      </c>
      <c r="M26" s="13"/>
      <c r="N26" s="40" t="s">
        <v>231</v>
      </c>
      <c r="O26" s="13"/>
      <c r="P26" s="39" t="s">
        <v>948</v>
      </c>
      <c r="Q26" s="124" t="s">
        <v>949</v>
      </c>
      <c r="R26" s="89" t="s">
        <v>950</v>
      </c>
      <c r="S26" s="41"/>
      <c r="T26" s="125" t="s">
        <v>951</v>
      </c>
      <c r="U26" s="36"/>
      <c r="V26" s="41"/>
      <c r="W26" s="26"/>
      <c r="X26" s="32" t="s">
        <v>33</v>
      </c>
      <c r="Y26" s="32" t="s">
        <v>34</v>
      </c>
      <c r="Z26" s="48" t="s">
        <v>790</v>
      </c>
      <c r="AA26" s="11"/>
      <c r="AB26" s="15" t="str">
        <f>IFERROR(__xludf.DUMMYFUNCTION("join("","",filter(split($H$82,"",""),ARRAYFORMULA(ISERROR(FIND(split($H$82,"",""),CONCATENATE(E26:V26,AA26))))=TRUE))"),"СЗ,КЗ,206,210,403,404,405,408,410,АЗ")</f>
        <v>СЗ,КЗ,206,210,403,404,405,408,410,АЗ</v>
      </c>
      <c r="AC26" s="14"/>
      <c r="AD26" s="14"/>
      <c r="AE26" s="14"/>
    </row>
    <row r="27" ht="54.0" customHeight="1">
      <c r="A27" s="274"/>
      <c r="B27" s="26">
        <v>4.0</v>
      </c>
      <c r="C27" s="32" t="s">
        <v>48</v>
      </c>
      <c r="D27" s="32" t="s">
        <v>49</v>
      </c>
      <c r="E27" s="37" t="s">
        <v>952</v>
      </c>
      <c r="F27" s="41"/>
      <c r="G27" s="37" t="s">
        <v>953</v>
      </c>
      <c r="H27" s="13"/>
      <c r="I27" s="92" t="s">
        <v>954</v>
      </c>
      <c r="J27" s="107" t="s">
        <v>955</v>
      </c>
      <c r="K27" s="13"/>
      <c r="L27" s="45" t="s">
        <v>956</v>
      </c>
      <c r="M27" s="13"/>
      <c r="N27" s="127" t="s">
        <v>957</v>
      </c>
      <c r="O27" s="13"/>
      <c r="P27" s="37" t="s">
        <v>941</v>
      </c>
      <c r="Q27" s="13"/>
      <c r="R27" s="132" t="s">
        <v>958</v>
      </c>
      <c r="S27" s="34" t="s">
        <v>959</v>
      </c>
      <c r="T27" s="125" t="s">
        <v>960</v>
      </c>
      <c r="U27" s="36"/>
      <c r="V27" s="41"/>
      <c r="W27" s="26"/>
      <c r="X27" s="32" t="s">
        <v>48</v>
      </c>
      <c r="Y27" s="32" t="s">
        <v>49</v>
      </c>
      <c r="Z27" s="48" t="s">
        <v>803</v>
      </c>
      <c r="AA27" s="11"/>
      <c r="AB27" s="15" t="str">
        <f>IFERROR(__xludf.DUMMYFUNCTION("join("","",filter(split($H$82,"",""),ARRAYFORMULA(ISERROR(FIND(split($H$82,"",""),CONCATENATE(E27:V27,AA27))))=TRUE))"),"СЗ,КЗ,202,206,403,404,408,410,АЗ")</f>
        <v>СЗ,КЗ,202,206,403,404,408,410,АЗ</v>
      </c>
      <c r="AC27" s="14"/>
      <c r="AD27" s="14"/>
      <c r="AE27" s="14"/>
    </row>
    <row r="28" ht="53.25" customHeight="1">
      <c r="A28" s="274"/>
      <c r="B28" s="26">
        <v>5.0</v>
      </c>
      <c r="C28" s="32" t="s">
        <v>58</v>
      </c>
      <c r="D28" s="53">
        <v>44847.0</v>
      </c>
      <c r="E28" s="37" t="s">
        <v>961</v>
      </c>
      <c r="F28" s="41"/>
      <c r="G28" s="37" t="s">
        <v>962</v>
      </c>
      <c r="H28" s="13"/>
      <c r="I28" s="92" t="s">
        <v>963</v>
      </c>
      <c r="J28" s="35" t="s">
        <v>964</v>
      </c>
      <c r="K28" s="13"/>
      <c r="L28" s="45" t="s">
        <v>965</v>
      </c>
      <c r="M28" s="13"/>
      <c r="N28" s="89" t="s">
        <v>966</v>
      </c>
      <c r="O28" s="13"/>
      <c r="P28" s="39" t="s">
        <v>948</v>
      </c>
      <c r="Q28" s="124" t="s">
        <v>967</v>
      </c>
      <c r="R28" s="132" t="s">
        <v>968</v>
      </c>
      <c r="S28" s="34" t="s">
        <v>959</v>
      </c>
      <c r="T28" s="128" t="s">
        <v>969</v>
      </c>
      <c r="U28" s="8"/>
      <c r="V28" s="129"/>
      <c r="W28" s="26"/>
      <c r="X28" s="32" t="s">
        <v>58</v>
      </c>
      <c r="Y28" s="53">
        <v>44847.0</v>
      </c>
      <c r="Z28" s="48" t="s">
        <v>70</v>
      </c>
      <c r="AA28" s="11"/>
      <c r="AB28" s="15" t="str">
        <f>IFERROR(__xludf.DUMMYFUNCTION("join("","",filter(split($H$82,"",""),ARRAYFORMULA(ISERROR(FIND(split($H$82,"",""),CONCATENATE(E28:V28,AA28))))=TRUE))"),"СЗ,КЗ,206,209,403,404,408,410")</f>
        <v>СЗ,КЗ,206,209,403,404,408,410</v>
      </c>
      <c r="AC28" s="14"/>
      <c r="AD28" s="14"/>
      <c r="AE28" s="14"/>
    </row>
    <row r="29" ht="40.5" customHeight="1">
      <c r="A29" s="274"/>
      <c r="B29" s="26">
        <v>6.0</v>
      </c>
      <c r="C29" s="317" t="s">
        <v>646</v>
      </c>
      <c r="D29" s="32" t="s">
        <v>647</v>
      </c>
      <c r="E29" s="33"/>
      <c r="F29" s="34"/>
      <c r="G29" s="322" t="s">
        <v>970</v>
      </c>
      <c r="H29" s="13"/>
      <c r="I29" s="34" t="s">
        <v>971</v>
      </c>
      <c r="J29" s="35" t="s">
        <v>972</v>
      </c>
      <c r="K29" s="13"/>
      <c r="L29" s="89" t="s">
        <v>973</v>
      </c>
      <c r="M29" s="13"/>
      <c r="N29" s="130" t="s">
        <v>974</v>
      </c>
      <c r="O29" s="13"/>
      <c r="P29" s="131" t="s">
        <v>975</v>
      </c>
      <c r="Q29" s="132" t="s">
        <v>948</v>
      </c>
      <c r="R29" s="44"/>
      <c r="S29" s="92" t="s">
        <v>976</v>
      </c>
      <c r="V29" s="134"/>
      <c r="W29" s="26"/>
      <c r="X29" s="317" t="s">
        <v>646</v>
      </c>
      <c r="Y29" s="32" t="s">
        <v>647</v>
      </c>
      <c r="Z29" s="48" t="s">
        <v>84</v>
      </c>
      <c r="AA29" s="11"/>
      <c r="AB29" s="15" t="str">
        <f>IFERROR(__xludf.DUMMYFUNCTION("join("","",filter(split($H$82,"",""),ARRAYFORMULA(ISERROR(FIND(split($H$82,"",""),CONCATENATE(E29:V29,AA29))))=TRUE))"),"СЗ,КЗ,201,206,210,403,404,405,408,410,АЗ")</f>
        <v>СЗ,КЗ,201,206,210,403,404,405,408,410,АЗ</v>
      </c>
      <c r="AC29" s="14"/>
      <c r="AD29" s="14"/>
      <c r="AE29" s="14"/>
    </row>
    <row r="30" ht="40.5" customHeight="1">
      <c r="A30" s="274"/>
      <c r="B30" s="26">
        <v>7.0</v>
      </c>
      <c r="C30" s="32" t="s">
        <v>85</v>
      </c>
      <c r="D30" s="32" t="s">
        <v>86</v>
      </c>
      <c r="E30" s="33"/>
      <c r="F30" s="34"/>
      <c r="G30" s="322" t="s">
        <v>977</v>
      </c>
      <c r="H30" s="13"/>
      <c r="I30" s="34" t="s">
        <v>971</v>
      </c>
      <c r="J30" s="35" t="s">
        <v>978</v>
      </c>
      <c r="K30" s="13"/>
      <c r="L30" s="45" t="s">
        <v>979</v>
      </c>
      <c r="M30" s="13"/>
      <c r="N30" s="130" t="s">
        <v>980</v>
      </c>
      <c r="O30" s="13"/>
      <c r="P30" s="131" t="s">
        <v>981</v>
      </c>
      <c r="Q30" s="132" t="s">
        <v>948</v>
      </c>
      <c r="R30" s="44"/>
      <c r="S30" s="92" t="s">
        <v>982</v>
      </c>
      <c r="V30" s="134"/>
      <c r="W30" s="26"/>
      <c r="X30" s="32" t="s">
        <v>85</v>
      </c>
      <c r="Y30" s="32" t="s">
        <v>86</v>
      </c>
      <c r="Z30" s="48" t="s">
        <v>97</v>
      </c>
      <c r="AA30" s="11"/>
      <c r="AB30" s="15" t="str">
        <f>IFERROR(__xludf.DUMMYFUNCTION("join("","",filter(split($H$82,"",""),ARRAYFORMULA(ISERROR(FIND(split($H$82,"",""),CONCATENATE(E30:V30,AA30))))=TRUE))"),"СЗ,КЗ,206,210,403,404,405,408,409,410,АЗ")</f>
        <v>СЗ,КЗ,206,210,403,404,405,408,409,410,АЗ</v>
      </c>
      <c r="AC30" s="14"/>
      <c r="AD30" s="14"/>
      <c r="AE30" s="14"/>
    </row>
    <row r="31" ht="66.75" customHeight="1">
      <c r="A31" s="274"/>
      <c r="B31" s="26">
        <v>8.0</v>
      </c>
      <c r="C31" s="32" t="s">
        <v>98</v>
      </c>
      <c r="D31" s="32" t="s">
        <v>99</v>
      </c>
      <c r="E31" s="332"/>
      <c r="F31" s="41"/>
      <c r="G31" s="333"/>
      <c r="H31" s="237"/>
      <c r="I31" s="92"/>
      <c r="J31" s="334" t="s">
        <v>983</v>
      </c>
      <c r="K31" s="36"/>
      <c r="L31" s="36"/>
      <c r="M31" s="13"/>
      <c r="N31" s="45" t="s">
        <v>984</v>
      </c>
      <c r="O31" s="13"/>
      <c r="P31" s="33" t="s">
        <v>985</v>
      </c>
      <c r="Q31" s="199"/>
      <c r="R31" s="144"/>
      <c r="S31" s="92"/>
      <c r="V31" s="134"/>
      <c r="W31" s="26"/>
      <c r="X31" s="32" t="s">
        <v>98</v>
      </c>
      <c r="Y31" s="32" t="s">
        <v>99</v>
      </c>
      <c r="Z31" s="11"/>
      <c r="AA31" s="11"/>
      <c r="AB31" s="15" t="str">
        <f>IFERROR(__xludf.DUMMYFUNCTION("join("","",filter(split($H$82,"",""),ARRAYFORMULA(ISERROR(FIND(split($H$82,"",""),CONCATENATE(E31:V31,AA31))))=TRUE))"),"СЗ,КЗ,201,206,401,402,403,404,405,406,408,409,410,АЗ,501,503")</f>
        <v>СЗ,КЗ,201,206,401,402,403,404,405,406,408,409,410,АЗ,501,503</v>
      </c>
      <c r="AC31" s="14"/>
      <c r="AD31" s="14"/>
      <c r="AE31" s="14"/>
    </row>
    <row r="32" ht="59.25" customHeight="1">
      <c r="A32" s="274"/>
      <c r="B32" s="26">
        <v>9.0</v>
      </c>
      <c r="C32" s="65">
        <v>44697.0</v>
      </c>
      <c r="D32" s="44" t="s">
        <v>109</v>
      </c>
      <c r="E32" s="264"/>
      <c r="F32" s="265"/>
      <c r="G32" s="335" t="s">
        <v>986</v>
      </c>
      <c r="H32" s="144"/>
      <c r="I32" s="184"/>
      <c r="J32" s="334" t="s">
        <v>987</v>
      </c>
      <c r="K32" s="36"/>
      <c r="L32" s="36"/>
      <c r="M32" s="13"/>
      <c r="N32" s="45" t="s">
        <v>988</v>
      </c>
      <c r="O32" s="13"/>
      <c r="P32" s="33" t="s">
        <v>989</v>
      </c>
      <c r="Q32" s="199"/>
      <c r="R32" s="144"/>
      <c r="S32" s="92"/>
      <c r="T32" s="64"/>
      <c r="U32" s="64"/>
      <c r="V32" s="88"/>
      <c r="W32" s="26"/>
      <c r="X32" s="65">
        <v>44697.0</v>
      </c>
      <c r="Y32" s="44" t="s">
        <v>109</v>
      </c>
      <c r="Z32" s="28"/>
      <c r="AA32" s="11"/>
      <c r="AB32" s="15" t="str">
        <f>IFERROR(__xludf.DUMMYFUNCTION("join("","",filter(split($H$82,"",""),ARRAYFORMULA(ISERROR(FIND(split($H$82,"",""),CONCATENATE(E32:V32,AA32))))=TRUE))"),"СЗ,КЗ,201,206,401,402,403,404,405,406,408,409,410,АЗ,501,503")</f>
        <v>СЗ,КЗ,201,206,401,402,403,404,405,406,408,409,410,АЗ,501,503</v>
      </c>
      <c r="AC32" s="14"/>
      <c r="AD32" s="14"/>
      <c r="AE32" s="14"/>
    </row>
    <row r="33" ht="40.5" customHeight="1">
      <c r="A33" s="289"/>
      <c r="B33" s="113">
        <v>10.0</v>
      </c>
      <c r="C33" s="174" t="s">
        <v>120</v>
      </c>
      <c r="D33" s="174" t="s">
        <v>121</v>
      </c>
      <c r="E33" s="110"/>
      <c r="F33" s="112"/>
      <c r="G33" s="336"/>
      <c r="H33" s="108"/>
      <c r="I33" s="302"/>
      <c r="J33" s="300"/>
      <c r="K33" s="108"/>
      <c r="L33" s="108"/>
      <c r="M33" s="108"/>
      <c r="N33" s="108"/>
      <c r="O33" s="109"/>
      <c r="P33" s="337"/>
      <c r="Q33" s="153"/>
      <c r="R33" s="153"/>
      <c r="S33" s="154"/>
      <c r="T33" s="113"/>
      <c r="U33" s="155"/>
      <c r="V33" s="112"/>
      <c r="W33" s="26"/>
      <c r="X33" s="44" t="s">
        <v>120</v>
      </c>
      <c r="Y33" s="44" t="s">
        <v>121</v>
      </c>
      <c r="Z33" s="28"/>
      <c r="AA33" s="11"/>
      <c r="AB33" s="15" t="str">
        <f>IFERROR(__xludf.DUMMYFUNCTION("join("","",filter(split($H$82,"",""),ARRAYFORMULA(ISERROR(FIND(split($H$82,"",""),CONCATENATE(E33:V33,AA33))))=TRUE))"),"СЗ,КЗ,201,202,206,209,210,401,402,403,404,405,406,408,409,410,АЗ,501,503")</f>
        <v>СЗ,КЗ,201,202,206,209,210,401,402,403,404,405,406,408,409,410,АЗ,501,503</v>
      </c>
      <c r="AC33" s="14"/>
      <c r="AD33" s="14"/>
      <c r="AE33" s="14"/>
    </row>
    <row r="34" ht="58.5" customHeight="1">
      <c r="A34" s="18">
        <v>44812.0</v>
      </c>
      <c r="B34" s="219">
        <v>1.0</v>
      </c>
      <c r="C34" s="20" t="s">
        <v>12</v>
      </c>
      <c r="D34" s="20" t="s">
        <v>13</v>
      </c>
      <c r="E34" s="80"/>
      <c r="F34" s="25"/>
      <c r="G34" s="156" t="s">
        <v>990</v>
      </c>
      <c r="H34" s="45" t="s">
        <v>991</v>
      </c>
      <c r="I34" s="13"/>
      <c r="J34" s="156" t="s">
        <v>992</v>
      </c>
      <c r="K34" s="156" t="s">
        <v>993</v>
      </c>
      <c r="L34" s="80" t="s">
        <v>994</v>
      </c>
      <c r="M34" s="25"/>
      <c r="N34" s="80" t="s">
        <v>316</v>
      </c>
      <c r="O34" s="25"/>
      <c r="P34" s="156" t="s">
        <v>995</v>
      </c>
      <c r="Q34" s="156" t="s">
        <v>996</v>
      </c>
      <c r="R34" s="159" t="s">
        <v>997</v>
      </c>
      <c r="S34" s="160" t="s">
        <v>998</v>
      </c>
      <c r="T34" s="161" t="s">
        <v>999</v>
      </c>
      <c r="U34" s="24"/>
      <c r="V34" s="22"/>
      <c r="W34" s="26"/>
      <c r="X34" s="32" t="s">
        <v>12</v>
      </c>
      <c r="Y34" s="32" t="s">
        <v>13</v>
      </c>
      <c r="Z34" s="28"/>
      <c r="AA34" s="48">
        <v>206.0</v>
      </c>
      <c r="AB34" s="15" t="str">
        <f>IFERROR(__xludf.DUMMYFUNCTION("join("","",filter(split($H$82,"",""),ARRAYFORMULA(ISERROR(FIND(split($H$82,"",""),CONCATENATE(E34:V34,AA34))))=TRUE))"),"СЗ,КЗ,201,403,410,АЗ,501")</f>
        <v>СЗ,КЗ,201,403,410,АЗ,501</v>
      </c>
      <c r="AC34" s="14"/>
      <c r="AD34" s="14"/>
      <c r="AE34" s="14"/>
    </row>
    <row r="35" ht="51.0" customHeight="1">
      <c r="A35" s="30"/>
      <c r="B35" s="15">
        <v>2.0</v>
      </c>
      <c r="C35" s="32" t="s">
        <v>21</v>
      </c>
      <c r="D35" s="32" t="s">
        <v>22</v>
      </c>
      <c r="E35" s="45" t="s">
        <v>1000</v>
      </c>
      <c r="F35" s="13"/>
      <c r="G35" s="44" t="s">
        <v>1001</v>
      </c>
      <c r="H35" s="45" t="s">
        <v>1002</v>
      </c>
      <c r="I35" s="13"/>
      <c r="J35" s="44" t="s">
        <v>992</v>
      </c>
      <c r="K35" s="44" t="s">
        <v>993</v>
      </c>
      <c r="L35" s="45" t="s">
        <v>994</v>
      </c>
      <c r="M35" s="13"/>
      <c r="N35" s="45" t="s">
        <v>316</v>
      </c>
      <c r="O35" s="13"/>
      <c r="P35" s="44" t="s">
        <v>1003</v>
      </c>
      <c r="Q35" s="44" t="s">
        <v>1004</v>
      </c>
      <c r="R35" s="162" t="s">
        <v>997</v>
      </c>
      <c r="S35" s="90" t="s">
        <v>1005</v>
      </c>
      <c r="T35" s="163" t="s">
        <v>1006</v>
      </c>
      <c r="U35" s="36"/>
      <c r="V35" s="41"/>
      <c r="W35" s="26"/>
      <c r="X35" s="32" t="s">
        <v>21</v>
      </c>
      <c r="Y35" s="32" t="s">
        <v>22</v>
      </c>
      <c r="Z35" s="28"/>
      <c r="AA35" s="48">
        <v>206.0</v>
      </c>
      <c r="AB35" s="15" t="str">
        <f>IFERROR(__xludf.DUMMYFUNCTION("join("","",filter(split($H$82,"",""),ARRAYFORMULA(ISERROR(FIND(split($H$82,"",""),CONCATENATE(E35:V35,AA35))))=TRUE))"),"СЗ,КЗ,403,410,АЗ,501")</f>
        <v>СЗ,КЗ,403,410,АЗ,501</v>
      </c>
      <c r="AC35" s="14"/>
      <c r="AD35" s="14"/>
      <c r="AE35" s="14"/>
    </row>
    <row r="36" ht="45.75" customHeight="1">
      <c r="A36" s="30"/>
      <c r="B36" s="15">
        <v>3.0</v>
      </c>
      <c r="C36" s="32" t="s">
        <v>33</v>
      </c>
      <c r="D36" s="32" t="s">
        <v>34</v>
      </c>
      <c r="E36" s="45" t="s">
        <v>1007</v>
      </c>
      <c r="F36" s="13"/>
      <c r="G36" s="338" t="s">
        <v>1008</v>
      </c>
      <c r="H36" s="45" t="s">
        <v>1009</v>
      </c>
      <c r="I36" s="13"/>
      <c r="J36" s="44" t="s">
        <v>1010</v>
      </c>
      <c r="K36" s="44" t="s">
        <v>1011</v>
      </c>
      <c r="L36" s="45" t="s">
        <v>1012</v>
      </c>
      <c r="M36" s="13"/>
      <c r="N36" s="339" t="s">
        <v>1013</v>
      </c>
      <c r="O36" s="36"/>
      <c r="P36" s="36"/>
      <c r="Q36" s="13"/>
      <c r="R36" s="44" t="s">
        <v>1014</v>
      </c>
      <c r="S36" s="44" t="s">
        <v>1015</v>
      </c>
      <c r="T36" s="87" t="s">
        <v>1016</v>
      </c>
      <c r="U36" s="36"/>
      <c r="V36" s="41"/>
      <c r="W36" s="26"/>
      <c r="X36" s="32" t="s">
        <v>33</v>
      </c>
      <c r="Y36" s="32" t="s">
        <v>34</v>
      </c>
      <c r="Z36" s="48" t="s">
        <v>790</v>
      </c>
      <c r="AA36" s="48">
        <v>206.406</v>
      </c>
      <c r="AB36" s="15" t="str">
        <f>IFERROR(__xludf.DUMMYFUNCTION("join("","",filter(split($H$82,"",""),ARRAYFORMULA(ISERROR(FIND(split($H$82,"",""),CONCATENATE(E36:V36,AA36))))=TRUE))"),"КЗ,403,410,АЗ,501,503")</f>
        <v>КЗ,403,410,АЗ,501,503</v>
      </c>
      <c r="AC36" s="14"/>
      <c r="AD36" s="14"/>
      <c r="AE36" s="14"/>
    </row>
    <row r="37" ht="40.5" customHeight="1">
      <c r="A37" s="30"/>
      <c r="B37" s="15">
        <v>4.0</v>
      </c>
      <c r="C37" s="32" t="s">
        <v>48</v>
      </c>
      <c r="D37" s="32" t="s">
        <v>49</v>
      </c>
      <c r="E37" s="45" t="s">
        <v>1017</v>
      </c>
      <c r="F37" s="13"/>
      <c r="G37" s="338" t="s">
        <v>1008</v>
      </c>
      <c r="H37" s="45" t="s">
        <v>1018</v>
      </c>
      <c r="I37" s="13"/>
      <c r="J37" s="44" t="s">
        <v>1010</v>
      </c>
      <c r="K37" s="44" t="s">
        <v>1011</v>
      </c>
      <c r="L37" s="45" t="s">
        <v>1012</v>
      </c>
      <c r="M37" s="13"/>
      <c r="N37" s="45" t="s">
        <v>1019</v>
      </c>
      <c r="O37" s="36"/>
      <c r="P37" s="36"/>
      <c r="Q37" s="13"/>
      <c r="R37" s="44" t="s">
        <v>1020</v>
      </c>
      <c r="S37" s="44" t="s">
        <v>1021</v>
      </c>
      <c r="T37" s="87" t="s">
        <v>1022</v>
      </c>
      <c r="U37" s="36"/>
      <c r="V37" s="41"/>
      <c r="W37" s="26"/>
      <c r="X37" s="32" t="s">
        <v>48</v>
      </c>
      <c r="Y37" s="32" t="s">
        <v>49</v>
      </c>
      <c r="Z37" s="48" t="s">
        <v>803</v>
      </c>
      <c r="AA37" s="48">
        <v>206.406</v>
      </c>
      <c r="AB37" s="15" t="str">
        <f>IFERROR(__xludf.DUMMYFUNCTION("join("","",filter(split($H$82,"",""),ARRAYFORMULA(ISERROR(FIND(split($H$82,"",""),CONCATENATE(E37:V37,AA37))))=TRUE))"),"КЗ,403,410,АЗ,501,503")</f>
        <v>КЗ,403,410,АЗ,501,503</v>
      </c>
      <c r="AC37" s="14"/>
      <c r="AD37" s="14"/>
      <c r="AE37" s="14"/>
    </row>
    <row r="38" ht="58.5" customHeight="1">
      <c r="A38" s="30"/>
      <c r="B38" s="15">
        <v>5.0</v>
      </c>
      <c r="C38" s="32" t="s">
        <v>58</v>
      </c>
      <c r="D38" s="53">
        <v>44847.0</v>
      </c>
      <c r="E38" s="44" t="s">
        <v>1023</v>
      </c>
      <c r="F38" s="44" t="s">
        <v>1024</v>
      </c>
      <c r="G38" s="45" t="s">
        <v>1025</v>
      </c>
      <c r="H38" s="36"/>
      <c r="I38" s="13"/>
      <c r="J38" s="340" t="s">
        <v>1026</v>
      </c>
      <c r="K38" s="13"/>
      <c r="L38" s="44" t="s">
        <v>1027</v>
      </c>
      <c r="M38" s="44" t="s">
        <v>1028</v>
      </c>
      <c r="N38" s="44" t="s">
        <v>1029</v>
      </c>
      <c r="O38" s="44" t="s">
        <v>1030</v>
      </c>
      <c r="P38" s="45" t="s">
        <v>1012</v>
      </c>
      <c r="Q38" s="13"/>
      <c r="R38" s="44" t="s">
        <v>1031</v>
      </c>
      <c r="S38" s="132" t="s">
        <v>1032</v>
      </c>
      <c r="T38" s="45" t="s">
        <v>1033</v>
      </c>
      <c r="U38" s="36"/>
      <c r="V38" s="41"/>
      <c r="W38" s="26"/>
      <c r="X38" s="32" t="s">
        <v>58</v>
      </c>
      <c r="Y38" s="53">
        <v>44847.0</v>
      </c>
      <c r="Z38" s="48" t="s">
        <v>70</v>
      </c>
      <c r="AA38" s="48">
        <v>406.0</v>
      </c>
      <c r="AB38" s="15" t="str">
        <f>IFERROR(__xludf.DUMMYFUNCTION("join("","",filter(split($H$82,"",""),ARRAYFORMULA(ISERROR(FIND(split($H$82,"",""),CONCATENATE(E38:V38,AA38))))=TRUE))"),"СЗ,КЗ,206,402,403,АЗ,501")</f>
        <v>СЗ,КЗ,206,402,403,АЗ,501</v>
      </c>
      <c r="AC38" s="14"/>
      <c r="AD38" s="14"/>
      <c r="AE38" s="14"/>
    </row>
    <row r="39" ht="54.0" customHeight="1">
      <c r="A39" s="30"/>
      <c r="B39" s="15">
        <v>6.0</v>
      </c>
      <c r="C39" s="317" t="s">
        <v>646</v>
      </c>
      <c r="D39" s="32" t="s">
        <v>647</v>
      </c>
      <c r="E39" s="341" t="s">
        <v>1034</v>
      </c>
      <c r="F39" s="341" t="s">
        <v>1035</v>
      </c>
      <c r="G39" s="45" t="s">
        <v>355</v>
      </c>
      <c r="H39" s="36"/>
      <c r="I39" s="13"/>
      <c r="J39" s="340" t="s">
        <v>1036</v>
      </c>
      <c r="K39" s="13"/>
      <c r="L39" s="44" t="s">
        <v>1027</v>
      </c>
      <c r="M39" s="44" t="s">
        <v>1028</v>
      </c>
      <c r="N39" s="44" t="s">
        <v>1037</v>
      </c>
      <c r="O39" s="44" t="s">
        <v>1038</v>
      </c>
      <c r="P39" s="45" t="s">
        <v>1012</v>
      </c>
      <c r="Q39" s="13"/>
      <c r="R39" s="44" t="s">
        <v>1039</v>
      </c>
      <c r="S39" s="132" t="s">
        <v>1040</v>
      </c>
      <c r="T39" s="45" t="s">
        <v>1041</v>
      </c>
      <c r="U39" s="36"/>
      <c r="V39" s="41"/>
      <c r="W39" s="26"/>
      <c r="X39" s="317" t="s">
        <v>646</v>
      </c>
      <c r="Y39" s="32" t="s">
        <v>647</v>
      </c>
      <c r="Z39" s="48" t="s">
        <v>84</v>
      </c>
      <c r="AA39" s="48">
        <v>406.0</v>
      </c>
      <c r="AB39" s="15" t="str">
        <f>IFERROR(__xludf.DUMMYFUNCTION("join("","",filter(split($H$82,"",""),ARRAYFORMULA(ISERROR(FIND(split($H$82,"",""),CONCATENATE(E39:V39,AA39))))=TRUE))"),"СЗ,КЗ,210,402,403,АЗ,501")</f>
        <v>СЗ,КЗ,210,402,403,АЗ,501</v>
      </c>
      <c r="AC39" s="14"/>
      <c r="AD39" s="14"/>
      <c r="AE39" s="14"/>
    </row>
    <row r="40" ht="48.75" customHeight="1">
      <c r="A40" s="30"/>
      <c r="B40" s="15">
        <v>7.0</v>
      </c>
      <c r="C40" s="32" t="s">
        <v>85</v>
      </c>
      <c r="D40" s="32" t="s">
        <v>86</v>
      </c>
      <c r="E40" s="342" t="s">
        <v>1042</v>
      </c>
      <c r="F40" s="36"/>
      <c r="G40" s="36"/>
      <c r="H40" s="36"/>
      <c r="I40" s="36"/>
      <c r="J40" s="36"/>
      <c r="K40" s="36"/>
      <c r="L40" s="36"/>
      <c r="M40" s="36"/>
      <c r="N40" s="36"/>
      <c r="O40" s="36"/>
      <c r="P40" s="36"/>
      <c r="Q40" s="36"/>
      <c r="R40" s="36"/>
      <c r="S40" s="36"/>
      <c r="T40" s="36"/>
      <c r="U40" s="36"/>
      <c r="V40" s="13"/>
      <c r="W40" s="26"/>
      <c r="X40" s="32" t="s">
        <v>85</v>
      </c>
      <c r="Y40" s="32" t="s">
        <v>86</v>
      </c>
      <c r="Z40" s="48" t="s">
        <v>97</v>
      </c>
      <c r="AA40" s="11"/>
      <c r="AB40" s="15" t="str">
        <f>IFERROR(__xludf.DUMMYFUNCTION("join("","",filter(split($H$82,"",""),ARRAYFORMULA(ISERROR(FIND(split($H$82,"",""),CONCATENATE(E40:V40,AA40))))=TRUE))"),"СЗ,КЗ,201,202,206,209,210,401,402,403,404,405,406,408,409,410,АЗ,501,503")</f>
        <v>СЗ,КЗ,201,202,206,209,210,401,402,403,404,405,406,408,409,410,АЗ,501,503</v>
      </c>
      <c r="AC40" s="14"/>
      <c r="AD40" s="14"/>
      <c r="AE40" s="14"/>
    </row>
    <row r="41" ht="40.5" customHeight="1">
      <c r="A41" s="30"/>
      <c r="B41" s="15">
        <v>8.0</v>
      </c>
      <c r="C41" s="32" t="s">
        <v>98</v>
      </c>
      <c r="D41" s="32" t="s">
        <v>99</v>
      </c>
      <c r="E41" s="40"/>
      <c r="F41" s="13"/>
      <c r="G41" s="132"/>
      <c r="H41" s="40"/>
      <c r="I41" s="13"/>
      <c r="J41" s="40"/>
      <c r="K41" s="13"/>
      <c r="L41" s="132"/>
      <c r="M41" s="132"/>
      <c r="N41" s="130"/>
      <c r="O41" s="13"/>
      <c r="P41" s="40"/>
      <c r="Q41" s="13"/>
      <c r="R41" s="343"/>
      <c r="S41" s="13"/>
      <c r="T41" s="344"/>
      <c r="U41" s="36"/>
      <c r="V41" s="41"/>
      <c r="W41" s="26"/>
      <c r="X41" s="32" t="s">
        <v>98</v>
      </c>
      <c r="Y41" s="32" t="s">
        <v>99</v>
      </c>
      <c r="Z41" s="11"/>
      <c r="AA41" s="11"/>
      <c r="AB41" s="15" t="str">
        <f>IFERROR(__xludf.DUMMYFUNCTION("join("","",filter(split($H$82,"",""),ARRAYFORMULA(ISERROR(FIND(split($H$82,"",""),CONCATENATE(E41:V41,AA41))))=TRUE))"),"СЗ,КЗ,201,202,206,209,210,401,402,403,404,405,406,408,409,410,АЗ,501,503")</f>
        <v>СЗ,КЗ,201,202,206,209,210,401,402,403,404,405,406,408,409,410,АЗ,501,503</v>
      </c>
      <c r="AC41" s="14"/>
      <c r="AD41" s="14"/>
      <c r="AE41" s="14"/>
    </row>
    <row r="42" ht="40.5" customHeight="1">
      <c r="A42" s="30"/>
      <c r="B42" s="15">
        <v>9.0</v>
      </c>
      <c r="C42" s="65">
        <v>44697.0</v>
      </c>
      <c r="D42" s="44" t="s">
        <v>109</v>
      </c>
      <c r="E42" s="345"/>
      <c r="F42" s="4"/>
      <c r="G42" s="346"/>
      <c r="H42" s="169"/>
      <c r="I42" s="36"/>
      <c r="J42" s="13"/>
      <c r="K42" s="347"/>
      <c r="L42" s="4"/>
      <c r="M42" s="348"/>
      <c r="N42" s="40"/>
      <c r="O42" s="13"/>
      <c r="P42" s="346"/>
      <c r="Q42" s="345"/>
      <c r="R42" s="8"/>
      <c r="S42" s="8"/>
      <c r="T42" s="8"/>
      <c r="U42" s="8"/>
      <c r="V42" s="129"/>
      <c r="W42" s="26"/>
      <c r="X42" s="65">
        <v>44697.0</v>
      </c>
      <c r="Y42" s="44" t="s">
        <v>109</v>
      </c>
      <c r="Z42" s="28"/>
      <c r="AA42" s="11"/>
      <c r="AB42" s="15" t="str">
        <f>IFERROR(__xludf.DUMMYFUNCTION("join("","",filter(split($H$82,"",""),ARRAYFORMULA(ISERROR(FIND(split($H$82,"",""),CONCATENATE(E42:V42,AA42))))=TRUE))"),"СЗ,КЗ,201,202,206,209,210,401,402,403,404,405,406,408,409,410,АЗ,501,503")</f>
        <v>СЗ,КЗ,201,202,206,209,210,401,402,403,404,405,406,408,409,410,АЗ,501,503</v>
      </c>
      <c r="AC42" s="14"/>
      <c r="AD42" s="14"/>
      <c r="AE42" s="14"/>
    </row>
    <row r="43" ht="40.5" customHeight="1">
      <c r="A43" s="30"/>
      <c r="B43" s="15">
        <v>10.0</v>
      </c>
      <c r="C43" s="44" t="s">
        <v>120</v>
      </c>
      <c r="D43" s="44" t="s">
        <v>121</v>
      </c>
      <c r="E43" s="104"/>
      <c r="F43" s="72"/>
      <c r="G43" s="173"/>
      <c r="H43" s="169"/>
      <c r="I43" s="36"/>
      <c r="J43" s="13"/>
      <c r="K43" s="104"/>
      <c r="L43" s="72"/>
      <c r="M43" s="348"/>
      <c r="N43" s="40"/>
      <c r="O43" s="13"/>
      <c r="P43" s="173"/>
      <c r="Q43" s="104"/>
      <c r="R43" s="64"/>
      <c r="S43" s="64"/>
      <c r="T43" s="64"/>
      <c r="U43" s="64"/>
      <c r="V43" s="88"/>
      <c r="W43" s="26"/>
      <c r="X43" s="44" t="s">
        <v>120</v>
      </c>
      <c r="Y43" s="44" t="s">
        <v>121</v>
      </c>
      <c r="Z43" s="28"/>
      <c r="AA43" s="11"/>
      <c r="AB43" s="15" t="str">
        <f>IFERROR(__xludf.DUMMYFUNCTION("join("","",filter(split($H$82,"",""),ARRAYFORMULA(ISERROR(FIND(split($H$82,"",""),CONCATENATE(E43:V43,AA43))))=TRUE))"),"СЗ,КЗ,201,202,206,209,210,401,402,403,404,405,406,408,409,410,АЗ,501,503")</f>
        <v>СЗ,КЗ,201,202,206,209,210,401,402,403,404,405,406,408,409,410,АЗ,501,503</v>
      </c>
      <c r="AC43" s="14"/>
      <c r="AD43" s="14"/>
      <c r="AE43" s="14"/>
    </row>
    <row r="44" ht="40.5" customHeight="1">
      <c r="A44" s="74"/>
      <c r="B44" s="111">
        <v>12.0</v>
      </c>
      <c r="C44" s="239"/>
      <c r="D44" s="239"/>
      <c r="E44" s="111"/>
      <c r="F44" s="111"/>
      <c r="G44" s="111"/>
      <c r="H44" s="111"/>
      <c r="I44" s="111"/>
      <c r="J44" s="111"/>
      <c r="K44" s="111"/>
      <c r="L44" s="111"/>
      <c r="M44" s="111"/>
      <c r="N44" s="111"/>
      <c r="O44" s="111"/>
      <c r="P44" s="111"/>
      <c r="Q44" s="111"/>
      <c r="R44" s="111"/>
      <c r="S44" s="111"/>
      <c r="T44" s="111"/>
      <c r="U44" s="111"/>
      <c r="V44" s="112"/>
      <c r="W44" s="290"/>
      <c r="X44" s="85"/>
      <c r="Y44" s="85"/>
      <c r="Z44" s="28"/>
      <c r="AA44" s="11"/>
      <c r="AB44" s="15" t="str">
        <f>IFERROR(__xludf.DUMMYFUNCTION("join("","",filter(split($H$82,"",""),ARRAYFORMULA(ISERROR(FIND(split($H$82,"",""),CONCATENATE(E44:V44,AA44))))=TRUE))"),"СЗ,КЗ,201,202,206,209,210,401,402,403,404,405,406,408,409,410,АЗ,501,503")</f>
        <v>СЗ,КЗ,201,202,206,209,210,401,402,403,404,405,406,408,409,410,АЗ,501,503</v>
      </c>
      <c r="AC44" s="14"/>
      <c r="AD44" s="14"/>
      <c r="AE44" s="14"/>
    </row>
    <row r="45" ht="40.5" customHeight="1">
      <c r="A45" s="18">
        <v>44813.0</v>
      </c>
      <c r="B45" s="219">
        <v>1.0</v>
      </c>
      <c r="C45" s="20" t="s">
        <v>12</v>
      </c>
      <c r="D45" s="20" t="s">
        <v>13</v>
      </c>
      <c r="E45" s="349" t="s">
        <v>1043</v>
      </c>
      <c r="F45" s="247"/>
      <c r="G45" s="247"/>
      <c r="H45" s="247"/>
      <c r="I45" s="247"/>
      <c r="J45" s="247"/>
      <c r="K45" s="247"/>
      <c r="L45" s="247"/>
      <c r="M45" s="247"/>
      <c r="N45" s="247"/>
      <c r="O45" s="247"/>
      <c r="P45" s="247"/>
      <c r="Q45" s="247"/>
      <c r="R45" s="247"/>
      <c r="S45" s="247"/>
      <c r="T45" s="247"/>
      <c r="U45" s="247"/>
      <c r="V45" s="245"/>
      <c r="W45" s="350"/>
      <c r="X45" s="351" t="s">
        <v>12</v>
      </c>
      <c r="Y45" s="32" t="s">
        <v>13</v>
      </c>
      <c r="Z45" s="28"/>
      <c r="AA45" s="11"/>
      <c r="AB45" s="15" t="str">
        <f>IFERROR(__xludf.DUMMYFUNCTION("join("","",filter(split($H$82,"",""),ARRAYFORMULA(ISERROR(FIND(split($H$82,"",""),CONCATENATE(E45:V45,AA45))))=TRUE))"),"СЗ,КЗ,201,202,206,209,210,401,402,403,404,405,406,408,409,410,АЗ,501,503")</f>
        <v>СЗ,КЗ,201,202,206,209,210,401,402,403,404,405,406,408,409,410,АЗ,501,503</v>
      </c>
      <c r="AC45" s="14"/>
      <c r="AD45" s="14"/>
      <c r="AE45" s="14"/>
    </row>
    <row r="46" ht="40.5" customHeight="1">
      <c r="A46" s="30"/>
      <c r="B46" s="15">
        <v>2.0</v>
      </c>
      <c r="C46" s="32" t="s">
        <v>21</v>
      </c>
      <c r="D46" s="32" t="s">
        <v>22</v>
      </c>
      <c r="E46" s="104"/>
      <c r="F46" s="64"/>
      <c r="G46" s="64"/>
      <c r="H46" s="64"/>
      <c r="I46" s="64"/>
      <c r="J46" s="64"/>
      <c r="K46" s="64"/>
      <c r="L46" s="64"/>
      <c r="M46" s="64"/>
      <c r="N46" s="64"/>
      <c r="O46" s="64"/>
      <c r="P46" s="64"/>
      <c r="Q46" s="64"/>
      <c r="R46" s="64"/>
      <c r="S46" s="64"/>
      <c r="T46" s="64"/>
      <c r="U46" s="64"/>
      <c r="V46" s="72"/>
      <c r="W46" s="352"/>
      <c r="X46" s="351" t="s">
        <v>21</v>
      </c>
      <c r="Y46" s="32" t="s">
        <v>22</v>
      </c>
      <c r="Z46" s="28"/>
      <c r="AA46" s="11"/>
      <c r="AB46" s="15" t="str">
        <f>IFERROR(__xludf.DUMMYFUNCTION("join("","",filter(split($H$82,"",""),ARRAYFORMULA(ISERROR(FIND(split($H$82,"",""),CONCATENATE(E46:V46,AA46))))=TRUE))"),"СЗ,КЗ,201,202,206,209,210,401,402,403,404,405,406,408,409,410,АЗ,501,503")</f>
        <v>СЗ,КЗ,201,202,206,209,210,401,402,403,404,405,406,408,409,410,АЗ,501,503</v>
      </c>
      <c r="AC46" s="14"/>
      <c r="AD46" s="14"/>
      <c r="AE46" s="14"/>
    </row>
    <row r="47" ht="40.5" customHeight="1">
      <c r="A47" s="30"/>
      <c r="B47" s="15">
        <v>3.0</v>
      </c>
      <c r="C47" s="32" t="s">
        <v>33</v>
      </c>
      <c r="D47" s="32" t="s">
        <v>34</v>
      </c>
      <c r="E47" s="40"/>
      <c r="F47" s="13"/>
      <c r="G47" s="353"/>
      <c r="H47" s="4"/>
      <c r="I47" s="354"/>
      <c r="J47" s="132"/>
      <c r="K47" s="132"/>
      <c r="L47" s="132"/>
      <c r="M47" s="132"/>
      <c r="N47" s="40"/>
      <c r="O47" s="36"/>
      <c r="P47" s="36"/>
      <c r="Q47" s="13"/>
      <c r="R47" s="132"/>
      <c r="S47" s="354"/>
      <c r="T47" s="40"/>
      <c r="U47" s="36"/>
      <c r="V47" s="41"/>
      <c r="W47" s="352"/>
      <c r="X47" s="351" t="s">
        <v>33</v>
      </c>
      <c r="Y47" s="32" t="s">
        <v>34</v>
      </c>
      <c r="Z47" s="48" t="s">
        <v>790</v>
      </c>
      <c r="AA47" s="11"/>
      <c r="AB47" s="15" t="str">
        <f>IFERROR(__xludf.DUMMYFUNCTION("join("","",filter(split($H$82,"",""),ARRAYFORMULA(ISERROR(FIND(split($H$82,"",""),CONCATENATE(E47:V47,AA47))))=TRUE))"),"СЗ,КЗ,201,202,206,209,210,401,402,403,404,405,406,408,409,410,АЗ,501,503")</f>
        <v>СЗ,КЗ,201,202,206,209,210,401,402,403,404,405,406,408,409,410,АЗ,501,503</v>
      </c>
      <c r="AC47" s="14"/>
      <c r="AD47" s="14"/>
      <c r="AE47" s="14"/>
    </row>
    <row r="48" ht="40.5" customHeight="1">
      <c r="A48" s="30"/>
      <c r="B48" s="15">
        <v>4.0</v>
      </c>
      <c r="C48" s="32" t="s">
        <v>48</v>
      </c>
      <c r="D48" s="32" t="s">
        <v>49</v>
      </c>
      <c r="E48" s="40"/>
      <c r="F48" s="13"/>
      <c r="G48" s="104"/>
      <c r="H48" s="72"/>
      <c r="I48" s="354"/>
      <c r="J48" s="132"/>
      <c r="K48" s="132"/>
      <c r="L48" s="132"/>
      <c r="M48" s="132"/>
      <c r="N48" s="40"/>
      <c r="O48" s="36"/>
      <c r="P48" s="36"/>
      <c r="Q48" s="13"/>
      <c r="R48" s="354"/>
      <c r="S48" s="355"/>
      <c r="T48" s="40"/>
      <c r="U48" s="36"/>
      <c r="V48" s="41"/>
      <c r="W48" s="352"/>
      <c r="X48" s="351" t="s">
        <v>48</v>
      </c>
      <c r="Y48" s="32" t="s">
        <v>49</v>
      </c>
      <c r="Z48" s="48" t="s">
        <v>803</v>
      </c>
      <c r="AA48" s="11"/>
      <c r="AB48" s="15" t="str">
        <f>IFERROR(__xludf.DUMMYFUNCTION("join("","",filter(split($H$82,"",""),ARRAYFORMULA(ISERROR(FIND(split($H$82,"",""),CONCATENATE(E48:V48,AA48))))=TRUE))"),"СЗ,КЗ,201,202,206,209,210,401,402,403,404,405,406,408,409,410,АЗ,501,503")</f>
        <v>СЗ,КЗ,201,202,206,209,210,401,402,403,404,405,406,408,409,410,АЗ,501,503</v>
      </c>
      <c r="AC48" s="14"/>
      <c r="AD48" s="14"/>
      <c r="AE48" s="14"/>
    </row>
    <row r="49" ht="40.5" customHeight="1">
      <c r="A49" s="30"/>
      <c r="B49" s="15">
        <v>5.0</v>
      </c>
      <c r="C49" s="32" t="s">
        <v>58</v>
      </c>
      <c r="D49" s="53">
        <v>44847.0</v>
      </c>
      <c r="E49" s="40"/>
      <c r="F49" s="13"/>
      <c r="G49" s="132"/>
      <c r="H49" s="132"/>
      <c r="I49" s="132"/>
      <c r="J49" s="40"/>
      <c r="K49" s="13"/>
      <c r="L49" s="40"/>
      <c r="M49" s="13"/>
      <c r="N49" s="132"/>
      <c r="O49" s="124"/>
      <c r="P49" s="40"/>
      <c r="Q49" s="13"/>
      <c r="R49" s="354"/>
      <c r="S49" s="355"/>
      <c r="T49" s="40"/>
      <c r="U49" s="36"/>
      <c r="V49" s="41"/>
      <c r="W49" s="352"/>
      <c r="X49" s="351" t="s">
        <v>58</v>
      </c>
      <c r="Y49" s="53">
        <v>44847.0</v>
      </c>
      <c r="Z49" s="48" t="s">
        <v>70</v>
      </c>
      <c r="AA49" s="11"/>
      <c r="AB49" s="15" t="str">
        <f>IFERROR(__xludf.DUMMYFUNCTION("join("","",filter(split($H$82,"",""),ARRAYFORMULA(ISERROR(FIND(split($H$82,"",""),CONCATENATE(E49:V49,AA49))))=TRUE))"),"СЗ,КЗ,201,202,206,209,210,401,402,403,404,405,406,408,409,410,АЗ,501,503")</f>
        <v>СЗ,КЗ,201,202,206,209,210,401,402,403,404,405,406,408,409,410,АЗ,501,503</v>
      </c>
      <c r="AC49" s="14"/>
      <c r="AD49" s="14"/>
      <c r="AE49" s="14"/>
    </row>
    <row r="50" ht="48.75" customHeight="1">
      <c r="A50" s="30"/>
      <c r="B50" s="15">
        <v>6.0</v>
      </c>
      <c r="C50" s="317" t="s">
        <v>646</v>
      </c>
      <c r="D50" s="32" t="s">
        <v>647</v>
      </c>
      <c r="E50" s="40"/>
      <c r="F50" s="13"/>
      <c r="G50" s="132"/>
      <c r="H50" s="132"/>
      <c r="I50" s="132"/>
      <c r="J50" s="40"/>
      <c r="K50" s="13"/>
      <c r="L50" s="40"/>
      <c r="M50" s="13"/>
      <c r="N50" s="132"/>
      <c r="O50" s="124"/>
      <c r="P50" s="40"/>
      <c r="Q50" s="13"/>
      <c r="R50" s="356"/>
      <c r="S50" s="178"/>
      <c r="T50" s="132"/>
      <c r="U50" s="132"/>
      <c r="V50" s="92"/>
      <c r="W50" s="357"/>
      <c r="X50" s="358" t="s">
        <v>646</v>
      </c>
      <c r="Y50" s="32" t="s">
        <v>647</v>
      </c>
      <c r="Z50" s="48" t="s">
        <v>84</v>
      </c>
      <c r="AA50" s="11"/>
      <c r="AB50" s="15" t="str">
        <f>IFERROR(__xludf.DUMMYFUNCTION("join("","",filter(split($H$82,"",""),ARRAYFORMULA(ISERROR(FIND(split($H$82,"",""),CONCATENATE(E50:V50,AA50))))=TRUE))"),"СЗ,КЗ,201,202,206,209,210,401,402,403,404,405,406,408,409,410,АЗ,501,503")</f>
        <v>СЗ,КЗ,201,202,206,209,210,401,402,403,404,405,406,408,409,410,АЗ,501,503</v>
      </c>
      <c r="AC50" s="15" t="str">
        <f>IFERROR(__xludf.DUMMYFUNCTION("join("","",filter(split(#REF!,"",""),ARRAYFORMULA(ISERROR(FIND(split(#REF!,"",""),CONCATENATE(E50:S50))))=TRUE))"),"#REF!")</f>
        <v>#REF!</v>
      </c>
      <c r="AD50" s="14"/>
      <c r="AE50" s="14"/>
    </row>
    <row r="51" ht="55.5" customHeight="1">
      <c r="A51" s="30"/>
      <c r="B51" s="15">
        <v>7.0</v>
      </c>
      <c r="C51" s="32" t="s">
        <v>85</v>
      </c>
      <c r="D51" s="32" t="s">
        <v>86</v>
      </c>
      <c r="E51" s="40"/>
      <c r="F51" s="13"/>
      <c r="G51" s="132"/>
      <c r="H51" s="132"/>
      <c r="I51" s="132"/>
      <c r="J51" s="40"/>
      <c r="K51" s="13"/>
      <c r="L51" s="40"/>
      <c r="M51" s="13"/>
      <c r="N51" s="235"/>
      <c r="O51" s="132"/>
      <c r="P51" s="132"/>
      <c r="Q51" s="132"/>
      <c r="R51" s="356"/>
      <c r="S51" s="132"/>
      <c r="T51" s="132"/>
      <c r="U51" s="132"/>
      <c r="V51" s="92"/>
      <c r="W51" s="352"/>
      <c r="X51" s="351" t="s">
        <v>85</v>
      </c>
      <c r="Y51" s="32" t="s">
        <v>86</v>
      </c>
      <c r="Z51" s="48" t="s">
        <v>97</v>
      </c>
      <c r="AA51" s="11"/>
      <c r="AB51" s="15" t="str">
        <f>IFERROR(__xludf.DUMMYFUNCTION("join("","",filter(split($H$82,"",""),ARRAYFORMULA(ISERROR(FIND(split($H$82,"",""),CONCATENATE(E51:V51,AA51))))=TRUE))"),"СЗ,КЗ,201,202,206,209,210,401,402,403,404,405,406,408,409,410,АЗ,501,503")</f>
        <v>СЗ,КЗ,201,202,206,209,210,401,402,403,404,405,406,408,409,410,АЗ,501,503</v>
      </c>
      <c r="AC51" s="14"/>
      <c r="AD51" s="14"/>
      <c r="AE51" s="14"/>
    </row>
    <row r="52" ht="51.75" customHeight="1">
      <c r="A52" s="30"/>
      <c r="B52" s="15">
        <v>8.0</v>
      </c>
      <c r="C52" s="32" t="s">
        <v>98</v>
      </c>
      <c r="D52" s="32" t="s">
        <v>99</v>
      </c>
      <c r="E52" s="132"/>
      <c r="F52" s="132"/>
      <c r="G52" s="132"/>
      <c r="H52" s="40"/>
      <c r="I52" s="13"/>
      <c r="J52" s="40"/>
      <c r="K52" s="13"/>
      <c r="L52" s="40"/>
      <c r="M52" s="13"/>
      <c r="N52" s="235"/>
      <c r="O52" s="132"/>
      <c r="P52" s="132"/>
      <c r="Q52" s="132"/>
      <c r="R52" s="40"/>
      <c r="S52" s="13"/>
      <c r="T52" s="359"/>
      <c r="U52" s="359"/>
      <c r="V52" s="360"/>
      <c r="W52" s="352"/>
      <c r="X52" s="351" t="s">
        <v>98</v>
      </c>
      <c r="Y52" s="32" t="s">
        <v>99</v>
      </c>
      <c r="Z52" s="11"/>
      <c r="AA52" s="11"/>
      <c r="AB52" s="15" t="str">
        <f>IFERROR(__xludf.DUMMYFUNCTION("join("","",filter(split($H$82,"",""),ARRAYFORMULA(ISERROR(FIND(split($H$82,"",""),CONCATENATE(E52:V52,AA52))))=TRUE))"),"СЗ,КЗ,201,202,206,209,210,401,402,403,404,405,406,408,409,410,АЗ,501,503")</f>
        <v>СЗ,КЗ,201,202,206,209,210,401,402,403,404,405,406,408,409,410,АЗ,501,503</v>
      </c>
      <c r="AC52" s="14"/>
      <c r="AD52" s="14"/>
      <c r="AE52" s="14"/>
    </row>
    <row r="53" ht="40.5" customHeight="1">
      <c r="A53" s="30"/>
      <c r="B53" s="15">
        <v>9.0</v>
      </c>
      <c r="C53" s="65">
        <v>44697.0</v>
      </c>
      <c r="D53" s="44" t="s">
        <v>109</v>
      </c>
      <c r="E53" s="345"/>
      <c r="F53" s="8"/>
      <c r="G53" s="8"/>
      <c r="H53" s="8"/>
      <c r="I53" s="8"/>
      <c r="J53" s="8"/>
      <c r="K53" s="8"/>
      <c r="L53" s="8"/>
      <c r="M53" s="8"/>
      <c r="N53" s="8"/>
      <c r="O53" s="8"/>
      <c r="P53" s="8"/>
      <c r="Q53" s="8"/>
      <c r="R53" s="8"/>
      <c r="S53" s="8"/>
      <c r="T53" s="8"/>
      <c r="U53" s="8"/>
      <c r="V53" s="129"/>
      <c r="W53" s="361"/>
      <c r="X53" s="362">
        <v>44697.0</v>
      </c>
      <c r="Y53" s="44" t="s">
        <v>109</v>
      </c>
      <c r="Z53" s="28"/>
      <c r="AA53" s="11"/>
      <c r="AB53" s="15" t="str">
        <f>IFERROR(__xludf.DUMMYFUNCTION("join("","",filter(split($H$82,"",""),ARRAYFORMULA(ISERROR(FIND(split($H$82,"",""),CONCATENATE(E53:V53,AA53))))=TRUE))"),"СЗ,КЗ,201,202,206,209,210,401,402,403,404,405,406,408,409,410,АЗ,501,503")</f>
        <v>СЗ,КЗ,201,202,206,209,210,401,402,403,404,405,406,408,409,410,АЗ,501,503</v>
      </c>
      <c r="AC53" s="14"/>
      <c r="AD53" s="14"/>
      <c r="AE53" s="14"/>
    </row>
    <row r="54" ht="40.5" customHeight="1">
      <c r="A54" s="30"/>
      <c r="B54" s="15">
        <v>10.0</v>
      </c>
      <c r="C54" s="44" t="s">
        <v>120</v>
      </c>
      <c r="D54" s="44" t="s">
        <v>121</v>
      </c>
      <c r="E54" s="104"/>
      <c r="F54" s="64"/>
      <c r="G54" s="64"/>
      <c r="H54" s="64"/>
      <c r="I54" s="64"/>
      <c r="J54" s="64"/>
      <c r="K54" s="64"/>
      <c r="L54" s="64"/>
      <c r="M54" s="64"/>
      <c r="N54" s="64"/>
      <c r="O54" s="64"/>
      <c r="P54" s="64"/>
      <c r="Q54" s="64"/>
      <c r="R54" s="64"/>
      <c r="S54" s="64"/>
      <c r="T54" s="64"/>
      <c r="U54" s="64"/>
      <c r="V54" s="88"/>
      <c r="W54" s="363"/>
      <c r="X54" s="43" t="s">
        <v>120</v>
      </c>
      <c r="Y54" s="44" t="s">
        <v>121</v>
      </c>
      <c r="Z54" s="28"/>
      <c r="AA54" s="11"/>
      <c r="AB54" s="15" t="str">
        <f>IFERROR(__xludf.DUMMYFUNCTION("join("","",filter(split($H$82,"",""),ARRAYFORMULA(ISERROR(FIND(split($H$82,"",""),CONCATENATE(E54:V54,AA54))))=TRUE))"),"СЗ,КЗ,201,202,206,209,210,401,402,403,404,405,406,408,409,410,АЗ,501,503")</f>
        <v>СЗ,КЗ,201,202,206,209,210,401,402,403,404,405,406,408,409,410,АЗ,501,503</v>
      </c>
      <c r="AC54" s="14"/>
      <c r="AD54" s="14"/>
      <c r="AE54" s="14"/>
    </row>
    <row r="55" ht="40.5" customHeight="1">
      <c r="A55" s="74"/>
      <c r="B55" s="111">
        <v>11.0</v>
      </c>
      <c r="C55" s="239"/>
      <c r="D55" s="239"/>
      <c r="E55" s="111"/>
      <c r="F55" s="111"/>
      <c r="G55" s="111"/>
      <c r="H55" s="111"/>
      <c r="I55" s="111"/>
      <c r="J55" s="111"/>
      <c r="K55" s="111"/>
      <c r="L55" s="111"/>
      <c r="M55" s="111"/>
      <c r="N55" s="111"/>
      <c r="O55" s="111"/>
      <c r="P55" s="111"/>
      <c r="Q55" s="111"/>
      <c r="R55" s="111"/>
      <c r="S55" s="111"/>
      <c r="T55" s="111"/>
      <c r="U55" s="111"/>
      <c r="V55" s="112"/>
      <c r="W55" s="364"/>
      <c r="X55" s="243"/>
      <c r="Y55" s="85"/>
      <c r="Z55" s="28"/>
      <c r="AA55" s="11"/>
      <c r="AB55" s="15" t="str">
        <f>IFERROR(__xludf.DUMMYFUNCTION("join("","",filter(split($H$82,"",""),ARRAYFORMULA(ISERROR(FIND(split($H$82,"",""),CONCATENATE(E55:V55,AA55))))=TRUE))"),"СЗ,КЗ,201,202,206,209,210,401,402,403,404,405,406,408,409,410,АЗ,501,503")</f>
        <v>СЗ,КЗ,201,202,206,209,210,401,402,403,404,405,406,408,409,410,АЗ,501,503</v>
      </c>
      <c r="AC55" s="14"/>
      <c r="AD55" s="14"/>
      <c r="AE55" s="14"/>
    </row>
    <row r="56" ht="40.5" customHeight="1">
      <c r="A56" s="365"/>
      <c r="B56" s="193">
        <v>1.0</v>
      </c>
      <c r="C56" s="192" t="str">
        <f>D$1</f>
        <v/>
      </c>
      <c r="D56" s="72"/>
      <c r="E56" s="193"/>
      <c r="F56" s="193"/>
      <c r="G56" s="193"/>
      <c r="H56" s="193"/>
      <c r="I56" s="193"/>
      <c r="J56" s="195"/>
      <c r="K56" s="64"/>
      <c r="L56" s="64"/>
      <c r="M56" s="72"/>
      <c r="N56" s="193"/>
      <c r="O56" s="193"/>
      <c r="P56" s="259"/>
      <c r="Q56" s="259"/>
      <c r="R56" s="193"/>
      <c r="S56" s="193"/>
      <c r="T56" s="193"/>
      <c r="U56" s="193"/>
      <c r="V56" s="193"/>
      <c r="W56" s="193"/>
      <c r="X56" s="197" t="str">
        <f>Y$1</f>
        <v/>
      </c>
      <c r="Y56" s="13"/>
      <c r="Z56" s="28"/>
      <c r="AA56" s="11"/>
      <c r="AB56" s="15"/>
      <c r="AC56" s="14"/>
      <c r="AD56" s="14"/>
      <c r="AE56" s="14"/>
    </row>
    <row r="57" ht="40.5" customHeight="1">
      <c r="A57" s="222"/>
      <c r="B57" s="15">
        <v>2.0</v>
      </c>
      <c r="C57" s="85"/>
      <c r="D57" s="85"/>
      <c r="E57" s="15"/>
      <c r="F57" s="15"/>
      <c r="G57" s="15"/>
      <c r="H57" s="15"/>
      <c r="I57" s="15"/>
      <c r="J57" s="15"/>
      <c r="K57" s="15"/>
      <c r="L57" s="15"/>
      <c r="M57" s="15"/>
      <c r="N57" s="15"/>
      <c r="O57" s="15"/>
      <c r="P57" s="144"/>
      <c r="Q57" s="144"/>
      <c r="R57" s="15"/>
      <c r="S57" s="15"/>
      <c r="T57" s="15"/>
      <c r="U57" s="15"/>
      <c r="V57" s="15"/>
      <c r="W57" s="15"/>
      <c r="X57" s="85"/>
      <c r="Y57" s="85"/>
      <c r="Z57" s="198"/>
      <c r="AA57" s="11"/>
      <c r="AB57" s="15"/>
      <c r="AC57" s="14"/>
      <c r="AD57" s="14"/>
      <c r="AE57" s="14"/>
    </row>
    <row r="58" ht="40.5" customHeight="1">
      <c r="A58" s="222"/>
      <c r="B58" s="15">
        <v>3.0</v>
      </c>
      <c r="C58" s="85"/>
      <c r="D58" s="85"/>
      <c r="E58" s="15"/>
      <c r="F58" s="15"/>
      <c r="G58" s="15"/>
      <c r="H58" s="15"/>
      <c r="I58" s="15"/>
      <c r="J58" s="45"/>
      <c r="K58" s="36"/>
      <c r="L58" s="36"/>
      <c r="M58" s="13"/>
      <c r="N58" s="15"/>
      <c r="O58" s="15"/>
      <c r="P58" s="15"/>
      <c r="Q58" s="15"/>
      <c r="R58" s="15"/>
      <c r="S58" s="15"/>
      <c r="T58" s="15"/>
      <c r="U58" s="15"/>
      <c r="V58" s="15"/>
      <c r="W58" s="15"/>
      <c r="X58" s="85"/>
      <c r="Y58" s="85"/>
      <c r="Z58" s="198"/>
      <c r="AA58" s="11"/>
      <c r="AB58" s="15"/>
      <c r="AC58" s="14"/>
      <c r="AD58" s="14"/>
      <c r="AE58" s="14"/>
    </row>
    <row r="59" ht="40.5" customHeight="1">
      <c r="A59" s="222"/>
      <c r="B59" s="15">
        <v>4.0</v>
      </c>
      <c r="C59" s="85"/>
      <c r="D59" s="85"/>
      <c r="E59" s="15"/>
      <c r="F59" s="15"/>
      <c r="G59" s="15"/>
      <c r="H59" s="15"/>
      <c r="I59" s="15"/>
      <c r="J59" s="45"/>
      <c r="K59" s="36"/>
      <c r="L59" s="36"/>
      <c r="M59" s="13"/>
      <c r="N59" s="15"/>
      <c r="O59" s="15"/>
      <c r="P59" s="15"/>
      <c r="Q59" s="15"/>
      <c r="R59" s="15"/>
      <c r="S59" s="15"/>
      <c r="T59" s="15"/>
      <c r="U59" s="15"/>
      <c r="V59" s="15"/>
      <c r="W59" s="15"/>
      <c r="X59" s="85"/>
      <c r="Y59" s="85"/>
      <c r="Z59" s="198"/>
      <c r="AA59" s="11"/>
      <c r="AB59" s="15"/>
      <c r="AC59" s="14"/>
      <c r="AD59" s="14"/>
      <c r="AE59" s="14"/>
    </row>
    <row r="60" ht="40.5" customHeight="1">
      <c r="A60" s="222"/>
      <c r="B60" s="15">
        <v>5.0</v>
      </c>
      <c r="C60" s="85"/>
      <c r="D60" s="85"/>
      <c r="E60" s="15"/>
      <c r="F60" s="15"/>
      <c r="G60" s="15"/>
      <c r="H60" s="15"/>
      <c r="I60" s="167"/>
      <c r="J60" s="4"/>
      <c r="K60" s="15"/>
      <c r="L60" s="15"/>
      <c r="M60" s="15"/>
      <c r="N60" s="15"/>
      <c r="O60" s="15"/>
      <c r="P60" s="15"/>
      <c r="Q60" s="15"/>
      <c r="R60" s="15"/>
      <c r="S60" s="15"/>
      <c r="T60" s="15"/>
      <c r="U60" s="15"/>
      <c r="V60" s="15"/>
      <c r="W60" s="15"/>
      <c r="X60" s="85"/>
      <c r="Y60" s="85"/>
      <c r="Z60" s="198"/>
      <c r="AA60" s="11"/>
      <c r="AB60" s="15"/>
      <c r="AC60" s="14"/>
      <c r="AD60" s="14"/>
      <c r="AE60" s="14"/>
    </row>
    <row r="61" ht="40.5" customHeight="1">
      <c r="A61" s="222"/>
      <c r="B61" s="15">
        <v>6.0</v>
      </c>
      <c r="C61" s="85"/>
      <c r="D61" s="85"/>
      <c r="E61" s="15"/>
      <c r="F61" s="15"/>
      <c r="G61" s="15"/>
      <c r="H61" s="15"/>
      <c r="I61" s="224"/>
      <c r="J61" s="139"/>
      <c r="K61" s="15"/>
      <c r="L61" s="15"/>
      <c r="M61" s="15"/>
      <c r="N61" s="15"/>
      <c r="O61" s="15"/>
      <c r="P61" s="15"/>
      <c r="Q61" s="15"/>
      <c r="R61" s="15"/>
      <c r="S61" s="15"/>
      <c r="T61" s="15"/>
      <c r="U61" s="15"/>
      <c r="V61" s="15"/>
      <c r="W61" s="15"/>
      <c r="X61" s="85"/>
      <c r="Y61" s="85"/>
      <c r="Z61" s="198"/>
      <c r="AA61" s="11"/>
      <c r="AB61" s="15"/>
      <c r="AC61" s="14"/>
      <c r="AD61" s="14"/>
      <c r="AE61" s="14"/>
    </row>
    <row r="62" ht="40.5" customHeight="1">
      <c r="A62" s="222"/>
      <c r="B62" s="15">
        <v>7.0</v>
      </c>
      <c r="C62" s="85"/>
      <c r="D62" s="85"/>
      <c r="E62" s="15"/>
      <c r="F62" s="15"/>
      <c r="G62" s="15"/>
      <c r="H62" s="15"/>
      <c r="I62" s="224"/>
      <c r="J62" s="139"/>
      <c r="K62" s="15"/>
      <c r="L62" s="15"/>
      <c r="M62" s="15"/>
      <c r="N62" s="15"/>
      <c r="O62" s="15"/>
      <c r="P62" s="15"/>
      <c r="Q62" s="15"/>
      <c r="R62" s="15"/>
      <c r="S62" s="15"/>
      <c r="T62" s="15"/>
      <c r="U62" s="15"/>
      <c r="V62" s="15"/>
      <c r="W62" s="15"/>
      <c r="X62" s="85"/>
      <c r="Y62" s="85"/>
      <c r="Z62" s="198"/>
      <c r="AA62" s="11"/>
      <c r="AB62" s="14"/>
      <c r="AC62" s="14"/>
      <c r="AD62" s="14"/>
      <c r="AE62" s="14"/>
    </row>
    <row r="63" ht="40.5" customHeight="1">
      <c r="A63" s="222"/>
      <c r="B63" s="15">
        <v>8.0</v>
      </c>
      <c r="C63" s="85"/>
      <c r="D63" s="85"/>
      <c r="E63" s="15"/>
      <c r="F63" s="15"/>
      <c r="G63" s="15"/>
      <c r="H63" s="15"/>
      <c r="I63" s="224"/>
      <c r="J63" s="139"/>
      <c r="K63" s="15"/>
      <c r="L63" s="15"/>
      <c r="M63" s="15"/>
      <c r="N63" s="15"/>
      <c r="O63" s="15"/>
      <c r="P63" s="15"/>
      <c r="Q63" s="15"/>
      <c r="R63" s="15"/>
      <c r="S63" s="15"/>
      <c r="T63" s="15"/>
      <c r="U63" s="15"/>
      <c r="V63" s="15"/>
      <c r="W63" s="15"/>
      <c r="X63" s="85"/>
      <c r="Y63" s="85"/>
      <c r="Z63" s="198"/>
      <c r="AA63" s="11"/>
      <c r="AB63" s="14"/>
      <c r="AC63" s="14"/>
      <c r="AD63" s="14"/>
      <c r="AE63" s="14"/>
    </row>
    <row r="64" ht="40.5" customHeight="1">
      <c r="A64" s="173"/>
      <c r="B64" s="15">
        <v>9.0</v>
      </c>
      <c r="C64" s="85"/>
      <c r="D64" s="85"/>
      <c r="E64" s="15"/>
      <c r="F64" s="15"/>
      <c r="G64" s="15"/>
      <c r="H64" s="15"/>
      <c r="I64" s="104"/>
      <c r="J64" s="72"/>
      <c r="K64" s="15"/>
      <c r="L64" s="15"/>
      <c r="M64" s="15"/>
      <c r="N64" s="15"/>
      <c r="O64" s="15"/>
      <c r="P64" s="15"/>
      <c r="Q64" s="15"/>
      <c r="R64" s="15"/>
      <c r="S64" s="15"/>
      <c r="T64" s="15"/>
      <c r="U64" s="15"/>
      <c r="V64" s="15"/>
      <c r="W64" s="15"/>
      <c r="X64" s="85"/>
      <c r="Y64" s="85"/>
      <c r="Z64" s="198"/>
      <c r="AA64" s="11"/>
      <c r="AB64" s="15"/>
      <c r="AC64" s="14"/>
      <c r="AD64" s="14"/>
      <c r="AE64" s="14"/>
    </row>
    <row r="65" ht="40.5" customHeight="1">
      <c r="A65" s="201"/>
      <c r="B65" s="14"/>
      <c r="C65" s="85"/>
      <c r="D65" s="85"/>
      <c r="E65" s="15"/>
      <c r="F65" s="15"/>
      <c r="G65" s="15"/>
      <c r="H65" s="15"/>
      <c r="I65" s="15"/>
      <c r="J65" s="15"/>
      <c r="K65" s="15"/>
      <c r="L65" s="15"/>
      <c r="M65" s="15"/>
      <c r="N65" s="15"/>
      <c r="O65" s="15"/>
      <c r="P65" s="15"/>
      <c r="Q65" s="15"/>
      <c r="R65" s="15"/>
      <c r="S65" s="15"/>
      <c r="T65" s="15"/>
      <c r="U65" s="15"/>
      <c r="V65" s="15"/>
      <c r="W65" s="15"/>
      <c r="X65" s="85"/>
      <c r="Y65" s="85"/>
      <c r="Z65" s="198" t="str">
        <f>Z$12</f>
        <v/>
      </c>
      <c r="AA65" s="11"/>
      <c r="AB65" s="14"/>
      <c r="AC65" s="14"/>
      <c r="AD65" s="14"/>
      <c r="AE65" s="14"/>
    </row>
    <row r="66" ht="40.5" customHeight="1">
      <c r="A66" s="201"/>
      <c r="B66" s="14"/>
      <c r="C66" s="14"/>
      <c r="D66" s="15"/>
      <c r="E66" s="15"/>
      <c r="F66" s="15"/>
      <c r="G66" s="15"/>
      <c r="H66" s="15"/>
      <c r="I66" s="15"/>
      <c r="J66" s="15"/>
      <c r="K66" s="15"/>
      <c r="L66" s="15"/>
      <c r="M66" s="15"/>
      <c r="N66" s="15"/>
      <c r="O66" s="15"/>
      <c r="P66" s="15"/>
      <c r="Q66" s="15"/>
      <c r="R66" s="15"/>
      <c r="S66" s="15"/>
      <c r="T66" s="15"/>
      <c r="U66" s="15"/>
      <c r="V66" s="15"/>
      <c r="W66" s="15"/>
      <c r="X66" s="14"/>
      <c r="Y66" s="15"/>
      <c r="Z66" s="198"/>
      <c r="AA66" s="11"/>
      <c r="AB66" s="14"/>
      <c r="AC66" s="14"/>
      <c r="AD66" s="14"/>
      <c r="AE66" s="14"/>
    </row>
    <row r="67" ht="40.5" customHeight="1">
      <c r="A67" s="201"/>
      <c r="B67" s="14"/>
      <c r="C67" s="14"/>
      <c r="D67" s="14"/>
      <c r="E67" s="15"/>
      <c r="F67" s="15"/>
      <c r="G67" s="15"/>
      <c r="H67" s="15"/>
      <c r="I67" s="15"/>
      <c r="J67" s="15"/>
      <c r="K67" s="15"/>
      <c r="L67" s="15"/>
      <c r="M67" s="15"/>
      <c r="N67" s="15"/>
      <c r="O67" s="15"/>
      <c r="P67" s="15"/>
      <c r="Q67" s="15"/>
      <c r="R67" s="15"/>
      <c r="S67" s="15"/>
      <c r="T67" s="15"/>
      <c r="U67" s="15"/>
      <c r="V67" s="15"/>
      <c r="W67" s="15"/>
      <c r="X67" s="14"/>
      <c r="Y67" s="14"/>
      <c r="Z67" s="198"/>
      <c r="AA67" s="11"/>
      <c r="AB67" s="14"/>
      <c r="AC67" s="14"/>
      <c r="AD67" s="14"/>
      <c r="AE67" s="14"/>
    </row>
    <row r="68" ht="40.5" customHeight="1">
      <c r="A68" s="201"/>
      <c r="B68" s="14"/>
      <c r="C68" s="15"/>
      <c r="D68" s="14"/>
      <c r="E68" s="15"/>
      <c r="F68" s="15"/>
      <c r="G68" s="15"/>
      <c r="H68" s="15"/>
      <c r="I68" s="15"/>
      <c r="J68" s="15"/>
      <c r="K68" s="15"/>
      <c r="L68" s="15"/>
      <c r="M68" s="15"/>
      <c r="N68" s="15"/>
      <c r="O68" s="15"/>
      <c r="P68" s="15"/>
      <c r="Q68" s="15"/>
      <c r="R68" s="15"/>
      <c r="S68" s="15"/>
      <c r="T68" s="15"/>
      <c r="U68" s="15"/>
      <c r="V68" s="15"/>
      <c r="W68" s="15"/>
      <c r="X68" s="15"/>
      <c r="Y68" s="14"/>
      <c r="Z68" s="28"/>
      <c r="AA68" s="11"/>
      <c r="AB68" s="14"/>
      <c r="AC68" s="14"/>
      <c r="AD68" s="14"/>
      <c r="AE68" s="14"/>
    </row>
    <row r="69" ht="40.5" customHeight="1">
      <c r="A69" s="201"/>
      <c r="B69" s="14"/>
      <c r="C69" s="15"/>
      <c r="D69" s="14"/>
      <c r="E69" s="15"/>
      <c r="F69" s="15"/>
      <c r="G69" s="15"/>
      <c r="H69" s="15"/>
      <c r="I69" s="15"/>
      <c r="J69" s="15"/>
      <c r="K69" s="15"/>
      <c r="L69" s="15"/>
      <c r="M69" s="15"/>
      <c r="N69" s="15"/>
      <c r="O69" s="15"/>
      <c r="P69" s="15"/>
      <c r="Q69" s="15"/>
      <c r="R69" s="15"/>
      <c r="S69" s="15"/>
      <c r="T69" s="15"/>
      <c r="U69" s="15"/>
      <c r="V69" s="15"/>
      <c r="W69" s="15"/>
      <c r="X69" s="15"/>
      <c r="Y69" s="14"/>
      <c r="Z69" s="28"/>
      <c r="AA69" s="11"/>
      <c r="AB69" s="14"/>
      <c r="AC69" s="14"/>
      <c r="AD69" s="14"/>
      <c r="AE69" s="14"/>
    </row>
    <row r="70" ht="40.5" customHeight="1">
      <c r="A70" s="201"/>
      <c r="B70" s="14"/>
      <c r="C70" s="14"/>
      <c r="D70" s="14"/>
      <c r="E70" s="15"/>
      <c r="F70" s="15"/>
      <c r="G70" s="15"/>
      <c r="H70" s="15"/>
      <c r="I70" s="15"/>
      <c r="J70" s="15"/>
      <c r="K70" s="15"/>
      <c r="L70" s="15"/>
      <c r="M70" s="15"/>
      <c r="N70" s="15"/>
      <c r="O70" s="15"/>
      <c r="P70" s="15"/>
      <c r="Q70" s="15"/>
      <c r="R70" s="15"/>
      <c r="S70" s="15"/>
      <c r="T70" s="15"/>
      <c r="U70" s="15"/>
      <c r="V70" s="15"/>
      <c r="W70" s="15"/>
      <c r="X70" s="14"/>
      <c r="Y70" s="14"/>
      <c r="Z70" s="28"/>
      <c r="AA70" s="11"/>
      <c r="AB70" s="14"/>
      <c r="AC70" s="14"/>
      <c r="AD70" s="14"/>
      <c r="AE70" s="14"/>
    </row>
    <row r="71" ht="40.5" customHeight="1">
      <c r="A71" s="201"/>
      <c r="B71" s="14"/>
      <c r="C71" s="14"/>
      <c r="D71" s="14"/>
      <c r="E71" s="15"/>
      <c r="F71" s="15"/>
      <c r="G71" s="15"/>
      <c r="H71" s="15"/>
      <c r="I71" s="15"/>
      <c r="J71" s="15"/>
      <c r="K71" s="15"/>
      <c r="L71" s="15"/>
      <c r="M71" s="15"/>
      <c r="N71" s="15"/>
      <c r="O71" s="15"/>
      <c r="P71" s="15"/>
      <c r="Q71" s="15"/>
      <c r="R71" s="15"/>
      <c r="S71" s="15"/>
      <c r="T71" s="15"/>
      <c r="U71" s="15"/>
      <c r="V71" s="15"/>
      <c r="W71" s="15"/>
      <c r="X71" s="14"/>
      <c r="Y71" s="14"/>
      <c r="Z71" s="28"/>
      <c r="AA71" s="11"/>
      <c r="AB71" s="14"/>
      <c r="AC71" s="14"/>
      <c r="AD71" s="14"/>
      <c r="AE71" s="14"/>
    </row>
    <row r="72" ht="40.5" customHeight="1">
      <c r="A72" s="201"/>
      <c r="B72" s="14"/>
      <c r="C72" s="14"/>
      <c r="D72" s="14"/>
      <c r="E72" s="15"/>
      <c r="F72" s="15"/>
      <c r="G72" s="15"/>
      <c r="H72" s="15"/>
      <c r="I72" s="15"/>
      <c r="J72" s="15"/>
      <c r="K72" s="15"/>
      <c r="L72" s="15"/>
      <c r="M72" s="15"/>
      <c r="N72" s="15"/>
      <c r="O72" s="15"/>
      <c r="P72" s="15"/>
      <c r="Q72" s="15"/>
      <c r="R72" s="15"/>
      <c r="S72" s="15"/>
      <c r="T72" s="15"/>
      <c r="U72" s="15"/>
      <c r="V72" s="15"/>
      <c r="W72" s="15"/>
      <c r="X72" s="14"/>
      <c r="Y72" s="14"/>
      <c r="Z72" s="28"/>
      <c r="AA72" s="11"/>
      <c r="AB72" s="14"/>
      <c r="AC72" s="14"/>
      <c r="AD72" s="14"/>
      <c r="AE72" s="14"/>
    </row>
    <row r="73" ht="40.5" customHeight="1">
      <c r="A73" s="201"/>
      <c r="B73" s="14"/>
      <c r="C73" s="14"/>
      <c r="D73" s="14"/>
      <c r="E73" s="15"/>
      <c r="F73" s="15"/>
      <c r="G73" s="15"/>
      <c r="H73" s="15"/>
      <c r="I73" s="15"/>
      <c r="J73" s="15"/>
      <c r="K73" s="15"/>
      <c r="L73" s="15"/>
      <c r="M73" s="15"/>
      <c r="N73" s="15"/>
      <c r="O73" s="15"/>
      <c r="P73" s="15"/>
      <c r="Q73" s="15"/>
      <c r="R73" s="15"/>
      <c r="S73" s="15"/>
      <c r="T73" s="15"/>
      <c r="U73" s="15"/>
      <c r="V73" s="15"/>
      <c r="W73" s="15"/>
      <c r="X73" s="14"/>
      <c r="Y73" s="14"/>
      <c r="Z73" s="28"/>
      <c r="AA73" s="11"/>
      <c r="AB73" s="14"/>
      <c r="AC73" s="14"/>
      <c r="AD73" s="14"/>
      <c r="AE73" s="14"/>
    </row>
    <row r="74" ht="40.5" customHeight="1">
      <c r="A74" s="201"/>
      <c r="B74" s="14"/>
      <c r="C74" s="14"/>
      <c r="D74" s="14"/>
      <c r="E74" s="15"/>
      <c r="F74" s="15"/>
      <c r="G74" s="15"/>
      <c r="H74" s="15"/>
      <c r="I74" s="15"/>
      <c r="J74" s="15"/>
      <c r="K74" s="15"/>
      <c r="L74" s="15"/>
      <c r="M74" s="15"/>
      <c r="N74" s="15"/>
      <c r="O74" s="15"/>
      <c r="P74" s="15"/>
      <c r="Q74" s="15"/>
      <c r="R74" s="15"/>
      <c r="S74" s="15"/>
      <c r="T74" s="15"/>
      <c r="U74" s="15"/>
      <c r="V74" s="15"/>
      <c r="W74" s="15"/>
      <c r="X74" s="14"/>
      <c r="Y74" s="14"/>
      <c r="Z74" s="28"/>
      <c r="AA74" s="11"/>
      <c r="AB74" s="14"/>
      <c r="AC74" s="14"/>
      <c r="AD74" s="14"/>
      <c r="AE74" s="14"/>
    </row>
    <row r="75" ht="40.5" customHeight="1">
      <c r="A75" s="201"/>
      <c r="B75" s="14"/>
      <c r="C75" s="14"/>
      <c r="D75" s="14"/>
      <c r="E75" s="15"/>
      <c r="F75" s="15"/>
      <c r="G75" s="15"/>
      <c r="H75" s="15"/>
      <c r="I75" s="15"/>
      <c r="J75" s="15"/>
      <c r="K75" s="15"/>
      <c r="L75" s="15"/>
      <c r="M75" s="15"/>
      <c r="N75" s="15"/>
      <c r="O75" s="15"/>
      <c r="P75" s="15"/>
      <c r="Q75" s="15"/>
      <c r="R75" s="15"/>
      <c r="S75" s="15"/>
      <c r="T75" s="15"/>
      <c r="U75" s="15"/>
      <c r="V75" s="15"/>
      <c r="W75" s="15"/>
      <c r="X75" s="14"/>
      <c r="Y75" s="14"/>
      <c r="Z75" s="28"/>
      <c r="AA75" s="11"/>
      <c r="AB75" s="14"/>
      <c r="AC75" s="14"/>
      <c r="AD75" s="14"/>
      <c r="AE75" s="14"/>
    </row>
    <row r="76" ht="40.5" customHeight="1">
      <c r="A76" s="201"/>
      <c r="B76" s="14"/>
      <c r="C76" s="14"/>
      <c r="D76" s="14"/>
      <c r="E76" s="15"/>
      <c r="F76" s="15"/>
      <c r="G76" s="15"/>
      <c r="H76" s="15"/>
      <c r="I76" s="15"/>
      <c r="J76" s="15"/>
      <c r="K76" s="15"/>
      <c r="L76" s="15"/>
      <c r="M76" s="15"/>
      <c r="N76" s="15"/>
      <c r="O76" s="15"/>
      <c r="P76" s="15"/>
      <c r="Q76" s="15"/>
      <c r="R76" s="15"/>
      <c r="S76" s="15"/>
      <c r="T76" s="15"/>
      <c r="U76" s="15"/>
      <c r="V76" s="15"/>
      <c r="W76" s="15"/>
      <c r="X76" s="14"/>
      <c r="Y76" s="14"/>
      <c r="Z76" s="28"/>
      <c r="AA76" s="11"/>
      <c r="AB76" s="14"/>
      <c r="AC76" s="14"/>
      <c r="AD76" s="14"/>
      <c r="AE76" s="14"/>
    </row>
    <row r="77" ht="40.5" customHeight="1">
      <c r="A77" s="201"/>
      <c r="B77" s="14"/>
      <c r="C77" s="14"/>
      <c r="D77" s="14"/>
      <c r="E77" s="15"/>
      <c r="F77" s="15"/>
      <c r="G77" s="15"/>
      <c r="H77" s="15"/>
      <c r="I77" s="15"/>
      <c r="J77" s="15"/>
      <c r="K77" s="15"/>
      <c r="L77" s="15"/>
      <c r="M77" s="15"/>
      <c r="N77" s="15"/>
      <c r="O77" s="15"/>
      <c r="P77" s="15"/>
      <c r="Q77" s="15"/>
      <c r="R77" s="15"/>
      <c r="S77" s="15"/>
      <c r="T77" s="15"/>
      <c r="U77" s="15"/>
      <c r="V77" s="15"/>
      <c r="W77" s="15"/>
      <c r="X77" s="14"/>
      <c r="Y77" s="14"/>
      <c r="Z77" s="28"/>
      <c r="AA77" s="11"/>
      <c r="AB77" s="14"/>
      <c r="AC77" s="14"/>
      <c r="AD77" s="14"/>
      <c r="AE77" s="14"/>
    </row>
    <row r="78" ht="40.5" customHeight="1">
      <c r="A78" s="201"/>
      <c r="B78" s="14"/>
      <c r="C78" s="14"/>
      <c r="D78" s="14"/>
      <c r="E78" s="15"/>
      <c r="F78" s="15"/>
      <c r="G78" s="15"/>
      <c r="H78" s="15"/>
      <c r="I78" s="15"/>
      <c r="J78" s="15"/>
      <c r="K78" s="15"/>
      <c r="L78" s="15"/>
      <c r="M78" s="15"/>
      <c r="N78" s="15"/>
      <c r="O78" s="15"/>
      <c r="P78" s="15"/>
      <c r="Q78" s="15"/>
      <c r="R78" s="15"/>
      <c r="S78" s="15"/>
      <c r="T78" s="15"/>
      <c r="U78" s="15"/>
      <c r="V78" s="15"/>
      <c r="W78" s="15"/>
      <c r="X78" s="14"/>
      <c r="Y78" s="14"/>
      <c r="Z78" s="28"/>
      <c r="AA78" s="11"/>
      <c r="AB78" s="14"/>
      <c r="AC78" s="14"/>
      <c r="AD78" s="14"/>
      <c r="AE78" s="14"/>
    </row>
    <row r="79" ht="40.5" customHeight="1">
      <c r="A79" s="201"/>
      <c r="B79" s="14"/>
      <c r="C79" s="14"/>
      <c r="D79" s="14"/>
      <c r="E79" s="15"/>
      <c r="F79" s="15"/>
      <c r="G79" s="15"/>
      <c r="H79" s="15"/>
      <c r="I79" s="15"/>
      <c r="J79" s="15"/>
      <c r="K79" s="15"/>
      <c r="L79" s="15"/>
      <c r="M79" s="15"/>
      <c r="N79" s="15"/>
      <c r="O79" s="15"/>
      <c r="P79" s="15"/>
      <c r="Q79" s="15"/>
      <c r="R79" s="15"/>
      <c r="S79" s="15"/>
      <c r="T79" s="15"/>
      <c r="U79" s="15"/>
      <c r="V79" s="15"/>
      <c r="W79" s="15"/>
      <c r="X79" s="14"/>
      <c r="Y79" s="14"/>
      <c r="Z79" s="28"/>
      <c r="AA79" s="11"/>
      <c r="AB79" s="14"/>
      <c r="AC79" s="14"/>
      <c r="AD79" s="14"/>
      <c r="AE79" s="14"/>
    </row>
    <row r="80" ht="40.5" customHeight="1">
      <c r="A80" s="201"/>
      <c r="B80" s="14"/>
      <c r="C80" s="14"/>
      <c r="D80" s="14"/>
      <c r="E80" s="15"/>
      <c r="F80" s="15"/>
      <c r="G80" s="15"/>
      <c r="H80" s="15"/>
      <c r="I80" s="15"/>
      <c r="J80" s="15"/>
      <c r="K80" s="15"/>
      <c r="L80" s="15"/>
      <c r="M80" s="15"/>
      <c r="N80" s="15"/>
      <c r="O80" s="15"/>
      <c r="P80" s="15"/>
      <c r="Q80" s="15"/>
      <c r="R80" s="15"/>
      <c r="S80" s="15"/>
      <c r="T80" s="15"/>
      <c r="U80" s="15"/>
      <c r="V80" s="15"/>
      <c r="W80" s="15"/>
      <c r="X80" s="14"/>
      <c r="Y80" s="14"/>
      <c r="Z80" s="28"/>
      <c r="AA80" s="11"/>
      <c r="AB80" s="14"/>
      <c r="AC80" s="14"/>
      <c r="AD80" s="14"/>
      <c r="AE80" s="14"/>
    </row>
    <row r="81" ht="40.5" customHeight="1">
      <c r="A81" s="201"/>
      <c r="B81" s="14"/>
      <c r="C81" s="14"/>
      <c r="D81" s="14"/>
      <c r="E81" s="44" t="s">
        <v>484</v>
      </c>
      <c r="F81" s="15"/>
      <c r="G81" s="15"/>
      <c r="H81" s="15"/>
      <c r="I81" s="15"/>
      <c r="J81" s="15"/>
      <c r="K81" s="15"/>
      <c r="L81" s="15"/>
      <c r="M81" s="15"/>
      <c r="N81" s="15"/>
      <c r="O81" s="15"/>
      <c r="P81" s="15"/>
      <c r="Q81" s="15"/>
      <c r="R81" s="15"/>
      <c r="S81" s="15"/>
      <c r="T81" s="15"/>
      <c r="U81" s="15"/>
      <c r="V81" s="15"/>
      <c r="W81" s="15"/>
      <c r="X81" s="14"/>
      <c r="Y81" s="14"/>
      <c r="Z81" s="28"/>
      <c r="AA81" s="11"/>
      <c r="AB81" s="14"/>
      <c r="AC81" s="14"/>
      <c r="AD81" s="14"/>
      <c r="AE81" s="14"/>
    </row>
    <row r="82" ht="40.5" customHeight="1">
      <c r="A82" s="201"/>
      <c r="B82" s="14"/>
      <c r="C82" s="14"/>
      <c r="D82" s="14"/>
      <c r="E82" s="202" t="s">
        <v>485</v>
      </c>
      <c r="F82" s="203"/>
      <c r="G82" s="203"/>
      <c r="H82" s="204" t="s">
        <v>1044</v>
      </c>
      <c r="I82" s="15"/>
      <c r="J82" s="15"/>
      <c r="K82" s="15"/>
      <c r="L82" s="15"/>
      <c r="M82" s="15"/>
      <c r="N82" s="15"/>
      <c r="O82" s="15"/>
      <c r="P82" s="15"/>
      <c r="Q82" s="15"/>
      <c r="R82" s="15"/>
      <c r="S82" s="15"/>
      <c r="T82" s="15"/>
      <c r="U82" s="15"/>
      <c r="V82" s="15"/>
      <c r="W82" s="15"/>
      <c r="X82" s="14"/>
      <c r="Y82" s="14"/>
      <c r="Z82" s="28"/>
      <c r="AA82" s="11"/>
      <c r="AB82" s="14"/>
      <c r="AC82" s="14"/>
      <c r="AD82" s="14"/>
      <c r="AE82" s="14"/>
    </row>
    <row r="83" ht="40.5" customHeight="1">
      <c r="A83" s="201"/>
      <c r="B83" s="14"/>
      <c r="C83" s="14"/>
      <c r="D83" s="14"/>
      <c r="E83" s="15"/>
      <c r="F83" s="15"/>
      <c r="G83" s="15"/>
      <c r="H83" s="15"/>
      <c r="I83" s="15"/>
      <c r="J83" s="15"/>
      <c r="K83" s="15"/>
      <c r="L83" s="15"/>
      <c r="M83" s="15"/>
      <c r="N83" s="15"/>
      <c r="O83" s="15"/>
      <c r="P83" s="15"/>
      <c r="Q83" s="15"/>
      <c r="R83" s="15"/>
      <c r="S83" s="15"/>
      <c r="T83" s="15"/>
      <c r="U83" s="15"/>
      <c r="V83" s="15"/>
      <c r="W83" s="15"/>
      <c r="X83" s="14"/>
      <c r="Y83" s="14"/>
      <c r="Z83" s="28"/>
      <c r="AA83" s="11"/>
      <c r="AB83" s="14"/>
      <c r="AC83" s="14"/>
      <c r="AD83" s="14"/>
      <c r="AE83" s="14"/>
    </row>
    <row r="84" ht="40.5" customHeight="1">
      <c r="A84" s="201"/>
      <c r="B84" s="14"/>
      <c r="C84" s="14"/>
      <c r="D84" s="14"/>
      <c r="E84" s="15"/>
      <c r="F84" s="15"/>
      <c r="G84" s="15"/>
      <c r="H84" s="15"/>
      <c r="I84" s="15"/>
      <c r="J84" s="205" t="s">
        <v>487</v>
      </c>
      <c r="K84" s="205" t="b">
        <f>IFERROR(__xludf.DUMMYFUNCTION("IF(COUNTA(filter($E3:$W3,ARRAYFORMULA(ISERROR(FIND(join("","",filter(split($H$82,"",""),ARRAYFORMULA(ISERROR(FIND(split($H$82,"",""),E3)))=FALSE)),$E3:$W3))=FALSE)))&gt;1,FALSE,TRUE)"),TRUE)</f>
        <v>1</v>
      </c>
      <c r="L84" s="15"/>
      <c r="M84" s="15"/>
      <c r="N84" s="15"/>
      <c r="O84" s="15"/>
      <c r="P84" s="15"/>
      <c r="Q84" s="15"/>
      <c r="R84" s="15"/>
      <c r="S84" s="15"/>
      <c r="T84" s="15"/>
      <c r="U84" s="15"/>
      <c r="V84" s="15"/>
      <c r="W84" s="15"/>
      <c r="X84" s="14"/>
      <c r="Y84" s="14"/>
      <c r="Z84" s="28"/>
      <c r="AA84" s="11"/>
      <c r="AB84" s="14"/>
      <c r="AC84" s="14"/>
      <c r="AD84" s="14"/>
      <c r="AE84" s="14"/>
    </row>
    <row r="85" ht="40.5" customHeight="1">
      <c r="A85" s="201"/>
      <c r="B85" s="14"/>
      <c r="C85" s="14"/>
      <c r="D85" s="14"/>
      <c r="E85" s="15"/>
      <c r="F85" s="15"/>
      <c r="G85" s="15"/>
      <c r="H85" s="15"/>
      <c r="I85" s="15"/>
      <c r="J85" s="15"/>
      <c r="K85" s="15"/>
      <c r="L85" s="15"/>
      <c r="M85" s="15"/>
      <c r="N85" s="15"/>
      <c r="O85" s="15"/>
      <c r="P85" s="15"/>
      <c r="Q85" s="15"/>
      <c r="R85" s="15"/>
      <c r="S85" s="15"/>
      <c r="T85" s="15"/>
      <c r="U85" s="15"/>
      <c r="V85" s="15"/>
      <c r="W85" s="15"/>
      <c r="X85" s="14"/>
      <c r="Y85" s="14"/>
      <c r="Z85" s="28"/>
      <c r="AA85" s="11"/>
      <c r="AB85" s="14"/>
      <c r="AC85" s="14"/>
      <c r="AD85" s="14"/>
      <c r="AE85" s="14"/>
    </row>
  </sheetData>
  <mergeCells count="257">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E19:F19"/>
    <mergeCell ref="H19:I19"/>
    <mergeCell ref="J19:K19"/>
    <mergeCell ref="L19:M19"/>
    <mergeCell ref="J20:K20"/>
    <mergeCell ref="L20:M20"/>
    <mergeCell ref="J24:M24"/>
    <mergeCell ref="J25:K25"/>
    <mergeCell ref="L25:M25"/>
    <mergeCell ref="J10:K10"/>
    <mergeCell ref="L10:M10"/>
    <mergeCell ref="A13:A23"/>
    <mergeCell ref="E13:F13"/>
    <mergeCell ref="G13:H13"/>
    <mergeCell ref="J13:K13"/>
    <mergeCell ref="L13:M13"/>
    <mergeCell ref="E26:F26"/>
    <mergeCell ref="G26:I26"/>
    <mergeCell ref="J26:K26"/>
    <mergeCell ref="L26:M26"/>
    <mergeCell ref="E27:F27"/>
    <mergeCell ref="G27:H27"/>
    <mergeCell ref="J27:K27"/>
    <mergeCell ref="L27:M27"/>
    <mergeCell ref="J28:K28"/>
    <mergeCell ref="L28:M28"/>
    <mergeCell ref="L29:M29"/>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T9:V9"/>
    <mergeCell ref="G1:I1"/>
    <mergeCell ref="G3:I3"/>
    <mergeCell ref="N10:O10"/>
    <mergeCell ref="E11:K11"/>
    <mergeCell ref="L11:S11"/>
    <mergeCell ref="N13:O13"/>
    <mergeCell ref="P13:Q13"/>
    <mergeCell ref="R13:S13"/>
    <mergeCell ref="C1:D1"/>
    <mergeCell ref="J1:M1"/>
    <mergeCell ref="N1:O1"/>
    <mergeCell ref="P1:Q1"/>
    <mergeCell ref="R1:S1"/>
    <mergeCell ref="A2:A12"/>
    <mergeCell ref="R2:S2"/>
    <mergeCell ref="E14:F14"/>
    <mergeCell ref="G14:H14"/>
    <mergeCell ref="J14:K14"/>
    <mergeCell ref="L14:M14"/>
    <mergeCell ref="N14:O14"/>
    <mergeCell ref="P14:Q14"/>
    <mergeCell ref="R14:S14"/>
    <mergeCell ref="J15:K15"/>
    <mergeCell ref="L15:M15"/>
    <mergeCell ref="N15:O15"/>
    <mergeCell ref="P15:Q15"/>
    <mergeCell ref="N16:O16"/>
    <mergeCell ref="P16:Q16"/>
    <mergeCell ref="T16:V16"/>
    <mergeCell ref="N17:O17"/>
    <mergeCell ref="T17:V17"/>
    <mergeCell ref="N18:O18"/>
    <mergeCell ref="T18:V18"/>
    <mergeCell ref="N19:O19"/>
    <mergeCell ref="P19:Q19"/>
    <mergeCell ref="T19:V19"/>
    <mergeCell ref="N20:O20"/>
    <mergeCell ref="P20:Q20"/>
    <mergeCell ref="T20:V20"/>
    <mergeCell ref="N21:O21"/>
    <mergeCell ref="T21:V21"/>
    <mergeCell ref="P21:Q21"/>
    <mergeCell ref="R21:S21"/>
    <mergeCell ref="N22:O22"/>
    <mergeCell ref="P22:S22"/>
    <mergeCell ref="T22:V22"/>
    <mergeCell ref="P24:S24"/>
    <mergeCell ref="T24:V24"/>
    <mergeCell ref="T27:V27"/>
    <mergeCell ref="T28:V32"/>
    <mergeCell ref="T34:V34"/>
    <mergeCell ref="T35:V35"/>
    <mergeCell ref="T36:V36"/>
    <mergeCell ref="T37:V37"/>
    <mergeCell ref="T38:V38"/>
    <mergeCell ref="T39:V39"/>
    <mergeCell ref="N24:O24"/>
    <mergeCell ref="N25:O25"/>
    <mergeCell ref="P25:Q25"/>
    <mergeCell ref="R25:S25"/>
    <mergeCell ref="T25:V25"/>
    <mergeCell ref="R26:S26"/>
    <mergeCell ref="T26:V26"/>
    <mergeCell ref="N32:O32"/>
    <mergeCell ref="N34:O34"/>
    <mergeCell ref="N35:O35"/>
    <mergeCell ref="N36:Q36"/>
    <mergeCell ref="N37:Q37"/>
    <mergeCell ref="P38:Q38"/>
    <mergeCell ref="P39:Q39"/>
    <mergeCell ref="N26:O26"/>
    <mergeCell ref="N27:O27"/>
    <mergeCell ref="P27:Q27"/>
    <mergeCell ref="N28:O28"/>
    <mergeCell ref="N29:O29"/>
    <mergeCell ref="N30:O30"/>
    <mergeCell ref="N31:O31"/>
    <mergeCell ref="P7:Q7"/>
    <mergeCell ref="R7:S7"/>
    <mergeCell ref="H8:I8"/>
    <mergeCell ref="J8:K8"/>
    <mergeCell ref="L8:M8"/>
    <mergeCell ref="N8:O8"/>
    <mergeCell ref="P8:Q8"/>
    <mergeCell ref="R8:S8"/>
    <mergeCell ref="H9:I9"/>
    <mergeCell ref="J9:K9"/>
    <mergeCell ref="L9:M9"/>
    <mergeCell ref="N9:O9"/>
    <mergeCell ref="E10:F10"/>
    <mergeCell ref="H10:I10"/>
    <mergeCell ref="Q10:V10"/>
    <mergeCell ref="T11:V11"/>
    <mergeCell ref="U13:V13"/>
    <mergeCell ref="U14:V14"/>
    <mergeCell ref="T15:V15"/>
    <mergeCell ref="E28:F28"/>
    <mergeCell ref="G28:H28"/>
    <mergeCell ref="G29:H29"/>
    <mergeCell ref="G30:H30"/>
    <mergeCell ref="A24:A33"/>
    <mergeCell ref="A34:A44"/>
    <mergeCell ref="A45:A55"/>
    <mergeCell ref="A56:A64"/>
    <mergeCell ref="E20:F20"/>
    <mergeCell ref="H20:I20"/>
    <mergeCell ref="E24:F24"/>
    <mergeCell ref="H24:I24"/>
    <mergeCell ref="E25:F25"/>
    <mergeCell ref="H25:I25"/>
    <mergeCell ref="E31:F31"/>
    <mergeCell ref="E34:F34"/>
    <mergeCell ref="H34:I34"/>
    <mergeCell ref="E35:F35"/>
    <mergeCell ref="H35:I35"/>
    <mergeCell ref="E36:F36"/>
    <mergeCell ref="H36:I36"/>
    <mergeCell ref="E37:F37"/>
    <mergeCell ref="H37:I37"/>
    <mergeCell ref="G38:I38"/>
    <mergeCell ref="G39:I39"/>
    <mergeCell ref="E41:F41"/>
    <mergeCell ref="H41:I41"/>
    <mergeCell ref="E42:F43"/>
    <mergeCell ref="G42:G43"/>
    <mergeCell ref="H52:I52"/>
    <mergeCell ref="I60:J64"/>
    <mergeCell ref="E47:F47"/>
    <mergeCell ref="G47:H48"/>
    <mergeCell ref="E48:F48"/>
    <mergeCell ref="E49:F49"/>
    <mergeCell ref="E50:F50"/>
    <mergeCell ref="E51:F51"/>
    <mergeCell ref="C56:D56"/>
    <mergeCell ref="J29:K29"/>
    <mergeCell ref="J30:K30"/>
    <mergeCell ref="L30:M30"/>
    <mergeCell ref="J31:M31"/>
    <mergeCell ref="J32:M32"/>
    <mergeCell ref="L34:M34"/>
    <mergeCell ref="L35:M35"/>
    <mergeCell ref="J41:K41"/>
    <mergeCell ref="H42:J42"/>
    <mergeCell ref="K42:L43"/>
    <mergeCell ref="H43:J43"/>
    <mergeCell ref="L36:M36"/>
    <mergeCell ref="L37:M37"/>
    <mergeCell ref="J38:K38"/>
    <mergeCell ref="J39:K39"/>
    <mergeCell ref="E40:V40"/>
    <mergeCell ref="N41:O41"/>
    <mergeCell ref="T41:V41"/>
    <mergeCell ref="P41:Q41"/>
    <mergeCell ref="R41:S41"/>
    <mergeCell ref="N42:O42"/>
    <mergeCell ref="P42:P43"/>
    <mergeCell ref="Q42:V43"/>
    <mergeCell ref="N43:O43"/>
    <mergeCell ref="E45:V46"/>
    <mergeCell ref="N47:Q47"/>
    <mergeCell ref="T47:V47"/>
    <mergeCell ref="N48:Q48"/>
    <mergeCell ref="T48:V48"/>
    <mergeCell ref="L49:M49"/>
    <mergeCell ref="P49:Q49"/>
    <mergeCell ref="T49:V49"/>
    <mergeCell ref="L52:M52"/>
    <mergeCell ref="R52:S52"/>
    <mergeCell ref="E53:V54"/>
    <mergeCell ref="X56:Y56"/>
    <mergeCell ref="J56:M56"/>
    <mergeCell ref="J58:M58"/>
    <mergeCell ref="J59:M59"/>
    <mergeCell ref="J49:K49"/>
    <mergeCell ref="J50:K50"/>
    <mergeCell ref="L50:M50"/>
    <mergeCell ref="P50:Q50"/>
    <mergeCell ref="J51:K51"/>
    <mergeCell ref="L51:M51"/>
    <mergeCell ref="J52:K52"/>
  </mergeCells>
  <conditionalFormatting sqref="E1:T85 U1:U31 V32:V33 U34:U85 V49:V51 W50">
    <cfRule type="containsText" dxfId="0" priority="1" operator="containsText" text="Физика">
      <formula>NOT(ISERROR(SEARCH(("Физика"),(E1))))</formula>
    </cfRule>
  </conditionalFormatting>
  <conditionalFormatting sqref="E53:W54">
    <cfRule type="containsText" dxfId="1" priority="2" operator="containsText" text="Шерашова">
      <formula>NOT(ISERROR(SEARCH(("Шерашова"),(E53))))</formula>
    </cfRule>
  </conditionalFormatting>
  <conditionalFormatting sqref="E2:T52 U2:U31 V32:V33 U34:U52 V49:V51 W50">
    <cfRule type="containsText" dxfId="2" priority="3" operator="containsText" text="Шерашова">
      <formula>NOT(ISERROR(SEARCH(("Шерашова"),(E2))))</formula>
    </cfRule>
  </conditionalFormatting>
  <conditionalFormatting sqref="E2:T52 U2:U31 V32:V33 U34:U52 V49:V51 W50">
    <cfRule type="containsText" dxfId="3" priority="4" operator="containsText" text="Англ">
      <formula>NOT(ISERROR(SEARCH(("Англ"),(E2))))</formula>
    </cfRule>
  </conditionalFormatting>
  <conditionalFormatting sqref="E2:T52 U2:U31 V32:V33 U34:U52 V49:V51 W50">
    <cfRule type="containsText" dxfId="4" priority="5" operator="containsText" text="Театр">
      <formula>NOT(ISERROR(SEARCH(("Театр"),(E2))))</formula>
    </cfRule>
  </conditionalFormatting>
  <conditionalFormatting sqref="E2:T52 U2:U31 V32:V33 U34:U52 V49:V51 W50">
    <cfRule type="containsText" dxfId="5" priority="6" operator="containsText" text="Колечкин">
      <formula>NOT(ISERROR(SEARCH(("Колечкин"),(E2))))</formula>
    </cfRule>
  </conditionalFormatting>
  <conditionalFormatting sqref="E2:W71">
    <cfRule type="containsText" dxfId="0" priority="7" operator="containsText" text="Репнев">
      <formula>NOT(ISERROR(SEARCH(("Репнев"),(E2))))</formula>
    </cfRule>
  </conditionalFormatting>
  <conditionalFormatting sqref="E2:W64">
    <cfRule type="containsText" dxfId="6" priority="8" operator="containsText" text="Рогацкина">
      <formula>NOT(ISERROR(SEARCH(("Рогацкина"),(E2))))</formula>
    </cfRule>
  </conditionalFormatting>
  <conditionalFormatting sqref="E2:W66">
    <cfRule type="containsText" dxfId="7" priority="9" operator="containsText" text="Белоусова">
      <formula>NOT(ISERROR(SEARCH(("Белоусова"),(E2))))</formula>
    </cfRule>
  </conditionalFormatting>
  <conditionalFormatting sqref="E2:W59">
    <cfRule type="containsText" dxfId="8" priority="10" operator="containsText" text="Караванова">
      <formula>NOT(ISERROR(SEARCH(("Караванова"),(E2))))</formula>
    </cfRule>
  </conditionalFormatting>
  <conditionalFormatting sqref="E2:W62">
    <cfRule type="containsText" dxfId="9" priority="11" operator="containsText" text="Дронзик">
      <formula>NOT(ISERROR(SEARCH(("Дронзик"),(E2))))</formula>
    </cfRule>
  </conditionalFormatting>
  <conditionalFormatting sqref="E2:W63">
    <cfRule type="containsText" dxfId="10" priority="12" operator="containsText" text="Старунова">
      <formula>NOT(ISERROR(SEARCH(("Старунова"),(E2))))</formula>
    </cfRule>
  </conditionalFormatting>
  <conditionalFormatting sqref="E2:W61">
    <cfRule type="containsText" dxfId="11" priority="13" operator="containsText" text="Харитонов">
      <formula>NOT(ISERROR(SEARCH(("Харитонов"),(E2))))</formula>
    </cfRule>
  </conditionalFormatting>
  <conditionalFormatting sqref="E2:W66">
    <cfRule type="containsText" dxfId="12" priority="14" operator="containsText" text="Хуснутдинов">
      <formula>NOT(ISERROR(SEARCH(("Хуснутдинов"),(E2))))</formula>
    </cfRule>
  </conditionalFormatting>
  <conditionalFormatting sqref="E2:W65">
    <cfRule type="containsText" dxfId="13" priority="15" operator="containsText" text="Решетников">
      <formula>NOT(ISERROR(SEARCH(("Решетников"),(E2))))</formula>
    </cfRule>
  </conditionalFormatting>
  <conditionalFormatting sqref="E2:W68">
    <cfRule type="containsText" dxfId="14" priority="16" operator="containsText" text="Заводов">
      <formula>NOT(ISERROR(SEARCH(("Заводов"),(E2))))</formula>
    </cfRule>
  </conditionalFormatting>
  <conditionalFormatting sqref="E1:W65">
    <cfRule type="containsText" dxfId="15" priority="17" operator="containsText" text="Абрамов">
      <formula>NOT(ISERROR(SEARCH(("Абрамов"),(E1))))</formula>
    </cfRule>
  </conditionalFormatting>
  <conditionalFormatting sqref="E2:W66">
    <cfRule type="containsText" dxfId="16" priority="18" operator="containsText" text="Климов">
      <formula>NOT(ISERROR(SEARCH(("Климов"),(E2))))</formula>
    </cfRule>
  </conditionalFormatting>
  <conditionalFormatting sqref="E2:W60">
    <cfRule type="containsText" dxfId="17" priority="19" operator="containsText" text="Клейменов">
      <formula>NOT(ISERROR(SEARCH(("Клейменов"),(E2))))</formula>
    </cfRule>
  </conditionalFormatting>
  <conditionalFormatting sqref="E2:W67">
    <cfRule type="containsText" dxfId="18" priority="20" operator="containsText" text="Попович">
      <formula>NOT(ISERROR(SEARCH(("Попович"),(E2))))</formula>
    </cfRule>
  </conditionalFormatting>
  <conditionalFormatting sqref="E2:W67">
    <cfRule type="containsText" dxfId="19" priority="21" operator="containsText" text="Исмаилов">
      <formula>NOT(ISERROR(SEARCH(("Исмаилов"),(E2))))</formula>
    </cfRule>
  </conditionalFormatting>
  <conditionalFormatting sqref="E2:E20 F2:F12 G2:I44 J2:J48 K2:K46 L2:Q44 R2:S6 T2:V44 R9:S9 R11:R45 S11:S32 F15:F17 F19:F20 E22:F22 E24:F30 E32:E52 F32:F44 S34:S40 S42:S44 S46:S52 T46:T49 F47:F48 R48:R52 G49:G52 P49:P52 F51:F52 H51:H52 I51 J51:J52 N51:N52 Q51:Q52 K52:M52">
    <cfRule type="containsText" dxfId="20" priority="22" operator="containsText" text="Ларченко">
      <formula>NOT(ISERROR(SEARCH(("Ларченко"),(E2))))</formula>
    </cfRule>
  </conditionalFormatting>
  <conditionalFormatting sqref="E2:W64">
    <cfRule type="containsText" dxfId="21" priority="23" operator="containsText" text="Краснова">
      <formula>NOT(ISERROR(SEARCH(("Краснова"),(E2))))</formula>
    </cfRule>
  </conditionalFormatting>
  <conditionalFormatting sqref="E2:W64">
    <cfRule type="containsText" dxfId="22" priority="24" operator="containsText" text="Белоус">
      <formula>NOT(ISERROR(SEARCH(("Белоус"),(E2))))</formula>
    </cfRule>
  </conditionalFormatting>
  <conditionalFormatting sqref="E2:W64">
    <cfRule type="containsText" dxfId="23" priority="25" operator="containsText" text="Куницын">
      <formula>NOT(ISERROR(SEARCH(("Куницын"),(E2))))</formula>
    </cfRule>
  </conditionalFormatting>
  <dataValidations>
    <dataValidation type="custom" allowBlank="1" showDropDown="1" sqref="E2 R2 T2 E3:F3 E4:J4 L4 N2:N4 R3:T4 J5:N6 T5:T6 P2:P8 R5:R8 T7:U8 E5:H9 S9:T9 G10:H10 J7:J10 N7:N10 P9:Q10 E10:E11 L7:L11 T11 W2:AA11 E12:AA12 I13:J14 R13:R14 T13:U14 G13:G16 P13:P16 R15:T16 P17:T18 E13:E20 G17:H20 J15:J20 L13:L20 N13:N20 R19:T20 R21 E21:N22 P19:P22 T21:T22 W13:AA22 E23:AA23 G24:H25 P24:P25 R25 J24:J26 P26:R26 T24:T26 P27 R27:T27 E24:E28 G26:G28 P28:T28 E29:G30 I27:J30 L25:L30 E31 G31:J31 E32:J32 N24:N32 P29:S32 W24:AA32 E33:AA33 P34:T35 E34:E37 G34:H37 J34:L37 N34:N37 G38:G39 J38:J39 L38:P39 R36:T39 J41 L41:N41 P41 R41 T41 E40:E42 G41:H42 K42 P42:Q42 H43 M42:N43 W34:AA43 E44:AA44 E45 G47 I47:N48 R47:T49 W45:AA49 N49:P50 R50:AA50 E47:E51 G49:J51 N51:AA51 E52:H52 J52 L49:L52 N52:R52 T52:AA52 E53 W53:AA54 E55:AA55">
      <formula1>IF(COUNTA(filter($E2:$AA2,ARRAYFORMULA(ISERROR(FIND(join(",",filter(split($H$82,","),ARRAYFORMULA(ISERROR(FIND(split($H$82,","),E2)))=FALSE)),$E2:$AA2))=FALSE)))&gt;1,FALSE,TRUE)</formula1>
    </dataValidation>
    <dataValidation type="custom" allowBlank="1" showDropDown="1" sqref="G2:G3 J2:J3 E38:F38">
      <formula1>IF(COUNTA(filter($E2:$W2,ARRAYFORMULA(ISERROR(FIND(join(",",filter(split($H$82,","),ARRAYFORMULA(ISERROR(FIND(split($H$82,","),E2)))=FALSE)),$E2:$W2))=FALSE)))&gt;1,FALSE,TRUE)</formula1>
    </dataValidation>
    <dataValidation type="custom" allowBlank="1" showDropDown="1" sqref="E39:F39">
      <formula1>IF(COUNTA(filter($E38:$W38,ARRAYFORMULA(ISERROR(FIND(join(",",filter(split($H$82,","),ARRAYFORMULA(ISERROR(FIND(split($H$82,","),E39)))=FALSE)),$E38:$W38))=FALSE)))&gt;1,FALSE,TRUE)</formula1>
    </dataValidation>
    <dataValidation type="custom" allowBlank="1" showDropDown="1" sqref="E56:J56 N56:X56 Z56:AA56 E57:AA57 E58:J59 N58:AA59 E60:I60 E61:H64 K60:AA64 E65:AA80">
      <formula1>IF(COUNTA(filter($E64:$AA64,ARRAYFORMULA(ISERROR(FIND(join(",",filter(split($H$82,","),ARRAYFORMULA(ISERROR(FIND(split($H$82,","),H64)))=FALSE)),$E64:$AA64))=FALSE)))&gt;1,FALSE,TRUE)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18.3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21.5"/>
    <col customWidth="1" min="19" max="19" width="15.75"/>
    <col customWidth="1" min="20" max="20" width="14.25"/>
    <col hidden="1" min="23" max="23" width="12.63"/>
    <col customWidth="1" min="26" max="26" width="18.0"/>
    <col customWidth="1" min="28" max="28" width="20.88"/>
  </cols>
  <sheetData>
    <row r="1" ht="40.5" customHeight="1">
      <c r="A1" s="366"/>
      <c r="B1" s="367"/>
      <c r="C1" s="368" t="s">
        <v>0</v>
      </c>
      <c r="D1" s="369"/>
      <c r="E1" s="370" t="s">
        <v>1</v>
      </c>
      <c r="F1" s="371"/>
      <c r="G1" s="372" t="s">
        <v>1045</v>
      </c>
      <c r="H1" s="373"/>
      <c r="I1" s="374"/>
      <c r="J1" s="375" t="s">
        <v>3</v>
      </c>
      <c r="K1" s="373"/>
      <c r="L1" s="373"/>
      <c r="M1" s="374"/>
      <c r="N1" s="370" t="s">
        <v>4</v>
      </c>
      <c r="O1" s="374"/>
      <c r="P1" s="370" t="s">
        <v>5</v>
      </c>
      <c r="Q1" s="374"/>
      <c r="R1" s="370" t="s">
        <v>6</v>
      </c>
      <c r="S1" s="374"/>
      <c r="T1" s="375" t="s">
        <v>7</v>
      </c>
      <c r="U1" s="373"/>
      <c r="V1" s="376"/>
      <c r="W1" s="377" t="s">
        <v>8</v>
      </c>
      <c r="X1" s="12" t="s">
        <v>0</v>
      </c>
      <c r="Y1" s="13"/>
      <c r="Z1" s="11" t="s">
        <v>9</v>
      </c>
      <c r="AA1" s="48" t="s">
        <v>760</v>
      </c>
      <c r="AB1" s="11" t="s">
        <v>10</v>
      </c>
      <c r="AC1" s="15" t="s">
        <v>11</v>
      </c>
      <c r="AD1" s="16">
        <f>1/24/60</f>
        <v>0.0006944444444</v>
      </c>
      <c r="AE1" s="16"/>
    </row>
    <row r="2" ht="40.5" customHeight="1">
      <c r="A2" s="378">
        <v>44816.0</v>
      </c>
      <c r="B2" s="19">
        <v>1.0</v>
      </c>
      <c r="C2" s="20" t="s">
        <v>12</v>
      </c>
      <c r="D2" s="20" t="s">
        <v>13</v>
      </c>
      <c r="E2" s="21" t="s">
        <v>1046</v>
      </c>
      <c r="F2" s="22"/>
      <c r="G2" s="23" t="s">
        <v>1047</v>
      </c>
      <c r="H2" s="24"/>
      <c r="I2" s="25"/>
      <c r="J2" s="21" t="s">
        <v>1048</v>
      </c>
      <c r="K2" s="24"/>
      <c r="L2" s="24"/>
      <c r="M2" s="25"/>
      <c r="N2" s="21" t="s">
        <v>1049</v>
      </c>
      <c r="O2" s="25"/>
      <c r="P2" s="21" t="s">
        <v>1050</v>
      </c>
      <c r="Q2" s="25"/>
      <c r="R2" s="21" t="s">
        <v>1051</v>
      </c>
      <c r="S2" s="25"/>
      <c r="T2" s="21" t="s">
        <v>1052</v>
      </c>
      <c r="U2" s="24"/>
      <c r="V2" s="379"/>
      <c r="W2" s="26"/>
      <c r="X2" s="20" t="s">
        <v>12</v>
      </c>
      <c r="Y2" s="20" t="s">
        <v>13</v>
      </c>
      <c r="Z2" s="28"/>
      <c r="AA2" s="48">
        <v>406.0</v>
      </c>
      <c r="AB2" s="15" t="str">
        <f>IFERROR(__xludf.DUMMYFUNCTION("join("","",filter(split($H$82,"",""),ARRAYFORMULA(ISERROR(FIND(split($H$82,"",""),CONCATENATE(E2:AA2))))=TRUE))"),"СЗ,КЗ,209,403,405,408,409,410,501")</f>
        <v>СЗ,КЗ,209,403,405,408,409,410,501</v>
      </c>
      <c r="AC2" s="14"/>
      <c r="AD2" s="14"/>
      <c r="AE2" s="14"/>
    </row>
    <row r="3" ht="40.5" customHeight="1">
      <c r="A3" s="380"/>
      <c r="B3" s="31">
        <v>2.0</v>
      </c>
      <c r="C3" s="32" t="s">
        <v>21</v>
      </c>
      <c r="D3" s="32" t="s">
        <v>22</v>
      </c>
      <c r="E3" s="33" t="s">
        <v>1053</v>
      </c>
      <c r="F3" s="34" t="s">
        <v>1054</v>
      </c>
      <c r="G3" s="35" t="s">
        <v>770</v>
      </c>
      <c r="H3" s="36"/>
      <c r="I3" s="13"/>
      <c r="J3" s="37" t="s">
        <v>1055</v>
      </c>
      <c r="K3" s="13"/>
      <c r="L3" s="38" t="s">
        <v>1056</v>
      </c>
      <c r="M3" s="13"/>
      <c r="N3" s="37" t="s">
        <v>1057</v>
      </c>
      <c r="O3" s="13"/>
      <c r="P3" s="37" t="s">
        <v>1058</v>
      </c>
      <c r="Q3" s="13"/>
      <c r="R3" s="39" t="s">
        <v>1059</v>
      </c>
      <c r="S3" s="40" t="s">
        <v>1060</v>
      </c>
      <c r="T3" s="37" t="s">
        <v>1061</v>
      </c>
      <c r="U3" s="36"/>
      <c r="V3" s="381"/>
      <c r="W3" s="26"/>
      <c r="X3" s="32" t="s">
        <v>21</v>
      </c>
      <c r="Y3" s="32" t="s">
        <v>22</v>
      </c>
      <c r="Z3" s="28"/>
      <c r="AA3" s="48">
        <v>406.0</v>
      </c>
      <c r="AB3" s="15" t="str">
        <f>IFERROR(__xludf.DUMMYFUNCTION("join("","",filter(split($H$82,"",""),ARRAYFORMULA(ISERROR(FIND(split($H$82,"",""),CONCATENATE(E3:AA3))))=TRUE))"),"КЗ,201,206,405,409,410,501")</f>
        <v>КЗ,201,206,405,409,410,501</v>
      </c>
      <c r="AC3" s="14"/>
      <c r="AD3" s="14"/>
      <c r="AE3" s="14"/>
    </row>
    <row r="4" ht="40.5" customHeight="1">
      <c r="A4" s="380"/>
      <c r="B4" s="31">
        <v>3.0</v>
      </c>
      <c r="C4" s="32" t="s">
        <v>33</v>
      </c>
      <c r="D4" s="32" t="s">
        <v>34</v>
      </c>
      <c r="E4" s="33" t="s">
        <v>1062</v>
      </c>
      <c r="F4" s="126" t="s">
        <v>1063</v>
      </c>
      <c r="G4" s="43" t="s">
        <v>1064</v>
      </c>
      <c r="H4" s="44" t="s">
        <v>499</v>
      </c>
      <c r="I4" s="45" t="s">
        <v>1065</v>
      </c>
      <c r="J4" s="46" t="s">
        <v>1066</v>
      </c>
      <c r="K4" s="13"/>
      <c r="L4" s="45" t="s">
        <v>1067</v>
      </c>
      <c r="M4" s="13"/>
      <c r="N4" s="37" t="s">
        <v>1068</v>
      </c>
      <c r="O4" s="13"/>
      <c r="P4" s="37" t="s">
        <v>1069</v>
      </c>
      <c r="Q4" s="13"/>
      <c r="R4" s="39" t="s">
        <v>1070</v>
      </c>
      <c r="S4" s="40" t="s">
        <v>1071</v>
      </c>
      <c r="T4" s="37" t="s">
        <v>1072</v>
      </c>
      <c r="U4" s="36"/>
      <c r="V4" s="381"/>
      <c r="W4" s="26"/>
      <c r="X4" s="32" t="s">
        <v>33</v>
      </c>
      <c r="Y4" s="32" t="s">
        <v>34</v>
      </c>
      <c r="Z4" s="48" t="s">
        <v>47</v>
      </c>
      <c r="AA4" s="48">
        <v>406.0</v>
      </c>
      <c r="AB4" s="15" t="str">
        <f>IFERROR(__xludf.DUMMYFUNCTION("join("","",filter(split($H$82,"",""),ARRAYFORMULA(ISERROR(FIND(split($H$82,"",""),CONCATENATE(E4:AA4))))=TRUE))"),"КЗ,201,206,404,409,АЗ,501")</f>
        <v>КЗ,201,206,404,409,АЗ,501</v>
      </c>
      <c r="AC4" s="14"/>
      <c r="AD4" s="14"/>
      <c r="AE4" s="14"/>
    </row>
    <row r="5" ht="40.5" customHeight="1">
      <c r="A5" s="380"/>
      <c r="B5" s="31">
        <v>4.0</v>
      </c>
      <c r="C5" s="32" t="s">
        <v>48</v>
      </c>
      <c r="D5" s="32" t="s">
        <v>49</v>
      </c>
      <c r="E5" s="33" t="s">
        <v>1073</v>
      </c>
      <c r="F5" s="126" t="s">
        <v>1074</v>
      </c>
      <c r="G5" s="43" t="s">
        <v>1075</v>
      </c>
      <c r="H5" s="45" t="s">
        <v>1076</v>
      </c>
      <c r="I5" s="13"/>
      <c r="J5" s="33" t="s">
        <v>1077</v>
      </c>
      <c r="K5" s="44" t="s">
        <v>1078</v>
      </c>
      <c r="L5" s="44" t="s">
        <v>1079</v>
      </c>
      <c r="M5" s="45" t="s">
        <v>1080</v>
      </c>
      <c r="N5" s="37" t="s">
        <v>1081</v>
      </c>
      <c r="O5" s="13"/>
      <c r="P5" s="37" t="s">
        <v>1082</v>
      </c>
      <c r="Q5" s="13"/>
      <c r="R5" s="51" t="s">
        <v>1083</v>
      </c>
      <c r="S5" s="382" t="s">
        <v>1084</v>
      </c>
      <c r="T5" s="91" t="s">
        <v>1085</v>
      </c>
      <c r="U5" s="36"/>
      <c r="V5" s="381"/>
      <c r="W5" s="26"/>
      <c r="X5" s="32" t="s">
        <v>48</v>
      </c>
      <c r="Y5" s="32" t="s">
        <v>49</v>
      </c>
      <c r="Z5" s="48" t="s">
        <v>57</v>
      </c>
      <c r="AA5" s="48">
        <v>406.0</v>
      </c>
      <c r="AB5" s="15" t="str">
        <f>IFERROR(__xludf.DUMMYFUNCTION("join("","",filter(split($H$82,"",""),ARRAYFORMULA(ISERROR(FIND(split($H$82,"",""),CONCATENATE(E5:AA5))))=TRUE))"),"СЗ,КЗ,206,409,501,503")</f>
        <v>СЗ,КЗ,206,409,501,503</v>
      </c>
      <c r="AC5" s="14"/>
      <c r="AD5" s="14"/>
      <c r="AE5" s="14"/>
    </row>
    <row r="6" ht="40.5" customHeight="1">
      <c r="A6" s="380"/>
      <c r="B6" s="383">
        <v>5.0</v>
      </c>
      <c r="C6" s="384" t="s">
        <v>58</v>
      </c>
      <c r="D6" s="385">
        <v>44847.0</v>
      </c>
      <c r="E6" s="316" t="s">
        <v>1086</v>
      </c>
      <c r="F6" s="34" t="s">
        <v>1087</v>
      </c>
      <c r="G6" s="43" t="s">
        <v>1088</v>
      </c>
      <c r="H6" s="45" t="s">
        <v>1089</v>
      </c>
      <c r="I6" s="13"/>
      <c r="J6" s="33" t="s">
        <v>1090</v>
      </c>
      <c r="K6" s="44" t="s">
        <v>1091</v>
      </c>
      <c r="L6" s="44" t="s">
        <v>1092</v>
      </c>
      <c r="M6" s="45" t="s">
        <v>1093</v>
      </c>
      <c r="N6" s="37" t="s">
        <v>1094</v>
      </c>
      <c r="O6" s="13"/>
      <c r="P6" s="37" t="s">
        <v>1095</v>
      </c>
      <c r="Q6" s="13"/>
      <c r="R6" s="51" t="s">
        <v>1096</v>
      </c>
      <c r="S6" s="382" t="s">
        <v>1084</v>
      </c>
      <c r="T6" s="91" t="s">
        <v>1097</v>
      </c>
      <c r="U6" s="36"/>
      <c r="V6" s="381"/>
      <c r="W6" s="26"/>
      <c r="X6" s="384" t="s">
        <v>58</v>
      </c>
      <c r="Y6" s="385">
        <v>44847.0</v>
      </c>
      <c r="Z6" s="48" t="s">
        <v>70</v>
      </c>
      <c r="AA6" s="48"/>
      <c r="AB6" s="15" t="str">
        <f>IFERROR(__xludf.DUMMYFUNCTION("join("","",filter(split($H$82,"",""),ARRAYFORMULA(ISERROR(FIND(split($H$82,"",""),CONCATENATE(E6:AA6))))=TRUE))"),"СЗ,КЗ,206,406,409,501,503")</f>
        <v>СЗ,КЗ,206,406,409,501,503</v>
      </c>
      <c r="AC6" s="14"/>
      <c r="AD6" s="14"/>
      <c r="AE6" s="14"/>
    </row>
    <row r="7" ht="42.0" customHeight="1">
      <c r="A7" s="380"/>
      <c r="B7" s="383">
        <v>6.0</v>
      </c>
      <c r="C7" s="386" t="s">
        <v>71</v>
      </c>
      <c r="D7" s="387" t="s">
        <v>72</v>
      </c>
      <c r="E7" s="316" t="s">
        <v>1098</v>
      </c>
      <c r="F7" s="34" t="s">
        <v>1099</v>
      </c>
      <c r="G7" s="43" t="s">
        <v>1100</v>
      </c>
      <c r="H7" s="45" t="s">
        <v>1101</v>
      </c>
      <c r="I7" s="13"/>
      <c r="J7" s="37" t="s">
        <v>1102</v>
      </c>
      <c r="K7" s="13"/>
      <c r="L7" s="45" t="s">
        <v>1103</v>
      </c>
      <c r="M7" s="13"/>
      <c r="N7" s="37" t="s">
        <v>1104</v>
      </c>
      <c r="O7" s="13"/>
      <c r="P7" s="37" t="s">
        <v>1105</v>
      </c>
      <c r="Q7" s="13"/>
      <c r="R7" s="37" t="s">
        <v>1106</v>
      </c>
      <c r="S7" s="13"/>
      <c r="T7" s="33" t="s">
        <v>1107</v>
      </c>
      <c r="U7" s="45" t="s">
        <v>1108</v>
      </c>
      <c r="V7" s="381"/>
      <c r="W7" s="26"/>
      <c r="X7" s="386" t="s">
        <v>71</v>
      </c>
      <c r="Y7" s="387" t="s">
        <v>72</v>
      </c>
      <c r="Z7" s="48" t="s">
        <v>84</v>
      </c>
      <c r="AA7" s="48"/>
      <c r="AB7" s="15" t="str">
        <f>IFERROR(__xludf.DUMMYFUNCTION("join("","",filter(split($H$82,"",""),ARRAYFORMULA(ISERROR(FIND(split($H$82,"",""),CONCATENATE(E7:AA7))))=TRUE))"),"КЗ,206,403,406,408,409,АЗ")</f>
        <v>КЗ,206,403,406,408,409,АЗ</v>
      </c>
      <c r="AC7" s="14"/>
      <c r="AD7" s="14"/>
      <c r="AE7" s="14"/>
    </row>
    <row r="8" ht="42.0" customHeight="1">
      <c r="A8" s="380"/>
      <c r="B8" s="31">
        <v>7.0</v>
      </c>
      <c r="C8" s="32" t="s">
        <v>85</v>
      </c>
      <c r="D8" s="32" t="s">
        <v>86</v>
      </c>
      <c r="E8" s="388" t="s">
        <v>1109</v>
      </c>
      <c r="F8" s="129"/>
      <c r="G8" s="43" t="s">
        <v>1110</v>
      </c>
      <c r="H8" s="45" t="s">
        <v>1111</v>
      </c>
      <c r="I8" s="13"/>
      <c r="J8" s="37" t="s">
        <v>1112</v>
      </c>
      <c r="K8" s="13"/>
      <c r="L8" s="45" t="s">
        <v>1113</v>
      </c>
      <c r="M8" s="13"/>
      <c r="N8" s="37" t="s">
        <v>1114</v>
      </c>
      <c r="O8" s="13"/>
      <c r="P8" s="37" t="s">
        <v>1115</v>
      </c>
      <c r="Q8" s="13"/>
      <c r="R8" s="37" t="s">
        <v>1116</v>
      </c>
      <c r="S8" s="13"/>
      <c r="T8" s="33" t="s">
        <v>1117</v>
      </c>
      <c r="U8" s="45" t="s">
        <v>1118</v>
      </c>
      <c r="V8" s="381"/>
      <c r="W8" s="26"/>
      <c r="X8" s="32" t="s">
        <v>85</v>
      </c>
      <c r="Y8" s="32" t="s">
        <v>86</v>
      </c>
      <c r="Z8" s="48" t="s">
        <v>97</v>
      </c>
      <c r="AA8" s="48" t="s">
        <v>1119</v>
      </c>
      <c r="AB8" s="15" t="str">
        <f>IFERROR(__xludf.DUMMYFUNCTION("join("","",filter(split($H$82,"",""),ARRAYFORMULA(ISERROR(FIND(split($H$82,"",""),CONCATENATE(E8:AA8))))=TRUE))"),"КЗ,202,206,403,408,409,410,501")</f>
        <v>КЗ,202,206,403,408,409,410,501</v>
      </c>
      <c r="AC8" s="14"/>
      <c r="AD8" s="14"/>
      <c r="AE8" s="14"/>
    </row>
    <row r="9" ht="40.5" customHeight="1">
      <c r="A9" s="380"/>
      <c r="B9" s="31">
        <v>8.0</v>
      </c>
      <c r="C9" s="32" t="s">
        <v>98</v>
      </c>
      <c r="D9" s="32" t="s">
        <v>99</v>
      </c>
      <c r="E9" s="142"/>
      <c r="F9" s="88"/>
      <c r="G9" s="43" t="s">
        <v>1120</v>
      </c>
      <c r="H9" s="45" t="s">
        <v>1121</v>
      </c>
      <c r="I9" s="13"/>
      <c r="J9" s="37" t="s">
        <v>1122</v>
      </c>
      <c r="K9" s="13"/>
      <c r="L9" s="45" t="s">
        <v>1123</v>
      </c>
      <c r="M9" s="13"/>
      <c r="N9" s="61" t="s">
        <v>1124</v>
      </c>
      <c r="O9" s="13"/>
      <c r="P9" s="321" t="s">
        <v>1125</v>
      </c>
      <c r="Q9" s="45" t="s">
        <v>1126</v>
      </c>
      <c r="R9" s="322" t="s">
        <v>1127</v>
      </c>
      <c r="S9" s="36"/>
      <c r="T9" s="36"/>
      <c r="U9" s="36"/>
      <c r="V9" s="381"/>
      <c r="W9" s="26"/>
      <c r="X9" s="32" t="s">
        <v>98</v>
      </c>
      <c r="Y9" s="32" t="s">
        <v>99</v>
      </c>
      <c r="Z9" s="11"/>
      <c r="AA9" s="48" t="s">
        <v>1119</v>
      </c>
      <c r="AB9" s="15" t="str">
        <f>IFERROR(__xludf.DUMMYFUNCTION("join("","",filter(split($H$82,"",""),ARRAYFORMULA(ISERROR(FIND(split($H$82,"",""),CONCATENATE(E9:AA9))))=TRUE))"),"КЗ,206,403,405,408,409,410,501,503")</f>
        <v>КЗ,206,403,405,408,409,410,501,503</v>
      </c>
      <c r="AC9" s="14"/>
      <c r="AD9" s="14"/>
      <c r="AE9" s="14"/>
    </row>
    <row r="10" ht="40.5" customHeight="1">
      <c r="A10" s="380"/>
      <c r="B10" s="31">
        <v>9.0</v>
      </c>
      <c r="C10" s="65">
        <v>44697.0</v>
      </c>
      <c r="D10" s="44" t="s">
        <v>109</v>
      </c>
      <c r="E10" s="66" t="s">
        <v>1128</v>
      </c>
      <c r="F10" s="67"/>
      <c r="G10" s="43" t="s">
        <v>1129</v>
      </c>
      <c r="H10" s="45" t="s">
        <v>1130</v>
      </c>
      <c r="I10" s="13"/>
      <c r="J10" s="37" t="s">
        <v>1131</v>
      </c>
      <c r="K10" s="13"/>
      <c r="L10" s="45" t="s">
        <v>1132</v>
      </c>
      <c r="M10" s="13"/>
      <c r="N10" s="61" t="s">
        <v>1133</v>
      </c>
      <c r="O10" s="13"/>
      <c r="P10" s="321" t="s">
        <v>1134</v>
      </c>
      <c r="Q10" s="68" t="s">
        <v>1135</v>
      </c>
      <c r="R10" s="36"/>
      <c r="S10" s="36"/>
      <c r="T10" s="36"/>
      <c r="U10" s="36"/>
      <c r="V10" s="381"/>
      <c r="W10" s="26"/>
      <c r="X10" s="65">
        <v>44697.0</v>
      </c>
      <c r="Y10" s="44" t="s">
        <v>109</v>
      </c>
      <c r="Z10" s="28"/>
      <c r="AA10" s="48" t="s">
        <v>1119</v>
      </c>
      <c r="AB10" s="15" t="str">
        <f>IFERROR(__xludf.DUMMYFUNCTION("join("","",filter(split($H$82,"",""),ARRAYFORMULA(ISERROR(FIND(split($H$82,"",""),CONCATENATE(E10:AA10))))=TRUE))"),"КЗ,206,210,403,404,405,408,409,501,503")</f>
        <v>КЗ,206,210,403,404,405,408,409,501,503</v>
      </c>
      <c r="AC10" s="14"/>
      <c r="AD10" s="14"/>
      <c r="AE10" s="14"/>
    </row>
    <row r="11" ht="40.5" customHeight="1">
      <c r="A11" s="380"/>
      <c r="B11" s="31">
        <v>10.0</v>
      </c>
      <c r="C11" s="44" t="s">
        <v>120</v>
      </c>
      <c r="D11" s="44" t="s">
        <v>121</v>
      </c>
      <c r="E11" s="323" t="s">
        <v>1136</v>
      </c>
      <c r="F11" s="64"/>
      <c r="G11" s="64"/>
      <c r="H11" s="64"/>
      <c r="I11" s="64"/>
      <c r="J11" s="64"/>
      <c r="K11" s="72"/>
      <c r="L11" s="45" t="s">
        <v>1137</v>
      </c>
      <c r="M11" s="36"/>
      <c r="N11" s="36"/>
      <c r="O11" s="36"/>
      <c r="P11" s="36"/>
      <c r="Q11" s="36"/>
      <c r="R11" s="36"/>
      <c r="S11" s="13"/>
      <c r="T11" s="324" t="s">
        <v>1138</v>
      </c>
      <c r="U11" s="36"/>
      <c r="V11" s="381"/>
      <c r="W11" s="26"/>
      <c r="X11" s="44" t="s">
        <v>120</v>
      </c>
      <c r="Y11" s="44" t="s">
        <v>121</v>
      </c>
      <c r="Z11" s="28"/>
      <c r="AA11" s="48" t="s">
        <v>1119</v>
      </c>
      <c r="AB11" s="15" t="str">
        <f>IFERROR(__xludf.DUMMYFUNCTION("join("","",filter(split($H$82,"",""),ARRAYFORMULA(ISERROR(FIND(split($H$82,"",""),CONCATENATE(E11:AA11))))=TRUE))"),"КЗ,201,202,206,209,210,401,402,403,404,405,408,409,503")</f>
        <v>КЗ,201,202,206,209,210,401,402,403,404,405,408,409,503</v>
      </c>
      <c r="AC11" s="14"/>
      <c r="AD11" s="14"/>
      <c r="AE11" s="14"/>
    </row>
    <row r="12" ht="40.5" customHeight="1">
      <c r="A12" s="389"/>
      <c r="B12" s="75">
        <v>11.0</v>
      </c>
      <c r="C12" s="76" t="s">
        <v>124</v>
      </c>
      <c r="D12" s="76" t="s">
        <v>125</v>
      </c>
      <c r="E12" s="76"/>
      <c r="F12" s="76"/>
      <c r="G12" s="76"/>
      <c r="H12" s="76"/>
      <c r="I12" s="76"/>
      <c r="J12" s="76"/>
      <c r="K12" s="76"/>
      <c r="L12" s="76"/>
      <c r="M12" s="76"/>
      <c r="N12" s="76"/>
      <c r="O12" s="76"/>
      <c r="P12" s="76"/>
      <c r="Q12" s="76"/>
      <c r="R12" s="76"/>
      <c r="S12" s="76"/>
      <c r="T12" s="77"/>
      <c r="U12" s="77"/>
      <c r="V12" s="390"/>
      <c r="W12" s="290"/>
      <c r="X12" s="76" t="s">
        <v>124</v>
      </c>
      <c r="Y12" s="76" t="s">
        <v>125</v>
      </c>
      <c r="Z12" s="391"/>
      <c r="AA12" s="11"/>
      <c r="AB12" s="15" t="str">
        <f>IFERROR(__xludf.DUMMYFUNCTION("join("","",filter(split($H$82,"",""),ARRAYFORMULA(ISERROR(FIND(split($H$82,"",""),CONCATENATE(E12:AA12))))=TRUE))"),"СЗ,КЗ,201,202,206,209,210,401,402,403,404,405,406,408,409,410,АЗ,501,503")</f>
        <v>СЗ,КЗ,201,202,206,209,210,401,402,403,404,405,406,408,409,410,АЗ,501,503</v>
      </c>
      <c r="AC12" s="14"/>
      <c r="AD12" s="14"/>
      <c r="AE12" s="14"/>
    </row>
    <row r="13" ht="40.5" customHeight="1">
      <c r="A13" s="18">
        <v>44817.0</v>
      </c>
      <c r="B13" s="19">
        <v>1.0</v>
      </c>
      <c r="C13" s="20" t="s">
        <v>12</v>
      </c>
      <c r="D13" s="20" t="s">
        <v>13</v>
      </c>
      <c r="E13" s="80" t="s">
        <v>1139</v>
      </c>
      <c r="F13" s="25"/>
      <c r="G13" s="81" t="s">
        <v>1140</v>
      </c>
      <c r="H13" s="25"/>
      <c r="I13" s="272" t="s">
        <v>1141</v>
      </c>
      <c r="J13" s="23" t="s">
        <v>1142</v>
      </c>
      <c r="K13" s="25"/>
      <c r="L13" s="80" t="s">
        <v>1143</v>
      </c>
      <c r="M13" s="25"/>
      <c r="N13" s="82" t="s">
        <v>1144</v>
      </c>
      <c r="O13" s="25"/>
      <c r="P13" s="21" t="s">
        <v>1145</v>
      </c>
      <c r="Q13" s="22"/>
      <c r="R13" s="23" t="s">
        <v>1146</v>
      </c>
      <c r="S13" s="22"/>
      <c r="T13" s="84" t="s">
        <v>1147</v>
      </c>
      <c r="U13" s="80" t="s">
        <v>1148</v>
      </c>
      <c r="V13" s="379"/>
      <c r="W13" s="330"/>
      <c r="X13" s="20" t="s">
        <v>12</v>
      </c>
      <c r="Y13" s="20" t="s">
        <v>13</v>
      </c>
      <c r="Z13" s="392"/>
      <c r="AA13" s="393" t="s">
        <v>1149</v>
      </c>
      <c r="AB13" s="15" t="str">
        <f>IFERROR(__xludf.DUMMYFUNCTION("join("","",filter(split($H$82,"",""),ARRAYFORMULA(ISERROR(FIND(split($H$82,"",""),CONCATENATE(E13:AA13))))=TRUE))"),"КЗ,202,403,409,410,АЗ,503")</f>
        <v>КЗ,202,403,409,410,АЗ,503</v>
      </c>
      <c r="AC13" s="14"/>
      <c r="AD13" s="14"/>
      <c r="AE13" s="14"/>
    </row>
    <row r="14" ht="40.5" customHeight="1">
      <c r="A14" s="30"/>
      <c r="B14" s="31">
        <v>2.0</v>
      </c>
      <c r="C14" s="32" t="s">
        <v>21</v>
      </c>
      <c r="D14" s="32" t="s">
        <v>22</v>
      </c>
      <c r="E14" s="45" t="s">
        <v>1150</v>
      </c>
      <c r="F14" s="13"/>
      <c r="G14" s="46" t="s">
        <v>1151</v>
      </c>
      <c r="H14" s="13"/>
      <c r="I14" s="325" t="s">
        <v>1152</v>
      </c>
      <c r="J14" s="35" t="s">
        <v>1153</v>
      </c>
      <c r="K14" s="13"/>
      <c r="L14" s="45" t="s">
        <v>1154</v>
      </c>
      <c r="M14" s="13"/>
      <c r="N14" s="87" t="s">
        <v>1155</v>
      </c>
      <c r="O14" s="13"/>
      <c r="P14" s="37" t="s">
        <v>1156</v>
      </c>
      <c r="Q14" s="41"/>
      <c r="R14" s="35" t="s">
        <v>1157</v>
      </c>
      <c r="S14" s="41"/>
      <c r="T14" s="43" t="s">
        <v>1158</v>
      </c>
      <c r="U14" s="45" t="s">
        <v>1159</v>
      </c>
      <c r="V14" s="381"/>
      <c r="W14" s="26"/>
      <c r="X14" s="32" t="s">
        <v>21</v>
      </c>
      <c r="Y14" s="32" t="s">
        <v>22</v>
      </c>
      <c r="Z14" s="394"/>
      <c r="AA14" s="393" t="s">
        <v>1149</v>
      </c>
      <c r="AB14" s="15" t="str">
        <f>IFERROR(__xludf.DUMMYFUNCTION("join("","",filter(split($H$82,"",""),ARRAYFORMULA(ISERROR(FIND(split($H$82,"",""),CONCATENATE(E14:AA14))))=TRUE))"),"КЗ,202,403,409,410,АЗ,503")</f>
        <v>КЗ,202,403,409,410,АЗ,503</v>
      </c>
      <c r="AC14" s="14"/>
      <c r="AD14" s="14"/>
      <c r="AE14" s="14"/>
    </row>
    <row r="15" ht="40.5" customHeight="1">
      <c r="A15" s="30"/>
      <c r="B15" s="31">
        <v>3.0</v>
      </c>
      <c r="C15" s="32" t="s">
        <v>33</v>
      </c>
      <c r="D15" s="32" t="s">
        <v>34</v>
      </c>
      <c r="E15" s="40" t="s">
        <v>1160</v>
      </c>
      <c r="F15" s="13"/>
      <c r="G15" s="37" t="s">
        <v>1161</v>
      </c>
      <c r="H15" s="36"/>
      <c r="I15" s="41"/>
      <c r="J15" s="35" t="s">
        <v>1162</v>
      </c>
      <c r="K15" s="13"/>
      <c r="L15" s="45" t="s">
        <v>1163</v>
      </c>
      <c r="M15" s="13"/>
      <c r="N15" s="89" t="s">
        <v>1164</v>
      </c>
      <c r="O15" s="13"/>
      <c r="P15" s="37" t="s">
        <v>1165</v>
      </c>
      <c r="Q15" s="41"/>
      <c r="R15" s="43" t="s">
        <v>1166</v>
      </c>
      <c r="S15" s="34" t="s">
        <v>1167</v>
      </c>
      <c r="T15" s="91" t="s">
        <v>1168</v>
      </c>
      <c r="U15" s="36"/>
      <c r="V15" s="381"/>
      <c r="W15" s="26"/>
      <c r="X15" s="32" t="s">
        <v>33</v>
      </c>
      <c r="Y15" s="32" t="s">
        <v>34</v>
      </c>
      <c r="Z15" s="48" t="s">
        <v>47</v>
      </c>
      <c r="AA15" s="393">
        <v>206.0</v>
      </c>
      <c r="AB15" s="15" t="str">
        <f>IFERROR(__xludf.DUMMYFUNCTION("join("","",filter(split($H$82,"",""),ARRAYFORMULA(ISERROR(FIND(split($H$82,"",""),CONCATENATE(E15:AA15))))=TRUE))"),"КЗ,201,202,210,403,408,409,410,АЗ")</f>
        <v>КЗ,201,202,210,403,408,409,410,АЗ</v>
      </c>
      <c r="AC15" s="14"/>
      <c r="AD15" s="14"/>
      <c r="AE15" s="14"/>
    </row>
    <row r="16" ht="40.5" customHeight="1">
      <c r="A16" s="30"/>
      <c r="B16" s="31">
        <v>4.0</v>
      </c>
      <c r="C16" s="32" t="s">
        <v>48</v>
      </c>
      <c r="D16" s="32" t="s">
        <v>49</v>
      </c>
      <c r="E16" s="40" t="s">
        <v>1169</v>
      </c>
      <c r="F16" s="13"/>
      <c r="G16" s="37" t="s">
        <v>1170</v>
      </c>
      <c r="H16" s="36"/>
      <c r="I16" s="41"/>
      <c r="J16" s="35" t="s">
        <v>1171</v>
      </c>
      <c r="K16" s="13"/>
      <c r="L16" s="45" t="s">
        <v>1172</v>
      </c>
      <c r="M16" s="13"/>
      <c r="N16" s="89" t="s">
        <v>1173</v>
      </c>
      <c r="O16" s="13"/>
      <c r="P16" s="37" t="s">
        <v>1174</v>
      </c>
      <c r="Q16" s="41"/>
      <c r="R16" s="43" t="s">
        <v>1175</v>
      </c>
      <c r="S16" s="34" t="s">
        <v>1176</v>
      </c>
      <c r="T16" s="91" t="s">
        <v>1177</v>
      </c>
      <c r="U16" s="36"/>
      <c r="V16" s="381"/>
      <c r="W16" s="26"/>
      <c r="X16" s="32" t="s">
        <v>48</v>
      </c>
      <c r="Y16" s="32" t="s">
        <v>49</v>
      </c>
      <c r="Z16" s="48" t="s">
        <v>57</v>
      </c>
      <c r="AA16" s="393">
        <v>206.0</v>
      </c>
      <c r="AB16" s="15" t="str">
        <f>IFERROR(__xludf.DUMMYFUNCTION("join("","",filter(split($H$82,"",""),ARRAYFORMULA(ISERROR(FIND(split($H$82,"",""),CONCATENATE(E16:AA16))))=TRUE))"),"КЗ,201,202,210,403,408,409,410,АЗ")</f>
        <v>КЗ,201,202,210,403,408,409,410,АЗ</v>
      </c>
      <c r="AC16" s="14"/>
      <c r="AD16" s="14"/>
      <c r="AE16" s="14"/>
    </row>
    <row r="17" ht="40.5" customHeight="1">
      <c r="A17" s="30"/>
      <c r="B17" s="383">
        <v>5.0</v>
      </c>
      <c r="C17" s="384" t="s">
        <v>58</v>
      </c>
      <c r="D17" s="385">
        <v>44847.0</v>
      </c>
      <c r="E17" s="45" t="s">
        <v>1178</v>
      </c>
      <c r="F17" s="13"/>
      <c r="G17" s="33" t="s">
        <v>1179</v>
      </c>
      <c r="H17" s="45" t="s">
        <v>1180</v>
      </c>
      <c r="I17" s="41"/>
      <c r="J17" s="35" t="s">
        <v>1181</v>
      </c>
      <c r="K17" s="13"/>
      <c r="L17" s="40" t="s">
        <v>1182</v>
      </c>
      <c r="M17" s="13"/>
      <c r="N17" s="45" t="s">
        <v>1183</v>
      </c>
      <c r="O17" s="13"/>
      <c r="P17" s="33" t="s">
        <v>1184</v>
      </c>
      <c r="Q17" s="34" t="s">
        <v>1185</v>
      </c>
      <c r="R17" s="326" t="s">
        <v>1186</v>
      </c>
      <c r="S17" s="92" t="s">
        <v>1187</v>
      </c>
      <c r="T17" s="93" t="s">
        <v>1188</v>
      </c>
      <c r="U17" s="36"/>
      <c r="V17" s="381"/>
      <c r="W17" s="26"/>
      <c r="X17" s="384" t="s">
        <v>58</v>
      </c>
      <c r="Y17" s="385">
        <v>44847.0</v>
      </c>
      <c r="Z17" s="48" t="s">
        <v>70</v>
      </c>
      <c r="AA17" s="393" t="s">
        <v>1189</v>
      </c>
      <c r="AB17" s="15" t="str">
        <f>IFERROR(__xludf.DUMMYFUNCTION("join("","",filter(split($H$82,"",""),ARRAYFORMULA(ISERROR(FIND(split($H$82,"",""),CONCATENATE(E17:AA17))))=TRUE))"),"202,206,209,403,408,410,АЗ")</f>
        <v>202,206,209,403,408,410,АЗ</v>
      </c>
      <c r="AC17" s="14"/>
      <c r="AD17" s="14"/>
      <c r="AE17" s="14"/>
    </row>
    <row r="18" ht="40.5" customHeight="1">
      <c r="A18" s="30"/>
      <c r="B18" s="383">
        <v>6.0</v>
      </c>
      <c r="C18" s="386" t="s">
        <v>71</v>
      </c>
      <c r="D18" s="387" t="s">
        <v>72</v>
      </c>
      <c r="E18" s="45" t="s">
        <v>1190</v>
      </c>
      <c r="F18" s="13"/>
      <c r="G18" s="33" t="s">
        <v>1191</v>
      </c>
      <c r="H18" s="45" t="s">
        <v>1192</v>
      </c>
      <c r="I18" s="41"/>
      <c r="J18" s="35" t="s">
        <v>1193</v>
      </c>
      <c r="K18" s="13"/>
      <c r="L18" s="40" t="s">
        <v>1194</v>
      </c>
      <c r="M18" s="13"/>
      <c r="N18" s="45" t="s">
        <v>1195</v>
      </c>
      <c r="O18" s="13"/>
      <c r="P18" s="33" t="s">
        <v>1196</v>
      </c>
      <c r="Q18" s="34" t="s">
        <v>1197</v>
      </c>
      <c r="R18" s="326" t="s">
        <v>1198</v>
      </c>
      <c r="S18" s="92" t="s">
        <v>1199</v>
      </c>
      <c r="T18" s="93" t="s">
        <v>1200</v>
      </c>
      <c r="U18" s="36"/>
      <c r="V18" s="381"/>
      <c r="W18" s="26"/>
      <c r="X18" s="386" t="s">
        <v>71</v>
      </c>
      <c r="Y18" s="387" t="s">
        <v>72</v>
      </c>
      <c r="Z18" s="48" t="s">
        <v>84</v>
      </c>
      <c r="AA18" s="393" t="s">
        <v>1189</v>
      </c>
      <c r="AB18" s="15" t="str">
        <f>IFERROR(__xludf.DUMMYFUNCTION("join("","",filter(split($H$82,"",""),ARRAYFORMULA(ISERROR(FIND(split($H$82,"",""),CONCATENATE(E18:AA18))))=TRUE))"),"202,206,209,403,408,410,АЗ")</f>
        <v>202,206,209,403,408,410,АЗ</v>
      </c>
      <c r="AC18" s="14"/>
      <c r="AD18" s="14"/>
      <c r="AE18" s="14"/>
    </row>
    <row r="19" ht="40.5" customHeight="1">
      <c r="A19" s="30"/>
      <c r="B19" s="31">
        <v>7.0</v>
      </c>
      <c r="C19" s="32" t="s">
        <v>85</v>
      </c>
      <c r="D19" s="32" t="s">
        <v>86</v>
      </c>
      <c r="E19" s="94" t="s">
        <v>1201</v>
      </c>
      <c r="F19" s="13"/>
      <c r="G19" s="33" t="s">
        <v>1202</v>
      </c>
      <c r="H19" s="45" t="s">
        <v>1203</v>
      </c>
      <c r="I19" s="41"/>
      <c r="J19" s="95" t="s">
        <v>1204</v>
      </c>
      <c r="K19" s="13"/>
      <c r="L19" s="45" t="s">
        <v>1205</v>
      </c>
      <c r="M19" s="13"/>
      <c r="N19" s="45" t="s">
        <v>1206</v>
      </c>
      <c r="O19" s="13"/>
      <c r="P19" s="37" t="s">
        <v>1207</v>
      </c>
      <c r="Q19" s="41"/>
      <c r="R19" s="96" t="s">
        <v>1208</v>
      </c>
      <c r="S19" s="97" t="s">
        <v>1209</v>
      </c>
      <c r="T19" s="93" t="s">
        <v>1210</v>
      </c>
      <c r="U19" s="36"/>
      <c r="V19" s="381"/>
      <c r="W19" s="26"/>
      <c r="X19" s="32" t="s">
        <v>85</v>
      </c>
      <c r="Y19" s="32" t="s">
        <v>86</v>
      </c>
      <c r="Z19" s="48" t="s">
        <v>97</v>
      </c>
      <c r="AA19" s="393" t="s">
        <v>1189</v>
      </c>
      <c r="AB19" s="15" t="str">
        <f>IFERROR(__xludf.DUMMYFUNCTION("join("","",filter(split($H$82,"",""),ARRAYFORMULA(ISERROR(FIND(split($H$82,"",""),CONCATENATE(E19:AA19))))=TRUE))"),"202,206,209,403,404,405,410,АЗ")</f>
        <v>202,206,209,403,404,405,410,АЗ</v>
      </c>
      <c r="AC19" s="14"/>
      <c r="AD19" s="14"/>
      <c r="AE19" s="14"/>
    </row>
    <row r="20" ht="40.5" customHeight="1">
      <c r="A20" s="30"/>
      <c r="B20" s="31">
        <v>8.0</v>
      </c>
      <c r="C20" s="32" t="s">
        <v>98</v>
      </c>
      <c r="D20" s="32" t="s">
        <v>99</v>
      </c>
      <c r="E20" s="94" t="s">
        <v>1211</v>
      </c>
      <c r="F20" s="13"/>
      <c r="G20" s="33" t="s">
        <v>1212</v>
      </c>
      <c r="H20" s="45" t="s">
        <v>1213</v>
      </c>
      <c r="I20" s="41"/>
      <c r="J20" s="95" t="s">
        <v>1214</v>
      </c>
      <c r="K20" s="13"/>
      <c r="L20" s="45" t="s">
        <v>1215</v>
      </c>
      <c r="M20" s="13"/>
      <c r="N20" s="45" t="s">
        <v>1216</v>
      </c>
      <c r="O20" s="13"/>
      <c r="P20" s="37" t="s">
        <v>1217</v>
      </c>
      <c r="Q20" s="41"/>
      <c r="R20" s="96" t="s">
        <v>1218</v>
      </c>
      <c r="S20" s="97" t="s">
        <v>1219</v>
      </c>
      <c r="T20" s="93" t="s">
        <v>1220</v>
      </c>
      <c r="U20" s="36"/>
      <c r="V20" s="381"/>
      <c r="W20" s="26"/>
      <c r="X20" s="32" t="s">
        <v>98</v>
      </c>
      <c r="Y20" s="32" t="s">
        <v>99</v>
      </c>
      <c r="Z20" s="395"/>
      <c r="AA20" s="393" t="s">
        <v>1189</v>
      </c>
      <c r="AB20" s="15" t="str">
        <f>IFERROR(__xludf.DUMMYFUNCTION("join("","",filter(split($H$82,"",""),ARRAYFORMULA(ISERROR(FIND(split($H$82,"",""),CONCATENATE(E20:AA20))))=TRUE))"),"202,206,209,403,404,405,410,АЗ")</f>
        <v>202,206,209,403,404,405,410,АЗ</v>
      </c>
      <c r="AC20" s="14"/>
      <c r="AD20" s="14"/>
      <c r="AE20" s="14"/>
    </row>
    <row r="21" ht="40.5" customHeight="1">
      <c r="A21" s="30"/>
      <c r="B21" s="31">
        <v>9.0</v>
      </c>
      <c r="C21" s="65">
        <v>44697.0</v>
      </c>
      <c r="D21" s="44" t="s">
        <v>109</v>
      </c>
      <c r="E21" s="396" t="s">
        <v>1221</v>
      </c>
      <c r="F21" s="4"/>
      <c r="G21" s="328" t="s">
        <v>1222</v>
      </c>
      <c r="H21" s="345" t="s">
        <v>1223</v>
      </c>
      <c r="I21" s="8"/>
      <c r="J21" s="8"/>
      <c r="K21" s="8"/>
      <c r="L21" s="8"/>
      <c r="M21" s="4"/>
      <c r="N21" s="45" t="s">
        <v>1224</v>
      </c>
      <c r="O21" s="13"/>
      <c r="P21" s="102" t="s">
        <v>1225</v>
      </c>
      <c r="Q21" s="41"/>
      <c r="R21" s="35" t="s">
        <v>211</v>
      </c>
      <c r="S21" s="41"/>
      <c r="T21" s="103" t="s">
        <v>1226</v>
      </c>
      <c r="U21" s="36"/>
      <c r="V21" s="381"/>
      <c r="W21" s="26"/>
      <c r="X21" s="65">
        <v>44697.0</v>
      </c>
      <c r="Y21" s="44" t="s">
        <v>109</v>
      </c>
      <c r="Z21" s="394"/>
      <c r="AA21" s="397"/>
      <c r="AB21" s="15" t="str">
        <f>IFERROR(__xludf.DUMMYFUNCTION("join("","",filter(split($H$82,"",""),ARRAYFORMULA(ISERROR(FIND(split($H$82,"",""),CONCATENATE(E21:AA21))))=TRUE))"),"201,206,209,210,401,403,404,405,406,408,АЗ,501")</f>
        <v>201,206,209,210,401,403,404,405,406,408,АЗ,501</v>
      </c>
      <c r="AC21" s="14"/>
      <c r="AD21" s="14"/>
      <c r="AE21" s="14"/>
    </row>
    <row r="22" ht="40.5" customHeight="1">
      <c r="A22" s="30"/>
      <c r="B22" s="31">
        <v>10.0</v>
      </c>
      <c r="C22" s="44" t="s">
        <v>120</v>
      </c>
      <c r="D22" s="44" t="s">
        <v>121</v>
      </c>
      <c r="E22" s="104"/>
      <c r="F22" s="72"/>
      <c r="G22" s="328" t="s">
        <v>1227</v>
      </c>
      <c r="H22" s="104"/>
      <c r="I22" s="64"/>
      <c r="J22" s="64"/>
      <c r="K22" s="64"/>
      <c r="L22" s="64"/>
      <c r="M22" s="72"/>
      <c r="N22" s="45" t="s">
        <v>1228</v>
      </c>
      <c r="O22" s="13"/>
      <c r="P22" s="51" t="s">
        <v>1229</v>
      </c>
      <c r="Q22" s="36"/>
      <c r="R22" s="36"/>
      <c r="S22" s="41"/>
      <c r="T22" s="107" t="s">
        <v>1230</v>
      </c>
      <c r="U22" s="36"/>
      <c r="V22" s="381"/>
      <c r="W22" s="26"/>
      <c r="X22" s="44" t="s">
        <v>120</v>
      </c>
      <c r="Y22" s="44" t="s">
        <v>121</v>
      </c>
      <c r="Z22" s="394"/>
      <c r="AA22" s="397"/>
      <c r="AB22" s="15" t="str">
        <f>IFERROR(__xludf.DUMMYFUNCTION("join("","",filter(split($H$82,"",""),ARRAYFORMULA(ISERROR(FIND(split($H$82,"",""),CONCATENATE(E22:AA22))))=TRUE))"),"201,206,209,210,401,403,404,405,406,408,409,410,АЗ,503")</f>
        <v>201,206,209,210,401,403,404,405,406,408,409,410,АЗ,503</v>
      </c>
      <c r="AC22" s="14"/>
      <c r="AD22" s="14"/>
      <c r="AE22" s="14"/>
    </row>
    <row r="23" ht="40.5" customHeight="1">
      <c r="A23" s="74"/>
      <c r="B23" s="75">
        <v>11.0</v>
      </c>
      <c r="C23" s="76" t="s">
        <v>124</v>
      </c>
      <c r="D23" s="76" t="s">
        <v>125</v>
      </c>
      <c r="E23" s="108"/>
      <c r="F23" s="109"/>
      <c r="G23" s="110"/>
      <c r="H23" s="111"/>
      <c r="I23" s="112"/>
      <c r="J23" s="113"/>
      <c r="K23" s="111"/>
      <c r="L23" s="111"/>
      <c r="M23" s="111"/>
      <c r="N23" s="111"/>
      <c r="O23" s="111"/>
      <c r="P23" s="111"/>
      <c r="Q23" s="111"/>
      <c r="R23" s="111"/>
      <c r="S23" s="111"/>
      <c r="T23" s="111"/>
      <c r="U23" s="111"/>
      <c r="V23" s="398"/>
      <c r="W23" s="113"/>
      <c r="X23" s="76" t="s">
        <v>124</v>
      </c>
      <c r="Y23" s="76" t="s">
        <v>125</v>
      </c>
      <c r="Z23" s="399"/>
      <c r="AA23" s="397"/>
      <c r="AB23" s="15" t="str">
        <f>IFERROR(__xludf.DUMMYFUNCTION("join("","",filter(split($H$82,"",""),ARRAYFORMULA(ISERROR(FIND(split($H$82,"",""),CONCATENATE(E23:AA23))))=TRUE))"),"СЗ,КЗ,201,202,206,209,210,401,402,403,404,405,406,408,409,410,АЗ,501,503")</f>
        <v>СЗ,КЗ,201,202,206,209,210,401,402,403,404,405,406,408,409,410,АЗ,501,503</v>
      </c>
      <c r="AC23" s="14"/>
      <c r="AD23" s="14"/>
      <c r="AE23" s="14"/>
    </row>
    <row r="24" ht="40.5" customHeight="1">
      <c r="A24" s="400">
        <v>44818.0</v>
      </c>
      <c r="B24" s="19">
        <v>1.0</v>
      </c>
      <c r="C24" s="20" t="s">
        <v>12</v>
      </c>
      <c r="D24" s="20" t="s">
        <v>13</v>
      </c>
      <c r="E24" s="401" t="s">
        <v>1231</v>
      </c>
      <c r="F24" s="88"/>
      <c r="G24" s="257" t="s">
        <v>1232</v>
      </c>
      <c r="H24" s="402" t="s">
        <v>1233</v>
      </c>
      <c r="I24" s="88"/>
      <c r="J24" s="403" t="s">
        <v>221</v>
      </c>
      <c r="K24" s="64"/>
      <c r="L24" s="64"/>
      <c r="M24" s="72"/>
      <c r="N24" s="195" t="s">
        <v>1234</v>
      </c>
      <c r="O24" s="72"/>
      <c r="P24" s="404" t="s">
        <v>1235</v>
      </c>
      <c r="Q24" s="64"/>
      <c r="R24" s="64"/>
      <c r="S24" s="88"/>
      <c r="T24" s="405" t="s">
        <v>1236</v>
      </c>
      <c r="U24" s="64"/>
      <c r="V24" s="88"/>
      <c r="W24" s="406"/>
      <c r="X24" s="20" t="s">
        <v>12</v>
      </c>
      <c r="Y24" s="20" t="s">
        <v>13</v>
      </c>
      <c r="Z24" s="407"/>
      <c r="AA24" s="11"/>
      <c r="AB24" s="15" t="str">
        <f>IFERROR(__xludf.DUMMYFUNCTION("join("","",filter(split($H$82,"",""),ARRAYFORMULA(ISERROR(FIND(split($H$82,"",""),CONCATENATE(E24:AA24))))=TRUE))"),"СЗ,КЗ,206,210,401,402,403,404,405,406,409,410,501")</f>
        <v>СЗ,КЗ,206,210,401,402,403,404,405,406,409,410,501</v>
      </c>
      <c r="AC24" s="14"/>
      <c r="AD24" s="14"/>
      <c r="AE24" s="14"/>
    </row>
    <row r="25" ht="40.5" customHeight="1">
      <c r="A25" s="274"/>
      <c r="B25" s="31">
        <v>2.0</v>
      </c>
      <c r="C25" s="32" t="s">
        <v>21</v>
      </c>
      <c r="D25" s="32" t="s">
        <v>22</v>
      </c>
      <c r="E25" s="51" t="s">
        <v>1237</v>
      </c>
      <c r="F25" s="41"/>
      <c r="G25" s="39" t="s">
        <v>1238</v>
      </c>
      <c r="H25" s="401" t="s">
        <v>1239</v>
      </c>
      <c r="I25" s="72"/>
      <c r="J25" s="35" t="s">
        <v>1240</v>
      </c>
      <c r="K25" s="13"/>
      <c r="L25" s="40" t="s">
        <v>1241</v>
      </c>
      <c r="M25" s="13"/>
      <c r="N25" s="40" t="s">
        <v>1242</v>
      </c>
      <c r="O25" s="13"/>
      <c r="P25" s="37" t="s">
        <v>1243</v>
      </c>
      <c r="Q25" s="13"/>
      <c r="R25" s="122" t="s">
        <v>1244</v>
      </c>
      <c r="S25" s="41"/>
      <c r="T25" s="103" t="s">
        <v>1245</v>
      </c>
      <c r="U25" s="36"/>
      <c r="V25" s="41"/>
      <c r="W25" s="26"/>
      <c r="X25" s="32" t="s">
        <v>21</v>
      </c>
      <c r="Y25" s="32" t="s">
        <v>22</v>
      </c>
      <c r="Z25" s="28"/>
      <c r="AA25" s="11"/>
      <c r="AB25" s="15" t="str">
        <f>IFERROR(__xludf.DUMMYFUNCTION("join("","",filter(split($H$82,"",""),ARRAYFORMULA(ISERROR(FIND(split($H$82,"",""),CONCATENATE(E25:AA25))))=TRUE))"),"СЗ,КЗ,206,209,210,403,404,405,410,АЗ")</f>
        <v>СЗ,КЗ,206,209,210,403,404,405,410,АЗ</v>
      </c>
      <c r="AC25" s="14"/>
      <c r="AD25" s="14"/>
      <c r="AE25" s="14"/>
    </row>
    <row r="26" ht="40.5" customHeight="1">
      <c r="A26" s="274"/>
      <c r="B26" s="31">
        <v>3.0</v>
      </c>
      <c r="C26" s="32" t="s">
        <v>33</v>
      </c>
      <c r="D26" s="32" t="s">
        <v>34</v>
      </c>
      <c r="E26" s="37" t="s">
        <v>1246</v>
      </c>
      <c r="F26" s="41"/>
      <c r="G26" s="51" t="s">
        <v>1247</v>
      </c>
      <c r="H26" s="36"/>
      <c r="I26" s="41"/>
      <c r="J26" s="95" t="s">
        <v>1248</v>
      </c>
      <c r="K26" s="13"/>
      <c r="L26" s="123" t="s">
        <v>1249</v>
      </c>
      <c r="M26" s="41"/>
      <c r="N26" s="40" t="s">
        <v>1250</v>
      </c>
      <c r="O26" s="13"/>
      <c r="P26" s="39" t="s">
        <v>1251</v>
      </c>
      <c r="Q26" s="124" t="s">
        <v>576</v>
      </c>
      <c r="R26" s="89" t="s">
        <v>1252</v>
      </c>
      <c r="S26" s="41"/>
      <c r="T26" s="125" t="s">
        <v>1253</v>
      </c>
      <c r="U26" s="36"/>
      <c r="V26" s="41"/>
      <c r="W26" s="26"/>
      <c r="X26" s="32" t="s">
        <v>33</v>
      </c>
      <c r="Y26" s="32" t="s">
        <v>34</v>
      </c>
      <c r="Z26" s="48" t="s">
        <v>47</v>
      </c>
      <c r="AA26" s="11"/>
      <c r="AB26" s="15" t="str">
        <f>IFERROR(__xludf.DUMMYFUNCTION("join("","",filter(split($H$82,"",""),ARRAYFORMULA(ISERROR(FIND(split($H$82,"",""),CONCATENATE(E26:AA26))))=TRUE))"),"СЗ,КЗ,206,210,402,403,404,405,408,410,АЗ")</f>
        <v>СЗ,КЗ,206,210,402,403,404,405,408,410,АЗ</v>
      </c>
      <c r="AC26" s="14"/>
      <c r="AD26" s="14"/>
      <c r="AE26" s="14"/>
    </row>
    <row r="27" ht="54.0" customHeight="1">
      <c r="A27" s="274"/>
      <c r="B27" s="31">
        <v>4.0</v>
      </c>
      <c r="C27" s="32" t="s">
        <v>48</v>
      </c>
      <c r="D27" s="32" t="s">
        <v>49</v>
      </c>
      <c r="E27" s="33" t="s">
        <v>1254</v>
      </c>
      <c r="F27" s="286" t="s">
        <v>1255</v>
      </c>
      <c r="G27" s="37" t="s">
        <v>1256</v>
      </c>
      <c r="H27" s="13"/>
      <c r="I27" s="92" t="s">
        <v>1257</v>
      </c>
      <c r="J27" s="107" t="s">
        <v>1258</v>
      </c>
      <c r="K27" s="13"/>
      <c r="L27" s="45" t="s">
        <v>1259</v>
      </c>
      <c r="M27" s="13"/>
      <c r="N27" s="127" t="s">
        <v>1260</v>
      </c>
      <c r="O27" s="13"/>
      <c r="P27" s="37" t="s">
        <v>1261</v>
      </c>
      <c r="Q27" s="13"/>
      <c r="R27" s="34" t="s">
        <v>1262</v>
      </c>
      <c r="S27" s="132" t="s">
        <v>1263</v>
      </c>
      <c r="T27" s="125" t="s">
        <v>1264</v>
      </c>
      <c r="U27" s="36"/>
      <c r="V27" s="41"/>
      <c r="W27" s="26"/>
      <c r="X27" s="32" t="s">
        <v>48</v>
      </c>
      <c r="Y27" s="32" t="s">
        <v>49</v>
      </c>
      <c r="Z27" s="48" t="s">
        <v>57</v>
      </c>
      <c r="AA27" s="11"/>
      <c r="AB27" s="15" t="str">
        <f>IFERROR(__xludf.DUMMYFUNCTION("join("","",filter(split($H$82,"",""),ARRAYFORMULA(ISERROR(FIND(split($H$82,"",""),CONCATENATE(E27:AA27))))=TRUE))"),"СЗ,202,206,403,404,405,410,АЗ")</f>
        <v>СЗ,202,206,403,404,405,410,АЗ</v>
      </c>
      <c r="AC27" s="14"/>
      <c r="AD27" s="14"/>
      <c r="AE27" s="14"/>
    </row>
    <row r="28" ht="53.25" customHeight="1">
      <c r="A28" s="274"/>
      <c r="B28" s="383">
        <v>5.0</v>
      </c>
      <c r="C28" s="384" t="s">
        <v>58</v>
      </c>
      <c r="D28" s="385">
        <v>44847.0</v>
      </c>
      <c r="E28" s="33" t="s">
        <v>1265</v>
      </c>
      <c r="F28" s="92" t="s">
        <v>1266</v>
      </c>
      <c r="G28" s="37" t="s">
        <v>1267</v>
      </c>
      <c r="H28" s="13"/>
      <c r="I28" s="92" t="s">
        <v>1268</v>
      </c>
      <c r="J28" s="123" t="s">
        <v>1269</v>
      </c>
      <c r="K28" s="41"/>
      <c r="L28" s="45" t="s">
        <v>1270</v>
      </c>
      <c r="M28" s="13"/>
      <c r="N28" s="89" t="s">
        <v>1271</v>
      </c>
      <c r="O28" s="13"/>
      <c r="P28" s="39" t="s">
        <v>1272</v>
      </c>
      <c r="Q28" s="124" t="s">
        <v>1273</v>
      </c>
      <c r="R28" s="34" t="s">
        <v>1274</v>
      </c>
      <c r="S28" s="132" t="s">
        <v>1275</v>
      </c>
      <c r="T28" s="128" t="s">
        <v>1276</v>
      </c>
      <c r="U28" s="8"/>
      <c r="V28" s="129"/>
      <c r="W28" s="26"/>
      <c r="X28" s="384" t="s">
        <v>58</v>
      </c>
      <c r="Y28" s="385">
        <v>44847.0</v>
      </c>
      <c r="Z28" s="48" t="s">
        <v>70</v>
      </c>
      <c r="AA28" s="48">
        <v>206.0</v>
      </c>
      <c r="AB28" s="15" t="str">
        <f>IFERROR(__xludf.DUMMYFUNCTION("join("","",filter(split($H$82,"",""),ARRAYFORMULA(ISERROR(FIND(split($H$82,"",""),CONCATENATE(E28:AA28))))=TRUE))"),"СЗ,209,403,404,405,410")</f>
        <v>СЗ,209,403,404,405,410</v>
      </c>
      <c r="AC28" s="14"/>
      <c r="AD28" s="14"/>
      <c r="AE28" s="14"/>
    </row>
    <row r="29" ht="40.5" customHeight="1">
      <c r="A29" s="274"/>
      <c r="B29" s="383">
        <v>6.0</v>
      </c>
      <c r="C29" s="386" t="s">
        <v>71</v>
      </c>
      <c r="D29" s="387" t="s">
        <v>72</v>
      </c>
      <c r="E29" s="39" t="s">
        <v>1277</v>
      </c>
      <c r="F29" s="34" t="s">
        <v>1278</v>
      </c>
      <c r="G29" s="40" t="s">
        <v>1279</v>
      </c>
      <c r="H29" s="41"/>
      <c r="I29" s="34" t="s">
        <v>1280</v>
      </c>
      <c r="J29" s="123" t="s">
        <v>1281</v>
      </c>
      <c r="K29" s="41"/>
      <c r="L29" s="89" t="s">
        <v>1282</v>
      </c>
      <c r="M29" s="13"/>
      <c r="N29" s="130" t="s">
        <v>1283</v>
      </c>
      <c r="O29" s="13"/>
      <c r="P29" s="131" t="s">
        <v>1284</v>
      </c>
      <c r="Q29" s="132" t="s">
        <v>1285</v>
      </c>
      <c r="R29" s="132" t="s">
        <v>1286</v>
      </c>
      <c r="S29" s="92"/>
      <c r="V29" s="134"/>
      <c r="W29" s="26"/>
      <c r="X29" s="386" t="s">
        <v>71</v>
      </c>
      <c r="Y29" s="387" t="s">
        <v>72</v>
      </c>
      <c r="Z29" s="48" t="s">
        <v>84</v>
      </c>
      <c r="AA29" s="48">
        <v>206.0</v>
      </c>
      <c r="AB29" s="15" t="str">
        <f>IFERROR(__xludf.DUMMYFUNCTION("join("","",filter(split($H$82,"",""),ARRAYFORMULA(ISERROR(FIND(split($H$82,"",""),CONCATENATE(E29:AA29))))=TRUE))"),"СЗ,КЗ,201,403,404,405,410,АЗ")</f>
        <v>СЗ,КЗ,201,403,404,405,410,АЗ</v>
      </c>
      <c r="AC29" s="14"/>
      <c r="AD29" s="14"/>
      <c r="AE29" s="14"/>
    </row>
    <row r="30" ht="40.5" customHeight="1">
      <c r="A30" s="274"/>
      <c r="B30" s="31">
        <v>7.0</v>
      </c>
      <c r="C30" s="32" t="s">
        <v>85</v>
      </c>
      <c r="D30" s="32" t="s">
        <v>86</v>
      </c>
      <c r="E30" s="39" t="s">
        <v>1287</v>
      </c>
      <c r="F30" s="34" t="s">
        <v>1288</v>
      </c>
      <c r="G30" s="40" t="s">
        <v>1289</v>
      </c>
      <c r="H30" s="41"/>
      <c r="I30" s="34" t="s">
        <v>1290</v>
      </c>
      <c r="J30" s="35" t="s">
        <v>1291</v>
      </c>
      <c r="K30" s="13"/>
      <c r="L30" s="123" t="s">
        <v>1292</v>
      </c>
      <c r="M30" s="41"/>
      <c r="N30" s="130" t="s">
        <v>1293</v>
      </c>
      <c r="O30" s="13"/>
      <c r="P30" s="131" t="s">
        <v>1294</v>
      </c>
      <c r="Q30" s="132" t="s">
        <v>1295</v>
      </c>
      <c r="R30" s="132" t="s">
        <v>1296</v>
      </c>
      <c r="S30" s="92"/>
      <c r="V30" s="134"/>
      <c r="W30" s="26"/>
      <c r="X30" s="32" t="s">
        <v>85</v>
      </c>
      <c r="Y30" s="32" t="s">
        <v>86</v>
      </c>
      <c r="Z30" s="48" t="s">
        <v>97</v>
      </c>
      <c r="AA30" s="48">
        <v>206.0</v>
      </c>
      <c r="AB30" s="15" t="str">
        <f>IFERROR(__xludf.DUMMYFUNCTION("join("","",filter(split($H$82,"",""),ARRAYFORMULA(ISERROR(FIND(split($H$82,"",""),CONCATENATE(E30:AA30))))=TRUE))"),"СЗ,КЗ,403,404,405,409,410,АЗ")</f>
        <v>СЗ,КЗ,403,404,405,409,410,АЗ</v>
      </c>
      <c r="AC30" s="14"/>
      <c r="AD30" s="14"/>
      <c r="AE30" s="14"/>
    </row>
    <row r="31" ht="65.25" customHeight="1">
      <c r="A31" s="274"/>
      <c r="B31" s="31">
        <v>8.0</v>
      </c>
      <c r="C31" s="32" t="s">
        <v>98</v>
      </c>
      <c r="D31" s="32" t="s">
        <v>99</v>
      </c>
      <c r="E31" s="46" t="s">
        <v>1297</v>
      </c>
      <c r="F31" s="41"/>
      <c r="G31" s="408" t="s">
        <v>1298</v>
      </c>
      <c r="H31" s="237"/>
      <c r="I31" s="92"/>
      <c r="J31" s="334" t="s">
        <v>1299</v>
      </c>
      <c r="K31" s="36"/>
      <c r="L31" s="36"/>
      <c r="M31" s="408" t="s">
        <v>1300</v>
      </c>
      <c r="N31" s="45" t="s">
        <v>1301</v>
      </c>
      <c r="O31" s="13"/>
      <c r="P31" s="33" t="s">
        <v>1302</v>
      </c>
      <c r="Q31" s="409" t="s">
        <v>1303</v>
      </c>
      <c r="R31" s="408" t="s">
        <v>1304</v>
      </c>
      <c r="S31" s="92"/>
      <c r="V31" s="134"/>
      <c r="W31" s="26"/>
      <c r="X31" s="32" t="s">
        <v>98</v>
      </c>
      <c r="Y31" s="32" t="s">
        <v>99</v>
      </c>
      <c r="Z31" s="11"/>
      <c r="AA31" s="48">
        <v>206.0</v>
      </c>
      <c r="AB31" s="15" t="str">
        <f>IFERROR(__xludf.DUMMYFUNCTION("join("","",filter(split($H$82,"",""),ARRAYFORMULA(ISERROR(FIND(split($H$82,"",""),CONCATENATE(E31:AA31))))=TRUE))"),"СЗ,КЗ,401,403,404,405,406,408,409,АЗ,501,503")</f>
        <v>СЗ,КЗ,401,403,404,405,406,408,409,АЗ,501,503</v>
      </c>
      <c r="AC31" s="14"/>
      <c r="AD31" s="14"/>
      <c r="AE31" s="14"/>
    </row>
    <row r="32" ht="69.0" customHeight="1">
      <c r="A32" s="274"/>
      <c r="B32" s="31">
        <v>9.0</v>
      </c>
      <c r="C32" s="65">
        <v>44697.0</v>
      </c>
      <c r="D32" s="44" t="s">
        <v>109</v>
      </c>
      <c r="E32" s="408" t="s">
        <v>1305</v>
      </c>
      <c r="F32" s="265"/>
      <c r="G32" s="408" t="s">
        <v>1306</v>
      </c>
      <c r="H32" s="144"/>
      <c r="I32" s="184"/>
      <c r="J32" s="334" t="s">
        <v>1307</v>
      </c>
      <c r="K32" s="36"/>
      <c r="L32" s="36"/>
      <c r="M32" s="410" t="s">
        <v>1308</v>
      </c>
      <c r="N32" s="45" t="s">
        <v>1309</v>
      </c>
      <c r="O32" s="13"/>
      <c r="P32" s="33" t="s">
        <v>1310</v>
      </c>
      <c r="Q32" s="409" t="s">
        <v>1311</v>
      </c>
      <c r="R32" s="408" t="s">
        <v>1312</v>
      </c>
      <c r="S32" s="92"/>
      <c r="T32" s="64"/>
      <c r="U32" s="64"/>
      <c r="V32" s="88"/>
      <c r="W32" s="26"/>
      <c r="X32" s="65">
        <v>44697.0</v>
      </c>
      <c r="Y32" s="44" t="s">
        <v>109</v>
      </c>
      <c r="Z32" s="28"/>
      <c r="AA32" s="48">
        <v>206.0</v>
      </c>
      <c r="AB32" s="15" t="str">
        <f>IFERROR(__xludf.DUMMYFUNCTION("join("","",filter(split($H$82,"",""),ARRAYFORMULA(ISERROR(FIND(split($H$82,"",""),CONCATENATE(E32:AA32))))=TRUE))"),"СЗ,КЗ,201,401,402,403,404,405,406,408,409,АЗ,501,503")</f>
        <v>СЗ,КЗ,201,401,402,403,404,405,406,408,409,АЗ,501,503</v>
      </c>
      <c r="AC32" s="14"/>
      <c r="AD32" s="14"/>
      <c r="AE32" s="14"/>
    </row>
    <row r="33" ht="65.25" customHeight="1">
      <c r="A33" s="289"/>
      <c r="B33" s="31">
        <v>10.0</v>
      </c>
      <c r="C33" s="44" t="s">
        <v>120</v>
      </c>
      <c r="D33" s="44" t="s">
        <v>121</v>
      </c>
      <c r="E33" s="410" t="s">
        <v>1313</v>
      </c>
      <c r="F33" s="112"/>
      <c r="G33" s="410" t="s">
        <v>1314</v>
      </c>
      <c r="H33" s="108"/>
      <c r="I33" s="302"/>
      <c r="J33" s="300"/>
      <c r="K33" s="108"/>
      <c r="L33" s="108"/>
      <c r="M33" s="408" t="s">
        <v>1315</v>
      </c>
      <c r="N33" s="108"/>
      <c r="O33" s="109"/>
      <c r="P33" s="337"/>
      <c r="Q33" s="411" t="s">
        <v>1316</v>
      </c>
      <c r="R33" s="408" t="s">
        <v>1317</v>
      </c>
      <c r="S33" s="154"/>
      <c r="T33" s="113"/>
      <c r="U33" s="155"/>
      <c r="V33" s="112"/>
      <c r="W33" s="290"/>
      <c r="X33" s="44" t="s">
        <v>120</v>
      </c>
      <c r="Y33" s="44" t="s">
        <v>121</v>
      </c>
      <c r="Z33" s="28"/>
      <c r="AA33" s="48">
        <v>206.0</v>
      </c>
      <c r="AB33" s="15" t="str">
        <f>IFERROR(__xludf.DUMMYFUNCTION("join("","",filter(split($H$82,"",""),ARRAYFORMULA(ISERROR(FIND(split($H$82,"",""),CONCATENATE(E33:AA33))))=TRUE))"),"СЗ,КЗ,201,202,209,210,401,402,403,404,405,406,408,409,АЗ,503")</f>
        <v>СЗ,КЗ,201,202,209,210,401,402,403,404,405,406,408,409,АЗ,503</v>
      </c>
      <c r="AC33" s="14"/>
      <c r="AD33" s="14"/>
      <c r="AE33" s="14"/>
    </row>
    <row r="34" ht="45.75" customHeight="1">
      <c r="A34" s="18">
        <v>44819.0</v>
      </c>
      <c r="B34" s="19">
        <v>1.0</v>
      </c>
      <c r="C34" s="20" t="s">
        <v>12</v>
      </c>
      <c r="D34" s="20" t="s">
        <v>13</v>
      </c>
      <c r="E34" s="80"/>
      <c r="F34" s="25"/>
      <c r="G34" s="156" t="s">
        <v>1318</v>
      </c>
      <c r="H34" s="40" t="s">
        <v>1319</v>
      </c>
      <c r="I34" s="13"/>
      <c r="J34" s="44" t="s">
        <v>1320</v>
      </c>
      <c r="K34" s="156" t="s">
        <v>1321</v>
      </c>
      <c r="L34" s="246"/>
      <c r="M34" s="245"/>
      <c r="N34" s="80" t="s">
        <v>1322</v>
      </c>
      <c r="O34" s="25"/>
      <c r="P34" s="156" t="s">
        <v>1323</v>
      </c>
      <c r="Q34" s="156" t="s">
        <v>1324</v>
      </c>
      <c r="R34" s="159" t="s">
        <v>1325</v>
      </c>
      <c r="S34" s="160" t="s">
        <v>1326</v>
      </c>
      <c r="T34" s="161" t="s">
        <v>1327</v>
      </c>
      <c r="U34" s="24"/>
      <c r="V34" s="25"/>
      <c r="W34" s="219"/>
      <c r="X34" s="76" t="s">
        <v>124</v>
      </c>
      <c r="Y34" s="76" t="s">
        <v>125</v>
      </c>
      <c r="Z34" s="412"/>
      <c r="AA34" s="48">
        <v>206.0</v>
      </c>
      <c r="AB34" s="15" t="str">
        <f>IFERROR(__xludf.DUMMYFUNCTION("join("","",filter(split($H$82,"",""),ARRAYFORMULA(ISERROR(FIND(split($H$82,"",""),CONCATENATE(E34:AA34))))=TRUE))"),"СЗ,КЗ,201,403,410,АЗ,501")</f>
        <v>СЗ,КЗ,201,403,410,АЗ,501</v>
      </c>
      <c r="AC34" s="14"/>
      <c r="AD34" s="14"/>
      <c r="AE34" s="14"/>
    </row>
    <row r="35" ht="48.0" customHeight="1">
      <c r="A35" s="30"/>
      <c r="B35" s="31">
        <v>2.0</v>
      </c>
      <c r="C35" s="32" t="s">
        <v>21</v>
      </c>
      <c r="D35" s="32" t="s">
        <v>22</v>
      </c>
      <c r="E35" s="45" t="s">
        <v>1328</v>
      </c>
      <c r="F35" s="13"/>
      <c r="G35" s="44" t="s">
        <v>1329</v>
      </c>
      <c r="H35" s="40" t="s">
        <v>1330</v>
      </c>
      <c r="I35" s="13"/>
      <c r="J35" s="44" t="s">
        <v>1331</v>
      </c>
      <c r="K35" s="44" t="s">
        <v>1332</v>
      </c>
      <c r="L35" s="104"/>
      <c r="M35" s="72"/>
      <c r="N35" s="45" t="s">
        <v>1333</v>
      </c>
      <c r="O35" s="13"/>
      <c r="P35" s="44" t="s">
        <v>1334</v>
      </c>
      <c r="Q35" s="44" t="s">
        <v>1335</v>
      </c>
      <c r="R35" s="413" t="s">
        <v>1336</v>
      </c>
      <c r="S35" s="90" t="s">
        <v>1337</v>
      </c>
      <c r="T35" s="163" t="s">
        <v>1338</v>
      </c>
      <c r="U35" s="36"/>
      <c r="V35" s="13"/>
      <c r="W35" s="15"/>
      <c r="X35" s="32" t="s">
        <v>21</v>
      </c>
      <c r="Y35" s="32" t="s">
        <v>22</v>
      </c>
      <c r="Z35" s="412"/>
      <c r="AA35" s="48">
        <v>206.0</v>
      </c>
      <c r="AB35" s="15" t="str">
        <f>IFERROR(__xludf.DUMMYFUNCTION("join("","",filter(split($H$82,"",""),ARRAYFORMULA(ISERROR(FIND(split($H$82,"",""),CONCATENATE(E35:AA35))))=TRUE))"),"СЗ,КЗ,403,410,АЗ,501")</f>
        <v>СЗ,КЗ,403,410,АЗ,501</v>
      </c>
      <c r="AC35" s="14"/>
      <c r="AD35" s="14"/>
      <c r="AE35" s="14"/>
    </row>
    <row r="36" ht="45.0" customHeight="1">
      <c r="A36" s="30"/>
      <c r="B36" s="31">
        <v>3.0</v>
      </c>
      <c r="C36" s="32" t="s">
        <v>33</v>
      </c>
      <c r="D36" s="32" t="s">
        <v>34</v>
      </c>
      <c r="E36" s="45" t="s">
        <v>1339</v>
      </c>
      <c r="F36" s="13"/>
      <c r="G36" s="132" t="s">
        <v>1340</v>
      </c>
      <c r="H36" s="45" t="s">
        <v>1341</v>
      </c>
      <c r="I36" s="13"/>
      <c r="J36" s="44" t="s">
        <v>1342</v>
      </c>
      <c r="K36" s="44" t="s">
        <v>1343</v>
      </c>
      <c r="L36" s="45" t="s">
        <v>1344</v>
      </c>
      <c r="M36" s="13"/>
      <c r="N36" s="45" t="s">
        <v>1345</v>
      </c>
      <c r="O36" s="36"/>
      <c r="P36" s="36"/>
      <c r="Q36" s="13"/>
      <c r="R36" s="44" t="s">
        <v>1346</v>
      </c>
      <c r="S36" s="44" t="s">
        <v>1347</v>
      </c>
      <c r="T36" s="87" t="s">
        <v>1348</v>
      </c>
      <c r="U36" s="36"/>
      <c r="V36" s="13"/>
      <c r="W36" s="15"/>
      <c r="X36" s="32" t="s">
        <v>33</v>
      </c>
      <c r="Y36" s="32" t="s">
        <v>34</v>
      </c>
      <c r="Z36" s="48" t="s">
        <v>47</v>
      </c>
      <c r="AA36" s="48">
        <v>206.406</v>
      </c>
      <c r="AB36" s="15" t="str">
        <f>IFERROR(__xludf.DUMMYFUNCTION("join("","",filter(split($H$82,"",""),ARRAYFORMULA(ISERROR(FIND(split($H$82,"",""),CONCATENATE(E36:AA36))))=TRUE))"),"КЗ,403,410,АЗ,501,503")</f>
        <v>КЗ,403,410,АЗ,501,503</v>
      </c>
      <c r="AC36" s="14"/>
      <c r="AD36" s="14"/>
      <c r="AE36" s="14"/>
    </row>
    <row r="37" ht="40.5" customHeight="1">
      <c r="A37" s="30"/>
      <c r="B37" s="31">
        <v>4.0</v>
      </c>
      <c r="C37" s="32" t="s">
        <v>48</v>
      </c>
      <c r="D37" s="32" t="s">
        <v>49</v>
      </c>
      <c r="E37" s="45" t="s">
        <v>1349</v>
      </c>
      <c r="F37" s="13"/>
      <c r="G37" s="132" t="s">
        <v>1350</v>
      </c>
      <c r="H37" s="45" t="s">
        <v>1351</v>
      </c>
      <c r="I37" s="13"/>
      <c r="J37" s="44" t="s">
        <v>1352</v>
      </c>
      <c r="K37" s="44" t="s">
        <v>1353</v>
      </c>
      <c r="L37" s="45" t="s">
        <v>1354</v>
      </c>
      <c r="M37" s="13"/>
      <c r="N37" s="45" t="s">
        <v>1355</v>
      </c>
      <c r="O37" s="36"/>
      <c r="P37" s="36"/>
      <c r="Q37" s="13"/>
      <c r="R37" s="44" t="s">
        <v>1356</v>
      </c>
      <c r="S37" s="44" t="s">
        <v>1357</v>
      </c>
      <c r="T37" s="87" t="s">
        <v>1358</v>
      </c>
      <c r="U37" s="36"/>
      <c r="V37" s="13"/>
      <c r="W37" s="15"/>
      <c r="X37" s="32" t="s">
        <v>48</v>
      </c>
      <c r="Y37" s="32" t="s">
        <v>49</v>
      </c>
      <c r="Z37" s="48" t="s">
        <v>57</v>
      </c>
      <c r="AA37" s="48">
        <v>206.406</v>
      </c>
      <c r="AB37" s="15" t="str">
        <f>IFERROR(__xludf.DUMMYFUNCTION("join("","",filter(split($H$82,"",""),ARRAYFORMULA(ISERROR(FIND(split($H$82,"",""),CONCATENATE(E37:AA37))))=TRUE))"),"КЗ,403,410,АЗ,501,503")</f>
        <v>КЗ,403,410,АЗ,501,503</v>
      </c>
      <c r="AC37" s="14"/>
      <c r="AD37" s="14"/>
      <c r="AE37" s="14"/>
    </row>
    <row r="38" ht="58.5" customHeight="1">
      <c r="A38" s="30"/>
      <c r="B38" s="383">
        <v>5.0</v>
      </c>
      <c r="C38" s="384" t="s">
        <v>58</v>
      </c>
      <c r="D38" s="385">
        <v>44847.0</v>
      </c>
      <c r="E38" s="45" t="s">
        <v>1359</v>
      </c>
      <c r="F38" s="13"/>
      <c r="G38" s="44" t="s">
        <v>1360</v>
      </c>
      <c r="H38" s="45" t="s">
        <v>1361</v>
      </c>
      <c r="I38" s="13"/>
      <c r="J38" s="45" t="s">
        <v>1362</v>
      </c>
      <c r="K38" s="13"/>
      <c r="L38" s="44" t="s">
        <v>1363</v>
      </c>
      <c r="M38" s="44" t="s">
        <v>1364</v>
      </c>
      <c r="N38" s="44" t="s">
        <v>1365</v>
      </c>
      <c r="O38" s="44" t="s">
        <v>1366</v>
      </c>
      <c r="P38" s="45" t="s">
        <v>1367</v>
      </c>
      <c r="Q38" s="13"/>
      <c r="R38" s="44" t="s">
        <v>1368</v>
      </c>
      <c r="S38" s="132" t="s">
        <v>1369</v>
      </c>
      <c r="T38" s="45" t="s">
        <v>1370</v>
      </c>
      <c r="U38" s="36"/>
      <c r="V38" s="13"/>
      <c r="W38" s="15"/>
      <c r="X38" s="384" t="s">
        <v>58</v>
      </c>
      <c r="Y38" s="385">
        <v>44847.0</v>
      </c>
      <c r="Z38" s="48" t="s">
        <v>70</v>
      </c>
      <c r="AA38" s="48" t="s">
        <v>1371</v>
      </c>
      <c r="AB38" s="15" t="str">
        <f>IFERROR(__xludf.DUMMYFUNCTION("join("","",filter(split($H$82,"",""),ARRAYFORMULA(ISERROR(FIND(split($H$82,"",""),CONCATENATE(E38:AA38))))=TRUE))"),"206,403,АЗ,501")</f>
        <v>206,403,АЗ,501</v>
      </c>
      <c r="AC38" s="14"/>
      <c r="AD38" s="14"/>
      <c r="AE38" s="14"/>
    </row>
    <row r="39" ht="54.0" customHeight="1">
      <c r="A39" s="30"/>
      <c r="B39" s="383">
        <v>6.0</v>
      </c>
      <c r="C39" s="386" t="s">
        <v>71</v>
      </c>
      <c r="D39" s="387" t="s">
        <v>72</v>
      </c>
      <c r="E39" s="45" t="s">
        <v>1372</v>
      </c>
      <c r="F39" s="13"/>
      <c r="G39" s="44" t="s">
        <v>1373</v>
      </c>
      <c r="H39" s="45" t="s">
        <v>1374</v>
      </c>
      <c r="I39" s="13"/>
      <c r="J39" s="45" t="s">
        <v>1375</v>
      </c>
      <c r="K39" s="13"/>
      <c r="L39" s="44" t="s">
        <v>1376</v>
      </c>
      <c r="M39" s="44" t="s">
        <v>1377</v>
      </c>
      <c r="N39" s="44" t="s">
        <v>1378</v>
      </c>
      <c r="O39" s="44" t="s">
        <v>1379</v>
      </c>
      <c r="P39" s="45" t="s">
        <v>1380</v>
      </c>
      <c r="Q39" s="13"/>
      <c r="R39" s="44" t="s">
        <v>1381</v>
      </c>
      <c r="S39" s="132" t="s">
        <v>1382</v>
      </c>
      <c r="T39" s="45" t="s">
        <v>1383</v>
      </c>
      <c r="U39" s="36"/>
      <c r="V39" s="13"/>
      <c r="W39" s="15"/>
      <c r="X39" s="386" t="s">
        <v>71</v>
      </c>
      <c r="Y39" s="387" t="s">
        <v>72</v>
      </c>
      <c r="Z39" s="48" t="s">
        <v>84</v>
      </c>
      <c r="AA39" s="48" t="s">
        <v>1371</v>
      </c>
      <c r="AB39" s="15" t="str">
        <f>IFERROR(__xludf.DUMMYFUNCTION("join("","",filter(split($H$82,"",""),ARRAYFORMULA(ISERROR(FIND(split($H$82,"",""),CONCATENATE(E39:AA39))))=TRUE))"),"206,403,АЗ")</f>
        <v>206,403,АЗ</v>
      </c>
      <c r="AC39" s="14"/>
      <c r="AD39" s="14"/>
      <c r="AE39" s="14"/>
    </row>
    <row r="40" ht="48.75" customHeight="1">
      <c r="A40" s="30"/>
      <c r="B40" s="31">
        <v>7.0</v>
      </c>
      <c r="C40" s="32" t="s">
        <v>85</v>
      </c>
      <c r="D40" s="32" t="s">
        <v>86</v>
      </c>
      <c r="E40" s="45" t="s">
        <v>1384</v>
      </c>
      <c r="F40" s="13"/>
      <c r="G40" s="44" t="s">
        <v>1385</v>
      </c>
      <c r="H40" s="45" t="s">
        <v>1386</v>
      </c>
      <c r="I40" s="13"/>
      <c r="J40" s="45" t="s">
        <v>1387</v>
      </c>
      <c r="K40" s="13"/>
      <c r="L40" s="44" t="s">
        <v>1388</v>
      </c>
      <c r="M40" s="44" t="s">
        <v>1389</v>
      </c>
      <c r="N40" s="87" t="s">
        <v>1390</v>
      </c>
      <c r="O40" s="13"/>
      <c r="P40" s="45" t="s">
        <v>1391</v>
      </c>
      <c r="Q40" s="13"/>
      <c r="R40" s="44" t="s">
        <v>1392</v>
      </c>
      <c r="S40" s="44" t="s">
        <v>1393</v>
      </c>
      <c r="T40" s="165" t="s">
        <v>1394</v>
      </c>
      <c r="U40" s="36"/>
      <c r="V40" s="13"/>
      <c r="W40" s="15"/>
      <c r="X40" s="32" t="s">
        <v>85</v>
      </c>
      <c r="Y40" s="32" t="s">
        <v>86</v>
      </c>
      <c r="Z40" s="48" t="s">
        <v>97</v>
      </c>
      <c r="AA40" s="48" t="s">
        <v>1395</v>
      </c>
      <c r="AB40" s="15" t="str">
        <f>IFERROR(__xludf.DUMMYFUNCTION("join("","",filter(split($H$82,"",""),ARRAYFORMULA(ISERROR(FIND(split($H$82,"",""),CONCATENATE(E40:AA40))))=TRUE))"),"СЗ,206,210,403,408,АЗ,501")</f>
        <v>СЗ,206,210,403,408,АЗ,501</v>
      </c>
      <c r="AC40" s="14"/>
      <c r="AD40" s="14"/>
      <c r="AE40" s="14"/>
    </row>
    <row r="41" ht="52.5" customHeight="1">
      <c r="A41" s="30"/>
      <c r="B41" s="31">
        <v>8.0</v>
      </c>
      <c r="C41" s="32" t="s">
        <v>98</v>
      </c>
      <c r="D41" s="32" t="s">
        <v>99</v>
      </c>
      <c r="E41" s="45" t="s">
        <v>1396</v>
      </c>
      <c r="F41" s="13"/>
      <c r="G41" s="44" t="s">
        <v>1397</v>
      </c>
      <c r="H41" s="45" t="s">
        <v>1398</v>
      </c>
      <c r="I41" s="13"/>
      <c r="J41" s="45" t="s">
        <v>1399</v>
      </c>
      <c r="K41" s="13"/>
      <c r="L41" s="44" t="s">
        <v>1400</v>
      </c>
      <c r="M41" s="44" t="s">
        <v>1401</v>
      </c>
      <c r="N41" s="87" t="s">
        <v>1402</v>
      </c>
      <c r="O41" s="13"/>
      <c r="P41" s="45" t="s">
        <v>316</v>
      </c>
      <c r="Q41" s="13"/>
      <c r="R41" s="122" t="s">
        <v>1403</v>
      </c>
      <c r="S41" s="13"/>
      <c r="T41" s="165" t="s">
        <v>1404</v>
      </c>
      <c r="U41" s="36"/>
      <c r="V41" s="13"/>
      <c r="W41" s="15"/>
      <c r="X41" s="32" t="s">
        <v>98</v>
      </c>
      <c r="Y41" s="32" t="s">
        <v>99</v>
      </c>
      <c r="Z41" s="377"/>
      <c r="AA41" s="48" t="s">
        <v>1395</v>
      </c>
      <c r="AB41" s="15" t="str">
        <f>IFERROR(__xludf.DUMMYFUNCTION("join("","",filter(split($H$82,"",""),ARRAYFORMULA(ISERROR(FIND(split($H$82,"",""),CONCATENATE(E41:AA41))))=TRUE))"),"СЗ,206,403,404,405,408,АЗ,501")</f>
        <v>СЗ,206,403,404,405,408,АЗ,501</v>
      </c>
      <c r="AC41" s="14"/>
      <c r="AD41" s="14"/>
      <c r="AE41" s="14"/>
    </row>
    <row r="42" ht="40.5" customHeight="1">
      <c r="A42" s="30"/>
      <c r="B42" s="31">
        <v>9.0</v>
      </c>
      <c r="C42" s="65">
        <v>44697.0</v>
      </c>
      <c r="D42" s="44" t="s">
        <v>109</v>
      </c>
      <c r="E42" s="167" t="s">
        <v>1405</v>
      </c>
      <c r="F42" s="4"/>
      <c r="G42" s="168"/>
      <c r="H42" s="169" t="s">
        <v>1406</v>
      </c>
      <c r="I42" s="36"/>
      <c r="J42" s="13"/>
      <c r="K42" s="170"/>
      <c r="L42" s="4"/>
      <c r="M42" s="171"/>
      <c r="N42" s="45" t="s">
        <v>1407</v>
      </c>
      <c r="O42" s="13"/>
      <c r="P42" s="174" t="s">
        <v>1408</v>
      </c>
      <c r="Q42" s="167" t="s">
        <v>1409</v>
      </c>
      <c r="R42" s="8"/>
      <c r="S42" s="8"/>
      <c r="T42" s="8"/>
      <c r="U42" s="8"/>
      <c r="V42" s="4"/>
      <c r="W42" s="15"/>
      <c r="X42" s="65">
        <v>44697.0</v>
      </c>
      <c r="Y42" s="44" t="s">
        <v>109</v>
      </c>
      <c r="Z42" s="412"/>
      <c r="AA42" s="48" t="s">
        <v>1395</v>
      </c>
      <c r="AB42" s="15" t="str">
        <f>IFERROR(__xludf.DUMMYFUNCTION("join("","",filter(split($H$82,"",""),ARRAYFORMULA(ISERROR(FIND(split($H$82,"",""),CONCATENATE(E42:AA42))))=TRUE))"),"201,206,210,401,403,404,405,408,409,501,503")</f>
        <v>201,206,210,401,403,404,405,408,409,501,503</v>
      </c>
      <c r="AC42" s="14"/>
      <c r="AD42" s="14"/>
      <c r="AE42" s="14"/>
    </row>
    <row r="43" ht="40.5" customHeight="1">
      <c r="A43" s="30"/>
      <c r="B43" s="31">
        <v>10.0</v>
      </c>
      <c r="C43" s="44" t="s">
        <v>120</v>
      </c>
      <c r="D43" s="44" t="s">
        <v>121</v>
      </c>
      <c r="E43" s="104"/>
      <c r="F43" s="72"/>
      <c r="G43" s="173"/>
      <c r="H43" s="169" t="s">
        <v>1410</v>
      </c>
      <c r="I43" s="36"/>
      <c r="J43" s="13"/>
      <c r="K43" s="104"/>
      <c r="L43" s="72"/>
      <c r="M43" s="171"/>
      <c r="N43" s="45" t="s">
        <v>1411</v>
      </c>
      <c r="O43" s="13"/>
      <c r="P43" s="173"/>
      <c r="Q43" s="104"/>
      <c r="R43" s="64"/>
      <c r="S43" s="64"/>
      <c r="T43" s="64"/>
      <c r="U43" s="64"/>
      <c r="V43" s="72"/>
      <c r="W43" s="15"/>
      <c r="X43" s="44" t="s">
        <v>120</v>
      </c>
      <c r="Y43" s="44" t="s">
        <v>121</v>
      </c>
      <c r="Z43" s="412"/>
      <c r="AA43" s="48" t="s">
        <v>1395</v>
      </c>
      <c r="AB43" s="15" t="str">
        <f>IFERROR(__xludf.DUMMYFUNCTION("join("","",filter(split($H$82,"",""),ARRAYFORMULA(ISERROR(FIND(split($H$82,"",""),CONCATENATE(E43:AA43))))=TRUE))"),"201,206,209,210,401,403,404,405,408,409,410,АЗ,503")</f>
        <v>201,206,209,210,401,403,404,405,408,409,410,АЗ,503</v>
      </c>
      <c r="AC43" s="14"/>
      <c r="AD43" s="14"/>
      <c r="AE43" s="14"/>
    </row>
    <row r="44" ht="40.5" customHeight="1">
      <c r="A44" s="74"/>
      <c r="B44" s="75">
        <v>11.0</v>
      </c>
      <c r="C44" s="76" t="s">
        <v>124</v>
      </c>
      <c r="D44" s="76" t="s">
        <v>125</v>
      </c>
      <c r="E44" s="111"/>
      <c r="F44" s="111"/>
      <c r="G44" s="111"/>
      <c r="H44" s="111"/>
      <c r="I44" s="111"/>
      <c r="J44" s="111"/>
      <c r="K44" s="111"/>
      <c r="L44" s="111"/>
      <c r="M44" s="111"/>
      <c r="N44" s="111"/>
      <c r="O44" s="111"/>
      <c r="P44" s="111"/>
      <c r="Q44" s="111"/>
      <c r="R44" s="111"/>
      <c r="S44" s="111"/>
      <c r="T44" s="111"/>
      <c r="U44" s="111"/>
      <c r="V44" s="111"/>
      <c r="W44" s="111"/>
      <c r="X44" s="76" t="s">
        <v>124</v>
      </c>
      <c r="Y44" s="76" t="s">
        <v>125</v>
      </c>
      <c r="Z44" s="412"/>
      <c r="AA44" s="14"/>
      <c r="AB44" s="15" t="str">
        <f>IFERROR(__xludf.DUMMYFUNCTION("join("","",filter(split($H$82,"",""),ARRAYFORMULA(ISERROR(FIND(split($H$82,"",""),CONCATENATE(E44:AA44))))=TRUE))"),"СЗ,КЗ,201,202,206,209,210,401,402,403,404,405,406,408,409,410,АЗ,501,503")</f>
        <v>СЗ,КЗ,201,202,206,209,210,401,402,403,404,405,406,408,409,410,АЗ,501,503</v>
      </c>
      <c r="AC44" s="14"/>
      <c r="AD44" s="14"/>
      <c r="AE44" s="14"/>
    </row>
    <row r="45" ht="40.5" customHeight="1">
      <c r="A45" s="414">
        <v>44820.0</v>
      </c>
      <c r="B45" s="19">
        <v>1.0</v>
      </c>
      <c r="C45" s="20" t="s">
        <v>12</v>
      </c>
      <c r="D45" s="20" t="s">
        <v>13</v>
      </c>
      <c r="E45" s="258" t="s">
        <v>1412</v>
      </c>
      <c r="F45" s="258" t="s">
        <v>1413</v>
      </c>
      <c r="G45" s="195" t="s">
        <v>1414</v>
      </c>
      <c r="H45" s="72"/>
      <c r="I45" s="415" t="s">
        <v>1415</v>
      </c>
      <c r="J45" s="195" t="s">
        <v>1416</v>
      </c>
      <c r="K45" s="72"/>
      <c r="L45" s="195" t="s">
        <v>1417</v>
      </c>
      <c r="M45" s="72"/>
      <c r="N45" s="258" t="s">
        <v>1418</v>
      </c>
      <c r="O45" s="258" t="s">
        <v>1419</v>
      </c>
      <c r="P45" s="195" t="s">
        <v>1420</v>
      </c>
      <c r="Q45" s="72"/>
      <c r="R45" s="195" t="s">
        <v>1421</v>
      </c>
      <c r="S45" s="72"/>
      <c r="T45" s="195" t="s">
        <v>1422</v>
      </c>
      <c r="U45" s="64"/>
      <c r="V45" s="72"/>
      <c r="W45" s="193"/>
      <c r="X45" s="20" t="s">
        <v>12</v>
      </c>
      <c r="Y45" s="20" t="s">
        <v>13</v>
      </c>
      <c r="Z45" s="28"/>
      <c r="AA45" s="14"/>
      <c r="AB45" s="15" t="str">
        <f>IFERROR(__xludf.DUMMYFUNCTION("join("","",filter(split($H$82,"",""),ARRAYFORMULA(ISERROR(FIND(split($H$82,"",""),CONCATENATE(E45:AA45))))=TRUE))"),"СЗ,КЗ,206,401,402,409,410,501")</f>
        <v>СЗ,КЗ,206,401,402,409,410,501</v>
      </c>
      <c r="AC45" s="14"/>
      <c r="AD45" s="14"/>
      <c r="AE45" s="14"/>
    </row>
    <row r="46" ht="40.5" customHeight="1">
      <c r="A46" s="222"/>
      <c r="B46" s="31">
        <v>2.0</v>
      </c>
      <c r="C46" s="32" t="s">
        <v>21</v>
      </c>
      <c r="D46" s="32" t="s">
        <v>22</v>
      </c>
      <c r="E46" s="44" t="s">
        <v>1423</v>
      </c>
      <c r="F46" s="44" t="s">
        <v>1424</v>
      </c>
      <c r="G46" s="45" t="s">
        <v>1425</v>
      </c>
      <c r="H46" s="13"/>
      <c r="I46" s="173"/>
      <c r="J46" s="195" t="s">
        <v>1426</v>
      </c>
      <c r="K46" s="72"/>
      <c r="L46" s="45" t="s">
        <v>1427</v>
      </c>
      <c r="M46" s="13"/>
      <c r="N46" s="44" t="s">
        <v>1428</v>
      </c>
      <c r="O46" s="44" t="s">
        <v>1429</v>
      </c>
      <c r="P46" s="45" t="s">
        <v>1430</v>
      </c>
      <c r="Q46" s="13"/>
      <c r="R46" s="44" t="s">
        <v>1431</v>
      </c>
      <c r="S46" s="90" t="s">
        <v>1432</v>
      </c>
      <c r="T46" s="45" t="s">
        <v>1433</v>
      </c>
      <c r="U46" s="36"/>
      <c r="V46" s="13"/>
      <c r="W46" s="15"/>
      <c r="X46" s="32" t="s">
        <v>21</v>
      </c>
      <c r="Y46" s="32" t="s">
        <v>22</v>
      </c>
      <c r="Z46" s="28"/>
      <c r="AA46" s="14"/>
      <c r="AB46" s="15" t="str">
        <f>IFERROR(__xludf.DUMMYFUNCTION("join("","",filter(split($H$82,"",""),ARRAYFORMULA(ISERROR(FIND(split($H$82,"",""),CONCATENATE(E46:AA46))))=TRUE))"),"СЗ,КЗ,206,401,409,410,АЗ,501")</f>
        <v>СЗ,КЗ,206,401,409,410,АЗ,501</v>
      </c>
      <c r="AC46" s="14"/>
      <c r="AD46" s="14"/>
      <c r="AE46" s="14"/>
    </row>
    <row r="47" ht="40.5" customHeight="1">
      <c r="A47" s="222"/>
      <c r="B47" s="31">
        <v>3.0</v>
      </c>
      <c r="C47" s="32" t="s">
        <v>33</v>
      </c>
      <c r="D47" s="32" t="s">
        <v>34</v>
      </c>
      <c r="E47" s="40" t="s">
        <v>1434</v>
      </c>
      <c r="F47" s="13"/>
      <c r="G47" s="176" t="s">
        <v>1435</v>
      </c>
      <c r="H47" s="4"/>
      <c r="I47" s="90" t="s">
        <v>1436</v>
      </c>
      <c r="J47" s="44" t="s">
        <v>1437</v>
      </c>
      <c r="K47" s="44" t="s">
        <v>1438</v>
      </c>
      <c r="L47" s="44" t="s">
        <v>1439</v>
      </c>
      <c r="M47" s="44" t="s">
        <v>1440</v>
      </c>
      <c r="N47" s="45" t="s">
        <v>1441</v>
      </c>
      <c r="O47" s="36"/>
      <c r="P47" s="36"/>
      <c r="Q47" s="13"/>
      <c r="R47" s="44" t="s">
        <v>1442</v>
      </c>
      <c r="S47" s="90" t="s">
        <v>1443</v>
      </c>
      <c r="T47" s="45" t="s">
        <v>1444</v>
      </c>
      <c r="U47" s="36"/>
      <c r="V47" s="13"/>
      <c r="W47" s="15"/>
      <c r="X47" s="32" t="s">
        <v>33</v>
      </c>
      <c r="Y47" s="32" t="s">
        <v>34</v>
      </c>
      <c r="Z47" s="48" t="s">
        <v>47</v>
      </c>
      <c r="AA47" s="85">
        <f>AA$5</f>
        <v>406</v>
      </c>
      <c r="AB47" s="15" t="str">
        <f>IFERROR(__xludf.DUMMYFUNCTION("join("","",filter(split($H$82,"",""),ARRAYFORMULA(ISERROR(FIND(split($H$82,"",""),CONCATENATE(E47:AA47))))=TRUE))"),"СЗ,КЗ,206,209,409,410,501")</f>
        <v>СЗ,КЗ,206,209,409,410,501</v>
      </c>
      <c r="AC47" s="14"/>
      <c r="AD47" s="14"/>
      <c r="AE47" s="14"/>
    </row>
    <row r="48" ht="40.5" customHeight="1">
      <c r="A48" s="222"/>
      <c r="B48" s="31">
        <v>4.0</v>
      </c>
      <c r="C48" s="32" t="s">
        <v>48</v>
      </c>
      <c r="D48" s="32" t="s">
        <v>49</v>
      </c>
      <c r="E48" s="40" t="s">
        <v>1445</v>
      </c>
      <c r="F48" s="13"/>
      <c r="G48" s="104"/>
      <c r="H48" s="72"/>
      <c r="I48" s="90" t="s">
        <v>1446</v>
      </c>
      <c r="J48" s="44" t="s">
        <v>1447</v>
      </c>
      <c r="K48" s="44" t="s">
        <v>1448</v>
      </c>
      <c r="L48" s="44" t="s">
        <v>1449</v>
      </c>
      <c r="M48" s="44" t="s">
        <v>1450</v>
      </c>
      <c r="N48" s="45" t="s">
        <v>1451</v>
      </c>
      <c r="O48" s="36"/>
      <c r="P48" s="36"/>
      <c r="Q48" s="13"/>
      <c r="R48" s="90" t="s">
        <v>1452</v>
      </c>
      <c r="S48" s="133" t="s">
        <v>1453</v>
      </c>
      <c r="T48" s="45" t="s">
        <v>1454</v>
      </c>
      <c r="U48" s="36"/>
      <c r="V48" s="13"/>
      <c r="W48" s="15"/>
      <c r="X48" s="32" t="s">
        <v>48</v>
      </c>
      <c r="Y48" s="32" t="s">
        <v>49</v>
      </c>
      <c r="Z48" s="48" t="s">
        <v>57</v>
      </c>
      <c r="AA48" s="85" t="str">
        <f>AA$6</f>
        <v/>
      </c>
      <c r="AB48" s="15" t="str">
        <f>IFERROR(__xludf.DUMMYFUNCTION("join("","",filter(split($H$82,"",""),ARRAYFORMULA(ISERROR(FIND(split($H$82,"",""),CONCATENATE(E48:AA48))))=TRUE))"),"СЗ,КЗ,201,206,209,410,АЗ,501")</f>
        <v>СЗ,КЗ,201,206,209,410,АЗ,501</v>
      </c>
      <c r="AC48" s="14"/>
      <c r="AD48" s="14"/>
      <c r="AE48" s="14"/>
    </row>
    <row r="49" ht="40.5" customHeight="1">
      <c r="A49" s="222"/>
      <c r="B49" s="383">
        <v>5.0</v>
      </c>
      <c r="C49" s="384" t="s">
        <v>58</v>
      </c>
      <c r="D49" s="385">
        <v>44847.0</v>
      </c>
      <c r="E49" s="45" t="s">
        <v>1455</v>
      </c>
      <c r="F49" s="13"/>
      <c r="G49" s="44" t="s">
        <v>1456</v>
      </c>
      <c r="H49" s="44" t="s">
        <v>1457</v>
      </c>
      <c r="I49" s="44" t="s">
        <v>1458</v>
      </c>
      <c r="J49" s="45" t="s">
        <v>1459</v>
      </c>
      <c r="K49" s="13"/>
      <c r="L49" s="45" t="s">
        <v>1460</v>
      </c>
      <c r="M49" s="13"/>
      <c r="N49" s="177" t="s">
        <v>1461</v>
      </c>
      <c r="O49" s="124" t="s">
        <v>1462</v>
      </c>
      <c r="P49" s="45" t="s">
        <v>1463</v>
      </c>
      <c r="Q49" s="13"/>
      <c r="R49" s="90" t="s">
        <v>1464</v>
      </c>
      <c r="S49" s="133" t="s">
        <v>1465</v>
      </c>
      <c r="T49" s="45" t="s">
        <v>1466</v>
      </c>
      <c r="U49" s="36"/>
      <c r="V49" s="13"/>
      <c r="W49" s="15"/>
      <c r="X49" s="384" t="s">
        <v>58</v>
      </c>
      <c r="Y49" s="385">
        <v>44847.0</v>
      </c>
      <c r="Z49" s="48" t="s">
        <v>70</v>
      </c>
      <c r="AA49" s="85" t="str">
        <f>AA$7</f>
        <v/>
      </c>
      <c r="AB49" s="15" t="str">
        <f>IFERROR(__xludf.DUMMYFUNCTION("join("","",filter(split($H$82,"",""),ARRAYFORMULA(ISERROR(FIND(split($H$82,"",""),CONCATENATE(E49:AA49))))=TRUE))"),"СЗ,КЗ,206,401,404,408,410")</f>
        <v>СЗ,КЗ,206,401,404,408,410</v>
      </c>
      <c r="AC49" s="14"/>
      <c r="AD49" s="14"/>
      <c r="AE49" s="14"/>
    </row>
    <row r="50" ht="48.75" customHeight="1">
      <c r="A50" s="222"/>
      <c r="B50" s="383">
        <v>6.0</v>
      </c>
      <c r="C50" s="386" t="s">
        <v>71</v>
      </c>
      <c r="D50" s="387" t="s">
        <v>72</v>
      </c>
      <c r="E50" s="45" t="s">
        <v>1467</v>
      </c>
      <c r="F50" s="13"/>
      <c r="G50" s="44" t="s">
        <v>1468</v>
      </c>
      <c r="H50" s="44" t="s">
        <v>1469</v>
      </c>
      <c r="I50" s="44" t="s">
        <v>1470</v>
      </c>
      <c r="J50" s="45" t="s">
        <v>1471</v>
      </c>
      <c r="K50" s="13"/>
      <c r="L50" s="45" t="s">
        <v>1472</v>
      </c>
      <c r="M50" s="13"/>
      <c r="N50" s="177" t="s">
        <v>1473</v>
      </c>
      <c r="O50" s="124" t="s">
        <v>1474</v>
      </c>
      <c r="P50" s="45" t="s">
        <v>1475</v>
      </c>
      <c r="Q50" s="13"/>
      <c r="R50" s="162" t="s">
        <v>1476</v>
      </c>
      <c r="S50" s="178" t="s">
        <v>1477</v>
      </c>
      <c r="T50" s="44" t="s">
        <v>1478</v>
      </c>
      <c r="U50" s="44" t="s">
        <v>1479</v>
      </c>
      <c r="V50" s="44"/>
      <c r="W50" s="14"/>
      <c r="X50" s="386" t="s">
        <v>71</v>
      </c>
      <c r="Y50" s="387" t="s">
        <v>72</v>
      </c>
      <c r="Z50" s="48" t="s">
        <v>84</v>
      </c>
      <c r="AA50" s="85"/>
      <c r="AB50" s="15" t="str">
        <f>IFERROR(__xludf.DUMMYFUNCTION("join("","",filter(split($H$82,"",""),ARRAYFORMULA(ISERROR(FIND(split($H$82,"",""),CONCATENATE(E50:AA50))))=TRUE))"),"СЗ,206,404,409,410")</f>
        <v>СЗ,206,404,409,410</v>
      </c>
      <c r="AC50" s="15" t="str">
        <f>IFERROR(__xludf.DUMMYFUNCTION("join("","",filter(split(#REF!,"",""),ARRAYFORMULA(ISERROR(FIND(split(#REF!,"",""),CONCATENATE(E50:S50))))=TRUE))"),"#REF!")</f>
        <v>#REF!</v>
      </c>
      <c r="AD50" s="14"/>
      <c r="AE50" s="14"/>
    </row>
    <row r="51" ht="55.5" customHeight="1">
      <c r="A51" s="222"/>
      <c r="B51" s="31">
        <v>7.0</v>
      </c>
      <c r="C51" s="32" t="s">
        <v>85</v>
      </c>
      <c r="D51" s="32" t="s">
        <v>86</v>
      </c>
      <c r="E51" s="45" t="s">
        <v>1480</v>
      </c>
      <c r="F51" s="13"/>
      <c r="G51" s="44" t="s">
        <v>1481</v>
      </c>
      <c r="H51" s="44" t="s">
        <v>1482</v>
      </c>
      <c r="I51" s="44" t="s">
        <v>1483</v>
      </c>
      <c r="J51" s="45" t="s">
        <v>1484</v>
      </c>
      <c r="K51" s="13"/>
      <c r="L51" s="45" t="s">
        <v>1485</v>
      </c>
      <c r="M51" s="13"/>
      <c r="N51" s="132"/>
      <c r="O51" s="177" t="s">
        <v>1486</v>
      </c>
      <c r="P51" s="124" t="s">
        <v>1487</v>
      </c>
      <c r="Q51" s="181" t="s">
        <v>1488</v>
      </c>
      <c r="R51" s="162" t="s">
        <v>1476</v>
      </c>
      <c r="S51" s="181" t="s">
        <v>1489</v>
      </c>
      <c r="T51" s="44" t="s">
        <v>1490</v>
      </c>
      <c r="U51" s="44"/>
      <c r="V51" s="44"/>
      <c r="W51" s="15"/>
      <c r="X51" s="32" t="s">
        <v>85</v>
      </c>
      <c r="Y51" s="32" t="s">
        <v>86</v>
      </c>
      <c r="Z51" s="48" t="s">
        <v>97</v>
      </c>
      <c r="AA51" s="85" t="str">
        <f>AA$9</f>
        <v>406,АЗ</v>
      </c>
      <c r="AB51" s="15" t="str">
        <f>IFERROR(__xludf.DUMMYFUNCTION("join("","",filter(split($H$82,"",""),ARRAYFORMULA(ISERROR(FIND(split($H$82,"",""),CONCATENATE(E51:AA51))))=TRUE))"),"СЗ,206,404,410,503")</f>
        <v>СЗ,206,404,410,503</v>
      </c>
      <c r="AC51" s="14"/>
      <c r="AD51" s="14"/>
      <c r="AE51" s="14"/>
    </row>
    <row r="52" ht="51.75" customHeight="1">
      <c r="A52" s="222"/>
      <c r="B52" s="31">
        <v>8.0</v>
      </c>
      <c r="C52" s="32" t="s">
        <v>98</v>
      </c>
      <c r="D52" s="32" t="s">
        <v>99</v>
      </c>
      <c r="E52" s="44" t="s">
        <v>1491</v>
      </c>
      <c r="F52" s="44" t="s">
        <v>1492</v>
      </c>
      <c r="G52" s="416" t="s">
        <v>1493</v>
      </c>
      <c r="H52" s="86" t="s">
        <v>1494</v>
      </c>
      <c r="I52" s="13"/>
      <c r="J52" s="45" t="s">
        <v>1495</v>
      </c>
      <c r="K52" s="13"/>
      <c r="L52" s="45" t="s">
        <v>1496</v>
      </c>
      <c r="M52" s="13"/>
      <c r="N52" s="132"/>
      <c r="O52" s="177" t="s">
        <v>1497</v>
      </c>
      <c r="P52" s="124" t="s">
        <v>1498</v>
      </c>
      <c r="Q52" s="181" t="s">
        <v>1499</v>
      </c>
      <c r="R52" s="45" t="s">
        <v>1500</v>
      </c>
      <c r="S52" s="13"/>
      <c r="T52" s="144"/>
      <c r="U52" s="144"/>
      <c r="V52" s="144"/>
      <c r="W52" s="15"/>
      <c r="X52" s="32" t="s">
        <v>98</v>
      </c>
      <c r="Y52" s="32" t="s">
        <v>99</v>
      </c>
      <c r="Z52" s="11"/>
      <c r="AA52" s="14"/>
      <c r="AB52" s="15" t="str">
        <f>IFERROR(__xludf.DUMMYFUNCTION("join("","",filter(split($H$82,"",""),ARRAYFORMULA(ISERROR(FIND(split($H$82,"",""),CONCATENATE(E52:AA52))))=TRUE))"),"СЗ,206,401,402,404,405,408,410,503")</f>
        <v>СЗ,206,401,402,404,405,408,410,503</v>
      </c>
      <c r="AC52" s="14"/>
      <c r="AD52" s="14"/>
      <c r="AE52" s="14"/>
    </row>
    <row r="53" ht="40.5" customHeight="1">
      <c r="A53" s="222"/>
      <c r="B53" s="31">
        <v>9.0</v>
      </c>
      <c r="C53" s="65">
        <v>44697.0</v>
      </c>
      <c r="D53" s="44" t="s">
        <v>109</v>
      </c>
      <c r="E53" s="187" t="s">
        <v>1501</v>
      </c>
      <c r="F53" s="8"/>
      <c r="G53" s="8"/>
      <c r="H53" s="8"/>
      <c r="I53" s="8"/>
      <c r="J53" s="8"/>
      <c r="K53" s="8"/>
      <c r="L53" s="8"/>
      <c r="M53" s="8"/>
      <c r="N53" s="8"/>
      <c r="O53" s="8"/>
      <c r="P53" s="8"/>
      <c r="Q53" s="8"/>
      <c r="R53" s="8"/>
      <c r="S53" s="8"/>
      <c r="T53" s="8"/>
      <c r="U53" s="8"/>
      <c r="V53" s="8"/>
      <c r="W53" s="8"/>
      <c r="X53" s="65">
        <v>44697.0</v>
      </c>
      <c r="Y53" s="44" t="s">
        <v>109</v>
      </c>
      <c r="Z53" s="28"/>
      <c r="AA53" s="14"/>
      <c r="AB53" s="15" t="str">
        <f>IFERROR(__xludf.DUMMYFUNCTION("join("","",filter(split($H$82,"",""),ARRAYFORMULA(ISERROR(FIND(split($H$82,"",""),CONCATENATE(E53:AA53))))=TRUE))"),"206,209,401,403,404,405,408,409,410,АЗ,501")</f>
        <v>206,209,401,403,404,405,408,409,410,АЗ,501</v>
      </c>
      <c r="AC53" s="14"/>
      <c r="AD53" s="14"/>
      <c r="AE53" s="14"/>
    </row>
    <row r="54" ht="40.5" customHeight="1">
      <c r="A54" s="222"/>
      <c r="B54" s="31">
        <v>10.0</v>
      </c>
      <c r="C54" s="44" t="s">
        <v>120</v>
      </c>
      <c r="D54" s="44" t="s">
        <v>121</v>
      </c>
      <c r="E54" s="104"/>
      <c r="F54" s="64"/>
      <c r="G54" s="64"/>
      <c r="H54" s="64"/>
      <c r="I54" s="64"/>
      <c r="J54" s="64"/>
      <c r="K54" s="64"/>
      <c r="L54" s="64"/>
      <c r="M54" s="64"/>
      <c r="N54" s="64"/>
      <c r="O54" s="64"/>
      <c r="P54" s="64"/>
      <c r="Q54" s="64"/>
      <c r="R54" s="64"/>
      <c r="S54" s="64"/>
      <c r="T54" s="64"/>
      <c r="U54" s="64"/>
      <c r="V54" s="64"/>
      <c r="W54" s="64"/>
      <c r="X54" s="44" t="s">
        <v>120</v>
      </c>
      <c r="Y54" s="44" t="s">
        <v>121</v>
      </c>
      <c r="Z54" s="28"/>
      <c r="AA54" s="14"/>
      <c r="AB54" s="15" t="str">
        <f>IFERROR(__xludf.DUMMYFUNCTION("join("","",filter(split($H$82,"",""),ARRAYFORMULA(ISERROR(FIND(split($H$82,"",""),CONCATENATE(E54:AA54))))=TRUE))"),"СЗ,КЗ,201,202,206,209,210,401,402,403,404,405,406,408,409,410,АЗ,503")</f>
        <v>СЗ,КЗ,201,202,206,209,210,401,402,403,404,405,406,408,409,410,АЗ,503</v>
      </c>
      <c r="AC54" s="14"/>
      <c r="AD54" s="14"/>
      <c r="AE54" s="14"/>
    </row>
    <row r="55" ht="40.5" customHeight="1">
      <c r="A55" s="173"/>
      <c r="B55" s="75">
        <v>11.0</v>
      </c>
      <c r="C55" s="76" t="s">
        <v>124</v>
      </c>
      <c r="D55" s="76" t="s">
        <v>125</v>
      </c>
      <c r="E55" s="15"/>
      <c r="F55" s="15"/>
      <c r="G55" s="15"/>
      <c r="H55" s="15"/>
      <c r="I55" s="15"/>
      <c r="J55" s="15"/>
      <c r="K55" s="15"/>
      <c r="L55" s="15"/>
      <c r="M55" s="15"/>
      <c r="N55" s="15"/>
      <c r="O55" s="15"/>
      <c r="P55" s="15"/>
      <c r="Q55" s="15"/>
      <c r="R55" s="15"/>
      <c r="S55" s="15"/>
      <c r="T55" s="15"/>
      <c r="U55" s="15"/>
      <c r="V55" s="15"/>
      <c r="W55" s="15"/>
      <c r="X55" s="76" t="s">
        <v>124</v>
      </c>
      <c r="Y55" s="76" t="s">
        <v>125</v>
      </c>
      <c r="Z55" s="28"/>
      <c r="AA55" s="14"/>
      <c r="AB55" s="15" t="str">
        <f>IFERROR(__xludf.DUMMYFUNCTION("join("","",filter(split($H$82,"",""),ARRAYFORMULA(ISERROR(FIND(split($H$82,"",""),CONCATENATE(E55:AA55))))=TRUE))"),"СЗ,КЗ,201,202,206,209,210,401,402,403,404,405,406,408,409,410,АЗ,501,503")</f>
        <v>СЗ,КЗ,201,202,206,209,210,401,402,403,404,405,406,408,409,410,АЗ,501,503</v>
      </c>
      <c r="AC55" s="14"/>
      <c r="AD55" s="14"/>
      <c r="AE55" s="14"/>
    </row>
    <row r="56" ht="40.5" customHeight="1">
      <c r="A56" s="267"/>
      <c r="B56" s="31">
        <v>1.0</v>
      </c>
      <c r="C56" s="197" t="str">
        <f>D$1</f>
        <v/>
      </c>
      <c r="D56" s="13"/>
      <c r="E56" s="15"/>
      <c r="F56" s="15"/>
      <c r="G56" s="15"/>
      <c r="H56" s="15"/>
      <c r="I56" s="15"/>
      <c r="J56" s="45" t="s">
        <v>1502</v>
      </c>
      <c r="K56" s="36"/>
      <c r="L56" s="36"/>
      <c r="M56" s="13"/>
      <c r="N56" s="15"/>
      <c r="O56" s="15"/>
      <c r="P56" s="144"/>
      <c r="Q56" s="144"/>
      <c r="R56" s="15"/>
      <c r="S56" s="15"/>
      <c r="T56" s="15"/>
      <c r="U56" s="15"/>
      <c r="V56" s="15"/>
      <c r="W56" s="15"/>
      <c r="X56" s="197" t="str">
        <f>Y$1</f>
        <v/>
      </c>
      <c r="Y56" s="13"/>
      <c r="Z56" s="28"/>
      <c r="AA56" s="14"/>
      <c r="AB56" s="15"/>
      <c r="AC56" s="14"/>
      <c r="AD56" s="14"/>
      <c r="AE56" s="14"/>
    </row>
    <row r="57" ht="40.5" customHeight="1">
      <c r="A57" s="222"/>
      <c r="B57" s="31">
        <v>2.0</v>
      </c>
      <c r="C57" s="85"/>
      <c r="D57" s="85"/>
      <c r="E57" s="15"/>
      <c r="F57" s="15"/>
      <c r="G57" s="15"/>
      <c r="H57" s="15"/>
      <c r="I57" s="15"/>
      <c r="J57" s="15"/>
      <c r="K57" s="15"/>
      <c r="L57" s="15"/>
      <c r="M57" s="15"/>
      <c r="N57" s="15"/>
      <c r="O57" s="15"/>
      <c r="P57" s="144"/>
      <c r="Q57" s="144"/>
      <c r="R57" s="15"/>
      <c r="S57" s="15"/>
      <c r="T57" s="15"/>
      <c r="U57" s="15"/>
      <c r="V57" s="15"/>
      <c r="W57" s="15"/>
      <c r="X57" s="85"/>
      <c r="Y57" s="85"/>
      <c r="Z57" s="198"/>
      <c r="AA57" s="14"/>
      <c r="AB57" s="15"/>
      <c r="AC57" s="14"/>
      <c r="AD57" s="14"/>
      <c r="AE57" s="14"/>
    </row>
    <row r="58" ht="40.5" customHeight="1">
      <c r="A58" s="222"/>
      <c r="B58" s="31">
        <v>3.0</v>
      </c>
      <c r="C58" s="85"/>
      <c r="D58" s="85"/>
      <c r="E58" s="15"/>
      <c r="F58" s="15"/>
      <c r="G58" s="15"/>
      <c r="H58" s="15"/>
      <c r="I58" s="15"/>
      <c r="J58" s="45"/>
      <c r="K58" s="36"/>
      <c r="L58" s="36"/>
      <c r="M58" s="13"/>
      <c r="N58" s="15"/>
      <c r="O58" s="15"/>
      <c r="P58" s="15"/>
      <c r="Q58" s="15"/>
      <c r="R58" s="15"/>
      <c r="S58" s="15"/>
      <c r="T58" s="15"/>
      <c r="U58" s="15"/>
      <c r="V58" s="15"/>
      <c r="W58" s="15"/>
      <c r="X58" s="85"/>
      <c r="Y58" s="85"/>
      <c r="Z58" s="198"/>
      <c r="AA58" s="85">
        <f>AA$5</f>
        <v>406</v>
      </c>
      <c r="AB58" s="15"/>
      <c r="AC58" s="14"/>
      <c r="AD58" s="14"/>
      <c r="AE58" s="14"/>
    </row>
    <row r="59" ht="40.5" customHeight="1">
      <c r="A59" s="222"/>
      <c r="B59" s="31">
        <v>4.0</v>
      </c>
      <c r="C59" s="85"/>
      <c r="D59" s="85"/>
      <c r="E59" s="15"/>
      <c r="F59" s="15"/>
      <c r="G59" s="15"/>
      <c r="H59" s="15"/>
      <c r="I59" s="15"/>
      <c r="J59" s="45"/>
      <c r="K59" s="36"/>
      <c r="L59" s="36"/>
      <c r="M59" s="13"/>
      <c r="N59" s="15"/>
      <c r="O59" s="15"/>
      <c r="P59" s="15"/>
      <c r="Q59" s="15"/>
      <c r="R59" s="15"/>
      <c r="S59" s="15"/>
      <c r="T59" s="15"/>
      <c r="U59" s="15"/>
      <c r="V59" s="15"/>
      <c r="W59" s="15"/>
      <c r="X59" s="85"/>
      <c r="Y59" s="85"/>
      <c r="Z59" s="198"/>
      <c r="AA59" s="85" t="str">
        <f>AA$6</f>
        <v/>
      </c>
      <c r="AB59" s="15"/>
      <c r="AC59" s="14"/>
      <c r="AD59" s="14"/>
      <c r="AE59" s="14"/>
    </row>
    <row r="60" ht="40.5" customHeight="1">
      <c r="A60" s="222"/>
      <c r="B60" s="31">
        <v>5.0</v>
      </c>
      <c r="C60" s="85"/>
      <c r="D60" s="85"/>
      <c r="E60" s="15"/>
      <c r="F60" s="15"/>
      <c r="G60" s="15"/>
      <c r="H60" s="15"/>
      <c r="I60" s="167"/>
      <c r="J60" s="4"/>
      <c r="K60" s="15"/>
      <c r="L60" s="15"/>
      <c r="M60" s="15"/>
      <c r="N60" s="15"/>
      <c r="O60" s="15"/>
      <c r="P60" s="15"/>
      <c r="Q60" s="15"/>
      <c r="R60" s="15"/>
      <c r="S60" s="15"/>
      <c r="T60" s="15"/>
      <c r="U60" s="15"/>
      <c r="V60" s="15"/>
      <c r="W60" s="15"/>
      <c r="X60" s="85"/>
      <c r="Y60" s="85"/>
      <c r="Z60" s="198"/>
      <c r="AA60" s="85" t="str">
        <f>AA$7</f>
        <v/>
      </c>
      <c r="AB60" s="15"/>
      <c r="AC60" s="14"/>
      <c r="AD60" s="14"/>
      <c r="AE60" s="14"/>
    </row>
    <row r="61" ht="40.5" customHeight="1">
      <c r="A61" s="222"/>
      <c r="B61" s="31">
        <v>6.0</v>
      </c>
      <c r="C61" s="85"/>
      <c r="D61" s="85"/>
      <c r="E61" s="15"/>
      <c r="F61" s="15"/>
      <c r="G61" s="15"/>
      <c r="H61" s="15"/>
      <c r="I61" s="224"/>
      <c r="J61" s="139"/>
      <c r="K61" s="15"/>
      <c r="L61" s="15"/>
      <c r="M61" s="15"/>
      <c r="N61" s="15"/>
      <c r="O61" s="15"/>
      <c r="P61" s="15"/>
      <c r="Q61" s="15"/>
      <c r="R61" s="15"/>
      <c r="S61" s="15"/>
      <c r="T61" s="15"/>
      <c r="U61" s="15"/>
      <c r="V61" s="15"/>
      <c r="W61" s="15"/>
      <c r="X61" s="85"/>
      <c r="Y61" s="85"/>
      <c r="Z61" s="198"/>
      <c r="AA61" s="85" t="str">
        <f>AA$8</f>
        <v>406,АЗ</v>
      </c>
      <c r="AB61" s="15"/>
      <c r="AC61" s="14"/>
      <c r="AD61" s="14"/>
      <c r="AE61" s="14"/>
    </row>
    <row r="62" ht="40.5" customHeight="1">
      <c r="A62" s="222"/>
      <c r="B62" s="31">
        <v>7.0</v>
      </c>
      <c r="C62" s="85"/>
      <c r="D62" s="85"/>
      <c r="E62" s="15"/>
      <c r="F62" s="15"/>
      <c r="G62" s="15"/>
      <c r="H62" s="15"/>
      <c r="I62" s="224"/>
      <c r="J62" s="139"/>
      <c r="K62" s="15"/>
      <c r="L62" s="15"/>
      <c r="M62" s="15"/>
      <c r="N62" s="15"/>
      <c r="O62" s="15"/>
      <c r="P62" s="15"/>
      <c r="Q62" s="15"/>
      <c r="R62" s="15"/>
      <c r="S62" s="15"/>
      <c r="T62" s="15"/>
      <c r="U62" s="15"/>
      <c r="V62" s="15"/>
      <c r="W62" s="15"/>
      <c r="X62" s="85"/>
      <c r="Y62" s="85"/>
      <c r="Z62" s="198"/>
      <c r="AA62" s="85"/>
      <c r="AB62" s="14"/>
      <c r="AC62" s="14"/>
      <c r="AD62" s="14"/>
      <c r="AE62" s="14"/>
    </row>
    <row r="63" ht="40.5" customHeight="1">
      <c r="A63" s="222"/>
      <c r="B63" s="31">
        <v>8.0</v>
      </c>
      <c r="C63" s="85"/>
      <c r="D63" s="85"/>
      <c r="E63" s="15"/>
      <c r="F63" s="15"/>
      <c r="G63" s="15"/>
      <c r="H63" s="15"/>
      <c r="I63" s="224"/>
      <c r="J63" s="139"/>
      <c r="K63" s="15"/>
      <c r="L63" s="15"/>
      <c r="M63" s="15"/>
      <c r="N63" s="15"/>
      <c r="O63" s="15"/>
      <c r="P63" s="15"/>
      <c r="Q63" s="15"/>
      <c r="R63" s="15"/>
      <c r="S63" s="15"/>
      <c r="T63" s="15"/>
      <c r="U63" s="15"/>
      <c r="V63" s="15"/>
      <c r="W63" s="15"/>
      <c r="X63" s="85"/>
      <c r="Y63" s="85"/>
      <c r="Z63" s="198"/>
      <c r="AA63" s="85" t="str">
        <f>AA$9</f>
        <v>406,АЗ</v>
      </c>
      <c r="AB63" s="14"/>
      <c r="AC63" s="14"/>
      <c r="AD63" s="14"/>
      <c r="AE63" s="14"/>
    </row>
    <row r="64" ht="40.5" customHeight="1">
      <c r="A64" s="173"/>
      <c r="B64" s="31">
        <v>9.0</v>
      </c>
      <c r="C64" s="85"/>
      <c r="D64" s="85"/>
      <c r="E64" s="15"/>
      <c r="F64" s="15"/>
      <c r="G64" s="15"/>
      <c r="H64" s="15"/>
      <c r="I64" s="104"/>
      <c r="J64" s="72"/>
      <c r="K64" s="15"/>
      <c r="L64" s="15"/>
      <c r="M64" s="15"/>
      <c r="N64" s="15"/>
      <c r="O64" s="15"/>
      <c r="P64" s="15"/>
      <c r="Q64" s="15"/>
      <c r="R64" s="15"/>
      <c r="S64" s="15"/>
      <c r="T64" s="15"/>
      <c r="U64" s="15"/>
      <c r="V64" s="15"/>
      <c r="W64" s="15"/>
      <c r="X64" s="85"/>
      <c r="Y64" s="85"/>
      <c r="Z64" s="198"/>
      <c r="AA64" s="14"/>
      <c r="AB64" s="15"/>
      <c r="AC64" s="14"/>
      <c r="AD64" s="14"/>
      <c r="AE64" s="14"/>
    </row>
    <row r="65" ht="40.5" customHeight="1">
      <c r="A65" s="201"/>
      <c r="B65" s="200"/>
      <c r="C65" s="85"/>
      <c r="D65" s="85"/>
      <c r="E65" s="15"/>
      <c r="F65" s="15"/>
      <c r="G65" s="15"/>
      <c r="H65" s="15"/>
      <c r="I65" s="15"/>
      <c r="J65" s="15"/>
      <c r="K65" s="15"/>
      <c r="L65" s="15"/>
      <c r="M65" s="15"/>
      <c r="N65" s="15"/>
      <c r="O65" s="15"/>
      <c r="P65" s="15"/>
      <c r="Q65" s="15"/>
      <c r="R65" s="15"/>
      <c r="S65" s="15"/>
      <c r="T65" s="15"/>
      <c r="U65" s="15"/>
      <c r="V65" s="15"/>
      <c r="W65" s="15"/>
      <c r="X65" s="85"/>
      <c r="Y65" s="85"/>
      <c r="Z65" s="198" t="str">
        <f>Z$12</f>
        <v/>
      </c>
      <c r="AA65" s="14"/>
      <c r="AB65" s="14"/>
      <c r="AC65" s="14"/>
      <c r="AD65" s="14"/>
      <c r="AE65" s="14"/>
    </row>
    <row r="66" ht="40.5" customHeight="1">
      <c r="A66" s="201"/>
      <c r="B66" s="200"/>
      <c r="C66" s="14"/>
      <c r="D66" s="15"/>
      <c r="E66" s="15"/>
      <c r="F66" s="15"/>
      <c r="G66" s="15"/>
      <c r="H66" s="15"/>
      <c r="I66" s="15"/>
      <c r="J66" s="15"/>
      <c r="K66" s="15"/>
      <c r="L66" s="15"/>
      <c r="M66" s="15"/>
      <c r="N66" s="15"/>
      <c r="O66" s="15"/>
      <c r="P66" s="15"/>
      <c r="Q66" s="15"/>
      <c r="R66" s="15"/>
      <c r="S66" s="15"/>
      <c r="T66" s="15"/>
      <c r="U66" s="15"/>
      <c r="V66" s="15"/>
      <c r="W66" s="15"/>
      <c r="X66" s="14"/>
      <c r="Y66" s="15"/>
      <c r="Z66" s="198" t="str">
        <f>#REF!</f>
        <v>#REF!</v>
      </c>
      <c r="AA66" s="14"/>
      <c r="AB66" s="14"/>
      <c r="AC66" s="14"/>
      <c r="AD66" s="14"/>
      <c r="AE66" s="14"/>
    </row>
    <row r="67" ht="40.5" customHeight="1">
      <c r="A67" s="201"/>
      <c r="B67" s="200"/>
      <c r="C67" s="14"/>
      <c r="D67" s="14"/>
      <c r="E67" s="15"/>
      <c r="F67" s="15"/>
      <c r="G67" s="15"/>
      <c r="H67" s="15"/>
      <c r="I67" s="15"/>
      <c r="J67" s="15"/>
      <c r="K67" s="15"/>
      <c r="L67" s="15"/>
      <c r="M67" s="15"/>
      <c r="N67" s="15"/>
      <c r="O67" s="15"/>
      <c r="P67" s="15"/>
      <c r="Q67" s="15"/>
      <c r="R67" s="15"/>
      <c r="S67" s="15"/>
      <c r="T67" s="15"/>
      <c r="U67" s="15"/>
      <c r="V67" s="15"/>
      <c r="W67" s="15"/>
      <c r="X67" s="14"/>
      <c r="Y67" s="14"/>
      <c r="Z67" s="198"/>
      <c r="AA67" s="14"/>
      <c r="AB67" s="14"/>
      <c r="AC67" s="14"/>
      <c r="AD67" s="14"/>
      <c r="AE67" s="14"/>
    </row>
    <row r="68" ht="40.5" customHeight="1">
      <c r="A68" s="201"/>
      <c r="B68" s="200"/>
      <c r="C68" s="15"/>
      <c r="D68" s="14"/>
      <c r="E68" s="15"/>
      <c r="F68" s="15"/>
      <c r="G68" s="15"/>
      <c r="H68" s="15"/>
      <c r="I68" s="15"/>
      <c r="J68" s="15"/>
      <c r="K68" s="15"/>
      <c r="L68" s="15"/>
      <c r="M68" s="15"/>
      <c r="N68" s="15"/>
      <c r="O68" s="15"/>
      <c r="P68" s="15"/>
      <c r="Q68" s="15"/>
      <c r="R68" s="15"/>
      <c r="S68" s="15"/>
      <c r="T68" s="15"/>
      <c r="U68" s="15"/>
      <c r="V68" s="15"/>
      <c r="W68" s="15"/>
      <c r="X68" s="15"/>
      <c r="Y68" s="14"/>
      <c r="Z68" s="28"/>
      <c r="AA68" s="14"/>
      <c r="AB68" s="14"/>
      <c r="AC68" s="14"/>
      <c r="AD68" s="14"/>
      <c r="AE68" s="14"/>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row>
    <row r="70" ht="40.5" customHeight="1">
      <c r="A70" s="201"/>
      <c r="B70" s="200"/>
      <c r="C70" s="14"/>
      <c r="D70" s="14"/>
      <c r="E70" s="15"/>
      <c r="F70" s="15"/>
      <c r="G70" s="15"/>
      <c r="H70" s="15"/>
      <c r="I70" s="15"/>
      <c r="J70" s="15"/>
      <c r="K70" s="15"/>
      <c r="L70" s="15"/>
      <c r="M70" s="15"/>
      <c r="N70" s="15"/>
      <c r="O70" s="15"/>
      <c r="P70" s="15"/>
      <c r="Q70" s="15"/>
      <c r="R70" s="15"/>
      <c r="S70" s="15"/>
      <c r="T70" s="15"/>
      <c r="U70" s="15"/>
      <c r="V70" s="15"/>
      <c r="W70" s="15"/>
      <c r="X70" s="14"/>
      <c r="Y70" s="14"/>
      <c r="Z70" s="28"/>
      <c r="AA70" s="14"/>
      <c r="AB70" s="14"/>
      <c r="AC70" s="14"/>
      <c r="AD70" s="14"/>
      <c r="AE70" s="14"/>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row>
    <row r="81" ht="40.5" customHeight="1">
      <c r="A81" s="201"/>
      <c r="B81" s="200"/>
      <c r="C81" s="14"/>
      <c r="D81" s="14"/>
      <c r="E81" s="44" t="s">
        <v>484</v>
      </c>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row>
    <row r="82" ht="40.5" customHeight="1">
      <c r="A82" s="201"/>
      <c r="B82" s="200"/>
      <c r="C82" s="14"/>
      <c r="D82" s="14"/>
      <c r="E82" s="202" t="s">
        <v>485</v>
      </c>
      <c r="F82" s="203"/>
      <c r="G82" s="203"/>
      <c r="H82" s="204" t="s">
        <v>1044</v>
      </c>
      <c r="I82" s="15"/>
      <c r="J82" s="15"/>
      <c r="K82" s="15"/>
      <c r="L82" s="15"/>
      <c r="M82" s="15"/>
      <c r="N82" s="15"/>
      <c r="O82" s="15"/>
      <c r="P82" s="15"/>
      <c r="Q82" s="15"/>
      <c r="R82" s="15"/>
      <c r="S82" s="15"/>
      <c r="T82" s="15"/>
      <c r="U82" s="15"/>
      <c r="V82" s="15"/>
      <c r="W82" s="15"/>
      <c r="X82" s="14"/>
      <c r="Y82" s="14"/>
      <c r="Z82" s="28"/>
      <c r="AA82" s="14"/>
      <c r="AB82" s="14"/>
      <c r="AC82" s="14"/>
      <c r="AD82" s="14"/>
      <c r="AE82" s="14"/>
    </row>
    <row r="83" ht="40.5" customHeight="1">
      <c r="A83" s="201"/>
      <c r="B83" s="200"/>
      <c r="C83" s="14"/>
      <c r="D83" s="14"/>
      <c r="E83" s="15"/>
      <c r="F83" s="15"/>
      <c r="G83" s="15"/>
      <c r="H83" s="15"/>
      <c r="I83" s="15"/>
      <c r="J83" s="15"/>
      <c r="K83" s="15"/>
      <c r="L83" s="15"/>
      <c r="M83" s="15"/>
      <c r="N83" s="15"/>
      <c r="O83" s="15"/>
      <c r="P83" s="15"/>
      <c r="Q83" s="15"/>
      <c r="R83" s="15"/>
      <c r="S83" s="15"/>
      <c r="T83" s="15"/>
      <c r="U83" s="15"/>
      <c r="V83" s="15"/>
      <c r="W83" s="15"/>
      <c r="X83" s="14"/>
      <c r="Y83" s="14"/>
      <c r="Z83" s="28"/>
      <c r="AA83" s="14"/>
      <c r="AB83" s="14"/>
      <c r="AC83" s="14"/>
      <c r="AD83" s="14"/>
      <c r="AE83" s="14"/>
    </row>
    <row r="84" ht="40.5" customHeight="1">
      <c r="A84" s="201"/>
      <c r="B84" s="200"/>
      <c r="C84" s="14"/>
      <c r="D84" s="14"/>
      <c r="E84" s="15"/>
      <c r="F84" s="15"/>
      <c r="G84" s="15"/>
      <c r="H84" s="15"/>
      <c r="I84" s="15"/>
      <c r="J84" s="205" t="s">
        <v>487</v>
      </c>
      <c r="K84" s="205" t="b">
        <f>IFERROR(__xludf.DUMMYFUNCTION("IF(COUNTA(filter($E3:$W3,ARRAYFORMULA(ISERROR(FIND(join("","",filter(split($H$82,"",""),ARRAYFORMULA(ISERROR(FIND(split($H$82,"",""),E3)))=FALSE)),$E3:$W3))=FALSE)))&gt;1,FALSE,TRUE)"),TRUE)</f>
        <v>1</v>
      </c>
      <c r="L84" s="15"/>
      <c r="M84" s="15"/>
      <c r="N84" s="15"/>
      <c r="O84" s="15"/>
      <c r="P84" s="15"/>
      <c r="Q84" s="15"/>
      <c r="R84" s="15"/>
      <c r="S84" s="15"/>
      <c r="T84" s="15"/>
      <c r="U84" s="15"/>
      <c r="V84" s="15"/>
      <c r="W84" s="15"/>
      <c r="X84" s="14"/>
      <c r="Y84" s="14"/>
      <c r="Z84" s="28"/>
      <c r="AA84" s="14"/>
      <c r="AB84" s="14"/>
      <c r="AC84" s="14"/>
      <c r="AD84" s="14"/>
      <c r="AE84" s="14"/>
    </row>
    <row r="85" ht="40.5" customHeight="1">
      <c r="A85" s="201"/>
      <c r="B85" s="200"/>
      <c r="C85" s="14"/>
      <c r="D85" s="14"/>
      <c r="E85" s="15"/>
      <c r="F85" s="15"/>
      <c r="G85" s="15"/>
      <c r="H85" s="15"/>
      <c r="I85" s="15"/>
      <c r="J85" s="15"/>
      <c r="K85" s="15"/>
      <c r="L85" s="15"/>
      <c r="M85" s="15"/>
      <c r="N85" s="15"/>
      <c r="O85" s="15"/>
      <c r="P85" s="15"/>
      <c r="Q85" s="15"/>
      <c r="R85" s="15"/>
      <c r="S85" s="15"/>
      <c r="T85" s="15"/>
      <c r="U85" s="15"/>
      <c r="V85" s="15"/>
      <c r="W85" s="15"/>
      <c r="X85" s="14"/>
      <c r="Y85" s="14"/>
      <c r="Z85" s="28"/>
      <c r="AA85" s="14"/>
      <c r="AB85" s="14"/>
      <c r="AC85" s="14"/>
      <c r="AD85" s="14"/>
      <c r="AE85" s="14"/>
    </row>
  </sheetData>
  <mergeCells count="273">
    <mergeCell ref="J31:L31"/>
    <mergeCell ref="J32:L32"/>
    <mergeCell ref="J29:K29"/>
    <mergeCell ref="L29:M29"/>
    <mergeCell ref="N29:O29"/>
    <mergeCell ref="J30:K30"/>
    <mergeCell ref="L30:M30"/>
    <mergeCell ref="N30:O30"/>
    <mergeCell ref="N31:O31"/>
    <mergeCell ref="N32:O32"/>
    <mergeCell ref="L16:M16"/>
    <mergeCell ref="N16:O16"/>
    <mergeCell ref="J17:K17"/>
    <mergeCell ref="L17:M17"/>
    <mergeCell ref="N17:O17"/>
    <mergeCell ref="L18:M18"/>
    <mergeCell ref="N18:O18"/>
    <mergeCell ref="N20:O20"/>
    <mergeCell ref="P20:Q20"/>
    <mergeCell ref="J18:K18"/>
    <mergeCell ref="J19:K19"/>
    <mergeCell ref="L19:M19"/>
    <mergeCell ref="N19:O19"/>
    <mergeCell ref="P19:Q19"/>
    <mergeCell ref="J20:K20"/>
    <mergeCell ref="L20:M20"/>
    <mergeCell ref="H21:M22"/>
    <mergeCell ref="N21:O21"/>
    <mergeCell ref="P21:Q21"/>
    <mergeCell ref="N22:O22"/>
    <mergeCell ref="P22:S22"/>
    <mergeCell ref="N24:O24"/>
    <mergeCell ref="P24:S24"/>
    <mergeCell ref="J24:M24"/>
    <mergeCell ref="J25:K25"/>
    <mergeCell ref="L25:M25"/>
    <mergeCell ref="N25:O25"/>
    <mergeCell ref="P25:Q25"/>
    <mergeCell ref="R25:S25"/>
    <mergeCell ref="J26:K26"/>
    <mergeCell ref="R26:S26"/>
    <mergeCell ref="L28:M28"/>
    <mergeCell ref="N28:O28"/>
    <mergeCell ref="L26:M26"/>
    <mergeCell ref="N26:O26"/>
    <mergeCell ref="J27:K27"/>
    <mergeCell ref="L27:M27"/>
    <mergeCell ref="N27:O27"/>
    <mergeCell ref="P27:Q27"/>
    <mergeCell ref="J28:K28"/>
    <mergeCell ref="E34:F34"/>
    <mergeCell ref="E35:F35"/>
    <mergeCell ref="N36:Q36"/>
    <mergeCell ref="N37:Q37"/>
    <mergeCell ref="P38:Q38"/>
    <mergeCell ref="P39:Q39"/>
    <mergeCell ref="P40:Q40"/>
    <mergeCell ref="P41:Q41"/>
    <mergeCell ref="G28:H28"/>
    <mergeCell ref="G29:H29"/>
    <mergeCell ref="G30:H30"/>
    <mergeCell ref="E31:F31"/>
    <mergeCell ref="H34:I34"/>
    <mergeCell ref="L34:M35"/>
    <mergeCell ref="H35:I35"/>
    <mergeCell ref="H41:I41"/>
    <mergeCell ref="H42:J42"/>
    <mergeCell ref="N41:O41"/>
    <mergeCell ref="N42:O42"/>
    <mergeCell ref="P45:Q45"/>
    <mergeCell ref="P46:Q46"/>
    <mergeCell ref="N47:Q47"/>
    <mergeCell ref="N48:Q48"/>
    <mergeCell ref="P49:Q49"/>
    <mergeCell ref="P50:Q50"/>
    <mergeCell ref="K42:L43"/>
    <mergeCell ref="H43:J43"/>
    <mergeCell ref="J40:K40"/>
    <mergeCell ref="N40:O40"/>
    <mergeCell ref="E41:F41"/>
    <mergeCell ref="J41:K41"/>
    <mergeCell ref="E42:F43"/>
    <mergeCell ref="G42:G43"/>
    <mergeCell ref="P42:P43"/>
    <mergeCell ref="N43:O43"/>
    <mergeCell ref="G46:H46"/>
    <mergeCell ref="G47:H48"/>
    <mergeCell ref="E48:F48"/>
    <mergeCell ref="G45:H45"/>
    <mergeCell ref="I45:I46"/>
    <mergeCell ref="J45:K45"/>
    <mergeCell ref="L45:M45"/>
    <mergeCell ref="J46:K46"/>
    <mergeCell ref="L46:M46"/>
    <mergeCell ref="E47:F47"/>
    <mergeCell ref="J51:K51"/>
    <mergeCell ref="L51:M51"/>
    <mergeCell ref="E49:F49"/>
    <mergeCell ref="J49:K49"/>
    <mergeCell ref="L49:M49"/>
    <mergeCell ref="E50:F50"/>
    <mergeCell ref="J50:K50"/>
    <mergeCell ref="L50:M50"/>
    <mergeCell ref="E51:F51"/>
    <mergeCell ref="E16:F16"/>
    <mergeCell ref="G16:I16"/>
    <mergeCell ref="E17:F17"/>
    <mergeCell ref="H17:I17"/>
    <mergeCell ref="E18:F18"/>
    <mergeCell ref="H18:I18"/>
    <mergeCell ref="E19:F19"/>
    <mergeCell ref="H19:I19"/>
    <mergeCell ref="A13:A23"/>
    <mergeCell ref="A24:A33"/>
    <mergeCell ref="A34:A44"/>
    <mergeCell ref="A45:A55"/>
    <mergeCell ref="A56:A64"/>
    <mergeCell ref="N34:O34"/>
    <mergeCell ref="N35:O35"/>
    <mergeCell ref="E36:F36"/>
    <mergeCell ref="H36:I36"/>
    <mergeCell ref="L36:M36"/>
    <mergeCell ref="H37:I37"/>
    <mergeCell ref="L37:M37"/>
    <mergeCell ref="J58:M58"/>
    <mergeCell ref="J59:M59"/>
    <mergeCell ref="I60:J64"/>
    <mergeCell ref="E20:F20"/>
    <mergeCell ref="H20:I20"/>
    <mergeCell ref="H52:I52"/>
    <mergeCell ref="J52:K52"/>
    <mergeCell ref="L52:M52"/>
    <mergeCell ref="C56:D56"/>
    <mergeCell ref="J56:M56"/>
    <mergeCell ref="G1:I1"/>
    <mergeCell ref="G3:I3"/>
    <mergeCell ref="N4:O4"/>
    <mergeCell ref="P4:Q4"/>
    <mergeCell ref="H5:I5"/>
    <mergeCell ref="N5:O5"/>
    <mergeCell ref="H7:I7"/>
    <mergeCell ref="J7:K7"/>
    <mergeCell ref="L7:M7"/>
    <mergeCell ref="N7:O7"/>
    <mergeCell ref="P7:Q7"/>
    <mergeCell ref="R7:S7"/>
    <mergeCell ref="E8:F9"/>
    <mergeCell ref="H8:I8"/>
    <mergeCell ref="C1:D1"/>
    <mergeCell ref="J1:M1"/>
    <mergeCell ref="N1:O1"/>
    <mergeCell ref="P1:Q1"/>
    <mergeCell ref="R1:S1"/>
    <mergeCell ref="A2:A12"/>
    <mergeCell ref="R2:S2"/>
    <mergeCell ref="L11:S11"/>
    <mergeCell ref="J10:K10"/>
    <mergeCell ref="L10:M10"/>
    <mergeCell ref="J13:K13"/>
    <mergeCell ref="L13:M13"/>
    <mergeCell ref="N13:O13"/>
    <mergeCell ref="P13:Q13"/>
    <mergeCell ref="R13:S13"/>
    <mergeCell ref="R9:V9"/>
    <mergeCell ref="Q10:V10"/>
    <mergeCell ref="T11:V11"/>
    <mergeCell ref="U13:V13"/>
    <mergeCell ref="U14:V14"/>
    <mergeCell ref="T15:V15"/>
    <mergeCell ref="T16:V16"/>
    <mergeCell ref="T17:V17"/>
    <mergeCell ref="T18:V18"/>
    <mergeCell ref="T19:V19"/>
    <mergeCell ref="T20:V20"/>
    <mergeCell ref="R21:S21"/>
    <mergeCell ref="T21:V21"/>
    <mergeCell ref="T22:V22"/>
    <mergeCell ref="T24:V24"/>
    <mergeCell ref="T25:V25"/>
    <mergeCell ref="T26:V26"/>
    <mergeCell ref="T27:V27"/>
    <mergeCell ref="T28:V32"/>
    <mergeCell ref="T34:V34"/>
    <mergeCell ref="T35:V35"/>
    <mergeCell ref="R41:S41"/>
    <mergeCell ref="R45:S45"/>
    <mergeCell ref="R52:S52"/>
    <mergeCell ref="T45:V45"/>
    <mergeCell ref="T46:V46"/>
    <mergeCell ref="T47:V47"/>
    <mergeCell ref="T48:V48"/>
    <mergeCell ref="T49:V49"/>
    <mergeCell ref="T36:V36"/>
    <mergeCell ref="T37:V37"/>
    <mergeCell ref="T38:V38"/>
    <mergeCell ref="T39:V39"/>
    <mergeCell ref="T40:V40"/>
    <mergeCell ref="T41:V41"/>
    <mergeCell ref="Q42:V43"/>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U7:V7"/>
    <mergeCell ref="U8:V8"/>
    <mergeCell ref="P5:Q5"/>
    <mergeCell ref="H6:I6"/>
    <mergeCell ref="N6:O6"/>
    <mergeCell ref="P6:Q6"/>
    <mergeCell ref="J8:K8"/>
    <mergeCell ref="L8:M8"/>
    <mergeCell ref="N8:O8"/>
    <mergeCell ref="P8:Q8"/>
    <mergeCell ref="R8:S8"/>
    <mergeCell ref="H9:I9"/>
    <mergeCell ref="J9:K9"/>
    <mergeCell ref="L9:M9"/>
    <mergeCell ref="N9:O9"/>
    <mergeCell ref="N10:O10"/>
    <mergeCell ref="E11:K11"/>
    <mergeCell ref="J14:K14"/>
    <mergeCell ref="L14:M14"/>
    <mergeCell ref="N14:O14"/>
    <mergeCell ref="P14:Q14"/>
    <mergeCell ref="R14:S14"/>
    <mergeCell ref="E15:F15"/>
    <mergeCell ref="G15:I15"/>
    <mergeCell ref="J15:K15"/>
    <mergeCell ref="L15:M15"/>
    <mergeCell ref="N15:O15"/>
    <mergeCell ref="P15:Q15"/>
    <mergeCell ref="J16:K16"/>
    <mergeCell ref="P16:Q16"/>
    <mergeCell ref="E10:F10"/>
    <mergeCell ref="H10:I10"/>
    <mergeCell ref="E13:F13"/>
    <mergeCell ref="G13:H13"/>
    <mergeCell ref="E14:F14"/>
    <mergeCell ref="G14:H14"/>
    <mergeCell ref="E21:F22"/>
    <mergeCell ref="E24:F24"/>
    <mergeCell ref="H24:I24"/>
    <mergeCell ref="E25:F25"/>
    <mergeCell ref="H25:I25"/>
    <mergeCell ref="E26:F26"/>
    <mergeCell ref="G26:I26"/>
    <mergeCell ref="G27:H27"/>
    <mergeCell ref="H39:I39"/>
    <mergeCell ref="H40:I40"/>
    <mergeCell ref="E53:W54"/>
    <mergeCell ref="X56:Y56"/>
    <mergeCell ref="E37:F37"/>
    <mergeCell ref="E38:F38"/>
    <mergeCell ref="H38:I38"/>
    <mergeCell ref="J38:K38"/>
    <mergeCell ref="E39:F39"/>
    <mergeCell ref="J39:K39"/>
    <mergeCell ref="E40:F40"/>
  </mergeCells>
  <conditionalFormatting sqref="E1:T85 U1:U31 V32:V33 U34:U85 V49:V51 W50">
    <cfRule type="containsText" dxfId="0" priority="1" operator="containsText" text="Физика">
      <formula>NOT(ISERROR(SEARCH(("Физика"),(E1))))</formula>
    </cfRule>
  </conditionalFormatting>
  <conditionalFormatting sqref="E53:W54">
    <cfRule type="containsText" dxfId="1" priority="2" operator="containsText" text="Шерашова">
      <formula>NOT(ISERROR(SEARCH(("Шерашова"),(E53))))</formula>
    </cfRule>
  </conditionalFormatting>
  <conditionalFormatting sqref="E2:T52 U2:U31 V32:V33 U34:U52 V49:V51 W50">
    <cfRule type="containsText" dxfId="2" priority="3" operator="containsText" text="Шерашова">
      <formula>NOT(ISERROR(SEARCH(("Шерашова"),(E2))))</formula>
    </cfRule>
  </conditionalFormatting>
  <conditionalFormatting sqref="E2:T52 U2:U31 V32:V33 U34:U52 V49:V51 W50">
    <cfRule type="containsText" dxfId="3" priority="4" operator="containsText" text="Англ">
      <formula>NOT(ISERROR(SEARCH(("Англ"),(E2))))</formula>
    </cfRule>
  </conditionalFormatting>
  <conditionalFormatting sqref="E2:T52 U2:U31 V32:V33 U34:U52 V49:V51 W50">
    <cfRule type="containsText" dxfId="4" priority="5" operator="containsText" text="Театр">
      <formula>NOT(ISERROR(SEARCH(("Театр"),(E2))))</formula>
    </cfRule>
  </conditionalFormatting>
  <conditionalFormatting sqref="E2:T52 U2:U31 V32:V33 U34:U52 V49:V51 W50">
    <cfRule type="containsText" dxfId="5" priority="6" operator="containsText" text="Колечкин">
      <formula>NOT(ISERROR(SEARCH(("Колечкин"),(E2))))</formula>
    </cfRule>
  </conditionalFormatting>
  <conditionalFormatting sqref="E2:W71">
    <cfRule type="containsText" dxfId="0" priority="7" operator="containsText" text="Репнев">
      <formula>NOT(ISERROR(SEARCH(("Репнев"),(E2))))</formula>
    </cfRule>
  </conditionalFormatting>
  <conditionalFormatting sqref="E2:W64">
    <cfRule type="containsText" dxfId="6" priority="8" operator="containsText" text="Рогацкина">
      <formula>NOT(ISERROR(SEARCH(("Рогацкина"),(E2))))</formula>
    </cfRule>
  </conditionalFormatting>
  <conditionalFormatting sqref="E2:W66">
    <cfRule type="containsText" dxfId="7" priority="9" operator="containsText" text="Белоусова">
      <formula>NOT(ISERROR(SEARCH(("Белоусова"),(E2))))</formula>
    </cfRule>
  </conditionalFormatting>
  <conditionalFormatting sqref="E2:W59">
    <cfRule type="containsText" dxfId="8" priority="10" operator="containsText" text="Караванова">
      <formula>NOT(ISERROR(SEARCH(("Караванова"),(E2))))</formula>
    </cfRule>
  </conditionalFormatting>
  <conditionalFormatting sqref="E2:W62">
    <cfRule type="containsText" dxfId="9" priority="11" operator="containsText" text="Дронзик">
      <formula>NOT(ISERROR(SEARCH(("Дронзик"),(E2))))</formula>
    </cfRule>
  </conditionalFormatting>
  <conditionalFormatting sqref="E2:W63">
    <cfRule type="containsText" dxfId="10" priority="12" operator="containsText" text="Старунова">
      <formula>NOT(ISERROR(SEARCH(("Старунова"),(E2))))</formula>
    </cfRule>
  </conditionalFormatting>
  <conditionalFormatting sqref="E2:W61">
    <cfRule type="containsText" dxfId="11" priority="13" operator="containsText" text="Харитонов">
      <formula>NOT(ISERROR(SEARCH(("Харитонов"),(E2))))</formula>
    </cfRule>
  </conditionalFormatting>
  <conditionalFormatting sqref="E2:W66">
    <cfRule type="containsText" dxfId="12" priority="14" operator="containsText" text="Хуснутдинов">
      <formula>NOT(ISERROR(SEARCH(("Хуснутдинов"),(E2))))</formula>
    </cfRule>
  </conditionalFormatting>
  <conditionalFormatting sqref="E2:W65">
    <cfRule type="containsText" dxfId="13" priority="15" operator="containsText" text="Решетников">
      <formula>NOT(ISERROR(SEARCH(("Решетников"),(E2))))</formula>
    </cfRule>
  </conditionalFormatting>
  <conditionalFormatting sqref="E2:W68">
    <cfRule type="containsText" dxfId="14" priority="16" operator="containsText" text="Заводов">
      <formula>NOT(ISERROR(SEARCH(("Заводов"),(E2))))</formula>
    </cfRule>
  </conditionalFormatting>
  <conditionalFormatting sqref="E1:W65">
    <cfRule type="containsText" dxfId="15" priority="17" operator="containsText" text="Абрамов">
      <formula>NOT(ISERROR(SEARCH(("Абрамов"),(E1))))</formula>
    </cfRule>
  </conditionalFormatting>
  <conditionalFormatting sqref="E2:W66">
    <cfRule type="containsText" dxfId="16" priority="18" operator="containsText" text="Климов">
      <formula>NOT(ISERROR(SEARCH(("Климов"),(E2))))</formula>
    </cfRule>
  </conditionalFormatting>
  <conditionalFormatting sqref="E2:W60">
    <cfRule type="containsText" dxfId="17" priority="19" operator="containsText" text="Клейменов">
      <formula>NOT(ISERROR(SEARCH(("Клейменов"),(E2))))</formula>
    </cfRule>
  </conditionalFormatting>
  <conditionalFormatting sqref="E2:W67">
    <cfRule type="containsText" dxfId="18" priority="20" operator="containsText" text="Попович">
      <formula>NOT(ISERROR(SEARCH(("Попович"),(E2))))</formula>
    </cfRule>
  </conditionalFormatting>
  <conditionalFormatting sqref="E2:W67">
    <cfRule type="containsText" dxfId="19" priority="21" operator="containsText" text="Исмаилов">
      <formula>NOT(ISERROR(SEARCH(("Исмаилов"),(E2))))</formula>
    </cfRule>
  </conditionalFormatting>
  <conditionalFormatting sqref="E2:E20 F2:F12 G2:I44 J2:K48 L2:Q44 R2:S6 T2:V44 R9:S9 R11:R45 S11:S32 F15:F17 F19:F20 E24:F30 E32:E52 F32:F44 S34:S40 S42:S44 S46:S52 T46:T49 F47:F48 R48:R52 G49:H52 I49:I51 P49:P52 F51:F52 J51:J52 N51:N52 Q51:Q52 K52:M52">
    <cfRule type="containsText" dxfId="20" priority="22" operator="containsText" text="Ларченко">
      <formula>NOT(ISERROR(SEARCH(("Ларченко"),(E2))))</formula>
    </cfRule>
  </conditionalFormatting>
  <conditionalFormatting sqref="E2:W64">
    <cfRule type="containsText" dxfId="21" priority="23" operator="containsText" text="Краснова">
      <formula>NOT(ISERROR(SEARCH(("Краснова"),(E2))))</formula>
    </cfRule>
  </conditionalFormatting>
  <conditionalFormatting sqref="E2:W64">
    <cfRule type="containsText" dxfId="22" priority="24" operator="containsText" text="Белоус">
      <formula>NOT(ISERROR(SEARCH(("Белоус"),(E2))))</formula>
    </cfRule>
  </conditionalFormatting>
  <conditionalFormatting sqref="E2:W64">
    <cfRule type="containsText" dxfId="23" priority="25" operator="containsText" text="Куницын">
      <formula>NOT(ISERROR(SEARCH(("Куницын"),(E2))))</formula>
    </cfRule>
  </conditionalFormatting>
  <dataValidations>
    <dataValidation type="custom" allowBlank="1" showDropDown="1" sqref="AA2:AA43">
      <formula1>IF(COUNTA(filter($E2:$AA2,ARRAYFORMULA(ISERROR(FIND(join(",",filter(split($H$82,","),ARRAYFORMULA(ISERROR(FIND(split($H$82,","),AA2)))=FALSE)),$E2:$AA2))=FALSE)))&gt;1,FALSE,TRUE)</formula1>
    </dataValidation>
    <dataValidation type="custom" allowBlank="1" showDropDown="1" sqref="I45">
      <formula1>IF(COUNTA(filter($E45:$W45,ARRAYFORMULA(ISERROR(FIND(join(",",filter(split($H$82,","),ARRAYFORMULA(ISERROR(FIND(split($H$82,","),#REF!)))=FALSE)),$E45:$W45))=FALSE)))&gt;1,FALSE,TRUE)</formula1>
    </dataValidation>
    <dataValidation type="custom" allowBlank="1" showDropDown="1" sqref="T3:T4">
      <formula1>IF(COUNTA(filter($E45:$W45,ARRAYFORMULA(ISERROR(FIND(join(",",filter(split($H$82,","),ARRAYFORMULA(ISERROR(FIND(split($H$82,","),T3)))=FALSE)),$E45:$W45))=FALSE)))&gt;1,FALSE,TRUE)</formula1>
    </dataValidation>
    <dataValidation type="custom" allowBlank="1" showDropDown="1" sqref="H4:I4">
      <formula1>IF(COUNTA(filter($E7:$W7,ARRAYFORMULA(ISERROR(FIND(join(",",filter(split($H$82,","),ARRAYFORMULA(ISERROR(FIND(split($H$82,","),#REF!)))=FALSE)),$E7:$W7))=FALSE)))&gt;1,FALSE,TRUE)</formula1>
    </dataValidation>
    <dataValidation type="custom" allowBlank="1" showDropDown="1" sqref="H49:H51 F52">
      <formula1>IF(COUNTA(filter($E1:$W1,ARRAYFORMULA(ISERROR(FIND(join(",",filter(split($H$82,","),ARRAYFORMULA(ISERROR(FIND(split($H$82,","),F49)))=FALSE)),$E1:$W1))=FALSE)))&gt;1,FALSE,TRUE)</formula1>
    </dataValidation>
    <dataValidation type="custom" allowBlank="1" showDropDown="1" sqref="P26 P28 S29:S32 R46:R47 T50:V51">
      <formula1>IF(COUNTA(filter($E25:$W25,ARRAYFORMULA(ISERROR(FIND(join(",",filter(split($H$82,","),ARRAYFORMULA(ISERROR(FIND(split($H$82,","),P26)))=FALSE)),$E25:$W25))=FALSE)))&gt;1,FALSE,TRUE)</formula1>
    </dataValidation>
    <dataValidation type="custom" allowBlank="1" showDropDown="1" sqref="J45:J46">
      <formula1>IF(COUNTA(filter($E9:$W9,ARRAYFORMULA(ISERROR(FIND(join(",",filter(split($H$82,","),ARRAYFORMULA(ISERROR(FIND(split($H$82,","),J45)))=FALSE)),$E9:$W9))=FALSE)))&gt;1,FALSE,TRUE)</formula1>
    </dataValidation>
    <dataValidation type="custom" allowBlank="1" showDropDown="1" sqref="L11 T11 W11">
      <formula1>IF(COUNTA(filter($F11:$W11,ARRAYFORMULA(ISERROR(FIND(join(",",filter(split($H$82,","),ARRAYFORMULA(ISERROR(FIND(split($H$82,","),L11)))=FALSE)),$F11:$W11))=FALSE)))&gt;1,FALSE,TRUE)</formula1>
    </dataValidation>
    <dataValidation type="custom" allowBlank="1" showDropDown="1" sqref="T13:U14 T15:T16 P24 J26">
      <formula1>IF(COUNTA(filter($E17:$W17,ARRAYFORMULA(ISERROR(FIND(join(",",filter(split($H$82,","),ARRAYFORMULA(ISERROR(FIND(split($H$82,","),J13)))=FALSE)),$E17:$W17))=FALSE)))&gt;1,FALSE,TRUE)</formula1>
    </dataValidation>
    <dataValidation type="custom" allowBlank="1" showDropDown="1" sqref="H7:H8 E24 G24:H25 E26 F28 R27:S28 E29:E30 R29:R30 H34:H35 G36:G37 E47:E48 N51:N52">
      <formula1>IF(COUNTA(filter($E8:$W8,ARRAYFORMULA(ISERROR(FIND(join(",",filter(split($H$82,","),ARRAYFORMULA(ISERROR(FIND(split($H$82,","),E7)))=FALSE)),$E8:$W8))=FALSE)))&gt;1,FALSE,TRUE)</formula1>
    </dataValidation>
    <dataValidation type="custom" allowBlank="1" showDropDown="1" sqref="T34:T35">
      <formula1>IF(COUNTA(filter($E13:$W13,ARRAYFORMULA(ISERROR(FIND(join(",",filter(split($H$82,","),ARRAYFORMULA(ISERROR(FIND(split($H$82,","),T34)))=FALSE)),$E13:$W13))=FALSE)))&gt;1,FALSE,TRUE)</formula1>
    </dataValidation>
    <dataValidation type="custom" allowBlank="1" showDropDown="1" sqref="E3:F3 G4 J5:J6 E15:E16 G31:I31 G32:G33 E45:E46 J47:J48 G49:G51 E52">
      <formula1>IF(COUNTA(filter($E3:$W3,ARRAYFORMULA(ISERROR(FIND(join(",",filter(split($H$82,","),ARRAYFORMULA(ISERROR(FIND(split($H$82,","),#REF!)))=FALSE)),$E3:$W3))=FALSE)))&gt;1,FALSE,TRUE)</formula1>
    </dataValidation>
    <dataValidation type="custom" allowBlank="1" showDropDown="1" sqref="R13:R14">
      <formula1>IF(COUNTA(filter($E3:$W3,ARRAYFORMULA(ISERROR(FIND(join(",",filter(split($H$82,","),ARRAYFORMULA(ISERROR(FIND(split($H$82,","),R13)))=FALSE)),$E3:$W3))=FALSE)))&gt;1,FALSE,TRUE)</formula1>
    </dataValidation>
    <dataValidation type="custom" allowBlank="1" showDropDown="1" sqref="N21:N22">
      <formula1>IF(COUNTA(filter($E32:$W32,ARRAYFORMULA(ISERROR(FIND(join(",",filter(split($H$82,","),ARRAYFORMULA(ISERROR(FIND(split($H$82,","),N21)))=FALSE)),$E32:$W32))=FALSE)))&gt;1,FALSE,TRUE)</formula1>
    </dataValidation>
    <dataValidation type="custom" allowBlank="1" showDropDown="1" sqref="N2 R2 T2 G2:G3 J2:J3 L4 P2:P4 G5:H6 K5:M6 T5:T6 L7:L8 P7:P8 T7:U8 G7:G9 Q9:R9 H10 J9:J10 N9:N10 Q10 W2:W10 E12:W12 E13:E14 I13:I14 L13:L14 E17:E18 G15:G18 S17:S18 H19:H20 J15:J20 L17:L20 G21:H21 R19:R21 T21 G22 W13:W22 G23:W23 J24 P25 R25 Q26 E27:F27 P27 E28 I27:I28 Q28 T28 F29:G30 P29:Q30 J31:J32 W24:W32 E32:F33 M31:M33 P33 R31:R33 T33:W33 J34:L34 G34:G35 J35:K35 P34:Q35 H36:H37 J36:L37 N36:N37 E36:E39 G38:G39 L38:P39 R36:S39 R40:T40 J40:J41 L40:M41 R41 T41 E42 G40:H42 K42 Q42 H43 M42:N43 W34:W43 E44:W44 F45:G46 L45:L46 N45:P46 G47 L47:N48 L50 N49:O50 I49:I51 G52:H52 O51:P52 W45:W52 E55:W55 E56:J56 N56:O56 E57:O57 R56:W57 E58:J59 N58:W59 E60:I60 E61:H64 K60:W64">
      <formula1>IF(COUNTA(filter($E2:$W2,ARRAYFORMULA(ISERROR(FIND(join(",",filter(split($H$82,","),ARRAYFORMULA(ISERROR(FIND(split($H$82,","),E2)))=FALSE)),$E2:$W2))=FALSE)))&gt;1,FALSE,TRUE)</formula1>
    </dataValidation>
    <dataValidation type="custom" allowBlank="1" showDropDown="1" sqref="N7">
      <formula1>IF(COUNTA(filter(#REF!,ARRAYFORMULA(ISERROR(FIND(join(",",filter(split($H$82,","),ARRAYFORMULA(ISERROR(FIND(split($H$82,","),#REF!)))=FALSE)),#REF!))=FALSE)))&gt;1,FALSE,TRUE)</formula1>
    </dataValidation>
    <dataValidation type="custom" allowBlank="1" showDropDown="1" sqref="R7:R8">
      <formula1>IF(COUNTA(filter($E51:$W51,ARRAYFORMULA(ISERROR(FIND(join(",",filter(split($H$82,","),ARRAYFORMULA(ISERROR(FIND(split($H$82,","),R7)))=FALSE)),$E51:$W51))=FALSE)))&gt;1,FALSE,TRUE)</formula1>
    </dataValidation>
    <dataValidation type="custom" allowBlank="1" showDropDown="1" sqref="J38:J39">
      <formula1>IF(COUNTA(filter($E1:$W1,ARRAYFORMULA(ISERROR(FIND(join(",",filter(split($H$82,","),ARRAYFORMULA(ISERROR(FIND(split($H$82,","),J38)))=FALSE)),$E1:$W1))=FALSE)))&gt;1,FALSE,TRUE)</formula1>
    </dataValidation>
    <dataValidation type="custom" allowBlank="1" showDropDown="1" sqref="T19:T20 T45">
      <formula1>IF(COUNTA(filter($E25:$W25,ARRAYFORMULA(ISERROR(FIND(join(",",filter(split($H$82,","),ARRAYFORMULA(ISERROR(FIND(split($H$82,","),T19)))=FALSE)),$E25:$W25))=FALSE)))&gt;1,FALSE,TRUE)</formula1>
    </dataValidation>
    <dataValidation type="custom" allowBlank="1" showDropDown="1" sqref="S50">
      <formula1>IF(COUNTA(filter($E31:$W31,ARRAYFORMULA(ISERROR(FIND(join(",",filter(split($H$82,","),ARRAYFORMULA(ISERROR(FIND(split($H$82,","),S50)))=FALSE)),$E31:$W31))=FALSE)))&gt;1,FALSE,TRUE)</formula1>
    </dataValidation>
    <dataValidation type="custom" allowBlank="1" showDropDown="1" sqref="R3:R4">
      <formula1>IF(COUNTA(filter($E17:$W17,ARRAYFORMULA(ISERROR(FIND(join(",",filter(split($H$82,","),ARRAYFORMULA(ISERROR(FIND(split($H$82,","),R3)))=FALSE)),$E17:$W17))=FALSE)))&gt;1,FALSE,TRUE)</formula1>
    </dataValidation>
    <dataValidation type="custom" allowBlank="1" showDropDown="1" sqref="E4:F7 L25">
      <formula1>IF(COUNTA(filter($E7:$W7,ARRAYFORMULA(ISERROR(FIND(join(",",filter(split($H$82,","),ARRAYFORMULA(ISERROR(FIND(split($H$82,","),E4)))=FALSE)),$E7:$W7))=FALSE)))&gt;1,FALSE,TRUE)</formula1>
    </dataValidation>
    <dataValidation type="custom" allowBlank="1" showDropDown="1" sqref="P42">
      <formula1>IF(COUNTA(filter($E39:$W39,ARRAYFORMULA(ISERROR(FIND(join(",",filter(split($H$82,","),ARRAYFORMULA(ISERROR(FIND(split($H$82,","),P42)))=FALSE)),$E39:$W39))=FALSE)))&gt;1,FALSE,TRUE)</formula1>
    </dataValidation>
    <dataValidation type="custom" allowBlank="1" showDropDown="1" sqref="J25">
      <formula1>IF(COUNTA(filter($E30:$W30,ARRAYFORMULA(ISERROR(FIND(join(",",filter(split($H$82,","),ARRAYFORMULA(ISERROR(FIND(split($H$82,","),J25)))=FALSE)),$E30:$W30))=FALSE)))&gt;1,FALSE,TRUE)</formula1>
    </dataValidation>
    <dataValidation type="custom" allowBlank="1" showDropDown="1" sqref="N5:N6 N13:N14 N25:N26 T24:T27 T36:T37 N40:N41">
      <formula1>IF(COUNTA(filter($E7:$W7,ARRAYFORMULA(ISERROR(FIND(join(",",filter(split($H$82,","),ARRAYFORMULA(ISERROR(FIND(split($H$82,","),N5)))=FALSE)),$E7:$W7))=FALSE)))&gt;1,FALSE,TRUE)</formula1>
    </dataValidation>
    <dataValidation type="custom" allowBlank="1" showDropDown="1" sqref="S51">
      <formula1>IF(COUNTA(filter($E9:$W9,ARRAYFORMULA(ISERROR(FIND(join(",",filter(split($H$82,","),ARRAYFORMULA(ISERROR(FIND(split($H$82,","),S51)))=FALSE)),$E9:$W9))=FALSE)))&gt;1,FALSE,TRUE)</formula1>
    </dataValidation>
    <dataValidation type="custom" allowBlank="1" showDropDown="1" sqref="P13:P16 G27:G28 L27:L28 J30 N31:N32 E34:E35 N34:N35 T38:T39 E40:E41 P40:P41 R45 T46:T47 K47:K48 P49:P50 E49:E51">
      <formula1>IF(COUNTA(filter(#REF!,ARRAYFORMULA(ISERROR(FIND(join(",",filter(split($H$82,","),ARRAYFORMULA(ISERROR(FIND(split($H$82,","),E13)))=FALSE)),#REF!))=FALSE)))&gt;1,FALSE,TRUE)</formula1>
    </dataValidation>
    <dataValidation type="custom" allowBlank="1" showDropDown="1" sqref="S3:S4">
      <formula1>IF(COUNTA(filter($E26:$W26,ARRAYFORMULA(ISERROR(FIND(join(",",filter(split($H$82,","),ARRAYFORMULA(ISERROR(FIND(split($H$82,","),S3)))=FALSE)),$E26:$W26))=FALSE)))&gt;1,FALSE,TRUE)</formula1>
    </dataValidation>
    <dataValidation type="custom" allowBlank="1" showDropDown="1" sqref="T17:T18 P31:P32">
      <formula1>IF(COUNTA(filter($E25:$W25,ARRAYFORMULA(ISERROR(FIND(join(",",filter(split($H$82,","),ARRAYFORMULA(ISERROR(FIND(split($H$82,","),P17)))=FALSE)),$E25:$W25))=FALSE)))&gt;1,FALSE,TRUE)</formula1>
    </dataValidation>
    <dataValidation type="custom" allowBlank="1" showDropDown="1" sqref="J13:J14 L15:L16 N17:N18 P19:P20 H38:H39 T48:T49">
      <formula1>IF(COUNTA(filter($E45:$W45,ARRAYFORMULA(ISERROR(FIND(join(",",filter(split($H$82,","),ARRAYFORMULA(ISERROR(FIND(split($H$82,","),H13)))=FALSE)),$E45:$W45))=FALSE)))&gt;1,FALSE,TRUE)</formula1>
    </dataValidation>
    <dataValidation type="custom" allowBlank="1" showDropDown="1" sqref="E53">
      <formula1>IF(COUNTA(filter($E53:$W53,ARRAYFORMULA(ISERROR(FIND(join(",",filter(split($H$83,","),ARRAYFORMULA(ISERROR(FIND(split($H$83,","),E53)))=FALSE)),$E53:$W53))=FALSE)))&gt;1,FALSE,TRUE)</formula1>
    </dataValidation>
    <dataValidation type="custom" allowBlank="1" showDropDown="1" sqref="H9 G10 H17:H18 G19:G20 I29:I30 L49 J49:J50 R52">
      <formula1>IF(COUNTA(filter($E5:$W5,ARRAYFORMULA(ISERROR(FIND(join(",",filter(split($H$82,","),ARRAYFORMULA(ISERROR(FIND(split($H$82,","),G9)))=FALSE)),$E5:$W5))=FALSE)))&gt;1,FALSE,TRUE)</formula1>
    </dataValidation>
    <dataValidation type="custom" allowBlank="1" showDropDown="1" sqref="P9:P10 R15:S16 P17:Q18 N19:N20 N24 N29:N30 J51:J52 L51:L52 Q51:Q52">
      <formula1>IF(COUNTA(filter($E7:$W7,ARRAYFORMULA(ISERROR(FIND(join(",",filter(split($H$82,","),ARRAYFORMULA(ISERROR(FIND(split($H$82,","),J9)))=FALSE)),$E7:$W7))=FALSE)))&gt;1,FALSE,TRUE)</formula1>
    </dataValidation>
    <dataValidation type="custom" allowBlank="1" showDropDown="1" sqref="N8">
      <formula1>IF(COUNTA(filter($E1:$W1,ARRAYFORMULA(ISERROR(FIND(join(",",filter(split($H$82,","),ARRAYFORMULA(ISERROR(FIND(split($H$82,","),#REF!)))=FALSE)),$E1:$W1))=FALSE)))&gt;1,FALSE,TRUE)</formula1>
    </dataValidation>
    <dataValidation type="custom" allowBlank="1" showDropDown="1" sqref="E2">
      <formula1>IF(COUNTA(filter($E2:$W2,ARRAYFORMULA(ISERROR(FIND(join(",",filter(split($H$81,","),ARRAYFORMULA(ISERROR(FIND(split($H$81,","),E2)))=FALSE)),$E2:$W2))=FALSE)))&gt;1,FALSE,TRUE)</formula1>
    </dataValidation>
    <dataValidation type="custom" allowBlank="1" showDropDown="1" sqref="N3:N4 P5:P6 J7:J8 L9:L10">
      <formula1>IF(COUNTA(filter($E34:$W34,ARRAYFORMULA(ISERROR(FIND(join(",",filter(split($H$82,","),ARRAYFORMULA(ISERROR(FIND(split($H$82,","),J3)))=FALSE)),$E34:$W34))=FALSE)))&gt;1,FALSE,TRUE)</formula1>
    </dataValidation>
  </dataValidations>
  <printOptions gridLines="1" horizontalCentered="1"/>
  <pageMargins bottom="0.75" footer="0.0" header="0.0" left="0.7" right="0.7" top="0.75"/>
  <pageSetup fitToHeight="0" paperSize="9"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18.3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4" max="25" width="8.25"/>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48" t="s">
        <v>760</v>
      </c>
      <c r="AB1" s="11" t="s">
        <v>10</v>
      </c>
      <c r="AC1" s="15" t="s">
        <v>11</v>
      </c>
      <c r="AD1" s="16">
        <f>1/24/60</f>
        <v>0.0006944444444</v>
      </c>
      <c r="AE1" s="16"/>
      <c r="AF1" s="17"/>
      <c r="AG1" s="17"/>
      <c r="AH1" s="17"/>
    </row>
    <row r="2" ht="40.5" customHeight="1">
      <c r="A2" s="18">
        <v>44823.0</v>
      </c>
      <c r="B2" s="19">
        <v>1.0</v>
      </c>
      <c r="C2" s="20" t="s">
        <v>12</v>
      </c>
      <c r="D2" s="20" t="s">
        <v>13</v>
      </c>
      <c r="E2" s="21" t="s">
        <v>1503</v>
      </c>
      <c r="F2" s="22"/>
      <c r="G2" s="23" t="s">
        <v>1504</v>
      </c>
      <c r="H2" s="24"/>
      <c r="I2" s="25"/>
      <c r="J2" s="21" t="s">
        <v>1505</v>
      </c>
      <c r="K2" s="24"/>
      <c r="L2" s="24"/>
      <c r="M2" s="25"/>
      <c r="N2" s="21" t="s">
        <v>1506</v>
      </c>
      <c r="O2" s="25"/>
      <c r="P2" s="21" t="s">
        <v>1507</v>
      </c>
      <c r="Q2" s="25"/>
      <c r="R2" s="21" t="s">
        <v>1508</v>
      </c>
      <c r="S2" s="25"/>
      <c r="T2" s="21" t="s">
        <v>1509</v>
      </c>
      <c r="U2" s="24"/>
      <c r="V2" s="22"/>
      <c r="W2" s="26"/>
      <c r="X2" s="20" t="s">
        <v>12</v>
      </c>
      <c r="Y2" s="20" t="s">
        <v>13</v>
      </c>
      <c r="Z2" s="28"/>
      <c r="AA2" s="417">
        <v>405.0</v>
      </c>
      <c r="AB2" s="15" t="str">
        <f>IFERROR(__xludf.DUMMYFUNCTION("join("","",filter(split($H$83,"",""),ARRAYFORMULA(ISERROR(FIND(split($H$83,"",""),CONCATENATE(E2:AA2))))=TRUE))"),"СЗ,КЗ,402,403,406,408,409,410")</f>
        <v>СЗ,КЗ,402,403,406,408,409,410</v>
      </c>
      <c r="AC2" s="14"/>
      <c r="AD2" s="14"/>
      <c r="AE2" s="14"/>
      <c r="AF2" s="29"/>
      <c r="AG2" s="29"/>
      <c r="AH2" s="29"/>
    </row>
    <row r="3" ht="40.5" customHeight="1">
      <c r="A3" s="30"/>
      <c r="B3" s="31">
        <v>2.0</v>
      </c>
      <c r="C3" s="32" t="s">
        <v>21</v>
      </c>
      <c r="D3" s="32" t="s">
        <v>22</v>
      </c>
      <c r="E3" s="33" t="s">
        <v>1510</v>
      </c>
      <c r="F3" s="34" t="s">
        <v>1511</v>
      </c>
      <c r="G3" s="35" t="s">
        <v>1512</v>
      </c>
      <c r="H3" s="36"/>
      <c r="I3" s="13"/>
      <c r="J3" s="37" t="s">
        <v>1513</v>
      </c>
      <c r="K3" s="13"/>
      <c r="L3" s="38" t="s">
        <v>1514</v>
      </c>
      <c r="M3" s="13"/>
      <c r="N3" s="37" t="s">
        <v>1515</v>
      </c>
      <c r="O3" s="13"/>
      <c r="P3" s="418" t="s">
        <v>1516</v>
      </c>
      <c r="Q3" s="13"/>
      <c r="R3" s="39" t="s">
        <v>1517</v>
      </c>
      <c r="S3" s="40" t="s">
        <v>1518</v>
      </c>
      <c r="T3" s="37" t="s">
        <v>1519</v>
      </c>
      <c r="U3" s="36"/>
      <c r="V3" s="41"/>
      <c r="W3" s="26"/>
      <c r="X3" s="32" t="s">
        <v>21</v>
      </c>
      <c r="Y3" s="32" t="s">
        <v>22</v>
      </c>
      <c r="Z3" s="28"/>
      <c r="AA3" s="417">
        <v>405.0</v>
      </c>
      <c r="AB3" s="15" t="str">
        <f>IFERROR(__xludf.DUMMYFUNCTION("join("","",filter(split($H$83,"",""),ARRAYFORMULA(ISERROR(FIND(split($H$83,"",""),CONCATENATE(E3:AA3))))=TRUE))"),"СЗ,206,406,409,410,АЗ")</f>
        <v>СЗ,206,406,409,410,АЗ</v>
      </c>
      <c r="AC3" s="14"/>
      <c r="AD3" s="14"/>
      <c r="AE3" s="14"/>
      <c r="AF3" s="29"/>
      <c r="AG3" s="29"/>
      <c r="AH3" s="29"/>
    </row>
    <row r="4" ht="40.5" customHeight="1">
      <c r="A4" s="30"/>
      <c r="B4" s="31">
        <v>3.0</v>
      </c>
      <c r="C4" s="32" t="s">
        <v>33</v>
      </c>
      <c r="D4" s="32" t="s">
        <v>34</v>
      </c>
      <c r="E4" s="33" t="s">
        <v>1520</v>
      </c>
      <c r="F4" s="126" t="s">
        <v>1521</v>
      </c>
      <c r="G4" s="43" t="s">
        <v>1522</v>
      </c>
      <c r="H4" s="44" t="s">
        <v>1523</v>
      </c>
      <c r="I4" s="45" t="s">
        <v>1524</v>
      </c>
      <c r="J4" s="46" t="s">
        <v>1525</v>
      </c>
      <c r="K4" s="13"/>
      <c r="L4" s="45" t="s">
        <v>1526</v>
      </c>
      <c r="M4" s="13"/>
      <c r="N4" s="37" t="s">
        <v>1527</v>
      </c>
      <c r="O4" s="13"/>
      <c r="P4" s="37" t="s">
        <v>1528</v>
      </c>
      <c r="Q4" s="13"/>
      <c r="R4" s="39" t="s">
        <v>1529</v>
      </c>
      <c r="S4" s="40" t="s">
        <v>1530</v>
      </c>
      <c r="T4" s="37" t="s">
        <v>1531</v>
      </c>
      <c r="U4" s="36"/>
      <c r="V4" s="41"/>
      <c r="W4" s="26"/>
      <c r="X4" s="32" t="s">
        <v>33</v>
      </c>
      <c r="Y4" s="32" t="s">
        <v>34</v>
      </c>
      <c r="Z4" s="48" t="s">
        <v>47</v>
      </c>
      <c r="AA4" s="417"/>
      <c r="AB4" s="15" t="str">
        <f>IFERROR(__xludf.DUMMYFUNCTION("join("","",filter(split($H$83,"",""),ARRAYFORMULA(ISERROR(FIND(split($H$83,"",""),CONCATENATE(E4:AA4))))=TRUE))"),"СЗ,КЗ,201,206,406,409,АЗ")</f>
        <v>СЗ,КЗ,201,206,406,409,АЗ</v>
      </c>
      <c r="AC4" s="14"/>
      <c r="AD4" s="14"/>
      <c r="AE4" s="14"/>
      <c r="AF4" s="29"/>
      <c r="AG4" s="29"/>
      <c r="AH4" s="29"/>
    </row>
    <row r="5" ht="40.5" customHeight="1">
      <c r="A5" s="30"/>
      <c r="B5" s="31">
        <v>4.0</v>
      </c>
      <c r="C5" s="32" t="s">
        <v>48</v>
      </c>
      <c r="D5" s="32" t="s">
        <v>49</v>
      </c>
      <c r="E5" s="33" t="s">
        <v>1532</v>
      </c>
      <c r="F5" s="126" t="s">
        <v>1533</v>
      </c>
      <c r="G5" s="43" t="s">
        <v>1534</v>
      </c>
      <c r="H5" s="45" t="s">
        <v>1535</v>
      </c>
      <c r="I5" s="13"/>
      <c r="J5" s="33" t="s">
        <v>1536</v>
      </c>
      <c r="K5" s="44" t="s">
        <v>1537</v>
      </c>
      <c r="L5" s="44" t="s">
        <v>1538</v>
      </c>
      <c r="M5" s="45" t="s">
        <v>1539</v>
      </c>
      <c r="N5" s="37" t="s">
        <v>1540</v>
      </c>
      <c r="O5" s="13"/>
      <c r="P5" s="37" t="s">
        <v>1541</v>
      </c>
      <c r="Q5" s="13"/>
      <c r="R5" s="51" t="s">
        <v>1542</v>
      </c>
      <c r="S5" s="13"/>
      <c r="T5" s="52" t="s">
        <v>1543</v>
      </c>
      <c r="U5" s="36"/>
      <c r="V5" s="41"/>
      <c r="W5" s="26"/>
      <c r="X5" s="32" t="s">
        <v>48</v>
      </c>
      <c r="Y5" s="32" t="s">
        <v>49</v>
      </c>
      <c r="Z5" s="48" t="s">
        <v>57</v>
      </c>
      <c r="AA5" s="419"/>
      <c r="AB5" s="15" t="str">
        <f>IFERROR(__xludf.DUMMYFUNCTION("join("","",filter(split($H$83,"",""),ARRAYFORMULA(ISERROR(FIND(split($H$83,"",""),CONCATENATE(E5:AA5))))=TRUE))"),"СЗ,КЗ,206,406,408,409")</f>
        <v>СЗ,КЗ,206,406,408,409</v>
      </c>
      <c r="AC5" s="14"/>
      <c r="AD5" s="14"/>
      <c r="AE5" s="14"/>
      <c r="AF5" s="29"/>
      <c r="AG5" s="29"/>
      <c r="AH5" s="29"/>
    </row>
    <row r="6" ht="40.5" customHeight="1">
      <c r="A6" s="30"/>
      <c r="B6" s="31">
        <v>5.0</v>
      </c>
      <c r="C6" s="32" t="s">
        <v>58</v>
      </c>
      <c r="D6" s="53">
        <v>44847.0</v>
      </c>
      <c r="E6" s="316" t="s">
        <v>1544</v>
      </c>
      <c r="F6" s="34" t="s">
        <v>1545</v>
      </c>
      <c r="G6" s="43" t="s">
        <v>1546</v>
      </c>
      <c r="H6" s="45" t="s">
        <v>1547</v>
      </c>
      <c r="I6" s="13"/>
      <c r="J6" s="33" t="s">
        <v>1548</v>
      </c>
      <c r="K6" s="44" t="s">
        <v>1549</v>
      </c>
      <c r="L6" s="44" t="s">
        <v>1550</v>
      </c>
      <c r="M6" s="45" t="s">
        <v>1551</v>
      </c>
      <c r="N6" s="37" t="s">
        <v>1552</v>
      </c>
      <c r="O6" s="13"/>
      <c r="P6" s="37" t="s">
        <v>1553</v>
      </c>
      <c r="Q6" s="13"/>
      <c r="R6" s="51" t="s">
        <v>1554</v>
      </c>
      <c r="S6" s="13"/>
      <c r="T6" s="52" t="s">
        <v>1555</v>
      </c>
      <c r="U6" s="36"/>
      <c r="V6" s="41"/>
      <c r="W6" s="26"/>
      <c r="X6" s="384" t="s">
        <v>58</v>
      </c>
      <c r="Y6" s="385">
        <v>44847.0</v>
      </c>
      <c r="Z6" s="48" t="s">
        <v>70</v>
      </c>
      <c r="AA6" s="417">
        <v>409.0</v>
      </c>
      <c r="AB6" s="15" t="str">
        <f>IFERROR(__xludf.DUMMYFUNCTION("join("","",filter(split($H$83,"",""),ARRAYFORMULA(ISERROR(FIND(split($H$83,"",""),CONCATENATE(E6:AA6))))=TRUE))"),"СЗ,КЗ,206,406,408")</f>
        <v>СЗ,КЗ,206,406,408</v>
      </c>
      <c r="AC6" s="14"/>
      <c r="AD6" s="14"/>
      <c r="AE6" s="14"/>
      <c r="AF6" s="29"/>
      <c r="AG6" s="29"/>
      <c r="AH6" s="29"/>
    </row>
    <row r="7" ht="42.0" customHeight="1">
      <c r="A7" s="30"/>
      <c r="B7" s="31">
        <v>6.0</v>
      </c>
      <c r="C7" s="55" t="s">
        <v>71</v>
      </c>
      <c r="D7" s="56" t="s">
        <v>72</v>
      </c>
      <c r="E7" s="316" t="s">
        <v>1556</v>
      </c>
      <c r="F7" s="34" t="s">
        <v>1557</v>
      </c>
      <c r="G7" s="43" t="s">
        <v>1558</v>
      </c>
      <c r="H7" s="45" t="s">
        <v>1559</v>
      </c>
      <c r="I7" s="13"/>
      <c r="J7" s="37" t="s">
        <v>1560</v>
      </c>
      <c r="K7" s="36"/>
      <c r="L7" s="36"/>
      <c r="M7" s="13"/>
      <c r="N7" s="35" t="s">
        <v>1561</v>
      </c>
      <c r="O7" s="13"/>
      <c r="P7" s="37" t="s">
        <v>1562</v>
      </c>
      <c r="Q7" s="13"/>
      <c r="R7" s="37" t="s">
        <v>1563</v>
      </c>
      <c r="S7" s="13"/>
      <c r="T7" s="33" t="s">
        <v>1564</v>
      </c>
      <c r="U7" s="45" t="s">
        <v>1565</v>
      </c>
      <c r="V7" s="41"/>
      <c r="W7" s="26"/>
      <c r="X7" s="386" t="s">
        <v>71</v>
      </c>
      <c r="Y7" s="387" t="s">
        <v>72</v>
      </c>
      <c r="Z7" s="48" t="s">
        <v>84</v>
      </c>
      <c r="AA7" s="417">
        <v>409.0</v>
      </c>
      <c r="AB7" s="15" t="str">
        <f>IFERROR(__xludf.DUMMYFUNCTION("join("","",filter(split($H$83,"",""),ARRAYFORMULA(ISERROR(FIND(split($H$83,"",""),CONCATENATE(E7:AA7))))=TRUE))"),"СЗ,206,402,403,406,408,АЗ")</f>
        <v>СЗ,206,402,403,406,408,АЗ</v>
      </c>
      <c r="AC7" s="14"/>
      <c r="AD7" s="14"/>
      <c r="AE7" s="14"/>
      <c r="AF7" s="29"/>
      <c r="AG7" s="29"/>
      <c r="AH7" s="29"/>
    </row>
    <row r="8" ht="42.0" customHeight="1">
      <c r="A8" s="30"/>
      <c r="B8" s="31">
        <v>7.0</v>
      </c>
      <c r="C8" s="32" t="s">
        <v>85</v>
      </c>
      <c r="D8" s="32" t="s">
        <v>86</v>
      </c>
      <c r="E8" s="318" t="s">
        <v>1566</v>
      </c>
      <c r="F8" s="319" t="s">
        <v>1567</v>
      </c>
      <c r="G8" s="43" t="s">
        <v>1568</v>
      </c>
      <c r="H8" s="45" t="s">
        <v>1569</v>
      </c>
      <c r="I8" s="13"/>
      <c r="J8" s="37" t="s">
        <v>1570</v>
      </c>
      <c r="K8" s="36"/>
      <c r="L8" s="36"/>
      <c r="M8" s="13"/>
      <c r="N8" s="37" t="s">
        <v>1571</v>
      </c>
      <c r="O8" s="13"/>
      <c r="P8" s="37" t="s">
        <v>1572</v>
      </c>
      <c r="Q8" s="13"/>
      <c r="R8" s="37" t="s">
        <v>1573</v>
      </c>
      <c r="S8" s="13"/>
      <c r="T8" s="33" t="s">
        <v>1574</v>
      </c>
      <c r="U8" s="45" t="s">
        <v>1575</v>
      </c>
      <c r="V8" s="41"/>
      <c r="W8" s="26"/>
      <c r="X8" s="32" t="s">
        <v>85</v>
      </c>
      <c r="Y8" s="32" t="s">
        <v>86</v>
      </c>
      <c r="Z8" s="48" t="s">
        <v>97</v>
      </c>
      <c r="AA8" s="419"/>
      <c r="AB8" s="15" t="str">
        <f>IFERROR(__xludf.DUMMYFUNCTION("join("","",filter(split($H$83,"",""),ARRAYFORMULA(ISERROR(FIND(split($H$83,"",""),CONCATENATE(E8:AA8))))=TRUE))"),"СЗ,202,206,402,406,408,409,410")</f>
        <v>СЗ,202,206,402,406,408,409,410</v>
      </c>
      <c r="AC8" s="14"/>
      <c r="AD8" s="14"/>
      <c r="AE8" s="14"/>
      <c r="AF8" s="29"/>
      <c r="AG8" s="29"/>
      <c r="AH8" s="29"/>
    </row>
    <row r="9" ht="40.5" customHeight="1">
      <c r="A9" s="30"/>
      <c r="B9" s="31">
        <v>8.0</v>
      </c>
      <c r="C9" s="32" t="s">
        <v>98</v>
      </c>
      <c r="D9" s="32" t="s">
        <v>99</v>
      </c>
      <c r="E9" s="320" t="s">
        <v>1576</v>
      </c>
      <c r="F9" s="276" t="s">
        <v>1577</v>
      </c>
      <c r="G9" s="43" t="s">
        <v>1578</v>
      </c>
      <c r="H9" s="45" t="s">
        <v>1579</v>
      </c>
      <c r="I9" s="13"/>
      <c r="J9" s="37"/>
      <c r="K9" s="13"/>
      <c r="L9" s="45"/>
      <c r="M9" s="13"/>
      <c r="N9" s="61" t="s">
        <v>1580</v>
      </c>
      <c r="O9" s="13"/>
      <c r="P9" s="321" t="s">
        <v>1581</v>
      </c>
      <c r="Q9" s="45" t="s">
        <v>1582</v>
      </c>
      <c r="R9" s="322" t="s">
        <v>1583</v>
      </c>
      <c r="S9" s="36"/>
      <c r="T9" s="36"/>
      <c r="U9" s="36"/>
      <c r="V9" s="41"/>
      <c r="W9" s="26"/>
      <c r="X9" s="32" t="s">
        <v>98</v>
      </c>
      <c r="Y9" s="32" t="s">
        <v>99</v>
      </c>
      <c r="Z9" s="11"/>
      <c r="AA9" s="419"/>
      <c r="AB9" s="15" t="str">
        <f>IFERROR(__xludf.DUMMYFUNCTION("join("","",filter(split($H$83,"",""),ARRAYFORMULA(ISERROR(FIND(split($H$83,"",""),CONCATENATE(E9:AA9))))=TRUE))"),"СЗ,КЗ,206,402,405,406,408,409,410")</f>
        <v>СЗ,КЗ,206,402,405,406,408,409,410</v>
      </c>
      <c r="AC9" s="14"/>
      <c r="AD9" s="14"/>
      <c r="AE9" s="14"/>
      <c r="AF9" s="29"/>
      <c r="AG9" s="29"/>
      <c r="AH9" s="29"/>
    </row>
    <row r="10" ht="40.5" customHeight="1">
      <c r="A10" s="30"/>
      <c r="B10" s="31">
        <v>9.0</v>
      </c>
      <c r="C10" s="65">
        <v>44697.0</v>
      </c>
      <c r="D10" s="44" t="s">
        <v>109</v>
      </c>
      <c r="E10" s="66" t="s">
        <v>1584</v>
      </c>
      <c r="F10" s="67"/>
      <c r="G10" s="43" t="s">
        <v>1585</v>
      </c>
      <c r="H10" s="45" t="s">
        <v>1586</v>
      </c>
      <c r="I10" s="13"/>
      <c r="J10" s="37"/>
      <c r="K10" s="13"/>
      <c r="L10" s="45"/>
      <c r="M10" s="13"/>
      <c r="N10" s="61" t="s">
        <v>1587</v>
      </c>
      <c r="O10" s="13"/>
      <c r="P10" s="321" t="s">
        <v>1588</v>
      </c>
      <c r="Q10" s="68" t="s">
        <v>1589</v>
      </c>
      <c r="R10" s="36"/>
      <c r="S10" s="36"/>
      <c r="T10" s="36"/>
      <c r="U10" s="36"/>
      <c r="V10" s="36"/>
      <c r="W10" s="26"/>
      <c r="X10" s="65">
        <v>44697.0</v>
      </c>
      <c r="Y10" s="44" t="s">
        <v>109</v>
      </c>
      <c r="Z10" s="28"/>
      <c r="AA10" s="419"/>
      <c r="AB10" s="15" t="str">
        <f>IFERROR(__xludf.DUMMYFUNCTION("join("","",filter(split($H$83,"",""),ARRAYFORMULA(ISERROR(FIND(split($H$83,"",""),CONCATENATE(E10:AA10))))=TRUE))"),"СЗ,КЗ,206,210,402,403,404,405,406,408,409,АЗ")</f>
        <v>СЗ,КЗ,206,210,402,403,404,405,406,408,409,АЗ</v>
      </c>
      <c r="AC10" s="14"/>
      <c r="AD10" s="14"/>
      <c r="AE10" s="14"/>
      <c r="AF10" s="29"/>
      <c r="AG10" s="29"/>
      <c r="AH10" s="29"/>
    </row>
    <row r="11" ht="40.5" customHeight="1">
      <c r="A11" s="30"/>
      <c r="B11" s="31">
        <v>10.0</v>
      </c>
      <c r="C11" s="44" t="s">
        <v>120</v>
      </c>
      <c r="D11" s="44" t="s">
        <v>121</v>
      </c>
      <c r="E11" s="71" t="s">
        <v>1590</v>
      </c>
      <c r="F11" s="64"/>
      <c r="G11" s="64"/>
      <c r="H11" s="64"/>
      <c r="I11" s="64"/>
      <c r="J11" s="64"/>
      <c r="K11" s="64"/>
      <c r="L11" s="64"/>
      <c r="M11" s="64"/>
      <c r="N11" s="64"/>
      <c r="O11" s="64"/>
      <c r="P11" s="64"/>
      <c r="Q11" s="64"/>
      <c r="R11" s="64"/>
      <c r="S11" s="72"/>
      <c r="T11" s="324" t="s">
        <v>1591</v>
      </c>
      <c r="U11" s="36"/>
      <c r="V11" s="41"/>
      <c r="W11" s="26"/>
      <c r="X11" s="44" t="s">
        <v>120</v>
      </c>
      <c r="Y11" s="44" t="s">
        <v>121</v>
      </c>
      <c r="Z11" s="28"/>
      <c r="AA11" s="419"/>
      <c r="AB11" s="15" t="str">
        <f>IFERROR(__xludf.DUMMYFUNCTION("join("","",filter(split($H$83,"",""),ARRAYFORMULA(ISERROR(FIND(split($H$83,"",""),CONCATENATE(E11:AA11))))=TRUE))"),"СЗ,КЗ,201,202,206,209,210,402,403,404,405,406,408,409")</f>
        <v>СЗ,КЗ,201,202,206,209,210,402,403,404,405,406,408,409</v>
      </c>
      <c r="AC11" s="14"/>
      <c r="AD11" s="14"/>
      <c r="AE11" s="14"/>
      <c r="AF11" s="29"/>
      <c r="AG11" s="29"/>
      <c r="AH11" s="29"/>
    </row>
    <row r="12" ht="40.5"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6" t="s">
        <v>124</v>
      </c>
      <c r="Y12" s="76" t="s">
        <v>125</v>
      </c>
      <c r="Z12" s="28"/>
      <c r="AA12" s="419"/>
      <c r="AB12" s="15" t="str">
        <f>IFERROR(__xludf.DUMMYFUNCTION("join("","",filter(split($H$83,"",""),ARRAYFORMULA(ISERROR(FIND(split($H$83,"",""),CONCATENATE(E12:AA12))))=TRUE))"),"СЗ,КЗ,201,202,206,209,210,401,402,403,404,405,406,408,409,410,АЗ")</f>
        <v>СЗ,КЗ,201,202,206,209,210,401,402,403,404,405,406,408,409,410,АЗ</v>
      </c>
      <c r="AC12" s="14"/>
      <c r="AD12" s="14"/>
      <c r="AE12" s="14"/>
      <c r="AF12" s="29"/>
      <c r="AG12" s="29"/>
      <c r="AH12" s="29"/>
    </row>
    <row r="13" ht="40.5" customHeight="1">
      <c r="A13" s="18">
        <v>44824.0</v>
      </c>
      <c r="B13" s="19">
        <v>1.0</v>
      </c>
      <c r="C13" s="20" t="s">
        <v>12</v>
      </c>
      <c r="D13" s="20" t="s">
        <v>13</v>
      </c>
      <c r="E13" s="80" t="s">
        <v>1592</v>
      </c>
      <c r="F13" s="25"/>
      <c r="G13" s="81" t="s">
        <v>1593</v>
      </c>
      <c r="H13" s="80" t="s">
        <v>1594</v>
      </c>
      <c r="I13" s="22"/>
      <c r="J13" s="23" t="s">
        <v>1595</v>
      </c>
      <c r="K13" s="25"/>
      <c r="L13" s="80" t="s">
        <v>1596</v>
      </c>
      <c r="M13" s="25"/>
      <c r="N13" s="82" t="s">
        <v>1597</v>
      </c>
      <c r="O13" s="25"/>
      <c r="P13" s="21" t="s">
        <v>1598</v>
      </c>
      <c r="Q13" s="22"/>
      <c r="R13" s="23" t="s">
        <v>1599</v>
      </c>
      <c r="S13" s="22"/>
      <c r="T13" s="84" t="s">
        <v>1600</v>
      </c>
      <c r="U13" s="80" t="s">
        <v>1601</v>
      </c>
      <c r="V13" s="22"/>
      <c r="W13" s="26"/>
      <c r="X13" s="20" t="s">
        <v>12</v>
      </c>
      <c r="Y13" s="20" t="s">
        <v>13</v>
      </c>
      <c r="Z13" s="28"/>
      <c r="AA13" s="393" t="s">
        <v>1149</v>
      </c>
      <c r="AB13" s="15" t="str">
        <f>IFERROR(__xludf.DUMMYFUNCTION("join("","",filter(split($H$83,"",""),ARRAYFORMULA(ISERROR(FIND(split($H$83,"",""),CONCATENATE(E13:AA13))))=TRUE))"),"КЗ,202,403,409,410,АЗ")</f>
        <v>КЗ,202,403,409,410,АЗ</v>
      </c>
      <c r="AC13" s="14"/>
      <c r="AD13" s="14"/>
      <c r="AE13" s="14"/>
      <c r="AF13" s="29"/>
      <c r="AG13" s="29"/>
      <c r="AH13" s="29"/>
    </row>
    <row r="14" ht="40.5" customHeight="1">
      <c r="A14" s="30"/>
      <c r="B14" s="31">
        <v>2.0</v>
      </c>
      <c r="C14" s="32" t="s">
        <v>21</v>
      </c>
      <c r="D14" s="32" t="s">
        <v>22</v>
      </c>
      <c r="E14" s="45" t="s">
        <v>1602</v>
      </c>
      <c r="F14" s="13"/>
      <c r="G14" s="46" t="s">
        <v>1603</v>
      </c>
      <c r="H14" s="86" t="s">
        <v>1604</v>
      </c>
      <c r="I14" s="41"/>
      <c r="J14" s="35" t="s">
        <v>1605</v>
      </c>
      <c r="K14" s="13"/>
      <c r="L14" s="45" t="s">
        <v>1606</v>
      </c>
      <c r="M14" s="13"/>
      <c r="N14" s="87" t="s">
        <v>1607</v>
      </c>
      <c r="O14" s="13"/>
      <c r="P14" s="37" t="s">
        <v>1608</v>
      </c>
      <c r="Q14" s="41"/>
      <c r="R14" s="35" t="s">
        <v>1609</v>
      </c>
      <c r="S14" s="41"/>
      <c r="T14" s="43" t="s">
        <v>1610</v>
      </c>
      <c r="U14" s="45" t="s">
        <v>1611</v>
      </c>
      <c r="V14" s="41"/>
      <c r="W14" s="26"/>
      <c r="X14" s="32" t="s">
        <v>21</v>
      </c>
      <c r="Y14" s="32" t="s">
        <v>22</v>
      </c>
      <c r="Z14" s="28"/>
      <c r="AA14" s="393" t="s">
        <v>1149</v>
      </c>
      <c r="AB14" s="15" t="str">
        <f>IFERROR(__xludf.DUMMYFUNCTION("join("","",filter(split($H$83,"",""),ARRAYFORMULA(ISERROR(FIND(split($H$83,"",""),CONCATENATE(E14:AA14))))=TRUE))"),"КЗ,202,403,409,410,АЗ")</f>
        <v>КЗ,202,403,409,410,АЗ</v>
      </c>
      <c r="AC14" s="14"/>
      <c r="AD14" s="14"/>
      <c r="AE14" s="14"/>
      <c r="AF14" s="29"/>
      <c r="AG14" s="29"/>
      <c r="AH14" s="29"/>
    </row>
    <row r="15" ht="40.5" customHeight="1">
      <c r="A15" s="30"/>
      <c r="B15" s="31">
        <v>3.0</v>
      </c>
      <c r="C15" s="32" t="s">
        <v>33</v>
      </c>
      <c r="D15" s="32" t="s">
        <v>34</v>
      </c>
      <c r="E15" s="40" t="s">
        <v>1612</v>
      </c>
      <c r="F15" s="13"/>
      <c r="G15" s="37" t="s">
        <v>1613</v>
      </c>
      <c r="H15" s="36"/>
      <c r="I15" s="41"/>
      <c r="J15" s="35" t="s">
        <v>1614</v>
      </c>
      <c r="K15" s="13"/>
      <c r="L15" s="45" t="s">
        <v>1615</v>
      </c>
      <c r="M15" s="13"/>
      <c r="N15" s="89" t="s">
        <v>1616</v>
      </c>
      <c r="O15" s="13"/>
      <c r="P15" s="37" t="s">
        <v>1617</v>
      </c>
      <c r="Q15" s="41"/>
      <c r="R15" s="43" t="s">
        <v>1618</v>
      </c>
      <c r="S15" s="34" t="s">
        <v>1619</v>
      </c>
      <c r="T15" s="420" t="s">
        <v>1620</v>
      </c>
      <c r="U15" s="36"/>
      <c r="V15" s="41"/>
      <c r="W15" s="26"/>
      <c r="X15" s="32" t="s">
        <v>33</v>
      </c>
      <c r="Y15" s="32" t="s">
        <v>34</v>
      </c>
      <c r="Z15" s="48" t="s">
        <v>47</v>
      </c>
      <c r="AA15" s="393">
        <v>206.0</v>
      </c>
      <c r="AB15" s="15" t="str">
        <f>IFERROR(__xludf.DUMMYFUNCTION("join("","",filter(split($H$83,"",""),ARRAYFORMULA(ISERROR(FIND(split($H$83,"",""),CONCATENATE(E15:AA15))))=TRUE))"),"КЗ,201,210,403,406,408,409,410,АЗ")</f>
        <v>КЗ,201,210,403,406,408,409,410,АЗ</v>
      </c>
      <c r="AC15" s="14"/>
      <c r="AD15" s="14"/>
      <c r="AE15" s="14"/>
      <c r="AF15" s="29"/>
      <c r="AG15" s="29"/>
      <c r="AH15" s="29"/>
    </row>
    <row r="16" ht="40.5" customHeight="1">
      <c r="A16" s="30"/>
      <c r="B16" s="31">
        <v>4.0</v>
      </c>
      <c r="C16" s="32" t="s">
        <v>48</v>
      </c>
      <c r="D16" s="32" t="s">
        <v>49</v>
      </c>
      <c r="E16" s="40" t="s">
        <v>1621</v>
      </c>
      <c r="F16" s="13"/>
      <c r="G16" s="37" t="s">
        <v>1622</v>
      </c>
      <c r="H16" s="36"/>
      <c r="I16" s="41"/>
      <c r="J16" s="35" t="s">
        <v>1623</v>
      </c>
      <c r="K16" s="13"/>
      <c r="L16" s="45" t="s">
        <v>1624</v>
      </c>
      <c r="M16" s="13"/>
      <c r="N16" s="89" t="s">
        <v>1625</v>
      </c>
      <c r="O16" s="13"/>
      <c r="P16" s="37" t="s">
        <v>1626</v>
      </c>
      <c r="Q16" s="41"/>
      <c r="R16" s="43" t="s">
        <v>1627</v>
      </c>
      <c r="S16" s="34" t="s">
        <v>1628</v>
      </c>
      <c r="T16" s="91" t="s">
        <v>1629</v>
      </c>
      <c r="U16" s="36"/>
      <c r="V16" s="41"/>
      <c r="W16" s="26"/>
      <c r="X16" s="32" t="s">
        <v>48</v>
      </c>
      <c r="Y16" s="32" t="s">
        <v>49</v>
      </c>
      <c r="Z16" s="48" t="s">
        <v>57</v>
      </c>
      <c r="AA16" s="393">
        <v>206.0</v>
      </c>
      <c r="AB16" s="15" t="str">
        <f>IFERROR(__xludf.DUMMYFUNCTION("join("","",filter(split($H$83,"",""),ARRAYFORMULA(ISERROR(FIND(split($H$83,"",""),CONCATENATE(E16:AA16))))=TRUE))"),"КЗ,201,210,403,406,408,409,410,АЗ")</f>
        <v>КЗ,201,210,403,406,408,409,410,АЗ</v>
      </c>
      <c r="AC16" s="14"/>
      <c r="AD16" s="14"/>
      <c r="AE16" s="14"/>
      <c r="AF16" s="29"/>
      <c r="AG16" s="29"/>
      <c r="AH16" s="29"/>
    </row>
    <row r="17" ht="40.5" customHeight="1">
      <c r="A17" s="30"/>
      <c r="B17" s="31">
        <v>5.0</v>
      </c>
      <c r="C17" s="32" t="s">
        <v>58</v>
      </c>
      <c r="D17" s="53">
        <v>44847.0</v>
      </c>
      <c r="E17" s="45" t="s">
        <v>1630</v>
      </c>
      <c r="F17" s="13"/>
      <c r="G17" s="33" t="s">
        <v>1631</v>
      </c>
      <c r="H17" s="45" t="s">
        <v>1632</v>
      </c>
      <c r="I17" s="41"/>
      <c r="J17" s="35" t="s">
        <v>1633</v>
      </c>
      <c r="K17" s="13"/>
      <c r="L17" s="40" t="s">
        <v>1634</v>
      </c>
      <c r="M17" s="13"/>
      <c r="N17" s="45" t="s">
        <v>1635</v>
      </c>
      <c r="O17" s="13"/>
      <c r="P17" s="33" t="s">
        <v>1636</v>
      </c>
      <c r="Q17" s="34" t="s">
        <v>1637</v>
      </c>
      <c r="R17" s="326" t="s">
        <v>1638</v>
      </c>
      <c r="S17" s="92" t="s">
        <v>1639</v>
      </c>
      <c r="T17" s="93" t="s">
        <v>1640</v>
      </c>
      <c r="U17" s="36"/>
      <c r="V17" s="41"/>
      <c r="W17" s="26"/>
      <c r="X17" s="384" t="s">
        <v>58</v>
      </c>
      <c r="Y17" s="385">
        <v>44847.0</v>
      </c>
      <c r="Z17" s="48" t="s">
        <v>70</v>
      </c>
      <c r="AA17" s="393" t="s">
        <v>1189</v>
      </c>
      <c r="AB17" s="15" t="str">
        <f>IFERROR(__xludf.DUMMYFUNCTION("join("","",filter(split($H$83,"",""),ARRAYFORMULA(ISERROR(FIND(split($H$83,"",""),CONCATENATE(E17:AA17))))=TRUE))"),"202,206,209,403,408,410,АЗ")</f>
        <v>202,206,209,403,408,410,АЗ</v>
      </c>
      <c r="AC17" s="14"/>
      <c r="AD17" s="14"/>
      <c r="AE17" s="14"/>
      <c r="AF17" s="29"/>
      <c r="AG17" s="29"/>
      <c r="AH17" s="29"/>
    </row>
    <row r="18" ht="40.5" customHeight="1">
      <c r="A18" s="30"/>
      <c r="B18" s="31">
        <v>6.0</v>
      </c>
      <c r="C18" s="55" t="s">
        <v>71</v>
      </c>
      <c r="D18" s="56" t="s">
        <v>72</v>
      </c>
      <c r="E18" s="45" t="s">
        <v>1641</v>
      </c>
      <c r="F18" s="13"/>
      <c r="G18" s="33" t="s">
        <v>1642</v>
      </c>
      <c r="H18" s="45" t="s">
        <v>1643</v>
      </c>
      <c r="I18" s="41"/>
      <c r="J18" s="35" t="s">
        <v>1644</v>
      </c>
      <c r="K18" s="13"/>
      <c r="L18" s="40" t="s">
        <v>1645</v>
      </c>
      <c r="M18" s="13"/>
      <c r="N18" s="45" t="s">
        <v>1646</v>
      </c>
      <c r="O18" s="13"/>
      <c r="P18" s="33" t="s">
        <v>1647</v>
      </c>
      <c r="Q18" s="34" t="s">
        <v>1648</v>
      </c>
      <c r="R18" s="326" t="s">
        <v>1649</v>
      </c>
      <c r="S18" s="92" t="s">
        <v>1650</v>
      </c>
      <c r="T18" s="93" t="s">
        <v>1651</v>
      </c>
      <c r="U18" s="36"/>
      <c r="V18" s="41"/>
      <c r="W18" s="26"/>
      <c r="X18" s="386" t="s">
        <v>71</v>
      </c>
      <c r="Y18" s="387" t="s">
        <v>72</v>
      </c>
      <c r="Z18" s="48" t="s">
        <v>84</v>
      </c>
      <c r="AA18" s="393" t="s">
        <v>1189</v>
      </c>
      <c r="AB18" s="15" t="str">
        <f>IFERROR(__xludf.DUMMYFUNCTION("join("","",filter(split($H$83,"",""),ARRAYFORMULA(ISERROR(FIND(split($H$83,"",""),CONCATENATE(E18:AA18))))=TRUE))"),"202,206,209,403,408,410,АЗ")</f>
        <v>202,206,209,403,408,410,АЗ</v>
      </c>
      <c r="AC18" s="14"/>
      <c r="AD18" s="14"/>
      <c r="AE18" s="14"/>
      <c r="AF18" s="29"/>
      <c r="AG18" s="29"/>
      <c r="AH18" s="29"/>
    </row>
    <row r="19" ht="40.5" customHeight="1">
      <c r="A19" s="30"/>
      <c r="B19" s="31">
        <v>7.0</v>
      </c>
      <c r="C19" s="32" t="s">
        <v>85</v>
      </c>
      <c r="D19" s="32" t="s">
        <v>86</v>
      </c>
      <c r="E19" s="94" t="s">
        <v>1652</v>
      </c>
      <c r="F19" s="13"/>
      <c r="G19" s="33" t="s">
        <v>1653</v>
      </c>
      <c r="H19" s="45" t="s">
        <v>1654</v>
      </c>
      <c r="I19" s="41"/>
      <c r="J19" s="95" t="s">
        <v>1655</v>
      </c>
      <c r="K19" s="13"/>
      <c r="L19" s="45" t="s">
        <v>1656</v>
      </c>
      <c r="M19" s="13"/>
      <c r="N19" s="45" t="s">
        <v>1657</v>
      </c>
      <c r="O19" s="13"/>
      <c r="P19" s="37" t="s">
        <v>1658</v>
      </c>
      <c r="Q19" s="41"/>
      <c r="R19" s="96" t="s">
        <v>1659</v>
      </c>
      <c r="S19" s="97" t="s">
        <v>1660</v>
      </c>
      <c r="T19" s="93" t="s">
        <v>1661</v>
      </c>
      <c r="U19" s="36"/>
      <c r="V19" s="41"/>
      <c r="W19" s="26"/>
      <c r="X19" s="32" t="s">
        <v>85</v>
      </c>
      <c r="Y19" s="32" t="s">
        <v>86</v>
      </c>
      <c r="Z19" s="48" t="s">
        <v>97</v>
      </c>
      <c r="AA19" s="393" t="s">
        <v>1189</v>
      </c>
      <c r="AB19" s="15" t="str">
        <f>IFERROR(__xludf.DUMMYFUNCTION("join("","",filter(split($H$83,"",""),ARRAYFORMULA(ISERROR(FIND(split($H$83,"",""),CONCATENATE(E19:AA19))))=TRUE))"),"202,209,403,404,405,408,410,АЗ")</f>
        <v>202,209,403,404,405,408,410,АЗ</v>
      </c>
      <c r="AC19" s="14"/>
      <c r="AD19" s="14"/>
      <c r="AE19" s="14"/>
      <c r="AF19" s="29"/>
      <c r="AG19" s="29"/>
      <c r="AH19" s="29"/>
    </row>
    <row r="20" ht="40.5" customHeight="1">
      <c r="A20" s="30"/>
      <c r="B20" s="31">
        <v>8.0</v>
      </c>
      <c r="C20" s="32" t="s">
        <v>98</v>
      </c>
      <c r="D20" s="32" t="s">
        <v>99</v>
      </c>
      <c r="E20" s="94" t="s">
        <v>1662</v>
      </c>
      <c r="F20" s="13"/>
      <c r="G20" s="33" t="s">
        <v>1663</v>
      </c>
      <c r="H20" s="45" t="s">
        <v>1664</v>
      </c>
      <c r="I20" s="41"/>
      <c r="J20" s="95" t="s">
        <v>1665</v>
      </c>
      <c r="K20" s="13"/>
      <c r="L20" s="45" t="s">
        <v>1666</v>
      </c>
      <c r="M20" s="13"/>
      <c r="N20" s="45" t="s">
        <v>1667</v>
      </c>
      <c r="O20" s="13"/>
      <c r="P20" s="37" t="s">
        <v>1668</v>
      </c>
      <c r="Q20" s="41"/>
      <c r="R20" s="96" t="s">
        <v>1669</v>
      </c>
      <c r="S20" s="97" t="s">
        <v>1670</v>
      </c>
      <c r="T20" s="93" t="s">
        <v>1671</v>
      </c>
      <c r="U20" s="36"/>
      <c r="V20" s="41"/>
      <c r="W20" s="26"/>
      <c r="X20" s="32" t="s">
        <v>98</v>
      </c>
      <c r="Y20" s="32" t="s">
        <v>99</v>
      </c>
      <c r="Z20" s="11"/>
      <c r="AA20" s="393" t="s">
        <v>1189</v>
      </c>
      <c r="AB20" s="15" t="str">
        <f>IFERROR(__xludf.DUMMYFUNCTION("join("","",filter(split($H$83,"",""),ARRAYFORMULA(ISERROR(FIND(split($H$83,"",""),CONCATENATE(E20:AA20))))=TRUE))"),"202,209,403,404,405,408,410,АЗ")</f>
        <v>202,209,403,404,405,408,410,АЗ</v>
      </c>
      <c r="AC20" s="14"/>
      <c r="AD20" s="14"/>
      <c r="AE20" s="14"/>
      <c r="AF20" s="29"/>
      <c r="AG20" s="29"/>
      <c r="AH20" s="29"/>
    </row>
    <row r="21" ht="40.5" customHeight="1">
      <c r="A21" s="30"/>
      <c r="B21" s="31">
        <v>9.0</v>
      </c>
      <c r="C21" s="65">
        <v>44697.0</v>
      </c>
      <c r="D21" s="44" t="s">
        <v>109</v>
      </c>
      <c r="E21" s="99" t="s">
        <v>1672</v>
      </c>
      <c r="F21" s="4"/>
      <c r="G21" s="328" t="s">
        <v>1673</v>
      </c>
      <c r="H21" s="101" t="s">
        <v>215</v>
      </c>
      <c r="I21" s="36"/>
      <c r="J21" s="36"/>
      <c r="K21" s="36"/>
      <c r="L21" s="36"/>
      <c r="M21" s="13"/>
      <c r="N21" s="45" t="s">
        <v>1674</v>
      </c>
      <c r="O21" s="13"/>
      <c r="P21" s="102" t="s">
        <v>1675</v>
      </c>
      <c r="Q21" s="41"/>
      <c r="R21" s="35" t="s">
        <v>211</v>
      </c>
      <c r="S21" s="41"/>
      <c r="T21" s="103" t="s">
        <v>1676</v>
      </c>
      <c r="U21" s="36"/>
      <c r="V21" s="41"/>
      <c r="W21" s="26"/>
      <c r="X21" s="65">
        <v>44697.0</v>
      </c>
      <c r="Y21" s="44" t="s">
        <v>109</v>
      </c>
      <c r="Z21" s="28"/>
      <c r="AA21" s="421"/>
      <c r="AB21" s="15" t="str">
        <f>IFERROR(__xludf.DUMMYFUNCTION("join("","",filter(split($H$83,"",""),ARRAYFORMULA(ISERROR(FIND(split($H$83,"",""),CONCATENATE(E21:AA21))))=TRUE))"),"201,206,209,210,401,403,404,405,406,408,АЗ")</f>
        <v>201,206,209,210,401,403,404,405,406,408,АЗ</v>
      </c>
      <c r="AC21" s="14"/>
      <c r="AD21" s="14"/>
      <c r="AE21" s="14"/>
      <c r="AF21" s="29"/>
      <c r="AG21" s="29"/>
      <c r="AH21" s="29"/>
    </row>
    <row r="22" ht="40.5" customHeight="1">
      <c r="A22" s="30"/>
      <c r="B22" s="31">
        <v>10.0</v>
      </c>
      <c r="C22" s="44" t="s">
        <v>120</v>
      </c>
      <c r="D22" s="44" t="s">
        <v>121</v>
      </c>
      <c r="E22" s="104"/>
      <c r="F22" s="72"/>
      <c r="G22" s="328" t="s">
        <v>1677</v>
      </c>
      <c r="H22" s="106" t="s">
        <v>1678</v>
      </c>
      <c r="I22" s="36"/>
      <c r="J22" s="36"/>
      <c r="K22" s="36"/>
      <c r="L22" s="36"/>
      <c r="M22" s="13"/>
      <c r="N22" s="45" t="s">
        <v>1679</v>
      </c>
      <c r="O22" s="13"/>
      <c r="P22" s="101" t="s">
        <v>215</v>
      </c>
      <c r="Q22" s="36"/>
      <c r="R22" s="36"/>
      <c r="S22" s="13"/>
      <c r="T22" s="107" t="s">
        <v>1680</v>
      </c>
      <c r="U22" s="36"/>
      <c r="V22" s="41"/>
      <c r="W22" s="26"/>
      <c r="X22" s="44" t="s">
        <v>120</v>
      </c>
      <c r="Y22" s="44" t="s">
        <v>121</v>
      </c>
      <c r="Z22" s="28"/>
      <c r="AA22" s="421"/>
      <c r="AB22" s="15" t="str">
        <f>IFERROR(__xludf.DUMMYFUNCTION("join("","",filter(split($H$83,"",""),ARRAYFORMULA(ISERROR(FIND(split($H$83,"",""),CONCATENATE(E22:AA22))))=TRUE))"),"201,206,209,210,401,403,404,405,406,408,409,АЗ")</f>
        <v>201,206,209,210,401,403,404,405,406,408,409,АЗ</v>
      </c>
      <c r="AC22" s="14"/>
      <c r="AD22" s="14"/>
      <c r="AE22" s="14"/>
      <c r="AF22" s="29"/>
      <c r="AG22" s="29"/>
      <c r="AH22" s="29"/>
    </row>
    <row r="23" ht="40.5" customHeight="1">
      <c r="A23" s="74"/>
      <c r="B23" s="75">
        <v>11.0</v>
      </c>
      <c r="C23" s="76" t="s">
        <v>124</v>
      </c>
      <c r="D23" s="76" t="s">
        <v>125</v>
      </c>
      <c r="E23" s="108"/>
      <c r="F23" s="109"/>
      <c r="G23" s="110"/>
      <c r="H23" s="111"/>
      <c r="I23" s="112"/>
      <c r="J23" s="113"/>
      <c r="K23" s="111"/>
      <c r="L23" s="111"/>
      <c r="M23" s="111"/>
      <c r="N23" s="111"/>
      <c r="O23" s="111"/>
      <c r="P23" s="111"/>
      <c r="Q23" s="111"/>
      <c r="R23" s="254" t="s">
        <v>1681</v>
      </c>
      <c r="S23" s="115"/>
      <c r="T23" s="115"/>
      <c r="U23" s="115"/>
      <c r="V23" s="67"/>
      <c r="W23" s="26"/>
      <c r="X23" s="76" t="s">
        <v>124</v>
      </c>
      <c r="Y23" s="76" t="s">
        <v>125</v>
      </c>
      <c r="Z23" s="28" t="str">
        <f/>
        <v>#ERROR!</v>
      </c>
      <c r="AA23" s="421"/>
      <c r="AB23" s="15" t="str">
        <f>IFERROR(__xludf.DUMMYFUNCTION("join("","",filter(split($H$83,"",""),ARRAYFORMULA(ISERROR(FIND(split($H$83,"",""),CONCATENATE(E23:AA23))))=TRUE))"),"СЗ,КЗ,201,202,206,209,210,401,402,403,404,405,406,408,409,410,АЗ")</f>
        <v>СЗ,КЗ,201,202,206,209,210,401,402,403,404,405,406,408,409,410,АЗ</v>
      </c>
      <c r="AC23" s="14"/>
      <c r="AD23" s="14"/>
      <c r="AE23" s="14"/>
      <c r="AF23" s="29"/>
      <c r="AG23" s="29"/>
      <c r="AH23" s="29"/>
    </row>
    <row r="24" ht="40.5" customHeight="1">
      <c r="A24" s="271">
        <v>44825.0</v>
      </c>
      <c r="B24" s="19">
        <v>1.0</v>
      </c>
      <c r="C24" s="20" t="s">
        <v>12</v>
      </c>
      <c r="D24" s="20" t="s">
        <v>13</v>
      </c>
      <c r="G24" s="116" t="s">
        <v>1682</v>
      </c>
      <c r="H24" s="117" t="s">
        <v>1683</v>
      </c>
      <c r="I24" s="22"/>
      <c r="J24" s="118" t="s">
        <v>221</v>
      </c>
      <c r="K24" s="24"/>
      <c r="L24" s="24"/>
      <c r="M24" s="25"/>
      <c r="N24" s="80"/>
      <c r="O24" s="25"/>
      <c r="P24" s="331"/>
      <c r="Q24" s="24"/>
      <c r="R24" s="24"/>
      <c r="S24" s="22"/>
      <c r="T24" s="121" t="s">
        <v>1684</v>
      </c>
      <c r="U24" s="24"/>
      <c r="V24" s="22"/>
      <c r="W24" s="26"/>
      <c r="X24" s="20" t="s">
        <v>12</v>
      </c>
      <c r="Y24" s="20" t="s">
        <v>13</v>
      </c>
      <c r="Z24" s="28"/>
      <c r="AA24" s="419"/>
      <c r="AB24" s="15" t="str">
        <f>IFERROR(__xludf.DUMMYFUNCTION("join("","",filter(split($H$83,"",""),ARRAYFORMULA(ISERROR(FIND(split($H$83,"",""),CONCATENATE(E24:AA24))))=TRUE))"),"СЗ,КЗ,201,206,209,210,401,402,403,404,405,406,409,410,АЗ")</f>
        <v>СЗ,КЗ,201,206,209,210,401,402,403,404,405,406,409,410,АЗ</v>
      </c>
      <c r="AC24" s="14"/>
      <c r="AD24" s="14"/>
      <c r="AE24" s="14"/>
      <c r="AF24" s="29"/>
      <c r="AG24" s="29"/>
      <c r="AH24" s="29"/>
    </row>
    <row r="25" ht="40.5" customHeight="1">
      <c r="A25" s="274"/>
      <c r="B25" s="31">
        <v>2.0</v>
      </c>
      <c r="C25" s="32" t="s">
        <v>21</v>
      </c>
      <c r="D25" s="32" t="s">
        <v>22</v>
      </c>
      <c r="E25" s="51"/>
      <c r="F25" s="41"/>
      <c r="G25" s="39" t="s">
        <v>1685</v>
      </c>
      <c r="H25" s="89" t="s">
        <v>1686</v>
      </c>
      <c r="I25" s="41"/>
      <c r="J25" s="35" t="s">
        <v>1687</v>
      </c>
      <c r="K25" s="13"/>
      <c r="L25" s="40" t="s">
        <v>1688</v>
      </c>
      <c r="M25" s="13"/>
      <c r="N25" s="80" t="s">
        <v>1689</v>
      </c>
      <c r="O25" s="25"/>
      <c r="P25" s="35" t="s">
        <v>1690</v>
      </c>
      <c r="Q25" s="13"/>
      <c r="R25" s="122" t="s">
        <v>1691</v>
      </c>
      <c r="S25" s="41"/>
      <c r="T25" s="103" t="s">
        <v>1692</v>
      </c>
      <c r="U25" s="36"/>
      <c r="V25" s="41"/>
      <c r="W25" s="26"/>
      <c r="X25" s="32" t="s">
        <v>21</v>
      </c>
      <c r="Y25" s="32" t="s">
        <v>22</v>
      </c>
      <c r="Z25" s="28"/>
      <c r="AA25" s="419"/>
      <c r="AB25" s="15" t="str">
        <f>IFERROR(__xludf.DUMMYFUNCTION("join("","",filter(split($H$83,"",""),ARRAYFORMULA(ISERROR(FIND(split($H$83,"",""),CONCATENATE(E25:AA25))))=TRUE))"),"СЗ,КЗ,206,210,403,404,405,406,409,410,АЗ")</f>
        <v>СЗ,КЗ,206,210,403,404,405,406,409,410,АЗ</v>
      </c>
      <c r="AC25" s="14"/>
      <c r="AD25" s="14"/>
      <c r="AE25" s="14"/>
      <c r="AF25" s="29"/>
      <c r="AG25" s="29"/>
      <c r="AH25" s="29"/>
    </row>
    <row r="26" ht="40.5" customHeight="1">
      <c r="A26" s="274"/>
      <c r="B26" s="31">
        <v>3.0</v>
      </c>
      <c r="C26" s="32" t="s">
        <v>33</v>
      </c>
      <c r="D26" s="32" t="s">
        <v>34</v>
      </c>
      <c r="E26" s="37" t="s">
        <v>1693</v>
      </c>
      <c r="F26" s="41"/>
      <c r="G26" s="51" t="s">
        <v>1694</v>
      </c>
      <c r="H26" s="36"/>
      <c r="I26" s="41"/>
      <c r="J26" s="95" t="s">
        <v>1695</v>
      </c>
      <c r="K26" s="13"/>
      <c r="L26" s="123" t="s">
        <v>1696</v>
      </c>
      <c r="M26" s="41"/>
      <c r="N26" s="80" t="s">
        <v>1697</v>
      </c>
      <c r="O26" s="25"/>
      <c r="P26" s="96" t="s">
        <v>1698</v>
      </c>
      <c r="Q26" s="124" t="s">
        <v>576</v>
      </c>
      <c r="R26" s="89" t="s">
        <v>1699</v>
      </c>
      <c r="S26" s="41"/>
      <c r="T26" s="125" t="s">
        <v>1700</v>
      </c>
      <c r="U26" s="36"/>
      <c r="V26" s="41"/>
      <c r="W26" s="26"/>
      <c r="X26" s="32" t="s">
        <v>33</v>
      </c>
      <c r="Y26" s="32" t="s">
        <v>34</v>
      </c>
      <c r="Z26" s="48" t="s">
        <v>47</v>
      </c>
      <c r="AA26" s="198"/>
      <c r="AB26" s="15" t="str">
        <f>IFERROR(__xludf.DUMMYFUNCTION("join("","",filter(split($H$83,"",""),ARRAYFORMULA(ISERROR(FIND(split($H$83,"",""),CONCATENATE(E26:AA26))))=TRUE))"),"СЗ,206,402,403,404,405,406,408,409,410,АЗ")</f>
        <v>СЗ,206,402,403,404,405,406,408,409,410,АЗ</v>
      </c>
      <c r="AC26" s="14"/>
      <c r="AD26" s="14"/>
      <c r="AE26" s="14"/>
      <c r="AF26" s="29"/>
      <c r="AG26" s="29"/>
      <c r="AH26" s="29"/>
    </row>
    <row r="27" ht="54.0" customHeight="1">
      <c r="A27" s="274"/>
      <c r="B27" s="31">
        <v>4.0</v>
      </c>
      <c r="C27" s="32" t="s">
        <v>48</v>
      </c>
      <c r="D27" s="32" t="s">
        <v>49</v>
      </c>
      <c r="E27" s="33" t="s">
        <v>1701</v>
      </c>
      <c r="F27" s="286" t="s">
        <v>1702</v>
      </c>
      <c r="G27" s="37" t="s">
        <v>1703</v>
      </c>
      <c r="H27" s="13"/>
      <c r="I27" s="92" t="s">
        <v>1704</v>
      </c>
      <c r="J27" s="123" t="s">
        <v>1705</v>
      </c>
      <c r="K27" s="41"/>
      <c r="L27" s="45" t="s">
        <v>1706</v>
      </c>
      <c r="M27" s="13"/>
      <c r="N27" s="127" t="s">
        <v>1707</v>
      </c>
      <c r="O27" s="13"/>
      <c r="P27" s="37" t="s">
        <v>1708</v>
      </c>
      <c r="Q27" s="13"/>
      <c r="R27" s="40" t="s">
        <v>1709</v>
      </c>
      <c r="S27" s="41"/>
      <c r="T27" s="125" t="s">
        <v>1710</v>
      </c>
      <c r="U27" s="36"/>
      <c r="V27" s="41"/>
      <c r="W27" s="26"/>
      <c r="X27" s="32" t="s">
        <v>48</v>
      </c>
      <c r="Y27" s="32" t="s">
        <v>49</v>
      </c>
      <c r="Z27" s="48" t="s">
        <v>57</v>
      </c>
      <c r="AA27" s="198"/>
      <c r="AB27" s="15" t="str">
        <f>IFERROR(__xludf.DUMMYFUNCTION("join("","",filter(split($H$83,"",""),ARRAYFORMULA(ISERROR(FIND(split($H$83,"",""),CONCATENATE(E27:AA27))))=TRUE))"),"СЗ,206,403,404,405,406,409,410,АЗ")</f>
        <v>СЗ,206,403,404,405,406,409,410,АЗ</v>
      </c>
      <c r="AC27" s="14"/>
      <c r="AD27" s="14"/>
      <c r="AE27" s="14"/>
      <c r="AF27" s="29"/>
      <c r="AG27" s="29"/>
      <c r="AH27" s="29"/>
    </row>
    <row r="28" ht="53.25" customHeight="1">
      <c r="A28" s="274"/>
      <c r="B28" s="31">
        <v>5.0</v>
      </c>
      <c r="C28" s="32" t="s">
        <v>58</v>
      </c>
      <c r="D28" s="53">
        <v>44847.0</v>
      </c>
      <c r="E28" s="33" t="s">
        <v>1711</v>
      </c>
      <c r="F28" s="286" t="s">
        <v>1712</v>
      </c>
      <c r="G28" s="37" t="s">
        <v>1713</v>
      </c>
      <c r="H28" s="13"/>
      <c r="I28" s="40" t="s">
        <v>1714</v>
      </c>
      <c r="J28" s="123" t="s">
        <v>1715</v>
      </c>
      <c r="K28" s="41"/>
      <c r="L28" s="35" t="s">
        <v>1716</v>
      </c>
      <c r="M28" s="13"/>
      <c r="N28" s="422" t="s">
        <v>1717</v>
      </c>
      <c r="P28" s="96" t="s">
        <v>1718</v>
      </c>
      <c r="Q28" s="124" t="s">
        <v>1719</v>
      </c>
      <c r="R28" s="40" t="s">
        <v>1720</v>
      </c>
      <c r="S28" s="41"/>
      <c r="T28" s="128" t="s">
        <v>1721</v>
      </c>
      <c r="U28" s="8"/>
      <c r="V28" s="129"/>
      <c r="W28" s="26"/>
      <c r="X28" s="384" t="s">
        <v>58</v>
      </c>
      <c r="Y28" s="385">
        <v>44847.0</v>
      </c>
      <c r="Z28" s="48" t="s">
        <v>70</v>
      </c>
      <c r="AA28" s="198"/>
      <c r="AB28" s="15" t="str">
        <f>IFERROR(__xludf.DUMMYFUNCTION("join("","",filter(split($H$83,"",""),ARRAYFORMULA(ISERROR(FIND(split($H$83,"",""),CONCATENATE(E28:AA28))))=TRUE))"),"СЗ,206,403,404,405,406,409,410")</f>
        <v>СЗ,206,403,404,405,406,409,410</v>
      </c>
      <c r="AC28" s="14"/>
      <c r="AD28" s="14"/>
      <c r="AE28" s="14"/>
      <c r="AF28" s="29"/>
      <c r="AG28" s="29"/>
      <c r="AH28" s="29"/>
    </row>
    <row r="29" ht="40.5" customHeight="1">
      <c r="A29" s="274"/>
      <c r="B29" s="31">
        <v>6.0</v>
      </c>
      <c r="C29" s="55" t="s">
        <v>71</v>
      </c>
      <c r="D29" s="56" t="s">
        <v>72</v>
      </c>
      <c r="E29" s="39" t="s">
        <v>1722</v>
      </c>
      <c r="F29" s="34" t="s">
        <v>1723</v>
      </c>
      <c r="G29" s="40" t="s">
        <v>1724</v>
      </c>
      <c r="H29" s="41"/>
      <c r="I29" s="44" t="s">
        <v>1725</v>
      </c>
      <c r="J29" s="35" t="s">
        <v>1726</v>
      </c>
      <c r="K29" s="13"/>
      <c r="L29" s="123" t="s">
        <v>1727</v>
      </c>
      <c r="M29" s="41"/>
      <c r="N29" s="130" t="s">
        <v>1728</v>
      </c>
      <c r="O29" s="13"/>
      <c r="P29" s="285" t="s">
        <v>1729</v>
      </c>
      <c r="Q29" s="132" t="s">
        <v>1730</v>
      </c>
      <c r="R29" s="423" t="s">
        <v>1731</v>
      </c>
      <c r="S29" s="423"/>
      <c r="V29" s="134"/>
      <c r="W29" s="26"/>
      <c r="X29" s="386" t="s">
        <v>71</v>
      </c>
      <c r="Y29" s="387" t="s">
        <v>72</v>
      </c>
      <c r="Z29" s="48" t="s">
        <v>84</v>
      </c>
      <c r="AA29" s="198"/>
      <c r="AB29" s="15" t="str">
        <f>IFERROR(__xludf.DUMMYFUNCTION("join("","",filter(split($H$83,"",""),ARRAYFORMULA(ISERROR(FIND(split($H$83,"",""),CONCATENATE(E29:AA29))))=TRUE))"),"СЗ,206,403,404,405,408,409,410,АЗ")</f>
        <v>СЗ,206,403,404,405,408,409,410,АЗ</v>
      </c>
      <c r="AC29" s="14"/>
      <c r="AD29" s="14"/>
      <c r="AE29" s="14"/>
      <c r="AF29" s="29"/>
      <c r="AG29" s="29"/>
      <c r="AH29" s="29"/>
    </row>
    <row r="30" ht="40.5" customHeight="1">
      <c r="A30" s="274"/>
      <c r="B30" s="31">
        <v>7.0</v>
      </c>
      <c r="C30" s="32" t="s">
        <v>85</v>
      </c>
      <c r="D30" s="32" t="s">
        <v>86</v>
      </c>
      <c r="E30" s="39" t="s">
        <v>1732</v>
      </c>
      <c r="F30" s="34" t="s">
        <v>1733</v>
      </c>
      <c r="G30" s="40" t="s">
        <v>1734</v>
      </c>
      <c r="H30" s="41"/>
      <c r="I30" s="34" t="s">
        <v>1735</v>
      </c>
      <c r="J30" s="334" t="s">
        <v>1736</v>
      </c>
      <c r="K30" s="36"/>
      <c r="L30" s="36"/>
      <c r="M30" s="13"/>
      <c r="N30" s="130" t="s">
        <v>1737</v>
      </c>
      <c r="O30" s="13"/>
      <c r="P30" s="131" t="s">
        <v>1738</v>
      </c>
      <c r="Q30" s="132" t="s">
        <v>1739</v>
      </c>
      <c r="R30" s="423" t="s">
        <v>1740</v>
      </c>
      <c r="S30" s="423"/>
      <c r="V30" s="134"/>
      <c r="W30" s="26"/>
      <c r="X30" s="32" t="s">
        <v>85</v>
      </c>
      <c r="Y30" s="32" t="s">
        <v>86</v>
      </c>
      <c r="Z30" s="48" t="s">
        <v>97</v>
      </c>
      <c r="AA30" s="198" t="str">
        <f>AA$9</f>
        <v/>
      </c>
      <c r="AB30" s="15" t="str">
        <f>IFERROR(__xludf.DUMMYFUNCTION("join("","",filter(split($H$83,"",""),ARRAYFORMULA(ISERROR(FIND(split($H$83,"",""),CONCATENATE(E30:AA30))))=TRUE))"),"СЗ,201,206,401,403,404,405,408,409,410,АЗ")</f>
        <v>СЗ,201,206,401,403,404,405,408,409,410,АЗ</v>
      </c>
      <c r="AC30" s="14"/>
      <c r="AD30" s="14"/>
      <c r="AE30" s="14"/>
      <c r="AF30" s="29"/>
      <c r="AG30" s="29"/>
      <c r="AH30" s="29"/>
    </row>
    <row r="31" ht="52.5" customHeight="1">
      <c r="A31" s="274"/>
      <c r="B31" s="31">
        <v>8.0</v>
      </c>
      <c r="C31" s="32" t="s">
        <v>98</v>
      </c>
      <c r="D31" s="32" t="s">
        <v>99</v>
      </c>
      <c r="E31" s="46" t="s">
        <v>1741</v>
      </c>
      <c r="F31" s="41"/>
      <c r="G31" s="408" t="s">
        <v>1742</v>
      </c>
      <c r="H31" s="237"/>
      <c r="I31" s="92"/>
      <c r="J31" s="334" t="s">
        <v>1743</v>
      </c>
      <c r="K31" s="36"/>
      <c r="L31" s="36"/>
      <c r="M31" s="13"/>
      <c r="N31" s="45" t="s">
        <v>1744</v>
      </c>
      <c r="O31" s="13"/>
      <c r="P31" s="33"/>
      <c r="Q31" s="408" t="s">
        <v>1745</v>
      </c>
      <c r="R31" s="144"/>
      <c r="S31" s="133"/>
      <c r="V31" s="134"/>
      <c r="W31" s="26"/>
      <c r="X31" s="32" t="s">
        <v>98</v>
      </c>
      <c r="Y31" s="32" t="s">
        <v>99</v>
      </c>
      <c r="Z31" s="11"/>
      <c r="AA31" s="419"/>
      <c r="AB31" s="15" t="str">
        <f>IFERROR(__xludf.DUMMYFUNCTION("join("","",filter(split($H$83,"",""),ARRAYFORMULA(ISERROR(FIND(split($H$83,"",""),CONCATENATE(E31:AA31))))=TRUE))"),"СЗ,КЗ,206,210,401,403,404,405,406,408,409,АЗ")</f>
        <v>СЗ,КЗ,206,210,401,403,404,405,406,408,409,АЗ</v>
      </c>
      <c r="AC31" s="14"/>
      <c r="AD31" s="14"/>
      <c r="AE31" s="14"/>
      <c r="AF31" s="29"/>
      <c r="AG31" s="29"/>
      <c r="AH31" s="29"/>
    </row>
    <row r="32" ht="57.0" customHeight="1">
      <c r="A32" s="274"/>
      <c r="B32" s="31">
        <v>9.0</v>
      </c>
      <c r="C32" s="65">
        <v>44697.0</v>
      </c>
      <c r="D32" s="44" t="s">
        <v>109</v>
      </c>
      <c r="E32" s="21" t="s">
        <v>1746</v>
      </c>
      <c r="F32" s="22"/>
      <c r="G32" s="408" t="s">
        <v>1747</v>
      </c>
      <c r="H32" s="144"/>
      <c r="I32" s="184"/>
      <c r="N32" s="45" t="s">
        <v>1748</v>
      </c>
      <c r="O32" s="13"/>
      <c r="P32" s="33"/>
      <c r="Q32" s="408" t="s">
        <v>1749</v>
      </c>
      <c r="R32" s="144"/>
      <c r="S32" s="92"/>
      <c r="T32" s="64"/>
      <c r="U32" s="64"/>
      <c r="V32" s="88"/>
      <c r="W32" s="26"/>
      <c r="X32" s="65">
        <v>44697.0</v>
      </c>
      <c r="Y32" s="44" t="s">
        <v>109</v>
      </c>
      <c r="Z32" s="28"/>
      <c r="AA32" s="419"/>
      <c r="AB32" s="15" t="str">
        <f>IFERROR(__xludf.DUMMYFUNCTION("join("","",filter(split($H$83,"",""),ARRAYFORMULA(ISERROR(FIND(split($H$83,"",""),CONCATENATE(E32:AA32))))=TRUE))"),"СЗ,КЗ,202,206,210,401,402,403,404,405,406,408,409,АЗ")</f>
        <v>СЗ,КЗ,202,206,210,401,402,403,404,405,406,408,409,АЗ</v>
      </c>
      <c r="AC32" s="14"/>
      <c r="AD32" s="14"/>
      <c r="AE32" s="14"/>
      <c r="AF32" s="29"/>
      <c r="AG32" s="29"/>
      <c r="AH32" s="29"/>
    </row>
    <row r="33" ht="40.5" customHeight="1">
      <c r="A33" s="274"/>
      <c r="B33" s="31">
        <v>10.0</v>
      </c>
      <c r="C33" s="44" t="s">
        <v>120</v>
      </c>
      <c r="D33" s="44" t="s">
        <v>121</v>
      </c>
      <c r="E33" s="268"/>
      <c r="F33" s="269"/>
      <c r="G33" s="145" t="s">
        <v>296</v>
      </c>
      <c r="H33" s="8"/>
      <c r="I33" s="8"/>
      <c r="J33" s="8"/>
      <c r="K33" s="8"/>
      <c r="L33" s="8"/>
      <c r="M33" s="8"/>
      <c r="N33" s="8"/>
      <c r="O33" s="8"/>
      <c r="P33" s="8"/>
      <c r="Q33" s="4"/>
      <c r="R33" s="146"/>
      <c r="S33" s="147"/>
      <c r="T33" s="148"/>
      <c r="U33" s="149"/>
      <c r="V33" s="150"/>
      <c r="W33" s="26"/>
      <c r="X33" s="44" t="s">
        <v>120</v>
      </c>
      <c r="Y33" s="44" t="s">
        <v>121</v>
      </c>
      <c r="Z33" s="28"/>
      <c r="AA33" s="419"/>
      <c r="AB33" s="15" t="str">
        <f>IFERROR(__xludf.DUMMYFUNCTION("join("","",filter(split($H$83,"",""),ARRAYFORMULA(ISERROR(FIND(split($H$83,"",""),CONCATENATE(E33:AA33))))=TRUE))"),"СЗ,КЗ,201,202,206,210,401,402,403,404,405,406,408,409,АЗ")</f>
        <v>СЗ,КЗ,201,202,206,210,401,402,403,404,405,406,408,409,АЗ</v>
      </c>
      <c r="AC33" s="14"/>
      <c r="AD33" s="14"/>
      <c r="AE33" s="14"/>
      <c r="AF33" s="29"/>
      <c r="AG33" s="29"/>
      <c r="AH33" s="29"/>
    </row>
    <row r="34" ht="40.5" customHeight="1">
      <c r="A34" s="289"/>
      <c r="B34" s="75">
        <v>11.0</v>
      </c>
      <c r="C34" s="76" t="s">
        <v>124</v>
      </c>
      <c r="D34" s="76" t="s">
        <v>125</v>
      </c>
      <c r="E34" s="110"/>
      <c r="F34" s="112"/>
      <c r="G34" s="151"/>
      <c r="H34" s="151"/>
      <c r="I34" s="151"/>
      <c r="J34" s="151"/>
      <c r="K34" s="151"/>
      <c r="L34" s="151"/>
      <c r="M34" s="151"/>
      <c r="N34" s="151"/>
      <c r="O34" s="151"/>
      <c r="P34" s="151"/>
      <c r="Q34" s="152"/>
      <c r="R34" s="153"/>
      <c r="S34" s="154"/>
      <c r="T34" s="113"/>
      <c r="U34" s="155"/>
      <c r="V34" s="112"/>
      <c r="W34" s="26"/>
      <c r="X34" s="76" t="s">
        <v>124</v>
      </c>
      <c r="Y34" s="76" t="s">
        <v>125</v>
      </c>
      <c r="Z34" s="28"/>
      <c r="AA34" s="419"/>
      <c r="AB34" s="15" t="str">
        <f>IFERROR(__xludf.DUMMYFUNCTION("join("","",filter(split($H$83,"",""),ARRAYFORMULA(ISERROR(FIND(split($H$83,"",""),CONCATENATE(E34:AA34))))=TRUE))"),"СЗ,КЗ,201,202,206,209,210,401,402,403,404,405,406,408,409,410,АЗ")</f>
        <v>СЗ,КЗ,201,202,206,209,210,401,402,403,404,405,406,408,409,410,АЗ</v>
      </c>
      <c r="AC34" s="14"/>
      <c r="AD34" s="14"/>
      <c r="AE34" s="14"/>
      <c r="AF34" s="29"/>
      <c r="AG34" s="29"/>
      <c r="AH34" s="29"/>
    </row>
    <row r="35" ht="45.75" customHeight="1">
      <c r="A35" s="18">
        <v>44826.0</v>
      </c>
      <c r="B35" s="19">
        <v>1.0</v>
      </c>
      <c r="C35" s="20" t="s">
        <v>12</v>
      </c>
      <c r="D35" s="20" t="s">
        <v>13</v>
      </c>
      <c r="E35" s="80"/>
      <c r="F35" s="25"/>
      <c r="G35" s="156" t="s">
        <v>1750</v>
      </c>
      <c r="H35" s="117" t="s">
        <v>1751</v>
      </c>
      <c r="I35" s="25"/>
      <c r="J35" s="156" t="s">
        <v>1752</v>
      </c>
      <c r="K35" s="156" t="s">
        <v>1753</v>
      </c>
      <c r="L35" s="80"/>
      <c r="M35" s="25"/>
      <c r="N35" s="80" t="s">
        <v>1754</v>
      </c>
      <c r="O35" s="25"/>
      <c r="P35" s="156" t="s">
        <v>1755</v>
      </c>
      <c r="Q35" s="156" t="s">
        <v>1756</v>
      </c>
      <c r="R35" s="159" t="s">
        <v>1757</v>
      </c>
      <c r="S35" s="160" t="s">
        <v>1758</v>
      </c>
      <c r="T35" s="161" t="s">
        <v>1759</v>
      </c>
      <c r="U35" s="24"/>
      <c r="V35" s="22"/>
      <c r="W35" s="26"/>
      <c r="X35" s="20" t="s">
        <v>12</v>
      </c>
      <c r="Y35" s="20" t="s">
        <v>13</v>
      </c>
      <c r="Z35" s="28"/>
      <c r="AA35" s="48"/>
      <c r="AB35" s="15" t="str">
        <f>IFERROR(__xludf.DUMMYFUNCTION("join("","",filter(split($H$83,"",""),ARRAYFORMULA(ISERROR(FIND(split($H$83,"",""),CONCATENATE(E35:AA35))))=TRUE))"),"СЗ,КЗ,201,206,406,410,АЗ")</f>
        <v>СЗ,КЗ,201,206,406,410,АЗ</v>
      </c>
      <c r="AC35" s="14"/>
      <c r="AD35" s="14"/>
      <c r="AE35" s="14"/>
      <c r="AF35" s="29"/>
      <c r="AG35" s="29"/>
      <c r="AH35" s="29"/>
    </row>
    <row r="36" ht="48.0" customHeight="1">
      <c r="A36" s="30"/>
      <c r="B36" s="31">
        <v>2.0</v>
      </c>
      <c r="C36" s="32" t="s">
        <v>21</v>
      </c>
      <c r="D36" s="32" t="s">
        <v>22</v>
      </c>
      <c r="E36" s="45" t="s">
        <v>1760</v>
      </c>
      <c r="F36" s="13"/>
      <c r="G36" s="44" t="s">
        <v>1761</v>
      </c>
      <c r="H36" s="40" t="s">
        <v>1762</v>
      </c>
      <c r="I36" s="13"/>
      <c r="J36" s="44" t="s">
        <v>1763</v>
      </c>
      <c r="K36" s="44" t="s">
        <v>1764</v>
      </c>
      <c r="L36" s="45"/>
      <c r="M36" s="13"/>
      <c r="N36" s="45" t="s">
        <v>316</v>
      </c>
      <c r="O36" s="13"/>
      <c r="P36" s="44" t="s">
        <v>1765</v>
      </c>
      <c r="Q36" s="44" t="s">
        <v>1766</v>
      </c>
      <c r="R36" s="159" t="s">
        <v>1767</v>
      </c>
      <c r="S36" s="90" t="s">
        <v>1768</v>
      </c>
      <c r="T36" s="163" t="s">
        <v>1769</v>
      </c>
      <c r="U36" s="36"/>
      <c r="V36" s="41"/>
      <c r="W36" s="26"/>
      <c r="X36" s="32" t="s">
        <v>21</v>
      </c>
      <c r="Y36" s="32" t="s">
        <v>22</v>
      </c>
      <c r="Z36" s="28"/>
      <c r="AA36" s="48"/>
      <c r="AB36" s="15" t="str">
        <f>IFERROR(__xludf.DUMMYFUNCTION("join("","",filter(split($H$83,"",""),ARRAYFORMULA(ISERROR(FIND(split($H$83,"",""),CONCATENATE(E36:AA36))))=TRUE))"),"СЗ,КЗ,206,406,410,АЗ")</f>
        <v>СЗ,КЗ,206,406,410,АЗ</v>
      </c>
      <c r="AC36" s="14"/>
      <c r="AD36" s="14"/>
      <c r="AE36" s="14"/>
      <c r="AF36" s="29"/>
      <c r="AG36" s="29"/>
      <c r="AH36" s="29"/>
    </row>
    <row r="37" ht="45.0" customHeight="1">
      <c r="A37" s="30"/>
      <c r="B37" s="31">
        <v>3.0</v>
      </c>
      <c r="C37" s="32" t="s">
        <v>33</v>
      </c>
      <c r="D37" s="32" t="s">
        <v>34</v>
      </c>
      <c r="E37" s="45" t="s">
        <v>1770</v>
      </c>
      <c r="F37" s="13"/>
      <c r="G37" s="132" t="s">
        <v>1771</v>
      </c>
      <c r="H37" s="45" t="s">
        <v>1772</v>
      </c>
      <c r="I37" s="13"/>
      <c r="J37" s="44" t="s">
        <v>1773</v>
      </c>
      <c r="K37" s="44" t="s">
        <v>1774</v>
      </c>
      <c r="L37" s="45" t="s">
        <v>1775</v>
      </c>
      <c r="M37" s="13"/>
      <c r="N37" s="164" t="s">
        <v>1776</v>
      </c>
      <c r="O37" s="36"/>
      <c r="P37" s="36"/>
      <c r="Q37" s="13"/>
      <c r="R37" s="44" t="s">
        <v>1777</v>
      </c>
      <c r="S37" s="44" t="s">
        <v>1778</v>
      </c>
      <c r="T37" s="87" t="s">
        <v>1779</v>
      </c>
      <c r="U37" s="36"/>
      <c r="V37" s="41"/>
      <c r="W37" s="26"/>
      <c r="X37" s="32" t="s">
        <v>33</v>
      </c>
      <c r="Y37" s="32" t="s">
        <v>34</v>
      </c>
      <c r="Z37" s="48" t="s">
        <v>47</v>
      </c>
      <c r="AA37" s="48">
        <v>406.0</v>
      </c>
      <c r="AB37" s="15" t="str">
        <f>IFERROR(__xludf.DUMMYFUNCTION("join("","",filter(split($H$83,"",""),ARRAYFORMULA(ISERROR(FIND(split($H$83,"",""),CONCATENATE(E37:AA37))))=TRUE))"),"КЗ,206,403,410,АЗ")</f>
        <v>КЗ,206,403,410,АЗ</v>
      </c>
      <c r="AC37" s="14"/>
      <c r="AD37" s="14"/>
      <c r="AE37" s="14"/>
      <c r="AF37" s="29"/>
      <c r="AG37" s="29"/>
      <c r="AH37" s="29"/>
    </row>
    <row r="38" ht="40.5" customHeight="1">
      <c r="A38" s="30"/>
      <c r="B38" s="31">
        <v>4.0</v>
      </c>
      <c r="C38" s="32" t="s">
        <v>48</v>
      </c>
      <c r="D38" s="32" t="s">
        <v>49</v>
      </c>
      <c r="E38" s="45" t="s">
        <v>1780</v>
      </c>
      <c r="F38" s="13"/>
      <c r="G38" s="132" t="s">
        <v>1781</v>
      </c>
      <c r="H38" s="45" t="s">
        <v>1782</v>
      </c>
      <c r="I38" s="13"/>
      <c r="J38" s="44" t="s">
        <v>1783</v>
      </c>
      <c r="K38" s="44" t="s">
        <v>1784</v>
      </c>
      <c r="L38" s="45" t="s">
        <v>1775</v>
      </c>
      <c r="M38" s="13"/>
      <c r="N38" s="164" t="s">
        <v>1785</v>
      </c>
      <c r="O38" s="36"/>
      <c r="P38" s="36"/>
      <c r="Q38" s="13"/>
      <c r="R38" s="44" t="s">
        <v>1786</v>
      </c>
      <c r="S38" s="44" t="s">
        <v>1787</v>
      </c>
      <c r="T38" s="87" t="s">
        <v>1788</v>
      </c>
      <c r="U38" s="36"/>
      <c r="V38" s="41"/>
      <c r="W38" s="26"/>
      <c r="X38" s="32" t="s">
        <v>48</v>
      </c>
      <c r="Y38" s="32" t="s">
        <v>49</v>
      </c>
      <c r="Z38" s="48" t="s">
        <v>57</v>
      </c>
      <c r="AA38" s="48">
        <v>406.0</v>
      </c>
      <c r="AB38" s="15" t="str">
        <f>IFERROR(__xludf.DUMMYFUNCTION("join("","",filter(split($H$83,"",""),ARRAYFORMULA(ISERROR(FIND(split($H$83,"",""),CONCATENATE(E38:AA38))))=TRUE))"),"КЗ,206,403,410,АЗ")</f>
        <v>КЗ,206,403,410,АЗ</v>
      </c>
      <c r="AC38" s="14"/>
      <c r="AD38" s="14"/>
      <c r="AE38" s="14"/>
      <c r="AF38" s="29"/>
      <c r="AG38" s="29"/>
      <c r="AH38" s="29"/>
    </row>
    <row r="39" ht="58.5" customHeight="1">
      <c r="A39" s="30"/>
      <c r="B39" s="31">
        <v>5.0</v>
      </c>
      <c r="C39" s="32" t="s">
        <v>58</v>
      </c>
      <c r="D39" s="53">
        <v>44847.0</v>
      </c>
      <c r="E39" s="45" t="s">
        <v>1789</v>
      </c>
      <c r="F39" s="13"/>
      <c r="G39" s="44" t="s">
        <v>1790</v>
      </c>
      <c r="H39" s="45" t="s">
        <v>1791</v>
      </c>
      <c r="I39" s="13"/>
      <c r="J39" s="45" t="s">
        <v>1792</v>
      </c>
      <c r="K39" s="13"/>
      <c r="L39" s="44" t="s">
        <v>1793</v>
      </c>
      <c r="M39" s="44" t="s">
        <v>1794</v>
      </c>
      <c r="N39" s="45" t="s">
        <v>1795</v>
      </c>
      <c r="O39" s="13"/>
      <c r="P39" s="424" t="s">
        <v>1796</v>
      </c>
      <c r="Q39" s="13"/>
      <c r="R39" s="44" t="s">
        <v>1797</v>
      </c>
      <c r="S39" s="132" t="s">
        <v>1798</v>
      </c>
      <c r="T39" s="45" t="s">
        <v>1799</v>
      </c>
      <c r="U39" s="36"/>
      <c r="V39" s="41"/>
      <c r="W39" s="26"/>
      <c r="X39" s="384" t="s">
        <v>58</v>
      </c>
      <c r="Y39" s="385">
        <v>44847.0</v>
      </c>
      <c r="Z39" s="48" t="s">
        <v>70</v>
      </c>
      <c r="AA39" s="48" t="s">
        <v>1371</v>
      </c>
      <c r="AB39" s="15" t="str">
        <f>IFERROR(__xludf.DUMMYFUNCTION("join("","",filter(split($H$83,"",""),ARRAYFORMULA(ISERROR(FIND(split($H$83,"",""),CONCATENATE(E39:AA39))))=TRUE))"),"206,403,404,АЗ")</f>
        <v>206,403,404,АЗ</v>
      </c>
      <c r="AC39" s="14"/>
      <c r="AD39" s="14"/>
      <c r="AE39" s="14"/>
      <c r="AF39" s="29"/>
      <c r="AG39" s="29"/>
      <c r="AH39" s="29"/>
    </row>
    <row r="40" ht="54.0" customHeight="1">
      <c r="A40" s="30"/>
      <c r="B40" s="31">
        <v>6.0</v>
      </c>
      <c r="C40" s="55" t="s">
        <v>71</v>
      </c>
      <c r="D40" s="56" t="s">
        <v>72</v>
      </c>
      <c r="E40" s="45" t="s">
        <v>1800</v>
      </c>
      <c r="F40" s="13"/>
      <c r="G40" s="44" t="s">
        <v>355</v>
      </c>
      <c r="H40" s="45" t="s">
        <v>1801</v>
      </c>
      <c r="I40" s="13"/>
      <c r="J40" s="45" t="s">
        <v>1802</v>
      </c>
      <c r="K40" s="13"/>
      <c r="L40" s="44" t="s">
        <v>1803</v>
      </c>
      <c r="M40" s="44" t="s">
        <v>1804</v>
      </c>
      <c r="N40" s="45" t="s">
        <v>1805</v>
      </c>
      <c r="O40" s="13"/>
      <c r="P40" s="424" t="s">
        <v>1806</v>
      </c>
      <c r="Q40" s="13"/>
      <c r="R40" s="44" t="s">
        <v>1807</v>
      </c>
      <c r="S40" s="132" t="s">
        <v>1808</v>
      </c>
      <c r="T40" s="45" t="s">
        <v>1809</v>
      </c>
      <c r="U40" s="36"/>
      <c r="V40" s="41"/>
      <c r="W40" s="26"/>
      <c r="X40" s="386" t="s">
        <v>71</v>
      </c>
      <c r="Y40" s="387" t="s">
        <v>72</v>
      </c>
      <c r="Z40" s="48" t="s">
        <v>84</v>
      </c>
      <c r="AA40" s="48" t="s">
        <v>1371</v>
      </c>
      <c r="AB40" s="15" t="str">
        <f>IFERROR(__xludf.DUMMYFUNCTION("join("","",filter(split($H$83,"",""),ARRAYFORMULA(ISERROR(FIND(split($H$83,"",""),CONCATENATE(E40:AA40))))=TRUE))"),"206,403,404,АЗ")</f>
        <v>206,403,404,АЗ</v>
      </c>
      <c r="AC40" s="14"/>
      <c r="AD40" s="14"/>
      <c r="AE40" s="14"/>
      <c r="AF40" s="29"/>
      <c r="AG40" s="29"/>
      <c r="AH40" s="29"/>
    </row>
    <row r="41" ht="48.75" customHeight="1">
      <c r="A41" s="30"/>
      <c r="B41" s="31">
        <v>7.0</v>
      </c>
      <c r="C41" s="32" t="s">
        <v>85</v>
      </c>
      <c r="D41" s="32" t="s">
        <v>86</v>
      </c>
      <c r="E41" s="45" t="s">
        <v>1810</v>
      </c>
      <c r="F41" s="13"/>
      <c r="G41" s="44" t="s">
        <v>1811</v>
      </c>
      <c r="H41" s="45" t="s">
        <v>1812</v>
      </c>
      <c r="I41" s="13"/>
      <c r="J41" s="45"/>
      <c r="K41" s="13"/>
      <c r="L41" s="44" t="s">
        <v>1813</v>
      </c>
      <c r="M41" s="44" t="s">
        <v>1814</v>
      </c>
      <c r="N41" s="87" t="s">
        <v>1815</v>
      </c>
      <c r="O41" s="13"/>
      <c r="P41" s="45" t="s">
        <v>1816</v>
      </c>
      <c r="Q41" s="13"/>
      <c r="R41" s="44" t="s">
        <v>1817</v>
      </c>
      <c r="S41" s="44" t="s">
        <v>1818</v>
      </c>
      <c r="T41" s="165" t="s">
        <v>1819</v>
      </c>
      <c r="U41" s="36"/>
      <c r="V41" s="41"/>
      <c r="W41" s="26"/>
      <c r="X41" s="32" t="s">
        <v>85</v>
      </c>
      <c r="Y41" s="32" t="s">
        <v>86</v>
      </c>
      <c r="Z41" s="48" t="s">
        <v>97</v>
      </c>
      <c r="AA41" s="48" t="s">
        <v>1371</v>
      </c>
      <c r="AB41" s="15" t="str">
        <f>IFERROR(__xludf.DUMMYFUNCTION("join("","",filter(split($H$83,"",""),ARRAYFORMULA(ISERROR(FIND(split($H$83,"",""),CONCATENATE(E41:AA41))))=TRUE))"),"206,210,403,408,410,АЗ")</f>
        <v>206,210,403,408,410,АЗ</v>
      </c>
      <c r="AC41" s="14"/>
      <c r="AD41" s="14"/>
      <c r="AE41" s="14"/>
      <c r="AF41" s="29"/>
      <c r="AG41" s="29"/>
      <c r="AH41" s="29"/>
    </row>
    <row r="42" ht="52.5" customHeight="1">
      <c r="A42" s="30"/>
      <c r="B42" s="31">
        <v>8.0</v>
      </c>
      <c r="C42" s="32" t="s">
        <v>98</v>
      </c>
      <c r="D42" s="32" t="s">
        <v>99</v>
      </c>
      <c r="E42" s="45" t="s">
        <v>1820</v>
      </c>
      <c r="F42" s="13"/>
      <c r="G42" s="44" t="s">
        <v>1821</v>
      </c>
      <c r="H42" s="45" t="s">
        <v>1822</v>
      </c>
      <c r="I42" s="13"/>
      <c r="J42" s="45"/>
      <c r="K42" s="13"/>
      <c r="L42" s="44" t="s">
        <v>1823</v>
      </c>
      <c r="M42" s="44" t="s">
        <v>1824</v>
      </c>
      <c r="N42" s="87" t="s">
        <v>1825</v>
      </c>
      <c r="O42" s="13"/>
      <c r="P42" s="45" t="s">
        <v>1826</v>
      </c>
      <c r="Q42" s="13"/>
      <c r="R42" s="425"/>
      <c r="S42" s="13"/>
      <c r="T42" s="165" t="s">
        <v>1827</v>
      </c>
      <c r="U42" s="36"/>
      <c r="V42" s="41"/>
      <c r="W42" s="26"/>
      <c r="X42" s="32" t="s">
        <v>98</v>
      </c>
      <c r="Y42" s="32" t="s">
        <v>99</v>
      </c>
      <c r="Z42" s="11"/>
      <c r="AA42" s="48" t="s">
        <v>1371</v>
      </c>
      <c r="AB42" s="15" t="str">
        <f>IFERROR(__xludf.DUMMYFUNCTION("join("","",filter(split($H$83,"",""),ARRAYFORMULA(ISERROR(FIND(split($H$83,"",""),CONCATENATE(E42:AA42))))=TRUE))"),"206,210,403,404,405,408,410,АЗ")</f>
        <v>206,210,403,404,405,408,410,АЗ</v>
      </c>
      <c r="AC42" s="14"/>
      <c r="AD42" s="14"/>
      <c r="AE42" s="14"/>
      <c r="AF42" s="29"/>
      <c r="AG42" s="29"/>
      <c r="AH42" s="29"/>
    </row>
    <row r="43" ht="40.5" customHeight="1">
      <c r="A43" s="30"/>
      <c r="B43" s="31">
        <v>9.0</v>
      </c>
      <c r="C43" s="65">
        <v>44697.0</v>
      </c>
      <c r="D43" s="44" t="s">
        <v>109</v>
      </c>
      <c r="E43" s="167" t="s">
        <v>1828</v>
      </c>
      <c r="F43" s="4"/>
      <c r="G43" s="168"/>
      <c r="H43" s="169" t="s">
        <v>1829</v>
      </c>
      <c r="I43" s="36"/>
      <c r="J43" s="13"/>
      <c r="K43" s="170"/>
      <c r="L43" s="4"/>
      <c r="M43" s="171"/>
      <c r="N43" s="45" t="s">
        <v>1830</v>
      </c>
      <c r="O43" s="13"/>
      <c r="P43" s="174" t="s">
        <v>1831</v>
      </c>
      <c r="Q43" s="426" t="s">
        <v>1832</v>
      </c>
      <c r="R43" s="8"/>
      <c r="S43" s="8"/>
      <c r="T43" s="8"/>
      <c r="U43" s="8"/>
      <c r="V43" s="129"/>
      <c r="W43" s="26"/>
      <c r="X43" s="65">
        <v>44697.0</v>
      </c>
      <c r="Y43" s="44" t="s">
        <v>109</v>
      </c>
      <c r="Z43" s="28"/>
      <c r="AA43" s="48" t="s">
        <v>1395</v>
      </c>
      <c r="AB43" s="15" t="str">
        <f>IFERROR(__xludf.DUMMYFUNCTION("join("","",filter(split($H$83,"",""),ARRAYFORMULA(ISERROR(FIND(split($H$83,"",""),CONCATENATE(E43:AA43))))=TRUE))"),"206,209,210,401,403,404,405,408,409,АЗ")</f>
        <v>206,209,210,401,403,404,405,408,409,АЗ</v>
      </c>
      <c r="AC43" s="14"/>
      <c r="AD43" s="14"/>
      <c r="AE43" s="14"/>
      <c r="AF43" s="29"/>
      <c r="AG43" s="29"/>
      <c r="AH43" s="29"/>
    </row>
    <row r="44" ht="40.5" customHeight="1">
      <c r="A44" s="30"/>
      <c r="B44" s="31">
        <v>10.0</v>
      </c>
      <c r="C44" s="44" t="s">
        <v>120</v>
      </c>
      <c r="D44" s="44" t="s">
        <v>121</v>
      </c>
      <c r="E44" s="104"/>
      <c r="F44" s="72"/>
      <c r="G44" s="173"/>
      <c r="H44" s="169" t="s">
        <v>1833</v>
      </c>
      <c r="I44" s="36"/>
      <c r="J44" s="13"/>
      <c r="K44" s="104"/>
      <c r="L44" s="72"/>
      <c r="M44" s="171"/>
      <c r="N44" s="45" t="s">
        <v>1834</v>
      </c>
      <c r="O44" s="13"/>
      <c r="P44" s="173"/>
      <c r="Q44" s="104"/>
      <c r="R44" s="64"/>
      <c r="S44" s="64"/>
      <c r="T44" s="64"/>
      <c r="U44" s="64"/>
      <c r="V44" s="88"/>
      <c r="W44" s="26"/>
      <c r="X44" s="44" t="s">
        <v>120</v>
      </c>
      <c r="Y44" s="44" t="s">
        <v>121</v>
      </c>
      <c r="Z44" s="28"/>
      <c r="AA44" s="48" t="s">
        <v>1395</v>
      </c>
      <c r="AB44" s="15" t="str">
        <f>IFERROR(__xludf.DUMMYFUNCTION("join("","",filter(split($H$83,"",""),ARRAYFORMULA(ISERROR(FIND(split($H$83,"",""),CONCATENATE(E44:AA44))))=TRUE))"),"201,202,206,209,210,401,403,404,405,408,409,410,АЗ")</f>
        <v>201,202,206,209,210,401,403,404,405,408,409,410,АЗ</v>
      </c>
      <c r="AC44" s="14"/>
      <c r="AD44" s="14"/>
      <c r="AE44" s="14"/>
      <c r="AF44" s="29"/>
      <c r="AG44" s="29"/>
      <c r="AH44" s="29"/>
    </row>
    <row r="45" ht="40.5"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6" t="s">
        <v>124</v>
      </c>
      <c r="Y45" s="76" t="s">
        <v>125</v>
      </c>
      <c r="Z45" s="28"/>
      <c r="AA45" s="419"/>
      <c r="AB45" s="15" t="str">
        <f>IFERROR(__xludf.DUMMYFUNCTION("join("","",filter(split($H$83,"",""),ARRAYFORMULA(ISERROR(FIND(split($H$83,"",""),CONCATENATE(E45:AA45))))=TRUE))"),"СЗ,КЗ,201,202,206,209,210,401,402,403,404,405,406,408,409,410,АЗ")</f>
        <v>СЗ,КЗ,201,202,206,209,210,401,402,403,404,405,406,408,409,410,АЗ</v>
      </c>
      <c r="AC45" s="14"/>
      <c r="AD45" s="14"/>
      <c r="AE45" s="14"/>
      <c r="AF45" s="29"/>
      <c r="AG45" s="29"/>
      <c r="AH45" s="29"/>
    </row>
    <row r="46" ht="40.5" customHeight="1">
      <c r="A46" s="18">
        <v>44827.0</v>
      </c>
      <c r="B46" s="19">
        <v>1.0</v>
      </c>
      <c r="C46" s="20" t="s">
        <v>12</v>
      </c>
      <c r="D46" s="20" t="s">
        <v>13</v>
      </c>
      <c r="E46" s="156" t="s">
        <v>1835</v>
      </c>
      <c r="F46" s="156" t="s">
        <v>1836</v>
      </c>
      <c r="G46" s="80" t="s">
        <v>1837</v>
      </c>
      <c r="H46" s="25"/>
      <c r="I46" s="427" t="s">
        <v>530</v>
      </c>
      <c r="J46" s="80" t="s">
        <v>1838</v>
      </c>
      <c r="K46" s="25"/>
      <c r="L46" s="246" t="s">
        <v>1839</v>
      </c>
      <c r="M46" s="245"/>
      <c r="N46" s="156" t="s">
        <v>1840</v>
      </c>
      <c r="O46" s="156" t="s">
        <v>1841</v>
      </c>
      <c r="P46" s="80" t="s">
        <v>1842</v>
      </c>
      <c r="Q46" s="25"/>
      <c r="R46" s="80" t="s">
        <v>1843</v>
      </c>
      <c r="S46" s="25"/>
      <c r="T46" s="80" t="s">
        <v>1844</v>
      </c>
      <c r="U46" s="24"/>
      <c r="V46" s="22"/>
      <c r="W46" s="26"/>
      <c r="X46" s="20" t="s">
        <v>12</v>
      </c>
      <c r="Y46" s="20" t="s">
        <v>13</v>
      </c>
      <c r="Z46" s="28"/>
      <c r="AA46" s="419"/>
      <c r="AB46" s="15" t="str">
        <f>IFERROR(__xludf.DUMMYFUNCTION("join("","",filter(split($H$83,"",""),ARRAYFORMULA(ISERROR(FIND(split($H$83,"",""),CONCATENATE(E46:AA46))))=TRUE))"),"СЗ,КЗ,206,402,406,409,410")</f>
        <v>СЗ,КЗ,206,402,406,409,410</v>
      </c>
      <c r="AC46" s="14"/>
      <c r="AD46" s="14"/>
      <c r="AE46" s="14"/>
      <c r="AF46" s="29"/>
      <c r="AG46" s="29"/>
      <c r="AH46" s="29"/>
    </row>
    <row r="47" ht="40.5" customHeight="1">
      <c r="A47" s="30"/>
      <c r="B47" s="31">
        <v>2.0</v>
      </c>
      <c r="C47" s="32" t="s">
        <v>21</v>
      </c>
      <c r="D47" s="32" t="s">
        <v>22</v>
      </c>
      <c r="E47" s="44" t="s">
        <v>1845</v>
      </c>
      <c r="F47" s="44" t="s">
        <v>1846</v>
      </c>
      <c r="G47" s="45" t="s">
        <v>1847</v>
      </c>
      <c r="H47" s="13"/>
      <c r="I47" s="173"/>
      <c r="J47" s="45" t="s">
        <v>1848</v>
      </c>
      <c r="K47" s="13"/>
      <c r="L47" s="104"/>
      <c r="M47" s="72"/>
      <c r="N47" s="44" t="s">
        <v>1849</v>
      </c>
      <c r="O47" s="44" t="s">
        <v>1850</v>
      </c>
      <c r="P47" s="45" t="s">
        <v>1851</v>
      </c>
      <c r="Q47" s="13"/>
      <c r="R47" s="44" t="s">
        <v>1852</v>
      </c>
      <c r="S47" s="90" t="s">
        <v>1853</v>
      </c>
      <c r="T47" s="45" t="s">
        <v>1854</v>
      </c>
      <c r="U47" s="36"/>
      <c r="V47" s="41"/>
      <c r="W47" s="26"/>
      <c r="X47" s="32" t="s">
        <v>21</v>
      </c>
      <c r="Y47" s="32" t="s">
        <v>22</v>
      </c>
      <c r="Z47" s="28"/>
      <c r="AA47" s="419"/>
      <c r="AB47" s="15" t="str">
        <f>IFERROR(__xludf.DUMMYFUNCTION("join("","",filter(split($H$83,"",""),ARRAYFORMULA(ISERROR(FIND(split($H$83,"",""),CONCATENATE(E47:AA47))))=TRUE))"),"СЗ,КЗ,206,406,409,410,АЗ")</f>
        <v>СЗ,КЗ,206,406,409,410,АЗ</v>
      </c>
      <c r="AC47" s="14"/>
      <c r="AD47" s="14"/>
      <c r="AE47" s="14"/>
      <c r="AF47" s="29"/>
      <c r="AG47" s="29"/>
      <c r="AH47" s="29"/>
    </row>
    <row r="48" ht="40.5" customHeight="1">
      <c r="A48" s="30"/>
      <c r="B48" s="31">
        <v>3.0</v>
      </c>
      <c r="C48" s="32" t="s">
        <v>33</v>
      </c>
      <c r="D48" s="32" t="s">
        <v>34</v>
      </c>
      <c r="E48" s="40" t="s">
        <v>1855</v>
      </c>
      <c r="F48" s="13"/>
      <c r="G48" s="176" t="s">
        <v>1856</v>
      </c>
      <c r="H48" s="4"/>
      <c r="I48" s="90" t="s">
        <v>1857</v>
      </c>
      <c r="J48" s="44" t="s">
        <v>1858</v>
      </c>
      <c r="K48" s="44" t="s">
        <v>1859</v>
      </c>
      <c r="L48" s="44" t="s">
        <v>1860</v>
      </c>
      <c r="M48" s="44" t="s">
        <v>1861</v>
      </c>
      <c r="N48" s="164" t="s">
        <v>1862</v>
      </c>
      <c r="O48" s="36"/>
      <c r="P48" s="36"/>
      <c r="Q48" s="13"/>
      <c r="R48" s="44" t="s">
        <v>1863</v>
      </c>
      <c r="S48" s="90" t="s">
        <v>1864</v>
      </c>
      <c r="T48" s="45" t="s">
        <v>1865</v>
      </c>
      <c r="U48" s="36"/>
      <c r="V48" s="41"/>
      <c r="W48" s="26"/>
      <c r="X48" s="32" t="s">
        <v>33</v>
      </c>
      <c r="Y48" s="32" t="s">
        <v>34</v>
      </c>
      <c r="Z48" s="48" t="s">
        <v>47</v>
      </c>
      <c r="AA48" s="198" t="str">
        <f>AA$5</f>
        <v/>
      </c>
      <c r="AB48" s="15" t="str">
        <f>IFERROR(__xludf.DUMMYFUNCTION("join("","",filter(split($H$83,"",""),ARRAYFORMULA(ISERROR(FIND(split($H$83,"",""),CONCATENATE(E48:AA48))))=TRUE))"),"СЗ,КЗ,206,209,409,410")</f>
        <v>СЗ,КЗ,206,209,409,410</v>
      </c>
      <c r="AC48" s="14"/>
      <c r="AD48" s="14"/>
      <c r="AE48" s="14"/>
      <c r="AF48" s="29"/>
      <c r="AG48" s="29"/>
      <c r="AH48" s="29"/>
    </row>
    <row r="49" ht="40.5" customHeight="1">
      <c r="A49" s="30"/>
      <c r="B49" s="31">
        <v>4.0</v>
      </c>
      <c r="C49" s="32" t="s">
        <v>48</v>
      </c>
      <c r="D49" s="32" t="s">
        <v>49</v>
      </c>
      <c r="E49" s="40" t="s">
        <v>1866</v>
      </c>
      <c r="F49" s="13"/>
      <c r="G49" s="104"/>
      <c r="H49" s="72"/>
      <c r="I49" s="90" t="s">
        <v>1867</v>
      </c>
      <c r="J49" s="44" t="s">
        <v>1868</v>
      </c>
      <c r="K49" s="44" t="s">
        <v>1869</v>
      </c>
      <c r="L49" s="44" t="s">
        <v>1870</v>
      </c>
      <c r="M49" s="44" t="s">
        <v>1871</v>
      </c>
      <c r="N49" s="164" t="s">
        <v>1872</v>
      </c>
      <c r="O49" s="36"/>
      <c r="P49" s="36"/>
      <c r="Q49" s="13"/>
      <c r="R49" s="90" t="s">
        <v>1873</v>
      </c>
      <c r="S49" s="133" t="s">
        <v>1874</v>
      </c>
      <c r="T49" s="45" t="s">
        <v>1875</v>
      </c>
      <c r="U49" s="36"/>
      <c r="V49" s="41"/>
      <c r="W49" s="26"/>
      <c r="X49" s="32" t="s">
        <v>48</v>
      </c>
      <c r="Y49" s="32" t="s">
        <v>49</v>
      </c>
      <c r="Z49" s="48" t="s">
        <v>57</v>
      </c>
      <c r="AA49" s="198">
        <f>AA$6</f>
        <v>409</v>
      </c>
      <c r="AB49" s="15" t="str">
        <f>IFERROR(__xludf.DUMMYFUNCTION("join("","",filter(split($H$83,"",""),ARRAYFORMULA(ISERROR(FIND(split($H$83,"",""),CONCATENATE(E49:AA49))))=TRUE))"),"СЗ,КЗ,201,206,209,410,АЗ")</f>
        <v>СЗ,КЗ,201,206,209,410,АЗ</v>
      </c>
      <c r="AC49" s="14"/>
      <c r="AD49" s="14"/>
      <c r="AE49" s="14"/>
      <c r="AF49" s="29"/>
      <c r="AG49" s="29"/>
      <c r="AH49" s="29"/>
    </row>
    <row r="50" ht="40.5" customHeight="1">
      <c r="A50" s="30"/>
      <c r="B50" s="31">
        <v>5.0</v>
      </c>
      <c r="C50" s="32" t="s">
        <v>58</v>
      </c>
      <c r="D50" s="53">
        <v>44847.0</v>
      </c>
      <c r="E50" s="45" t="s">
        <v>1876</v>
      </c>
      <c r="F50" s="13"/>
      <c r="G50" s="44" t="s">
        <v>1877</v>
      </c>
      <c r="H50" s="44" t="s">
        <v>1878</v>
      </c>
      <c r="I50" s="44" t="s">
        <v>1879</v>
      </c>
      <c r="J50" s="45" t="s">
        <v>1880</v>
      </c>
      <c r="K50" s="13"/>
      <c r="L50" s="45" t="s">
        <v>1881</v>
      </c>
      <c r="M50" s="13"/>
      <c r="N50" s="177" t="s">
        <v>1882</v>
      </c>
      <c r="O50" s="124" t="s">
        <v>1883</v>
      </c>
      <c r="P50" s="45" t="s">
        <v>1884</v>
      </c>
      <c r="Q50" s="13"/>
      <c r="R50" s="90" t="s">
        <v>1885</v>
      </c>
      <c r="S50" s="133" t="s">
        <v>276</v>
      </c>
      <c r="T50" s="45" t="s">
        <v>1886</v>
      </c>
      <c r="U50" s="36"/>
      <c r="V50" s="41"/>
      <c r="W50" s="26"/>
      <c r="X50" s="384" t="s">
        <v>58</v>
      </c>
      <c r="Y50" s="385">
        <v>44847.0</v>
      </c>
      <c r="Z50" s="48" t="s">
        <v>70</v>
      </c>
      <c r="AA50" s="198">
        <f>AA$7</f>
        <v>409</v>
      </c>
      <c r="AB50" s="15" t="str">
        <f>IFERROR(__xludf.DUMMYFUNCTION("join("","",filter(split($H$83,"",""),ARRAYFORMULA(ISERROR(FIND(split($H$83,"",""),CONCATENATE(E50:AA50))))=TRUE))"),"СЗ,КЗ,206,401,404,408,410")</f>
        <v>СЗ,КЗ,206,401,404,408,410</v>
      </c>
      <c r="AC50" s="14"/>
      <c r="AD50" s="14"/>
      <c r="AE50" s="14"/>
      <c r="AF50" s="29"/>
      <c r="AG50" s="29"/>
      <c r="AH50" s="29"/>
    </row>
    <row r="51" ht="48.75" customHeight="1">
      <c r="A51" s="30"/>
      <c r="B51" s="31">
        <v>6.0</v>
      </c>
      <c r="C51" s="55" t="s">
        <v>71</v>
      </c>
      <c r="D51" s="56" t="s">
        <v>72</v>
      </c>
      <c r="E51" s="45" t="s">
        <v>1887</v>
      </c>
      <c r="F51" s="13"/>
      <c r="G51" s="44" t="s">
        <v>1888</v>
      </c>
      <c r="H51" s="44" t="s">
        <v>1889</v>
      </c>
      <c r="I51" s="44" t="s">
        <v>1890</v>
      </c>
      <c r="J51" s="45" t="s">
        <v>1891</v>
      </c>
      <c r="K51" s="13"/>
      <c r="L51" s="45" t="s">
        <v>1892</v>
      </c>
      <c r="M51" s="13"/>
      <c r="N51" s="177" t="s">
        <v>1893</v>
      </c>
      <c r="O51" s="124" t="s">
        <v>1894</v>
      </c>
      <c r="P51" s="45" t="s">
        <v>1895</v>
      </c>
      <c r="Q51" s="13"/>
      <c r="R51" s="162" t="s">
        <v>1896</v>
      </c>
      <c r="S51" s="178" t="s">
        <v>1897</v>
      </c>
      <c r="T51" s="44" t="s">
        <v>1898</v>
      </c>
      <c r="U51" s="44" t="s">
        <v>1899</v>
      </c>
      <c r="V51" s="34"/>
      <c r="W51" s="179"/>
      <c r="X51" s="386" t="s">
        <v>71</v>
      </c>
      <c r="Y51" s="387" t="s">
        <v>72</v>
      </c>
      <c r="Z51" s="48" t="s">
        <v>84</v>
      </c>
      <c r="AA51" s="198"/>
      <c r="AB51" s="15" t="str">
        <f>IFERROR(__xludf.DUMMYFUNCTION("join("","",filter(split($H$83,"",""),ARRAYFORMULA(ISERROR(FIND(split($H$83,"",""),CONCATENATE(E51:AA51))))=TRUE))"),"СЗ,206,409,410")</f>
        <v>СЗ,206,409,410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1900</v>
      </c>
      <c r="F52" s="13"/>
      <c r="G52" s="44" t="s">
        <v>1901</v>
      </c>
      <c r="H52" s="44" t="s">
        <v>1902</v>
      </c>
      <c r="I52" s="44" t="s">
        <v>1903</v>
      </c>
      <c r="J52" s="45" t="s">
        <v>1904</v>
      </c>
      <c r="K52" s="13"/>
      <c r="L52" s="45" t="s">
        <v>1905</v>
      </c>
      <c r="M52" s="13"/>
      <c r="N52" s="341" t="s">
        <v>1906</v>
      </c>
      <c r="O52" s="177" t="s">
        <v>1907</v>
      </c>
      <c r="P52" s="124" t="s">
        <v>1908</v>
      </c>
      <c r="Q52" s="181" t="s">
        <v>1909</v>
      </c>
      <c r="R52" s="341" t="s">
        <v>1906</v>
      </c>
      <c r="S52" s="341" t="s">
        <v>1906</v>
      </c>
      <c r="T52" s="44" t="s">
        <v>1910</v>
      </c>
      <c r="U52" s="341" t="s">
        <v>1906</v>
      </c>
      <c r="V52" s="34"/>
      <c r="W52" s="26"/>
      <c r="X52" s="32" t="s">
        <v>85</v>
      </c>
      <c r="Y52" s="32" t="s">
        <v>86</v>
      </c>
      <c r="Z52" s="48" t="s">
        <v>97</v>
      </c>
      <c r="AA52" s="198" t="str">
        <f>AA$9</f>
        <v/>
      </c>
      <c r="AB52" s="15" t="str">
        <f>IFERROR(__xludf.DUMMYFUNCTION("join("","",filter(split($H$83,"",""),ARRAYFORMULA(ISERROR(FIND(split($H$83,"",""),CONCATENATE(E52:AA52))))=TRUE))"),"СЗ,206,404,406,408,410")</f>
        <v>СЗ,206,404,406,408,410</v>
      </c>
      <c r="AC52" s="14"/>
      <c r="AD52" s="14"/>
      <c r="AE52" s="14"/>
      <c r="AF52" s="29"/>
      <c r="AG52" s="29"/>
      <c r="AH52" s="29"/>
    </row>
    <row r="53" ht="51.75" customHeight="1">
      <c r="A53" s="30"/>
      <c r="B53" s="31">
        <v>8.0</v>
      </c>
      <c r="C53" s="32" t="s">
        <v>98</v>
      </c>
      <c r="D53" s="32" t="s">
        <v>99</v>
      </c>
      <c r="E53" s="44" t="s">
        <v>1911</v>
      </c>
      <c r="F53" s="44" t="s">
        <v>1912</v>
      </c>
      <c r="G53" s="416" t="s">
        <v>1913</v>
      </c>
      <c r="H53" s="86" t="s">
        <v>1914</v>
      </c>
      <c r="I53" s="13"/>
      <c r="J53" s="45" t="s">
        <v>1915</v>
      </c>
      <c r="K53" s="13"/>
      <c r="L53" s="45" t="s">
        <v>1916</v>
      </c>
      <c r="M53" s="13"/>
      <c r="N53" s="341" t="s">
        <v>1906</v>
      </c>
      <c r="O53" s="177" t="s">
        <v>1917</v>
      </c>
      <c r="P53" s="124" t="s">
        <v>1918</v>
      </c>
      <c r="Q53" s="181" t="s">
        <v>1919</v>
      </c>
      <c r="R53" s="428" t="s">
        <v>1906</v>
      </c>
      <c r="S53" s="13"/>
      <c r="T53" s="144"/>
      <c r="U53" s="341" t="s">
        <v>1906</v>
      </c>
      <c r="V53" s="184"/>
      <c r="W53" s="26"/>
      <c r="X53" s="32" t="s">
        <v>98</v>
      </c>
      <c r="Y53" s="32" t="s">
        <v>99</v>
      </c>
      <c r="Z53" s="11"/>
      <c r="AA53" s="419"/>
      <c r="AB53" s="15" t="str">
        <f>IFERROR(__xludf.DUMMYFUNCTION("join("","",filter(split($H$83,"",""),ARRAYFORMULA(ISERROR(FIND(split($H$83,"",""),CONCATENATE(E53:AA53))))=TRUE))"),"СЗ,206,401,402,404,405,408,410")</f>
        <v>СЗ,206,401,402,404,405,408,410</v>
      </c>
      <c r="AC53" s="14"/>
      <c r="AD53" s="14"/>
      <c r="AE53" s="14"/>
      <c r="AF53" s="29"/>
      <c r="AG53" s="29"/>
      <c r="AH53" s="29"/>
    </row>
    <row r="54">
      <c r="A54" s="30"/>
      <c r="B54" s="31">
        <v>9.0</v>
      </c>
      <c r="C54" s="65">
        <v>44697.0</v>
      </c>
      <c r="D54" s="44" t="s">
        <v>109</v>
      </c>
      <c r="E54" s="187" t="s">
        <v>1920</v>
      </c>
      <c r="F54" s="8"/>
      <c r="G54" s="8"/>
      <c r="H54" s="8"/>
      <c r="I54" s="8"/>
      <c r="J54" s="8"/>
      <c r="K54" s="8"/>
      <c r="L54" s="8"/>
      <c r="M54" s="8"/>
      <c r="N54" s="8"/>
      <c r="O54" s="8"/>
      <c r="P54" s="8"/>
      <c r="Q54" s="8"/>
      <c r="R54" s="8"/>
      <c r="S54" s="8"/>
      <c r="T54" s="8"/>
      <c r="U54" s="8"/>
      <c r="V54" s="8"/>
      <c r="W54" s="186"/>
      <c r="X54" s="65">
        <v>44697.0</v>
      </c>
      <c r="Y54" s="44" t="s">
        <v>109</v>
      </c>
      <c r="Z54" s="28"/>
      <c r="AA54" s="419"/>
      <c r="AB54" s="15" t="str">
        <f>IFERROR(__xludf.DUMMYFUNCTION("join("","",filter(split($H$83,"",""),ARRAYFORMULA(ISERROR(FIND(split($H$83,"",""),CONCATENATE(E54:AA54))))=TRUE))"),"206,209,401,403,404,405,408,409,АЗ")</f>
        <v>206,209,401,403,404,405,408,409,АЗ</v>
      </c>
      <c r="AC54" s="14"/>
      <c r="AD54" s="14"/>
      <c r="AE54" s="14"/>
      <c r="AF54" s="29"/>
      <c r="AG54" s="29"/>
      <c r="AH54" s="29"/>
    </row>
    <row r="55">
      <c r="A55" s="30"/>
      <c r="B55" s="31">
        <v>10.0</v>
      </c>
      <c r="C55" s="44" t="s">
        <v>120</v>
      </c>
      <c r="D55" s="44" t="s">
        <v>121</v>
      </c>
      <c r="E55" s="104"/>
      <c r="F55" s="64"/>
      <c r="G55" s="64"/>
      <c r="H55" s="64"/>
      <c r="I55" s="64"/>
      <c r="J55" s="64"/>
      <c r="K55" s="64"/>
      <c r="L55" s="64"/>
      <c r="M55" s="64"/>
      <c r="N55" s="64"/>
      <c r="O55" s="64"/>
      <c r="P55" s="64"/>
      <c r="Q55" s="64"/>
      <c r="R55" s="64"/>
      <c r="S55" s="64"/>
      <c r="T55" s="64"/>
      <c r="U55" s="64"/>
      <c r="V55" s="64"/>
      <c r="W55" s="190"/>
      <c r="X55" s="44" t="s">
        <v>120</v>
      </c>
      <c r="Y55" s="44" t="s">
        <v>121</v>
      </c>
      <c r="Z55" s="28"/>
      <c r="AA55" s="419"/>
      <c r="AB55" s="15" t="str">
        <f>IFERROR(__xludf.DUMMYFUNCTION("join("","",filter(split($H$83,"",""),ARRAYFORMULA(ISERROR(FIND(split($H$83,"",""),CONCATENATE(E55:AA55))))=TRUE))"),"СЗ,КЗ,201,202,206,209,210,401,402,403,404,405,406,408,409,410,АЗ")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6" t="s">
        <v>124</v>
      </c>
      <c r="Y56" s="76" t="s">
        <v>125</v>
      </c>
      <c r="Z56" s="28"/>
      <c r="AA56" s="419"/>
      <c r="AB56" s="15" t="str">
        <f>IFERROR(__xludf.DUMMYFUNCTION("join("","",filter(split($H$83,"",""),ARRAYFORMULA(ISERROR(FIND(split($H$83,"",""),CONCATENATE(E56:AA56))))=TRUE))"),"СЗ,КЗ,201,202,206,209,210,401,402,403,404,405,406,408,409,410,АЗ")</f>
        <v>СЗ,КЗ,201,202,206,209,210,401,402,403,404,405,406,408,409,410,АЗ</v>
      </c>
      <c r="AC56" s="14"/>
      <c r="AD56" s="14"/>
      <c r="AE56" s="14"/>
      <c r="AF56" s="29"/>
      <c r="AG56" s="29"/>
      <c r="AH56" s="29"/>
    </row>
    <row r="57" ht="40.5" customHeight="1">
      <c r="A57" s="18">
        <v>44828.0</v>
      </c>
      <c r="B57" s="191">
        <v>1.0</v>
      </c>
      <c r="C57" s="195" t="s">
        <v>1921</v>
      </c>
      <c r="D57" s="72"/>
      <c r="E57" s="196" t="s">
        <v>1922</v>
      </c>
      <c r="F57" s="72"/>
      <c r="G57" s="194" t="s">
        <v>1923</v>
      </c>
      <c r="H57" s="64"/>
      <c r="I57" s="72"/>
      <c r="J57" s="195"/>
      <c r="K57" s="64"/>
      <c r="L57" s="64"/>
      <c r="M57" s="72"/>
      <c r="N57" s="193"/>
      <c r="O57" s="193"/>
      <c r="P57" s="259"/>
      <c r="Q57" s="259"/>
      <c r="R57" s="193"/>
      <c r="S57" s="193"/>
      <c r="T57" s="193"/>
      <c r="U57" s="193"/>
      <c r="V57" s="193"/>
      <c r="W57" s="15"/>
      <c r="X57" s="197" t="str">
        <f>Y$1</f>
        <v/>
      </c>
      <c r="Y57" s="13"/>
      <c r="Z57" s="28"/>
      <c r="AA57" s="419"/>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5"/>
      <c r="P58" s="144"/>
      <c r="Q58" s="144"/>
      <c r="R58" s="15"/>
      <c r="S58" s="15"/>
      <c r="T58" s="15"/>
      <c r="U58" s="15"/>
      <c r="V58" s="15"/>
      <c r="W58" s="15"/>
      <c r="X58" s="85"/>
      <c r="Y58" s="85"/>
      <c r="Z58" s="198"/>
      <c r="AA58" s="419"/>
      <c r="AB58" s="15"/>
      <c r="AC58" s="14"/>
      <c r="AD58" s="14"/>
      <c r="AE58" s="14"/>
      <c r="AF58" s="29"/>
      <c r="AG58" s="29"/>
      <c r="AH58" s="29"/>
    </row>
    <row r="59" ht="40.5" customHeight="1">
      <c r="A59" s="30"/>
      <c r="B59" s="31">
        <v>3.0</v>
      </c>
      <c r="C59" s="85"/>
      <c r="D59" s="85"/>
      <c r="E59" s="15"/>
      <c r="F59" s="15"/>
      <c r="G59" s="15"/>
      <c r="H59" s="15"/>
      <c r="I59" s="15"/>
      <c r="J59" s="45"/>
      <c r="K59" s="36"/>
      <c r="L59" s="36"/>
      <c r="M59" s="13"/>
      <c r="N59" s="15"/>
      <c r="O59" s="15"/>
      <c r="P59" s="15"/>
      <c r="Q59" s="15"/>
      <c r="R59" s="15"/>
      <c r="S59" s="15"/>
      <c r="T59" s="15"/>
      <c r="U59" s="15"/>
      <c r="V59" s="15"/>
      <c r="W59" s="15"/>
      <c r="X59" s="85"/>
      <c r="Y59" s="85"/>
      <c r="Z59" s="198"/>
      <c r="AA59" s="198" t="str">
        <f>AA$5</f>
        <v/>
      </c>
      <c r="AB59" s="15"/>
      <c r="AC59" s="14"/>
      <c r="AD59" s="14"/>
      <c r="AE59" s="14"/>
      <c r="AF59" s="29"/>
      <c r="AG59" s="29"/>
      <c r="AH59" s="29"/>
    </row>
    <row r="60" ht="40.5" customHeight="1">
      <c r="A60" s="30"/>
      <c r="B60" s="31">
        <v>4.0</v>
      </c>
      <c r="C60" s="85"/>
      <c r="D60" s="85"/>
      <c r="E60" s="15"/>
      <c r="F60" s="15"/>
      <c r="G60" s="15"/>
      <c r="H60" s="15"/>
      <c r="I60" s="15"/>
      <c r="J60" s="45"/>
      <c r="K60" s="36"/>
      <c r="L60" s="36"/>
      <c r="M60" s="13"/>
      <c r="N60" s="15"/>
      <c r="O60" s="15"/>
      <c r="P60" s="15"/>
      <c r="Q60" s="15"/>
      <c r="R60" s="15"/>
      <c r="S60" s="15"/>
      <c r="T60" s="15"/>
      <c r="U60" s="15"/>
      <c r="V60" s="15"/>
      <c r="W60" s="15"/>
      <c r="X60" s="85"/>
      <c r="Y60" s="85"/>
      <c r="Z60" s="198"/>
      <c r="AA60" s="198">
        <f>AA$6</f>
        <v>409</v>
      </c>
      <c r="AB60" s="15"/>
      <c r="AC60" s="14"/>
      <c r="AD60" s="14"/>
      <c r="AE60" s="14"/>
      <c r="AF60" s="29"/>
      <c r="AG60" s="29"/>
      <c r="AH60" s="29"/>
    </row>
    <row r="61" ht="40.5" customHeight="1">
      <c r="A61" s="30"/>
      <c r="B61" s="31">
        <v>5.0</v>
      </c>
      <c r="C61" s="85"/>
      <c r="D61" s="85"/>
      <c r="E61" s="15"/>
      <c r="F61" s="15"/>
      <c r="G61" s="15"/>
      <c r="H61" s="15"/>
      <c r="I61" s="167"/>
      <c r="J61" s="4"/>
      <c r="K61" s="15"/>
      <c r="L61" s="15"/>
      <c r="M61" s="15"/>
      <c r="N61" s="15"/>
      <c r="O61" s="15"/>
      <c r="P61" s="15"/>
      <c r="Q61" s="15"/>
      <c r="R61" s="15"/>
      <c r="S61" s="15"/>
      <c r="T61" s="15"/>
      <c r="U61" s="15"/>
      <c r="V61" s="15"/>
      <c r="W61" s="15"/>
      <c r="X61" s="85"/>
      <c r="Y61" s="85"/>
      <c r="Z61" s="198"/>
      <c r="AA61" s="198">
        <f>AA$7</f>
        <v>409</v>
      </c>
      <c r="AB61" s="15"/>
      <c r="AC61" s="14"/>
      <c r="AD61" s="14"/>
      <c r="AE61" s="14"/>
      <c r="AF61" s="29"/>
      <c r="AG61" s="29"/>
      <c r="AH61" s="29"/>
    </row>
    <row r="62" ht="40.5" customHeight="1">
      <c r="A62" s="30"/>
      <c r="B62" s="31">
        <v>6.0</v>
      </c>
      <c r="C62" s="85"/>
      <c r="D62" s="85"/>
      <c r="E62" s="15"/>
      <c r="F62" s="15"/>
      <c r="G62" s="15"/>
      <c r="H62" s="15"/>
      <c r="I62" s="224"/>
      <c r="J62" s="139"/>
      <c r="K62" s="15"/>
      <c r="L62" s="15"/>
      <c r="M62" s="15"/>
      <c r="N62" s="15"/>
      <c r="O62" s="15"/>
      <c r="P62" s="15"/>
      <c r="Q62" s="15"/>
      <c r="R62" s="15"/>
      <c r="S62" s="15"/>
      <c r="T62" s="15"/>
      <c r="U62" s="15"/>
      <c r="V62" s="15"/>
      <c r="W62" s="15"/>
      <c r="X62" s="85"/>
      <c r="Y62" s="85"/>
      <c r="Z62" s="198"/>
      <c r="AA62" s="198" t="str">
        <f>AA$8</f>
        <v/>
      </c>
      <c r="AB62" s="15"/>
      <c r="AC62" s="14"/>
      <c r="AD62" s="14"/>
      <c r="AE62" s="14"/>
      <c r="AF62" s="29"/>
      <c r="AG62" s="29"/>
      <c r="AH62" s="29"/>
    </row>
    <row r="63" ht="40.5" customHeight="1">
      <c r="A63" s="30"/>
      <c r="B63" s="31">
        <v>7.0</v>
      </c>
      <c r="C63" s="85"/>
      <c r="D63" s="85"/>
      <c r="E63" s="15"/>
      <c r="F63" s="15"/>
      <c r="G63" s="15"/>
      <c r="H63" s="15"/>
      <c r="I63" s="224"/>
      <c r="J63" s="139"/>
      <c r="K63" s="15"/>
      <c r="L63" s="15"/>
      <c r="M63" s="15"/>
      <c r="N63" s="15"/>
      <c r="O63" s="15"/>
      <c r="P63" s="15"/>
      <c r="Q63" s="15"/>
      <c r="R63" s="15"/>
      <c r="S63" s="15"/>
      <c r="T63" s="15"/>
      <c r="U63" s="15"/>
      <c r="V63" s="15"/>
      <c r="W63" s="15"/>
      <c r="X63" s="85"/>
      <c r="Y63" s="85"/>
      <c r="Z63" s="198"/>
      <c r="AA63" s="198"/>
      <c r="AB63" s="14"/>
      <c r="AC63" s="14"/>
      <c r="AD63" s="14"/>
      <c r="AE63" s="14"/>
      <c r="AF63" s="29"/>
      <c r="AG63" s="29"/>
      <c r="AH63" s="29"/>
    </row>
    <row r="64" ht="40.5" customHeight="1">
      <c r="A64" s="30"/>
      <c r="B64" s="31">
        <v>8.0</v>
      </c>
      <c r="C64" s="85"/>
      <c r="D64" s="85"/>
      <c r="E64" s="15"/>
      <c r="F64" s="15"/>
      <c r="G64" s="15"/>
      <c r="H64" s="15"/>
      <c r="I64" s="224"/>
      <c r="J64" s="139"/>
      <c r="K64" s="15"/>
      <c r="L64" s="15"/>
      <c r="M64" s="15"/>
      <c r="N64" s="15"/>
      <c r="O64" s="15"/>
      <c r="P64" s="15"/>
      <c r="Q64" s="15"/>
      <c r="R64" s="15"/>
      <c r="S64" s="15"/>
      <c r="T64" s="15"/>
      <c r="U64" s="15"/>
      <c r="V64" s="15"/>
      <c r="W64" s="15"/>
      <c r="X64" s="85"/>
      <c r="Y64" s="85"/>
      <c r="Z64" s="198"/>
      <c r="AA64" s="198" t="str">
        <f>AA$9</f>
        <v/>
      </c>
      <c r="AB64" s="14"/>
      <c r="AC64" s="14"/>
      <c r="AD64" s="14"/>
      <c r="AE64" s="14"/>
      <c r="AF64" s="29"/>
      <c r="AG64" s="29"/>
      <c r="AH64" s="29"/>
    </row>
    <row r="65" ht="40.5" customHeight="1">
      <c r="A65" s="30"/>
      <c r="B65" s="31">
        <v>9.0</v>
      </c>
      <c r="C65" s="85"/>
      <c r="D65" s="85"/>
      <c r="E65" s="15"/>
      <c r="F65" s="15"/>
      <c r="G65" s="15"/>
      <c r="H65" s="15"/>
      <c r="I65" s="104"/>
      <c r="J65" s="72"/>
      <c r="K65" s="15"/>
      <c r="L65" s="15"/>
      <c r="M65" s="15"/>
      <c r="N65" s="15"/>
      <c r="O65" s="15"/>
      <c r="P65" s="15"/>
      <c r="Q65" s="15"/>
      <c r="R65" s="15"/>
      <c r="S65" s="15"/>
      <c r="T65" s="15"/>
      <c r="U65" s="15"/>
      <c r="V65" s="15"/>
      <c r="W65" s="15"/>
      <c r="X65" s="85"/>
      <c r="Y65" s="85"/>
      <c r="Z65" s="198"/>
      <c r="AA65" s="419"/>
      <c r="AB65" s="15"/>
      <c r="AC65" s="14"/>
      <c r="AD65" s="14"/>
      <c r="AE65" s="14"/>
      <c r="AF65" s="29"/>
      <c r="AG65" s="29"/>
      <c r="AH65" s="29"/>
    </row>
    <row r="66" ht="40.5" customHeight="1">
      <c r="A66" s="30"/>
      <c r="B66" s="200"/>
      <c r="C66" s="85"/>
      <c r="D66" s="85"/>
      <c r="E66" s="15"/>
      <c r="F66" s="15"/>
      <c r="G66" s="15"/>
      <c r="H66" s="15"/>
      <c r="I66" s="15"/>
      <c r="J66" s="15"/>
      <c r="K66" s="15"/>
      <c r="L66" s="15"/>
      <c r="M66" s="15"/>
      <c r="N66" s="15"/>
      <c r="O66" s="15"/>
      <c r="P66" s="15"/>
      <c r="Q66" s="15"/>
      <c r="R66" s="15"/>
      <c r="S66" s="15"/>
      <c r="T66" s="15"/>
      <c r="U66" s="15"/>
      <c r="V66" s="15"/>
      <c r="W66" s="15"/>
      <c r="X66" s="85"/>
      <c r="Y66" s="85"/>
      <c r="Z66" s="198" t="str">
        <f>Z$12</f>
        <v/>
      </c>
      <c r="AA66" s="419"/>
      <c r="AB66" s="14"/>
      <c r="AC66" s="14"/>
      <c r="AD66" s="14"/>
      <c r="AE66" s="14"/>
      <c r="AF66" s="29"/>
      <c r="AG66" s="29"/>
      <c r="AH66" s="29"/>
    </row>
    <row r="67" ht="40.5" customHeight="1">
      <c r="A67" s="74"/>
      <c r="B67" s="200"/>
      <c r="C67" s="14"/>
      <c r="D67" s="15"/>
      <c r="E67" s="15"/>
      <c r="F67" s="15"/>
      <c r="G67" s="15"/>
      <c r="H67" s="15"/>
      <c r="I67" s="15"/>
      <c r="J67" s="15"/>
      <c r="K67" s="15"/>
      <c r="L67" s="15"/>
      <c r="M67" s="15"/>
      <c r="N67" s="15"/>
      <c r="O67" s="15"/>
      <c r="P67" s="15"/>
      <c r="Q67" s="15"/>
      <c r="R67" s="15"/>
      <c r="S67" s="15"/>
      <c r="T67" s="15"/>
      <c r="U67" s="15"/>
      <c r="V67" s="15"/>
      <c r="W67" s="15"/>
      <c r="X67" s="14"/>
      <c r="Y67" s="15"/>
      <c r="Z67" s="198" t="str">
        <f>#REF!</f>
        <v>#REF!</v>
      </c>
      <c r="AA67" s="419"/>
      <c r="AB67" s="14"/>
      <c r="AC67" s="14"/>
      <c r="AD67" s="14"/>
      <c r="AE67" s="14"/>
      <c r="AF67" s="29"/>
      <c r="AG67" s="29"/>
      <c r="AH67" s="29"/>
    </row>
    <row r="68" ht="40.5" customHeight="1">
      <c r="A68" s="201"/>
      <c r="B68" s="200"/>
      <c r="C68" s="14"/>
      <c r="D68" s="14"/>
      <c r="E68" s="15"/>
      <c r="F68" s="15"/>
      <c r="G68" s="15"/>
      <c r="H68" s="15"/>
      <c r="I68" s="15"/>
      <c r="J68" s="15"/>
      <c r="K68" s="15"/>
      <c r="L68" s="15"/>
      <c r="M68" s="15"/>
      <c r="N68" s="15"/>
      <c r="O68" s="15"/>
      <c r="P68" s="15"/>
      <c r="Q68" s="15"/>
      <c r="R68" s="15"/>
      <c r="S68" s="15"/>
      <c r="T68" s="15"/>
      <c r="U68" s="15"/>
      <c r="V68" s="15"/>
      <c r="W68" s="15"/>
      <c r="X68" s="14"/>
      <c r="Y68" s="14"/>
      <c r="Z68" s="198"/>
      <c r="AA68" s="419"/>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419"/>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419"/>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419"/>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419"/>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419"/>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419"/>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419"/>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419"/>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419"/>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419"/>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419"/>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419"/>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419"/>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419"/>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419"/>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419"/>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419"/>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419"/>
      <c r="AB86" s="14"/>
      <c r="AC86" s="14"/>
      <c r="AD86" s="14"/>
      <c r="AE86" s="14"/>
      <c r="AF86" s="29"/>
      <c r="AG86" s="29"/>
      <c r="AH86" s="29"/>
    </row>
  </sheetData>
  <mergeCells count="278">
    <mergeCell ref="E20:F20"/>
    <mergeCell ref="H20:I20"/>
    <mergeCell ref="E10:F10"/>
    <mergeCell ref="H10:I10"/>
    <mergeCell ref="E13:F13"/>
    <mergeCell ref="H13:I13"/>
    <mergeCell ref="E14:F14"/>
    <mergeCell ref="H14:I14"/>
    <mergeCell ref="H24:I24"/>
    <mergeCell ref="E37:F37"/>
    <mergeCell ref="E38:F38"/>
    <mergeCell ref="E21:F22"/>
    <mergeCell ref="E25:F25"/>
    <mergeCell ref="E26:F26"/>
    <mergeCell ref="E31:F31"/>
    <mergeCell ref="E32:F32"/>
    <mergeCell ref="E35:F35"/>
    <mergeCell ref="E36:F36"/>
    <mergeCell ref="H40:I40"/>
    <mergeCell ref="H41:I41"/>
    <mergeCell ref="H36:I36"/>
    <mergeCell ref="H37:I37"/>
    <mergeCell ref="H38:I38"/>
    <mergeCell ref="E39:F39"/>
    <mergeCell ref="H39:I39"/>
    <mergeCell ref="E40:F40"/>
    <mergeCell ref="E41:F41"/>
    <mergeCell ref="G47:H47"/>
    <mergeCell ref="G48:H49"/>
    <mergeCell ref="E42:F42"/>
    <mergeCell ref="H42:I42"/>
    <mergeCell ref="E43:F44"/>
    <mergeCell ref="G43:G44"/>
    <mergeCell ref="G46:H46"/>
    <mergeCell ref="I46:I47"/>
    <mergeCell ref="E48:F48"/>
    <mergeCell ref="E16:F16"/>
    <mergeCell ref="G16:I16"/>
    <mergeCell ref="E17:F17"/>
    <mergeCell ref="H17:I17"/>
    <mergeCell ref="E18:F18"/>
    <mergeCell ref="H18:I18"/>
    <mergeCell ref="E19:F19"/>
    <mergeCell ref="H19:I19"/>
    <mergeCell ref="A13:A23"/>
    <mergeCell ref="A24:A34"/>
    <mergeCell ref="A35:A45"/>
    <mergeCell ref="A46:A56"/>
    <mergeCell ref="A57:A67"/>
    <mergeCell ref="H25:I25"/>
    <mergeCell ref="G26:I26"/>
    <mergeCell ref="G27:H27"/>
    <mergeCell ref="G28:H28"/>
    <mergeCell ref="G29:H29"/>
    <mergeCell ref="G30:H30"/>
    <mergeCell ref="H35:I35"/>
    <mergeCell ref="G57:I57"/>
    <mergeCell ref="I61:J65"/>
    <mergeCell ref="E49:F49"/>
    <mergeCell ref="E50:F50"/>
    <mergeCell ref="E51:F51"/>
    <mergeCell ref="E52:F52"/>
    <mergeCell ref="H53:I53"/>
    <mergeCell ref="C57:D57"/>
    <mergeCell ref="E57:F57"/>
    <mergeCell ref="H6:I6"/>
    <mergeCell ref="N6:O6"/>
    <mergeCell ref="H7:I7"/>
    <mergeCell ref="J7:M7"/>
    <mergeCell ref="H21:M21"/>
    <mergeCell ref="N21:O21"/>
    <mergeCell ref="P21:Q21"/>
    <mergeCell ref="H22:M22"/>
    <mergeCell ref="N22:O22"/>
    <mergeCell ref="N4:O4"/>
    <mergeCell ref="P4:Q4"/>
    <mergeCell ref="H5:I5"/>
    <mergeCell ref="N5:O5"/>
    <mergeCell ref="P5:Q5"/>
    <mergeCell ref="R5:S5"/>
    <mergeCell ref="P6:Q6"/>
    <mergeCell ref="R6:S6"/>
    <mergeCell ref="N7:O7"/>
    <mergeCell ref="P7:Q7"/>
    <mergeCell ref="U7:V7"/>
    <mergeCell ref="U8:V8"/>
    <mergeCell ref="R9:V9"/>
    <mergeCell ref="Q10:V10"/>
    <mergeCell ref="T11:V11"/>
    <mergeCell ref="P22:S22"/>
    <mergeCell ref="T22:V22"/>
    <mergeCell ref="J28:K28"/>
    <mergeCell ref="J29:K29"/>
    <mergeCell ref="J46:K46"/>
    <mergeCell ref="J47:K47"/>
    <mergeCell ref="J40:K40"/>
    <mergeCell ref="J41:K41"/>
    <mergeCell ref="J42:K42"/>
    <mergeCell ref="H43:J43"/>
    <mergeCell ref="K43:L44"/>
    <mergeCell ref="H44:J44"/>
    <mergeCell ref="L46:M47"/>
    <mergeCell ref="N41:O41"/>
    <mergeCell ref="P41:Q41"/>
    <mergeCell ref="N42:O42"/>
    <mergeCell ref="P42:Q42"/>
    <mergeCell ref="R42:S42"/>
    <mergeCell ref="P43:P44"/>
    <mergeCell ref="Q43:V44"/>
    <mergeCell ref="N43:O43"/>
    <mergeCell ref="N44:O44"/>
    <mergeCell ref="P46:Q46"/>
    <mergeCell ref="R46:S46"/>
    <mergeCell ref="T46:V46"/>
    <mergeCell ref="P47:Q47"/>
    <mergeCell ref="N48:Q48"/>
    <mergeCell ref="P50:Q50"/>
    <mergeCell ref="P51:Q51"/>
    <mergeCell ref="L51:M51"/>
    <mergeCell ref="J57:M57"/>
    <mergeCell ref="J59:M59"/>
    <mergeCell ref="J60:M60"/>
    <mergeCell ref="N49:Q49"/>
    <mergeCell ref="T49:V49"/>
    <mergeCell ref="J50:K50"/>
    <mergeCell ref="L50:M50"/>
    <mergeCell ref="T50:V50"/>
    <mergeCell ref="J51:K51"/>
    <mergeCell ref="E54:V55"/>
    <mergeCell ref="X57:Y57"/>
    <mergeCell ref="L27:M27"/>
    <mergeCell ref="N27:O27"/>
    <mergeCell ref="T27:V27"/>
    <mergeCell ref="L28:M28"/>
    <mergeCell ref="N28:O28"/>
    <mergeCell ref="R28:S28"/>
    <mergeCell ref="T28:V32"/>
    <mergeCell ref="N32:O32"/>
    <mergeCell ref="L29:M29"/>
    <mergeCell ref="N29:O29"/>
    <mergeCell ref="J30:M30"/>
    <mergeCell ref="N30:O30"/>
    <mergeCell ref="J31:M31"/>
    <mergeCell ref="N31:O31"/>
    <mergeCell ref="G33:Q34"/>
    <mergeCell ref="T36:V36"/>
    <mergeCell ref="T37:V37"/>
    <mergeCell ref="T38:V38"/>
    <mergeCell ref="T39:V39"/>
    <mergeCell ref="T40:V40"/>
    <mergeCell ref="T41:V41"/>
    <mergeCell ref="T42:V42"/>
    <mergeCell ref="L35:M35"/>
    <mergeCell ref="N35:O35"/>
    <mergeCell ref="T35:V35"/>
    <mergeCell ref="L36:M36"/>
    <mergeCell ref="N36:O36"/>
    <mergeCell ref="L37:M37"/>
    <mergeCell ref="N37:Q37"/>
    <mergeCell ref="L38:M38"/>
    <mergeCell ref="N38:Q38"/>
    <mergeCell ref="J39:K39"/>
    <mergeCell ref="N39:O39"/>
    <mergeCell ref="P39:Q39"/>
    <mergeCell ref="N40:O40"/>
    <mergeCell ref="P40:Q40"/>
    <mergeCell ref="T47:V47"/>
    <mergeCell ref="T48:V48"/>
    <mergeCell ref="J52:K52"/>
    <mergeCell ref="L52:M52"/>
    <mergeCell ref="J53:K53"/>
    <mergeCell ref="L53:M53"/>
    <mergeCell ref="R53:S53"/>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C1:D1"/>
    <mergeCell ref="J1:M1"/>
    <mergeCell ref="N1:O1"/>
    <mergeCell ref="P1:Q1"/>
    <mergeCell ref="R1:S1"/>
    <mergeCell ref="A2:A12"/>
    <mergeCell ref="R2:S2"/>
    <mergeCell ref="J10:K10"/>
    <mergeCell ref="L10:M10"/>
    <mergeCell ref="J13:K13"/>
    <mergeCell ref="L13:M13"/>
    <mergeCell ref="N13:O13"/>
    <mergeCell ref="P13:Q13"/>
    <mergeCell ref="R13:S13"/>
    <mergeCell ref="L16:M16"/>
    <mergeCell ref="N16:O16"/>
    <mergeCell ref="J17:K17"/>
    <mergeCell ref="L17:M17"/>
    <mergeCell ref="N17:O17"/>
    <mergeCell ref="L18:M18"/>
    <mergeCell ref="N18:O18"/>
    <mergeCell ref="N20:O20"/>
    <mergeCell ref="P20:Q20"/>
    <mergeCell ref="J18:K18"/>
    <mergeCell ref="J19:K19"/>
    <mergeCell ref="L19:M19"/>
    <mergeCell ref="N19:O19"/>
    <mergeCell ref="P19:Q19"/>
    <mergeCell ref="J20:K20"/>
    <mergeCell ref="L20:M20"/>
    <mergeCell ref="G1:I1"/>
    <mergeCell ref="G3:I3"/>
    <mergeCell ref="R7:S7"/>
    <mergeCell ref="H8:I8"/>
    <mergeCell ref="J8:M8"/>
    <mergeCell ref="N8:O8"/>
    <mergeCell ref="P8:Q8"/>
    <mergeCell ref="R8:S8"/>
    <mergeCell ref="H9:I9"/>
    <mergeCell ref="J9:K9"/>
    <mergeCell ref="L9:M9"/>
    <mergeCell ref="N9:O9"/>
    <mergeCell ref="N10:O10"/>
    <mergeCell ref="E11:S11"/>
    <mergeCell ref="J14:K14"/>
    <mergeCell ref="L14:M14"/>
    <mergeCell ref="N14:O14"/>
    <mergeCell ref="P14:Q14"/>
    <mergeCell ref="R14:S14"/>
    <mergeCell ref="E15:F15"/>
    <mergeCell ref="G15:I15"/>
    <mergeCell ref="J15:K15"/>
    <mergeCell ref="L15:M15"/>
    <mergeCell ref="N15:O15"/>
    <mergeCell ref="P15:Q15"/>
    <mergeCell ref="J16:K16"/>
    <mergeCell ref="P16:Q16"/>
    <mergeCell ref="T20:V20"/>
    <mergeCell ref="R21:S21"/>
    <mergeCell ref="T21:V21"/>
    <mergeCell ref="R23:V23"/>
    <mergeCell ref="U13:V13"/>
    <mergeCell ref="U14:V14"/>
    <mergeCell ref="T15:V15"/>
    <mergeCell ref="T16:V16"/>
    <mergeCell ref="T17:V17"/>
    <mergeCell ref="T18:V18"/>
    <mergeCell ref="T19:V19"/>
    <mergeCell ref="P25:Q25"/>
    <mergeCell ref="R25:S25"/>
    <mergeCell ref="J24:M24"/>
    <mergeCell ref="N24:O24"/>
    <mergeCell ref="P24:S24"/>
    <mergeCell ref="T24:V24"/>
    <mergeCell ref="L25:M25"/>
    <mergeCell ref="N25:O25"/>
    <mergeCell ref="T25:V25"/>
    <mergeCell ref="P27:Q27"/>
    <mergeCell ref="R27:S27"/>
    <mergeCell ref="J25:K25"/>
    <mergeCell ref="J26:K26"/>
    <mergeCell ref="L26:M26"/>
    <mergeCell ref="N26:O26"/>
    <mergeCell ref="R26:S26"/>
    <mergeCell ref="T26:V26"/>
    <mergeCell ref="J27:K27"/>
  </mergeCells>
  <conditionalFormatting sqref="E1:T86 U1:U31 V10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T53 U2:U31 V10 V32:V34 U35:U53 V50:V52 W51">
    <cfRule type="containsText" dxfId="2" priority="3" operator="containsText" text="Шерашова">
      <formula>NOT(ISERROR(SEARCH(("Шерашова"),(E2))))</formula>
    </cfRule>
  </conditionalFormatting>
  <conditionalFormatting sqref="E2:T53 U2:U31 V10 V32:V34 U35:U53 V50:V52 W51">
    <cfRule type="containsText" dxfId="3" priority="4" operator="containsText" text="Англ">
      <formula>NOT(ISERROR(SEARCH(("Англ"),(E2))))</formula>
    </cfRule>
  </conditionalFormatting>
  <conditionalFormatting sqref="E2:T53 U2:U31 V10 V32:V34 U35:U53 V50:V52 W51">
    <cfRule type="containsText" dxfId="4" priority="5" operator="containsText" text="Театр">
      <formula>NOT(ISERROR(SEARCH(("Театр"),(E2))))</formula>
    </cfRule>
  </conditionalFormatting>
  <conditionalFormatting sqref="E2:T53 U2:U31 V10 V32:V34 U35:U53 V50:V52 W51">
    <cfRule type="containsText" dxfId="5" priority="6" operator="containsText" text="Колечкин">
      <formula>NOT(ISERROR(SEARCH(("Колечкин"),(E2))))</formula>
    </cfRule>
  </conditionalFormatting>
  <conditionalFormatting sqref="E2:W72">
    <cfRule type="containsText" dxfId="0" priority="7" operator="containsText" text="Репнев">
      <formula>NOT(ISERROR(SEARCH(("Репнев"),(E2))))</formula>
    </cfRule>
  </conditionalFormatting>
  <conditionalFormatting sqref="E2:W65">
    <cfRule type="containsText" dxfId="6" priority="8" operator="containsText" text="Рогацкина">
      <formula>NOT(ISERROR(SEARCH(("Рогацкина"),(E2))))</formula>
    </cfRule>
  </conditionalFormatting>
  <conditionalFormatting sqref="E2:W67">
    <cfRule type="containsText" dxfId="7" priority="9" operator="containsText" text="Белоусова">
      <formula>NOT(ISERROR(SEARCH(("Белоусова"),(E2))))</formula>
    </cfRule>
  </conditionalFormatting>
  <conditionalFormatting sqref="E2:W60">
    <cfRule type="containsText" dxfId="8" priority="10" operator="containsText" text="Караванова">
      <formula>NOT(ISERROR(SEARCH(("Караванова"),(E2))))</formula>
    </cfRule>
  </conditionalFormatting>
  <conditionalFormatting sqref="E2:W63">
    <cfRule type="containsText" dxfId="9" priority="11" operator="containsText" text="Дронзик">
      <formula>NOT(ISERROR(SEARCH(("Дронзик"),(E2))))</formula>
    </cfRule>
  </conditionalFormatting>
  <conditionalFormatting sqref="E2:W64">
    <cfRule type="containsText" dxfId="10" priority="12" operator="containsText" text="Старунова">
      <formula>NOT(ISERROR(SEARCH(("Старунова"),(E2))))</formula>
    </cfRule>
  </conditionalFormatting>
  <conditionalFormatting sqref="E2:W62">
    <cfRule type="containsText" dxfId="11" priority="13" operator="containsText" text="Харитонов">
      <formula>NOT(ISERROR(SEARCH(("Харитонов"),(E2))))</formula>
    </cfRule>
  </conditionalFormatting>
  <conditionalFormatting sqref="E2:W67">
    <cfRule type="containsText" dxfId="12" priority="14" operator="containsText" text="Хуснутдинов">
      <formula>NOT(ISERROR(SEARCH(("Хуснутдинов"),(E2))))</formula>
    </cfRule>
  </conditionalFormatting>
  <conditionalFormatting sqref="E2:W66">
    <cfRule type="containsText" dxfId="13" priority="15" operator="containsText" text="Решетников">
      <formula>NOT(ISERROR(SEARCH(("Решетников"),(E2))))</formula>
    </cfRule>
  </conditionalFormatting>
  <conditionalFormatting sqref="E2:W69">
    <cfRule type="containsText" dxfId="14" priority="16" operator="containsText" text="Заводов">
      <formula>NOT(ISERROR(SEARCH(("Заводов"),(E2))))</formula>
    </cfRule>
  </conditionalFormatting>
  <conditionalFormatting sqref="E1:W66">
    <cfRule type="containsText" dxfId="15" priority="17" operator="containsText" text="Абрамов">
      <formula>NOT(ISERROR(SEARCH(("Абрамов"),(E1))))</formula>
    </cfRule>
  </conditionalFormatting>
  <conditionalFormatting sqref="E2:W67">
    <cfRule type="containsText" dxfId="16" priority="18" operator="containsText" text="Климов">
      <formula>NOT(ISERROR(SEARCH(("Климов"),(E2))))</formula>
    </cfRule>
  </conditionalFormatting>
  <conditionalFormatting sqref="E2:W61">
    <cfRule type="containsText" dxfId="17" priority="19" operator="containsText" text="Клейменов">
      <formula>NOT(ISERROR(SEARCH(("Клейменов"),(E2))))</formula>
    </cfRule>
  </conditionalFormatting>
  <conditionalFormatting sqref="E2:W68">
    <cfRule type="containsText" dxfId="18" priority="20" operator="containsText" text="Попович">
      <formula>NOT(ISERROR(SEARCH(("Попович"),(E2))))</formula>
    </cfRule>
  </conditionalFormatting>
  <conditionalFormatting sqref="E2:W68">
    <cfRule type="containsText" dxfId="19" priority="21" operator="containsText" text="Исмаилов">
      <formula>NOT(ISERROR(SEARCH(("Исмаилов"),(E2))))</formula>
    </cfRule>
  </conditionalFormatting>
  <conditionalFormatting sqref="E2:E20 F2:F12 G2:I45 J2:K49 L2:Q45 R2:S6 T2:V45 R9 S9:S32 R11:R46 F15:F17 F19:F20 E24:F30 E32:E53 F32:F45 S35:S41 S43:S45 S47:S53 T47:T50 F48:F49 N48:N49 R49:R53 G50:H53 I50:I52 P50:P53 F52:F53 J52:J53 N52:N53 Q52:Q53 U52:U53 K53:M53">
    <cfRule type="containsText" dxfId="20" priority="22" operator="containsText" text="Ларченко">
      <formula>NOT(ISERROR(SEARCH(("Ларченко"),(E2))))</formula>
    </cfRule>
  </conditionalFormatting>
  <conditionalFormatting sqref="E2:W65">
    <cfRule type="containsText" dxfId="21" priority="23" operator="containsText" text="Краснова">
      <formula>NOT(ISERROR(SEARCH(("Краснова"),(E2))))</formula>
    </cfRule>
  </conditionalFormatting>
  <conditionalFormatting sqref="E2:W65">
    <cfRule type="containsText" dxfId="22" priority="24" operator="containsText" text="Белоус">
      <formula>NOT(ISERROR(SEARCH(("Белоус"),(E2))))</formula>
    </cfRule>
  </conditionalFormatting>
  <conditionalFormatting sqref="E2:W65">
    <cfRule type="containsText" dxfId="23" priority="25" operator="containsText" text="Куницын">
      <formula>NOT(ISERROR(SEARCH(("Куницын"),(E2))))</formula>
    </cfRule>
  </conditionalFormatting>
  <dataValidations>
    <dataValidation type="custom" allowBlank="1" showDropDown="1" sqref="AA13:AA20 AA35:AA44">
      <formula1>IF(COUNTA(filter($E13:$AA13,ARRAYFORMULA(ISERROR(FIND(join(",",filter(split($H$82,","),ARRAYFORMULA(ISERROR(FIND(split($H$82,","),AA13)))=FALSE)),$E13:$AA13))=FALSE)))&gt;1,FALSE,TRUE)</formula1>
    </dataValidation>
    <dataValidation type="custom" allowBlank="1" showDropDown="1" sqref="J25">
      <formula1>IF(COUNTA(filter($E30:$W30,ARRAYFORMULA(ISERROR(FIND(join(",",filter(split($H$83,","),ARRAYFORMULA(ISERROR(FIND(split($H$83,","),J25)))=FALSE)),$E30:$W30))=FALSE)))&gt;1,FALSE,TRUE)</formula1>
    </dataValidation>
    <dataValidation type="custom" allowBlank="1" showDropDown="1" sqref="J39:J40">
      <formula1>IF(COUNTA(filter($E1:$W1,ARRAYFORMULA(ISERROR(FIND(join(",",filter(split($H$83,","),ARRAYFORMULA(ISERROR(FIND(split($H$83,","),J39)))=FALSE)),$E1:$W1))=FALSE)))&gt;1,FALSE,TRUE)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formula1>IF(COUNTA(filter($E5:$W5,ARRAYFORMULA(ISERROR(FIND(join(",",filter(split($H$83,","),ARRAYFORMULA(ISERROR(FIND(split($H$83,","),G9)))=FALSE)),$E5:$W5))=FALSE)))&gt;1,FALSE,TRUE)</formula1>
    </dataValidation>
    <dataValidation type="custom" allowBlank="1" showDropDown="1" sqref="G31:G32 Q31:Q32">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P24">
      <formula1>IF(COUNTA(filter($E28:$W28,ARRAYFORMULA(ISERROR(FIND(join(",",filter(split($H$83,","),ARRAYFORMULA(ISERROR(FIND(split($H$83,","),#REF!)))=FALSE)),$E28:$W28))=FALSE)))&gt;1,FALSE,TRUE)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3 P9:P10 R15:S16 P17:Q18 N19:N20 N25:N26 N29:N30 P39:P40 J52:J53 L52:L53 Q52:Q53">
      <formula1>IF(COUNTA(filter($E1:$W1,ARRAYFORMULA(ISERROR(FIND(join(",",filter(split($H$83,","),ARRAYFORMULA(ISERROR(FIND(split($H$83,","),J3)))=FALSE)),$E1:$W1))=FALSE)))&gt;1,FALSE,TRUE)</formula1>
    </dataValidation>
    <dataValidation type="custom" allowBlank="1" showDropDown="1" sqref="E32">
      <formula1>IF(COUNTA(filter($E25:$W25,ARRAYFORMULA(ISERROR(FIND(join(",",filter(split($H$83,","),ARRAYFORMULA(ISERROR(FIND(split($H$83,","),E32)))=FALSE)),$E25:$W25))=FALSE)))&gt;1,FALSE,TRUE)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N24">
      <formula1>IF(COUNTA(filter($E22:$W22,ARRAYFORMULA(ISERROR(FIND(join(",",filter(split($H$83,","),ARRAYFORMULA(ISERROR(FIND(split($H$83,","),#REF!)))=FALSE)),$E22:$W22))=FALSE)))&gt;1,FALSE,TRUE)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J26">
      <formula1>IF(COUNTA(filter($E17:$W17,ARRAYFORMULA(ISERROR(FIND(join(",",filter(split($H$83,","),ARRAYFORMULA(ISERROR(FIND(split($H$83,","),J13)))=FALSE)),$E17:$W17))=FALSE)))&gt;1,FALSE,TRUE)</formula1>
    </dataValidation>
    <dataValidation type="custom" allowBlank="1" showDropDown="1" sqref="E3:F3 G4 J5:J6 E15:E16 H31:I31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G24:H24 G25 E26 R27:R28 E29:E30 J30:J31 H35:H36 G37:G38 E48:E49 R52:S52 N52:N53 R53 U52:U53">
      <formula1>IF(COUNTA(filter($E8:$W8,ARRAYFORMULA(ISERROR(FIND(join(",",filter(split($H$83,","),ARRAYFORMULA(ISERROR(FIND(split($H$83,","),E7)))=FALSE)),$E8:$W8))=FALSE)))&gt;1,FALSE,TRUE)</formula1>
    </dataValidation>
    <dataValidation type="custom" allowBlank="1" showDropDown="1" sqref="N2 P2 R2 T2 G2:G3 J2:J3 L4 P4 G5:H6 K5:M6 T5:T6 P7:P8 T7:U8 G7:G9 Q9:R9 H10 J9:J10 N9:N10 Q10 W2:W10 E12:W12 E13:E14 H13:H14 L13:L14 E17:E18 G15:G18 S17:S18 H19:H20 J15:J20 L17:L20 G21 R19:R21 T21 G22:H22 G23:R23 J24 P25 R25 Q26 P27 E27:F28 I27:I28 Q28 T28 F29:G30 P29:Q30 W13:W32 E33:F34 R33:R34 T33:W34 G35:G36 P35:Q36 H37:H38 J35:L38 N37:N38 E37:E40 G39:G40 L39:N40 R37:S40 R41:T41 J41:J42 L41:M42 T42 E43 G41:H43 K43 Q43 H44 M43:N44 W35:W44 E45:W45 L46 F46:G47 N46:P47 G48 L48:N49 L51 N50:O51 I50:I52 G53:H53 O52:P53 E54 W46:W55 E56:W56 E57 G57 J57 N57:O57 E58:O58 R57:W58 E59:J60 N59:W60 E61:I61 E62:H65 K61:W65">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R7:R8">
      <formula1>IF(COUNTA(filter($E52:$W52,ARRAYFORMULA(ISERROR(FIND(join(",",filter(split($H$83,","),ARRAYFORMULA(ISERROR(FIND(split($H$83,","),R7)))=FALSE)),$E52:$W52))=FALSE)))&gt;1,FALSE,TRUE)</formula1>
    </dataValidation>
    <dataValidation type="custom" allowBlank="1" showDropDown="1" sqref="I46">
      <formula1>IF(COUNTA(filter($E46:$W46,ARRAYFORMULA(ISERROR(FIND(join(",",filter(split($H$83,","),ARRAYFORMULA(ISERROR(FIND(split($H$83,","),#REF!)))=FALSE)),$E46:$W46))=FALSE)))&gt;1,FALSE,TRUE)</formula1>
    </dataValidation>
    <dataValidation type="custom" allowBlank="1" showDropDown="1" sqref="P43">
      <formula1>IF(COUNTA(filter($E40:$W40,ARRAYFORMULA(ISERROR(FIND(join(",",filter(split($H$83,","),ARRAYFORMULA(ISERROR(FIND(split($H$83,","),P43)))=FALSE)),$E40:$W40))=FALSE)))&gt;1,FALSE,TRUE)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P32">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S32 R47:R48 T51:V51 T52 V52">
      <formula1>IF(COUNTA(filter($E25:$W25,ARRAYFORMULA(ISERROR(FIND(join(",",filter(split($H$83,","),ARRAYFORMULA(ISERROR(FIND(split($H$83,","),P26)))=FALSE)),$E25:$W25))=FALSE)))&gt;1,FALSE,TRUE)</formula1>
    </dataValidation>
    <dataValidation type="custom" allowBlank="1" showDropDown="1" sqref="P13:P16 G27:G28 L27:L28 J29 N31:N32 E35:E36 N35:N36 T39:T40 E41:E42 P41:P42 R46 T47:T48 K48:K49 P50:P51 E50:E52">
      <formula1>IF(COUNTA(filter(#REF!,ARRAYFORMULA(ISERROR(FIND(join(",",filter(split($H$83,","),ARRAYFORMULA(ISERROR(FIND(split($H$83,","),E13)))=FALSE)),#REF!))=FALSE)))&gt;1,FALSE,TRUE)</formula1>
    </dataValidation>
    <dataValidation type="custom" allowBlank="1" showDropDown="1" sqref="T19:T20 R29:S30 T46">
      <formula1>IF(COUNTA(filter($E25:$W25,ARRAYFORMULA(ISERROR(FIND(join(",",filter(split($H$83,","),ARRAYFORMULA(ISERROR(FIND(split($H$83,","),R19)))=FALSE)),$E25:$W25))=FALSE)))&gt;1,FALSE,TRUE)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429"/>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customHeight="1">
      <c r="A2" s="18">
        <v>44830.0</v>
      </c>
      <c r="B2" s="19">
        <v>1.0</v>
      </c>
      <c r="C2" s="20" t="s">
        <v>12</v>
      </c>
      <c r="D2" s="20" t="s">
        <v>13</v>
      </c>
      <c r="E2" s="21" t="s">
        <v>1924</v>
      </c>
      <c r="F2" s="22"/>
      <c r="G2" s="23" t="s">
        <v>1925</v>
      </c>
      <c r="H2" s="24"/>
      <c r="I2" s="25"/>
      <c r="J2" s="21" t="s">
        <v>1926</v>
      </c>
      <c r="K2" s="24"/>
      <c r="L2" s="24"/>
      <c r="M2" s="25"/>
      <c r="N2" s="21" t="s">
        <v>1927</v>
      </c>
      <c r="O2" s="25"/>
      <c r="P2" s="21" t="s">
        <v>1928</v>
      </c>
      <c r="Q2" s="25"/>
      <c r="R2" s="21" t="s">
        <v>1929</v>
      </c>
      <c r="S2" s="25"/>
      <c r="T2" s="21" t="s">
        <v>1930</v>
      </c>
      <c r="U2" s="24"/>
      <c r="V2" s="22"/>
      <c r="W2" s="26"/>
      <c r="X2" s="27" t="s">
        <v>12</v>
      </c>
      <c r="Y2" s="27" t="s">
        <v>13</v>
      </c>
      <c r="Z2" s="28"/>
      <c r="AA2" s="14"/>
      <c r="AB2" s="15"/>
      <c r="AC2" s="14"/>
      <c r="AD2" s="14"/>
      <c r="AE2" s="14"/>
      <c r="AF2" s="29"/>
      <c r="AG2" s="29"/>
      <c r="AH2" s="29"/>
    </row>
    <row r="3" ht="40.5" customHeight="1">
      <c r="A3" s="30"/>
      <c r="B3" s="31">
        <v>2.0</v>
      </c>
      <c r="C3" s="32" t="s">
        <v>21</v>
      </c>
      <c r="D3" s="32" t="s">
        <v>22</v>
      </c>
      <c r="E3" s="33" t="s">
        <v>1931</v>
      </c>
      <c r="F3" s="34" t="s">
        <v>1932</v>
      </c>
      <c r="G3" s="35" t="s">
        <v>25</v>
      </c>
      <c r="H3" s="36"/>
      <c r="I3" s="13"/>
      <c r="J3" s="37" t="s">
        <v>1933</v>
      </c>
      <c r="K3" s="13"/>
      <c r="L3" s="38" t="s">
        <v>1934</v>
      </c>
      <c r="M3" s="13"/>
      <c r="N3" s="37" t="s">
        <v>1935</v>
      </c>
      <c r="O3" s="13"/>
      <c r="P3" s="37" t="s">
        <v>1936</v>
      </c>
      <c r="Q3" s="13"/>
      <c r="R3" s="39" t="s">
        <v>1937</v>
      </c>
      <c r="S3" s="40" t="s">
        <v>1938</v>
      </c>
      <c r="T3" s="37" t="s">
        <v>1939</v>
      </c>
      <c r="U3" s="36"/>
      <c r="V3" s="41"/>
      <c r="W3" s="26"/>
      <c r="X3" s="42" t="s">
        <v>21</v>
      </c>
      <c r="Y3" s="42" t="s">
        <v>22</v>
      </c>
      <c r="Z3" s="28"/>
      <c r="AA3" s="14"/>
      <c r="AB3" s="15" t="str">
        <f>IFERROR(__xludf.DUMMYFUNCTION("join("","",filter(split($H$83,"",""),ARRAYFORMULA(ISERROR(FIND(split($H$83,"",""),CONCATENATE(E3:V3))))=TRUE))"),"201,206,405,408,409,410,АЗ")</f>
        <v>201,206,405,408,409,410,АЗ</v>
      </c>
      <c r="AC3" s="14"/>
      <c r="AD3" s="14"/>
      <c r="AE3" s="14"/>
      <c r="AF3" s="29"/>
      <c r="AG3" s="29"/>
      <c r="AH3" s="29"/>
    </row>
    <row r="4" ht="40.5" customHeight="1">
      <c r="A4" s="30"/>
      <c r="B4" s="31">
        <v>3.0</v>
      </c>
      <c r="C4" s="32" t="s">
        <v>33</v>
      </c>
      <c r="D4" s="32" t="s">
        <v>34</v>
      </c>
      <c r="E4" s="33" t="s">
        <v>1940</v>
      </c>
      <c r="F4" s="126" t="s">
        <v>1941</v>
      </c>
      <c r="G4" s="43" t="s">
        <v>1942</v>
      </c>
      <c r="H4" s="44" t="s">
        <v>499</v>
      </c>
      <c r="I4" s="45" t="s">
        <v>1943</v>
      </c>
      <c r="J4" s="46" t="s">
        <v>1944</v>
      </c>
      <c r="K4" s="13"/>
      <c r="L4" s="45" t="s">
        <v>1945</v>
      </c>
      <c r="M4" s="13"/>
      <c r="N4" s="37" t="s">
        <v>1946</v>
      </c>
      <c r="O4" s="13"/>
      <c r="P4" s="37" t="s">
        <v>1947</v>
      </c>
      <c r="Q4" s="13"/>
      <c r="R4" s="39" t="s">
        <v>1948</v>
      </c>
      <c r="S4" s="40" t="s">
        <v>1949</v>
      </c>
      <c r="T4" s="37" t="s">
        <v>1950</v>
      </c>
      <c r="U4" s="36"/>
      <c r="V4" s="41"/>
      <c r="W4" s="26"/>
      <c r="X4" s="42" t="s">
        <v>33</v>
      </c>
      <c r="Y4" s="42" t="s">
        <v>34</v>
      </c>
      <c r="Z4" s="48" t="s">
        <v>47</v>
      </c>
      <c r="AA4" s="14"/>
      <c r="AB4" s="15" t="str">
        <f>IFERROR(__xludf.DUMMYFUNCTION("join("","",filter(split($H$83,"",""),ARRAYFORMULA(ISERROR(FIND(split($H$83,"",""),CONCATENATE(E4:V4))))=TRUE))"),"КЗ,201,206,404,408,409,АЗ")</f>
        <v>КЗ,201,206,404,408,409,АЗ</v>
      </c>
      <c r="AC4" s="14"/>
      <c r="AD4" s="14"/>
      <c r="AE4" s="14"/>
      <c r="AF4" s="29"/>
      <c r="AG4" s="29"/>
      <c r="AH4" s="29"/>
    </row>
    <row r="5" ht="40.5" customHeight="1">
      <c r="A5" s="30"/>
      <c r="B5" s="31">
        <v>4.0</v>
      </c>
      <c r="C5" s="32" t="s">
        <v>48</v>
      </c>
      <c r="D5" s="32" t="s">
        <v>49</v>
      </c>
      <c r="E5" s="33" t="s">
        <v>1951</v>
      </c>
      <c r="F5" s="126" t="s">
        <v>1952</v>
      </c>
      <c r="G5" s="43" t="s">
        <v>1953</v>
      </c>
      <c r="H5" s="45" t="s">
        <v>1954</v>
      </c>
      <c r="I5" s="13"/>
      <c r="J5" s="33" t="s">
        <v>1955</v>
      </c>
      <c r="K5" s="44" t="s">
        <v>1956</v>
      </c>
      <c r="L5" s="44" t="s">
        <v>1957</v>
      </c>
      <c r="M5" s="45" t="s">
        <v>1958</v>
      </c>
      <c r="N5" s="37" t="s">
        <v>1959</v>
      </c>
      <c r="O5" s="13"/>
      <c r="P5" s="37" t="s">
        <v>1960</v>
      </c>
      <c r="Q5" s="13"/>
      <c r="R5" s="51" t="s">
        <v>1961</v>
      </c>
      <c r="S5" s="13"/>
      <c r="T5" s="52" t="s">
        <v>1962</v>
      </c>
      <c r="U5" s="36"/>
      <c r="V5" s="41"/>
      <c r="W5" s="26"/>
      <c r="X5" s="42" t="s">
        <v>48</v>
      </c>
      <c r="Y5" s="42" t="s">
        <v>49</v>
      </c>
      <c r="Z5" s="48" t="s">
        <v>57</v>
      </c>
      <c r="AA5" s="14"/>
      <c r="AB5" s="15" t="str">
        <f>IFERROR(__xludf.DUMMYFUNCTION("join("","",filter(split($H$83,"",""),ARRAYFORMULA(ISERROR(FIND(split($H$83,"",""),CONCATENATE(E5:V5))))=TRUE))"),"СЗ,КЗ,206,406,408,409")</f>
        <v>СЗ,КЗ,206,406,408,409</v>
      </c>
      <c r="AC5" s="14"/>
      <c r="AD5" s="14"/>
      <c r="AE5" s="14"/>
      <c r="AF5" s="29"/>
      <c r="AG5" s="29"/>
      <c r="AH5" s="29"/>
    </row>
    <row r="6" ht="40.5" customHeight="1">
      <c r="A6" s="30"/>
      <c r="B6" s="31">
        <v>5.0</v>
      </c>
      <c r="C6" s="32" t="s">
        <v>58</v>
      </c>
      <c r="D6" s="53">
        <v>44847.0</v>
      </c>
      <c r="E6" s="316" t="s">
        <v>1963</v>
      </c>
      <c r="F6" s="34" t="s">
        <v>1964</v>
      </c>
      <c r="G6" s="43" t="s">
        <v>1965</v>
      </c>
      <c r="H6" s="45" t="s">
        <v>1966</v>
      </c>
      <c r="I6" s="13"/>
      <c r="J6" s="33" t="s">
        <v>1967</v>
      </c>
      <c r="K6" s="44" t="s">
        <v>1968</v>
      </c>
      <c r="L6" s="44" t="s">
        <v>1969</v>
      </c>
      <c r="M6" s="45" t="s">
        <v>1970</v>
      </c>
      <c r="N6" s="37" t="s">
        <v>1971</v>
      </c>
      <c r="O6" s="13"/>
      <c r="P6" s="37" t="s">
        <v>1972</v>
      </c>
      <c r="Q6" s="13"/>
      <c r="R6" s="51" t="s">
        <v>1973</v>
      </c>
      <c r="S6" s="13"/>
      <c r="T6" s="52" t="s">
        <v>1974</v>
      </c>
      <c r="U6" s="36"/>
      <c r="V6" s="41"/>
      <c r="W6" s="26"/>
      <c r="X6" s="42" t="s">
        <v>58</v>
      </c>
      <c r="Y6" s="54">
        <v>44847.0</v>
      </c>
      <c r="Z6" s="48" t="s">
        <v>70</v>
      </c>
      <c r="AA6" s="14"/>
      <c r="AB6" s="15" t="str">
        <f>IFERROR(__xludf.DUMMYFUNCTION("join("","",filter(split($H$83,"",""),ARRAYFORMULA(ISERROR(FIND(split($H$83,"",""),CONCATENATE(E6:V6))))=TRUE))"),"СЗ,КЗ,206,406,408,409")</f>
        <v>СЗ,КЗ,206,406,408,409</v>
      </c>
      <c r="AC6" s="14"/>
      <c r="AD6" s="14"/>
      <c r="AE6" s="14"/>
      <c r="AF6" s="29"/>
      <c r="AG6" s="29"/>
      <c r="AH6" s="29"/>
    </row>
    <row r="7" ht="42.0" customHeight="1">
      <c r="A7" s="30"/>
      <c r="B7" s="31">
        <v>6.0</v>
      </c>
      <c r="C7" s="55" t="s">
        <v>71</v>
      </c>
      <c r="D7" s="56" t="s">
        <v>72</v>
      </c>
      <c r="E7" s="316" t="s">
        <v>1975</v>
      </c>
      <c r="F7" s="34" t="s">
        <v>1976</v>
      </c>
      <c r="G7" s="43" t="s">
        <v>1977</v>
      </c>
      <c r="H7" s="45" t="s">
        <v>1978</v>
      </c>
      <c r="I7" s="13"/>
      <c r="J7" s="37" t="s">
        <v>1979</v>
      </c>
      <c r="K7" s="13"/>
      <c r="L7" s="45" t="s">
        <v>1980</v>
      </c>
      <c r="M7" s="13"/>
      <c r="N7" s="37" t="s">
        <v>1981</v>
      </c>
      <c r="O7" s="13"/>
      <c r="P7" s="37" t="s">
        <v>1982</v>
      </c>
      <c r="Q7" s="13"/>
      <c r="R7" s="37" t="s">
        <v>1983</v>
      </c>
      <c r="S7" s="13"/>
      <c r="T7" s="33" t="s">
        <v>1984</v>
      </c>
      <c r="U7" s="45" t="s">
        <v>1985</v>
      </c>
      <c r="V7" s="41"/>
      <c r="W7" s="26"/>
      <c r="X7" s="58" t="s">
        <v>71</v>
      </c>
      <c r="Y7" s="59" t="s">
        <v>72</v>
      </c>
      <c r="Z7" s="48" t="s">
        <v>84</v>
      </c>
      <c r="AA7" s="14"/>
      <c r="AB7" s="15" t="str">
        <f>IFERROR(__xludf.DUMMYFUNCTION("join("","",filter(split($H$83,"",""),ARRAYFORMULA(ISERROR(FIND(split($H$83,"",""),CONCATENATE(E7:V7))))=TRUE))"),"КЗ,206,403,406,408,409,АЗ")</f>
        <v>КЗ,206,403,406,408,409,АЗ</v>
      </c>
      <c r="AC7" s="14"/>
      <c r="AD7" s="14"/>
      <c r="AE7" s="14"/>
      <c r="AF7" s="29"/>
      <c r="AG7" s="29"/>
      <c r="AH7" s="29"/>
    </row>
    <row r="8" ht="42.0" customHeight="1">
      <c r="A8" s="30"/>
      <c r="B8" s="31">
        <v>7.0</v>
      </c>
      <c r="C8" s="32" t="s">
        <v>85</v>
      </c>
      <c r="D8" s="32" t="s">
        <v>86</v>
      </c>
      <c r="E8" s="318" t="s">
        <v>1986</v>
      </c>
      <c r="F8" s="319" t="s">
        <v>1987</v>
      </c>
      <c r="G8" s="43" t="s">
        <v>1988</v>
      </c>
      <c r="H8" s="45" t="s">
        <v>1989</v>
      </c>
      <c r="I8" s="13"/>
      <c r="J8" s="37" t="s">
        <v>1990</v>
      </c>
      <c r="K8" s="13"/>
      <c r="L8" s="45" t="s">
        <v>1991</v>
      </c>
      <c r="M8" s="13"/>
      <c r="N8" s="37" t="s">
        <v>1992</v>
      </c>
      <c r="O8" s="13"/>
      <c r="P8" s="37" t="s">
        <v>1993</v>
      </c>
      <c r="Q8" s="13"/>
      <c r="R8" s="37" t="s">
        <v>1994</v>
      </c>
      <c r="S8" s="13"/>
      <c r="T8" s="33" t="s">
        <v>1995</v>
      </c>
      <c r="U8" s="45" t="s">
        <v>1996</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customHeight="1">
      <c r="A9" s="30"/>
      <c r="B9" s="31">
        <v>8.0</v>
      </c>
      <c r="C9" s="32" t="s">
        <v>98</v>
      </c>
      <c r="D9" s="32" t="s">
        <v>99</v>
      </c>
      <c r="E9" s="320" t="s">
        <v>1997</v>
      </c>
      <c r="F9" s="276" t="s">
        <v>1998</v>
      </c>
      <c r="G9" s="430" t="s">
        <v>1999</v>
      </c>
      <c r="H9" s="36"/>
      <c r="I9" s="13"/>
      <c r="J9" s="37" t="s">
        <v>2000</v>
      </c>
      <c r="K9" s="13"/>
      <c r="L9" s="45" t="s">
        <v>2001</v>
      </c>
      <c r="M9" s="13"/>
      <c r="N9" s="61" t="s">
        <v>2002</v>
      </c>
      <c r="O9" s="13"/>
      <c r="P9" s="321" t="s">
        <v>2003</v>
      </c>
      <c r="Q9" s="45" t="s">
        <v>2004</v>
      </c>
      <c r="R9" s="322" t="s">
        <v>2005</v>
      </c>
      <c r="S9" s="36"/>
      <c r="T9" s="36"/>
      <c r="U9" s="36"/>
      <c r="V9" s="41"/>
      <c r="W9" s="26"/>
      <c r="X9" s="42" t="s">
        <v>98</v>
      </c>
      <c r="Y9" s="42" t="s">
        <v>99</v>
      </c>
      <c r="Z9" s="11"/>
      <c r="AA9" s="14"/>
      <c r="AB9" s="15" t="str">
        <f>IFERROR(__xludf.DUMMYFUNCTION("join("","",filter(split($H$83,"",""),ARRAYFORMULA(ISERROR(FIND(split($H$83,"",""),CONCATENATE(E9:V9))))=TRUE))"),"КЗ,201,206,405,406,408,409,410")</f>
        <v>КЗ,201,206,405,406,408,409,410</v>
      </c>
      <c r="AC9" s="14"/>
      <c r="AD9" s="14"/>
      <c r="AE9" s="14"/>
      <c r="AF9" s="29"/>
      <c r="AG9" s="29"/>
      <c r="AH9" s="29"/>
    </row>
    <row r="10" ht="40.5" customHeight="1">
      <c r="A10" s="30"/>
      <c r="B10" s="31">
        <v>9.0</v>
      </c>
      <c r="C10" s="65">
        <v>44697.0</v>
      </c>
      <c r="D10" s="44" t="s">
        <v>109</v>
      </c>
      <c r="E10" s="66" t="s">
        <v>2006</v>
      </c>
      <c r="F10" s="67"/>
      <c r="G10" s="35" t="s">
        <v>2007</v>
      </c>
      <c r="H10" s="36"/>
      <c r="I10" s="13"/>
      <c r="J10" s="37" t="s">
        <v>2008</v>
      </c>
      <c r="K10" s="13"/>
      <c r="L10" s="45" t="s">
        <v>2009</v>
      </c>
      <c r="M10" s="13"/>
      <c r="N10" s="61" t="s">
        <v>2010</v>
      </c>
      <c r="O10" s="13"/>
      <c r="P10" s="321" t="s">
        <v>2011</v>
      </c>
      <c r="Q10" s="68" t="s">
        <v>2012</v>
      </c>
      <c r="R10" s="36"/>
      <c r="S10" s="36"/>
      <c r="T10" s="36"/>
      <c r="U10" s="36"/>
      <c r="V10" s="41"/>
      <c r="W10" s="26"/>
      <c r="X10" s="69">
        <v>44697.0</v>
      </c>
      <c r="Y10" s="70" t="s">
        <v>109</v>
      </c>
      <c r="Z10" s="28"/>
      <c r="AA10" s="14"/>
      <c r="AB10" s="15" t="str">
        <f>IFERROR(__xludf.DUMMYFUNCTION("join("","",filter(split($H$83,"",""),ARRAYFORMULA(ISERROR(FIND(split($H$83,"",""),CONCATENATE(E10:V10))))=TRUE))"),"КЗ,201,206,210,403,404,405,406,408,409,АЗ")</f>
        <v>КЗ,201,206,210,403,404,405,406,408,409,АЗ</v>
      </c>
      <c r="AC10" s="14"/>
      <c r="AD10" s="14"/>
      <c r="AE10" s="14"/>
      <c r="AF10" s="29"/>
      <c r="AG10" s="29"/>
      <c r="AH10" s="29"/>
    </row>
    <row r="11" ht="49.5" customHeight="1">
      <c r="A11" s="30"/>
      <c r="B11" s="31">
        <v>10.0</v>
      </c>
      <c r="C11" s="44" t="s">
        <v>120</v>
      </c>
      <c r="D11" s="44" t="s">
        <v>121</v>
      </c>
      <c r="E11" s="71" t="s">
        <v>122</v>
      </c>
      <c r="F11" s="64"/>
      <c r="G11" s="64"/>
      <c r="H11" s="64"/>
      <c r="I11" s="64"/>
      <c r="J11" s="64"/>
      <c r="K11" s="64"/>
      <c r="L11" s="64"/>
      <c r="M11" s="64"/>
      <c r="N11" s="64"/>
      <c r="O11" s="64"/>
      <c r="P11" s="64"/>
      <c r="Q11" s="64"/>
      <c r="R11" s="64"/>
      <c r="S11" s="183" t="s">
        <v>2013</v>
      </c>
      <c r="T11" s="73" t="s">
        <v>2014</v>
      </c>
      <c r="U11" s="36"/>
      <c r="V11" s="41"/>
      <c r="W11" s="26"/>
      <c r="X11" s="70" t="s">
        <v>120</v>
      </c>
      <c r="Y11" s="70" t="s">
        <v>121</v>
      </c>
      <c r="Z11" s="28"/>
      <c r="AA11" s="14"/>
      <c r="AB11" s="15" t="str">
        <f>IFERROR(__xludf.DUMMYFUNCTION("join("","",filter(split($H$83,"",""),ARRAYFORMULA(ISERROR(FIND(split($H$83,"",""),CONCATENATE(F11:V11))))=TRUE))"),"СЗ,КЗ,201,202,206,209,210,401,403,404,405,406,408,409,410")</f>
        <v>СЗ,КЗ,201,202,206,209,210,401,403,404,405,406,408,409,410</v>
      </c>
      <c r="AC11" s="14"/>
      <c r="AD11" s="14"/>
      <c r="AE11" s="14"/>
      <c r="AF11" s="29"/>
      <c r="AG11" s="29"/>
      <c r="AH11" s="29"/>
    </row>
    <row r="12" ht="40.5"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customHeight="1">
      <c r="A13" s="18">
        <v>44831.0</v>
      </c>
      <c r="B13" s="19">
        <v>1.0</v>
      </c>
      <c r="C13" s="20" t="s">
        <v>12</v>
      </c>
      <c r="D13" s="20" t="s">
        <v>13</v>
      </c>
      <c r="E13" s="80" t="s">
        <v>2015</v>
      </c>
      <c r="F13" s="25"/>
      <c r="G13" s="81" t="s">
        <v>2016</v>
      </c>
      <c r="H13" s="80" t="s">
        <v>2017</v>
      </c>
      <c r="I13" s="22"/>
      <c r="J13" s="23" t="s">
        <v>2018</v>
      </c>
      <c r="K13" s="25"/>
      <c r="L13" s="80" t="s">
        <v>2019</v>
      </c>
      <c r="M13" s="25"/>
      <c r="N13" s="82" t="s">
        <v>2020</v>
      </c>
      <c r="O13" s="25"/>
      <c r="P13" s="21" t="s">
        <v>2021</v>
      </c>
      <c r="Q13" s="22"/>
      <c r="R13" s="23" t="s">
        <v>2022</v>
      </c>
      <c r="S13" s="22"/>
      <c r="T13" s="84" t="s">
        <v>2023</v>
      </c>
      <c r="U13" s="80" t="s">
        <v>2024</v>
      </c>
      <c r="V13" s="22"/>
      <c r="W13" s="26"/>
      <c r="X13" s="27" t="s">
        <v>12</v>
      </c>
      <c r="Y13" s="27" t="s">
        <v>13</v>
      </c>
      <c r="Z13" s="28"/>
      <c r="AA13" s="85"/>
      <c r="AB13" s="15" t="str">
        <f>IFERROR(__xludf.DUMMYFUNCTION("join("","",filter(split($H$83,"",""),ARRAYFORMULA(ISERROR(FIND(split($H$83,"",""),CONCATENATE(E13:V13))))=TRUE))"),"СЗ,КЗ,206,403,406,408,410,АЗ")</f>
        <v>СЗ,КЗ,206,403,406,408,410,АЗ</v>
      </c>
      <c r="AC13" s="14"/>
      <c r="AD13" s="14"/>
      <c r="AE13" s="14"/>
      <c r="AF13" s="29"/>
      <c r="AG13" s="29"/>
      <c r="AH13" s="29"/>
    </row>
    <row r="14" ht="40.5" customHeight="1">
      <c r="A14" s="30"/>
      <c r="B14" s="31">
        <v>2.0</v>
      </c>
      <c r="C14" s="32" t="s">
        <v>21</v>
      </c>
      <c r="D14" s="32" t="s">
        <v>22</v>
      </c>
      <c r="E14" s="45" t="s">
        <v>2025</v>
      </c>
      <c r="F14" s="13"/>
      <c r="G14" s="46" t="s">
        <v>2026</v>
      </c>
      <c r="H14" s="86" t="s">
        <v>2027</v>
      </c>
      <c r="I14" s="41"/>
      <c r="J14" s="35" t="s">
        <v>2028</v>
      </c>
      <c r="K14" s="13"/>
      <c r="L14" s="45" t="s">
        <v>2029</v>
      </c>
      <c r="M14" s="13"/>
      <c r="N14" s="87" t="s">
        <v>2030</v>
      </c>
      <c r="O14" s="13"/>
      <c r="P14" s="37" t="s">
        <v>2031</v>
      </c>
      <c r="Q14" s="41"/>
      <c r="R14" s="35" t="s">
        <v>2032</v>
      </c>
      <c r="S14" s="41"/>
      <c r="T14" s="43" t="s">
        <v>2033</v>
      </c>
      <c r="U14" s="45" t="s">
        <v>2034</v>
      </c>
      <c r="V14" s="41"/>
      <c r="W14" s="26"/>
      <c r="X14" s="42" t="s">
        <v>21</v>
      </c>
      <c r="Y14" s="42" t="s">
        <v>22</v>
      </c>
      <c r="Z14" s="28"/>
      <c r="AA14" s="85"/>
      <c r="AB14" s="15" t="str">
        <f>IFERROR(__xludf.DUMMYFUNCTION("join("","",filter(split($H$83,"",""),ARRAYFORMULA(ISERROR(FIND(split($H$83,"",""),CONCATENATE(E14:V14))))=TRUE))"),"СЗ,КЗ,206,403,406,408,410,АЗ")</f>
        <v>СЗ,КЗ,206,403,406,408,410,АЗ</v>
      </c>
      <c r="AC14" s="14"/>
      <c r="AD14" s="14"/>
      <c r="AE14" s="14"/>
      <c r="AF14" s="29"/>
      <c r="AG14" s="29"/>
      <c r="AH14" s="29"/>
    </row>
    <row r="15" ht="40.5" customHeight="1">
      <c r="A15" s="30"/>
      <c r="B15" s="31">
        <v>3.0</v>
      </c>
      <c r="C15" s="32" t="s">
        <v>33</v>
      </c>
      <c r="D15" s="32" t="s">
        <v>34</v>
      </c>
      <c r="E15" s="40" t="s">
        <v>2035</v>
      </c>
      <c r="F15" s="13"/>
      <c r="G15" s="37" t="s">
        <v>2036</v>
      </c>
      <c r="H15" s="36"/>
      <c r="I15" s="41"/>
      <c r="J15" s="35" t="s">
        <v>2037</v>
      </c>
      <c r="K15" s="13"/>
      <c r="L15" s="45" t="s">
        <v>2038</v>
      </c>
      <c r="M15" s="13"/>
      <c r="N15" s="89" t="s">
        <v>2039</v>
      </c>
      <c r="O15" s="13"/>
      <c r="P15" s="37" t="s">
        <v>2040</v>
      </c>
      <c r="Q15" s="41"/>
      <c r="R15" s="43" t="s">
        <v>2041</v>
      </c>
      <c r="S15" s="34" t="s">
        <v>2042</v>
      </c>
      <c r="T15" s="91" t="s">
        <v>2043</v>
      </c>
      <c r="U15" s="36"/>
      <c r="V15" s="41"/>
      <c r="W15" s="26"/>
      <c r="X15" s="42" t="s">
        <v>33</v>
      </c>
      <c r="Y15" s="42" t="s">
        <v>34</v>
      </c>
      <c r="Z15" s="48" t="s">
        <v>47</v>
      </c>
      <c r="AA15" s="85" t="str">
        <f>AA$5</f>
        <v/>
      </c>
      <c r="AB15" s="15" t="str">
        <f>IFERROR(__xludf.DUMMYFUNCTION("join("","",filter(split($H$83,"",""),ARRAYFORMULA(ISERROR(FIND(split($H$83,"",""),CONCATENATE(E15:V15))))=TRUE))"),"КЗ,201,202,206,210,403,406,408,410,АЗ")</f>
        <v>КЗ,201,202,206,210,403,406,408,410,АЗ</v>
      </c>
      <c r="AC15" s="14"/>
      <c r="AD15" s="14"/>
      <c r="AE15" s="14"/>
      <c r="AF15" s="29"/>
      <c r="AG15" s="29"/>
      <c r="AH15" s="29"/>
    </row>
    <row r="16" ht="40.5" customHeight="1">
      <c r="A16" s="30"/>
      <c r="B16" s="31">
        <v>4.0</v>
      </c>
      <c r="C16" s="32" t="s">
        <v>48</v>
      </c>
      <c r="D16" s="32" t="s">
        <v>49</v>
      </c>
      <c r="E16" s="40" t="s">
        <v>2044</v>
      </c>
      <c r="F16" s="13"/>
      <c r="G16" s="37" t="s">
        <v>2045</v>
      </c>
      <c r="H16" s="36"/>
      <c r="I16" s="41"/>
      <c r="J16" s="35" t="s">
        <v>2046</v>
      </c>
      <c r="K16" s="13"/>
      <c r="L16" s="45" t="s">
        <v>2047</v>
      </c>
      <c r="M16" s="13"/>
      <c r="N16" s="89" t="s">
        <v>2048</v>
      </c>
      <c r="O16" s="13"/>
      <c r="P16" s="37" t="s">
        <v>2049</v>
      </c>
      <c r="Q16" s="41"/>
      <c r="R16" s="43" t="s">
        <v>2050</v>
      </c>
      <c r="S16" s="34" t="s">
        <v>2051</v>
      </c>
      <c r="T16" s="431" t="s">
        <v>2052</v>
      </c>
      <c r="U16" s="8"/>
      <c r="V16" s="129"/>
      <c r="W16" s="26"/>
      <c r="X16" s="42" t="s">
        <v>48</v>
      </c>
      <c r="Y16" s="42" t="s">
        <v>49</v>
      </c>
      <c r="Z16" s="48" t="s">
        <v>57</v>
      </c>
      <c r="AA16" s="85" t="str">
        <f>AA$6</f>
        <v/>
      </c>
      <c r="AB16" s="15" t="str">
        <f>IFERROR(__xludf.DUMMYFUNCTION("join("","",filter(split($H$83,"",""),ARRAYFORMULA(ISERROR(FIND(split($H$83,"",""),CONCATENATE(E16:V16))))=TRUE))"),"КЗ,201,202,206,209,210,403,410,АЗ")</f>
        <v>КЗ,201,202,206,209,210,403,410,АЗ</v>
      </c>
      <c r="AC16" s="14"/>
      <c r="AD16" s="14"/>
      <c r="AE16" s="14"/>
      <c r="AF16" s="29"/>
      <c r="AG16" s="29"/>
      <c r="AH16" s="29"/>
    </row>
    <row r="17" ht="40.5" customHeight="1">
      <c r="A17" s="30"/>
      <c r="B17" s="31">
        <v>5.0</v>
      </c>
      <c r="C17" s="32" t="s">
        <v>58</v>
      </c>
      <c r="D17" s="53">
        <v>44847.0</v>
      </c>
      <c r="E17" s="45" t="s">
        <v>2053</v>
      </c>
      <c r="F17" s="13"/>
      <c r="G17" s="33" t="s">
        <v>2054</v>
      </c>
      <c r="H17" s="45" t="s">
        <v>2055</v>
      </c>
      <c r="I17" s="41"/>
      <c r="J17" s="35" t="s">
        <v>2056</v>
      </c>
      <c r="K17" s="13"/>
      <c r="L17" s="40" t="s">
        <v>2057</v>
      </c>
      <c r="M17" s="13"/>
      <c r="N17" s="45" t="s">
        <v>2058</v>
      </c>
      <c r="O17" s="13"/>
      <c r="P17" s="33" t="s">
        <v>2059</v>
      </c>
      <c r="Q17" s="34" t="s">
        <v>2060</v>
      </c>
      <c r="R17" s="326" t="s">
        <v>2061</v>
      </c>
      <c r="S17" s="92" t="s">
        <v>2062</v>
      </c>
      <c r="T17" s="64"/>
      <c r="U17" s="64"/>
      <c r="V17" s="88"/>
      <c r="W17" s="26"/>
      <c r="X17" s="42" t="s">
        <v>58</v>
      </c>
      <c r="Y17" s="54">
        <v>44847.0</v>
      </c>
      <c r="Z17" s="48" t="s">
        <v>70</v>
      </c>
      <c r="AA17" s="85" t="str">
        <f>AA$7</f>
        <v/>
      </c>
      <c r="AB17" s="15" t="str">
        <f>IFERROR(__xludf.DUMMYFUNCTION("join("","",filter(split($H$83,"",""),ARRAYFORMULA(ISERROR(FIND(split($H$83,"",""),CONCATENATE(E17:V17))))=TRUE))"),"СЗ,202,206,209,403,406,408,410,АЗ")</f>
        <v>СЗ,202,206,209,403,406,408,410,АЗ</v>
      </c>
      <c r="AC17" s="14"/>
      <c r="AD17" s="14"/>
      <c r="AE17" s="14"/>
      <c r="AF17" s="29"/>
      <c r="AG17" s="29"/>
      <c r="AH17" s="29"/>
    </row>
    <row r="18" ht="40.5" customHeight="1">
      <c r="A18" s="30"/>
      <c r="B18" s="31">
        <v>6.0</v>
      </c>
      <c r="C18" s="55" t="s">
        <v>71</v>
      </c>
      <c r="D18" s="56" t="s">
        <v>72</v>
      </c>
      <c r="E18" s="45" t="s">
        <v>2063</v>
      </c>
      <c r="F18" s="13"/>
      <c r="G18" s="33" t="s">
        <v>2064</v>
      </c>
      <c r="H18" s="45" t="s">
        <v>2065</v>
      </c>
      <c r="I18" s="41"/>
      <c r="J18" s="35" t="s">
        <v>2066</v>
      </c>
      <c r="K18" s="13"/>
      <c r="L18" s="40" t="s">
        <v>2067</v>
      </c>
      <c r="M18" s="13"/>
      <c r="N18" s="45" t="s">
        <v>2068</v>
      </c>
      <c r="O18" s="13"/>
      <c r="P18" s="33" t="s">
        <v>2069</v>
      </c>
      <c r="Q18" s="34" t="s">
        <v>2070</v>
      </c>
      <c r="R18" s="326" t="s">
        <v>2071</v>
      </c>
      <c r="S18" s="92" t="s">
        <v>2072</v>
      </c>
      <c r="T18" s="93" t="s">
        <v>2073</v>
      </c>
      <c r="U18" s="36"/>
      <c r="V18" s="41"/>
      <c r="W18" s="26"/>
      <c r="X18" s="58" t="s">
        <v>71</v>
      </c>
      <c r="Y18" s="59" t="s">
        <v>72</v>
      </c>
      <c r="Z18" s="48" t="s">
        <v>84</v>
      </c>
      <c r="AA18" s="85" t="str">
        <f>AA$8</f>
        <v/>
      </c>
      <c r="AB18" s="15" t="str">
        <f>IFERROR(__xludf.DUMMYFUNCTION("join("","",filter(split($H$83,"",""),ARRAYFORMULA(ISERROR(FIND(split($H$83,"",""),CONCATENATE(E18:V18))))=TRUE))"),"СЗ,206,209,403,406,408,410,АЗ")</f>
        <v>СЗ,206,209,403,406,408,410,АЗ</v>
      </c>
      <c r="AC18" s="14"/>
      <c r="AD18" s="14"/>
      <c r="AE18" s="14"/>
      <c r="AF18" s="29"/>
      <c r="AG18" s="29"/>
      <c r="AH18" s="29"/>
    </row>
    <row r="19" ht="40.5" customHeight="1">
      <c r="A19" s="30"/>
      <c r="B19" s="31">
        <v>7.0</v>
      </c>
      <c r="C19" s="32" t="s">
        <v>85</v>
      </c>
      <c r="D19" s="32" t="s">
        <v>86</v>
      </c>
      <c r="E19" s="94" t="s">
        <v>2074</v>
      </c>
      <c r="F19" s="13"/>
      <c r="G19" s="33" t="s">
        <v>2075</v>
      </c>
      <c r="H19" s="45" t="s">
        <v>2076</v>
      </c>
      <c r="I19" s="41"/>
      <c r="J19" s="95" t="s">
        <v>2077</v>
      </c>
      <c r="K19" s="13"/>
      <c r="L19" s="45" t="s">
        <v>2078</v>
      </c>
      <c r="M19" s="13"/>
      <c r="N19" s="432" t="s">
        <v>2079</v>
      </c>
      <c r="O19" s="4"/>
      <c r="P19" s="37" t="s">
        <v>2080</v>
      </c>
      <c r="Q19" s="41"/>
      <c r="R19" s="96" t="s">
        <v>2081</v>
      </c>
      <c r="S19" s="97" t="s">
        <v>2082</v>
      </c>
      <c r="T19" s="93" t="s">
        <v>2083</v>
      </c>
      <c r="U19" s="36"/>
      <c r="V19" s="41"/>
      <c r="W19" s="26"/>
      <c r="X19" s="42" t="s">
        <v>85</v>
      </c>
      <c r="Y19" s="42" t="s">
        <v>86</v>
      </c>
      <c r="Z19" s="48" t="s">
        <v>97</v>
      </c>
      <c r="AA19" s="85" t="str">
        <f>AA$9</f>
        <v/>
      </c>
      <c r="AB19" s="15" t="str">
        <f>IFERROR(__xludf.DUMMYFUNCTION("join("","",filter(split($H$83,"",""),ARRAYFORMULA(ISERROR(FIND(split($H$83,"",""),CONCATENATE(E19:V19))))=TRUE))"),"СЗ,209,403,404,405,406,408,410,АЗ")</f>
        <v>СЗ,209,403,404,405,406,408,410,АЗ</v>
      </c>
      <c r="AC19" s="14"/>
      <c r="AD19" s="14"/>
      <c r="AE19" s="14"/>
      <c r="AF19" s="29"/>
      <c r="AG19" s="29"/>
      <c r="AH19" s="29"/>
    </row>
    <row r="20" ht="40.5" customHeight="1">
      <c r="A20" s="30"/>
      <c r="B20" s="31">
        <v>8.0</v>
      </c>
      <c r="C20" s="32" t="s">
        <v>98</v>
      </c>
      <c r="D20" s="32" t="s">
        <v>99</v>
      </c>
      <c r="E20" s="94" t="s">
        <v>2084</v>
      </c>
      <c r="F20" s="13"/>
      <c r="G20" s="33" t="s">
        <v>2085</v>
      </c>
      <c r="H20" s="45" t="s">
        <v>2086</v>
      </c>
      <c r="I20" s="41"/>
      <c r="J20" s="95" t="s">
        <v>2087</v>
      </c>
      <c r="K20" s="13"/>
      <c r="L20" s="45" t="s">
        <v>2088</v>
      </c>
      <c r="M20" s="13"/>
      <c r="N20" s="104"/>
      <c r="O20" s="72"/>
      <c r="P20" s="37" t="s">
        <v>2089</v>
      </c>
      <c r="Q20" s="41"/>
      <c r="R20" s="96" t="s">
        <v>2090</v>
      </c>
      <c r="S20" s="97" t="s">
        <v>2091</v>
      </c>
      <c r="T20" s="93" t="s">
        <v>2092</v>
      </c>
      <c r="U20" s="36"/>
      <c r="V20" s="41"/>
      <c r="W20" s="26"/>
      <c r="X20" s="42" t="s">
        <v>98</v>
      </c>
      <c r="Y20" s="42" t="s">
        <v>99</v>
      </c>
      <c r="Z20" s="11"/>
      <c r="AA20" s="98"/>
      <c r="AB20" s="15" t="str">
        <f>IFERROR(__xludf.DUMMYFUNCTION("join("","",filter(split($H$83,"",""),ARRAYFORMULA(ISERROR(FIND(split($H$83,"",""),CONCATENATE(E20:V20))))=TRUE))"),"СЗ,КЗ,209,403,404,405,406,408,410,АЗ")</f>
        <v>СЗ,КЗ,209,403,404,405,406,408,410,АЗ</v>
      </c>
      <c r="AC20" s="14"/>
      <c r="AD20" s="14"/>
      <c r="AE20" s="14"/>
      <c r="AF20" s="29"/>
      <c r="AG20" s="29"/>
      <c r="AH20" s="29"/>
    </row>
    <row r="21" ht="40.5" customHeight="1">
      <c r="A21" s="30"/>
      <c r="B21" s="31">
        <v>9.0</v>
      </c>
      <c r="C21" s="65">
        <v>44697.0</v>
      </c>
      <c r="D21" s="44" t="s">
        <v>109</v>
      </c>
      <c r="E21" s="99" t="s">
        <v>2093</v>
      </c>
      <c r="F21" s="4"/>
      <c r="G21" s="328" t="s">
        <v>2094</v>
      </c>
      <c r="H21" s="433" t="s">
        <v>2095</v>
      </c>
      <c r="I21" s="8"/>
      <c r="J21" s="8"/>
      <c r="K21" s="8"/>
      <c r="L21" s="8"/>
      <c r="M21" s="4"/>
      <c r="N21" s="45" t="s">
        <v>2096</v>
      </c>
      <c r="O21" s="13"/>
      <c r="P21" s="102" t="s">
        <v>2097</v>
      </c>
      <c r="Q21" s="41"/>
      <c r="R21" s="35" t="s">
        <v>211</v>
      </c>
      <c r="S21" s="41"/>
      <c r="T21" s="103" t="s">
        <v>2098</v>
      </c>
      <c r="U21" s="36"/>
      <c r="V21" s="41"/>
      <c r="W21" s="26"/>
      <c r="X21" s="69">
        <v>44697.0</v>
      </c>
      <c r="Y21" s="70" t="s">
        <v>109</v>
      </c>
      <c r="Z21" s="28"/>
      <c r="AA21" s="98"/>
      <c r="AB21" s="15" t="str">
        <f>IFERROR(__xludf.DUMMYFUNCTION("join("","",filter(split($H$83,"",""),ARRAYFORMULA(ISERROR(FIND(split($H$83,"",""),CONCATENATE(E21:V21))))=TRUE))"),"201,206,209,210,401,403,404,405,406,408,АЗ")</f>
        <v>201,206,209,210,401,403,404,405,406,408,АЗ</v>
      </c>
      <c r="AC21" s="14"/>
      <c r="AD21" s="14"/>
      <c r="AE21" s="14"/>
      <c r="AF21" s="29"/>
      <c r="AG21" s="29"/>
      <c r="AH21" s="29"/>
    </row>
    <row r="22" ht="40.5" customHeight="1">
      <c r="A22" s="30"/>
      <c r="B22" s="31">
        <v>10.0</v>
      </c>
      <c r="C22" s="44" t="s">
        <v>120</v>
      </c>
      <c r="D22" s="44" t="s">
        <v>121</v>
      </c>
      <c r="E22" s="104"/>
      <c r="F22" s="72"/>
      <c r="G22" s="328" t="s">
        <v>2099</v>
      </c>
      <c r="H22" s="64"/>
      <c r="I22" s="64"/>
      <c r="J22" s="64"/>
      <c r="K22" s="64"/>
      <c r="L22" s="64"/>
      <c r="M22" s="72"/>
      <c r="N22" s="45" t="s">
        <v>2100</v>
      </c>
      <c r="O22" s="13"/>
      <c r="P22" s="101" t="s">
        <v>2101</v>
      </c>
      <c r="Q22" s="36"/>
      <c r="R22" s="36"/>
      <c r="S22" s="13"/>
      <c r="T22" s="107" t="s">
        <v>2102</v>
      </c>
      <c r="U22" s="36"/>
      <c r="V22" s="41"/>
      <c r="W22" s="26"/>
      <c r="X22" s="70" t="s">
        <v>120</v>
      </c>
      <c r="Y22" s="70" t="s">
        <v>121</v>
      </c>
      <c r="Z22" s="28"/>
      <c r="AA22" s="98"/>
      <c r="AB22" s="15" t="str">
        <f>IFERROR(__xludf.DUMMYFUNCTION("join("","",filter(split($H$83,"",""),ARRAYFORMULA(ISERROR(FIND(split($H$83,"",""),CONCATENATE(E22:V22))))=TRUE))"),"201,206,209,210,401,403,404,405,406,408,409,АЗ")</f>
        <v>201,206,209,210,401,403,404,405,406,408,409,АЗ</v>
      </c>
      <c r="AC22" s="14"/>
      <c r="AD22" s="14"/>
      <c r="AE22" s="14"/>
      <c r="AF22" s="29"/>
      <c r="AG22" s="29"/>
      <c r="AH22" s="29"/>
    </row>
    <row r="23" ht="40.5" customHeight="1">
      <c r="A23" s="74"/>
      <c r="B23" s="75">
        <v>11.0</v>
      </c>
      <c r="C23" s="76" t="s">
        <v>124</v>
      </c>
      <c r="D23" s="76" t="s">
        <v>125</v>
      </c>
      <c r="E23" s="108"/>
      <c r="F23" s="109"/>
      <c r="G23" s="110"/>
      <c r="H23" s="111"/>
      <c r="I23" s="112"/>
      <c r="J23" s="113"/>
      <c r="K23" s="111"/>
      <c r="L23" s="111"/>
      <c r="M23" s="111"/>
      <c r="N23" s="111"/>
      <c r="O23" s="111"/>
      <c r="P23" s="111"/>
      <c r="Q23" s="111"/>
      <c r="R23" s="434" t="s">
        <v>2103</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customHeight="1">
      <c r="A24" s="271">
        <v>44832.0</v>
      </c>
      <c r="B24" s="435">
        <v>1.0</v>
      </c>
      <c r="C24" s="20" t="s">
        <v>12</v>
      </c>
      <c r="D24" s="20" t="s">
        <v>13</v>
      </c>
      <c r="E24" s="21" t="s">
        <v>2104</v>
      </c>
      <c r="F24" s="22"/>
      <c r="G24" s="116" t="s">
        <v>2105</v>
      </c>
      <c r="H24" s="117" t="s">
        <v>2106</v>
      </c>
      <c r="I24" s="22"/>
      <c r="J24" s="118" t="s">
        <v>221</v>
      </c>
      <c r="K24" s="24"/>
      <c r="L24" s="24"/>
      <c r="M24" s="25"/>
      <c r="N24" s="80" t="s">
        <v>2107</v>
      </c>
      <c r="O24" s="25"/>
      <c r="P24" s="331" t="s">
        <v>2108</v>
      </c>
      <c r="Q24" s="24"/>
      <c r="R24" s="24"/>
      <c r="S24" s="22"/>
      <c r="T24" s="121" t="s">
        <v>2109</v>
      </c>
      <c r="U24" s="24"/>
      <c r="V24" s="22"/>
      <c r="W24" s="26"/>
      <c r="X24" s="27" t="s">
        <v>12</v>
      </c>
      <c r="Y24" s="27" t="s">
        <v>13</v>
      </c>
      <c r="Z24" s="28"/>
      <c r="AA24" s="14"/>
      <c r="AB24" s="15" t="str">
        <f>IFERROR(__xludf.DUMMYFUNCTION("join("","",filter(split($H$83,"",""),ARRAYFORMULA(ISERROR(FIND(split($H$83,"",""),CONCATENATE(E24:V24))))=TRUE))"),"СЗ,КЗ,206,210,401,402,403,404,405,406,409,410")</f>
        <v>СЗ,КЗ,206,210,401,402,403,404,405,406,409,410</v>
      </c>
      <c r="AC24" s="14"/>
      <c r="AD24" s="14"/>
      <c r="AE24" s="14"/>
      <c r="AF24" s="29"/>
      <c r="AG24" s="29"/>
      <c r="AH24" s="29"/>
    </row>
    <row r="25" ht="40.5" customHeight="1">
      <c r="A25" s="274"/>
      <c r="B25" s="436">
        <v>2.0</v>
      </c>
      <c r="C25" s="32" t="s">
        <v>21</v>
      </c>
      <c r="D25" s="32" t="s">
        <v>22</v>
      </c>
      <c r="E25" s="51" t="s">
        <v>2110</v>
      </c>
      <c r="F25" s="41"/>
      <c r="G25" s="39" t="s">
        <v>2111</v>
      </c>
      <c r="H25" s="89" t="s">
        <v>2112</v>
      </c>
      <c r="I25" s="41"/>
      <c r="J25" s="35" t="s">
        <v>2113</v>
      </c>
      <c r="K25" s="13"/>
      <c r="L25" s="40" t="s">
        <v>2114</v>
      </c>
      <c r="M25" s="13"/>
      <c r="N25" s="40" t="s">
        <v>2115</v>
      </c>
      <c r="O25" s="13"/>
      <c r="P25" s="37" t="s">
        <v>2116</v>
      </c>
      <c r="Q25" s="13"/>
      <c r="R25" s="122" t="s">
        <v>2117</v>
      </c>
      <c r="S25" s="41"/>
      <c r="T25" s="103" t="s">
        <v>2118</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customHeight="1">
      <c r="A26" s="274"/>
      <c r="B26" s="436">
        <v>3.0</v>
      </c>
      <c r="C26" s="32" t="s">
        <v>33</v>
      </c>
      <c r="D26" s="32" t="s">
        <v>34</v>
      </c>
      <c r="E26" s="37" t="s">
        <v>2119</v>
      </c>
      <c r="F26" s="41"/>
      <c r="G26" s="51" t="s">
        <v>2120</v>
      </c>
      <c r="H26" s="36"/>
      <c r="I26" s="41"/>
      <c r="J26" s="95" t="s">
        <v>2121</v>
      </c>
      <c r="K26" s="13"/>
      <c r="L26" s="123" t="s">
        <v>2122</v>
      </c>
      <c r="M26" s="41"/>
      <c r="N26" s="40" t="s">
        <v>2123</v>
      </c>
      <c r="O26" s="13"/>
      <c r="P26" s="39" t="s">
        <v>2124</v>
      </c>
      <c r="Q26" s="124" t="s">
        <v>576</v>
      </c>
      <c r="R26" s="89" t="s">
        <v>2125</v>
      </c>
      <c r="S26" s="41"/>
      <c r="T26" s="125" t="s">
        <v>2126</v>
      </c>
      <c r="U26" s="36"/>
      <c r="V26" s="41"/>
      <c r="W26" s="26"/>
      <c r="X26" s="42" t="s">
        <v>33</v>
      </c>
      <c r="Y26" s="42" t="s">
        <v>34</v>
      </c>
      <c r="Z26" s="48" t="s">
        <v>47</v>
      </c>
      <c r="AA26" s="85" t="str">
        <f>AA$5</f>
        <v/>
      </c>
      <c r="AB26" s="15" t="str">
        <f>IFERROR(__xludf.DUMMYFUNCTION("join("","",filter(split($H$83,"",""),ARRAYFORMULA(ISERROR(FIND(split($H$83,"",""),CONCATENATE(E26:V26))))=TRUE))"),"СЗ,КЗ,206,210,402,403,404,405,408,410,АЗ")</f>
        <v>СЗ,КЗ,206,210,402,403,404,405,408,410,АЗ</v>
      </c>
      <c r="AC26" s="14"/>
      <c r="AD26" s="14"/>
      <c r="AE26" s="14"/>
      <c r="AF26" s="29"/>
      <c r="AG26" s="29"/>
      <c r="AH26" s="29"/>
    </row>
    <row r="27" ht="54.0" customHeight="1">
      <c r="A27" s="274"/>
      <c r="B27" s="436">
        <v>4.0</v>
      </c>
      <c r="C27" s="32" t="s">
        <v>48</v>
      </c>
      <c r="D27" s="32" t="s">
        <v>49</v>
      </c>
      <c r="E27" s="33" t="s">
        <v>2127</v>
      </c>
      <c r="F27" s="286" t="s">
        <v>2128</v>
      </c>
      <c r="G27" s="37" t="s">
        <v>2129</v>
      </c>
      <c r="H27" s="13"/>
      <c r="I27" s="92" t="s">
        <v>2130</v>
      </c>
      <c r="J27" s="107" t="s">
        <v>2131</v>
      </c>
      <c r="K27" s="13"/>
      <c r="L27" s="45" t="s">
        <v>2132</v>
      </c>
      <c r="M27" s="13"/>
      <c r="N27" s="127" t="s">
        <v>2133</v>
      </c>
      <c r="O27" s="13"/>
      <c r="P27" s="37" t="s">
        <v>2134</v>
      </c>
      <c r="Q27" s="13"/>
      <c r="R27" s="132" t="s">
        <v>2135</v>
      </c>
      <c r="S27" s="34" t="s">
        <v>2136</v>
      </c>
      <c r="T27" s="125" t="s">
        <v>2137</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D27" s="14"/>
      <c r="AE27" s="14"/>
      <c r="AF27" s="29"/>
      <c r="AG27" s="29"/>
      <c r="AH27" s="29"/>
    </row>
    <row r="28" ht="53.25" customHeight="1">
      <c r="A28" s="274"/>
      <c r="B28" s="436">
        <v>5.0</v>
      </c>
      <c r="C28" s="32" t="s">
        <v>58</v>
      </c>
      <c r="D28" s="53">
        <v>44847.0</v>
      </c>
      <c r="E28" s="33" t="s">
        <v>2138</v>
      </c>
      <c r="F28" s="92" t="s">
        <v>2139</v>
      </c>
      <c r="G28" s="37" t="s">
        <v>2140</v>
      </c>
      <c r="H28" s="13"/>
      <c r="I28" s="92" t="s">
        <v>2141</v>
      </c>
      <c r="J28" s="123" t="s">
        <v>2142</v>
      </c>
      <c r="K28" s="41"/>
      <c r="L28" s="45" t="s">
        <v>2143</v>
      </c>
      <c r="M28" s="13"/>
      <c r="N28" s="89" t="s">
        <v>2144</v>
      </c>
      <c r="O28" s="13"/>
      <c r="P28" s="39" t="s">
        <v>2145</v>
      </c>
      <c r="Q28" s="124" t="s">
        <v>2146</v>
      </c>
      <c r="R28" s="132" t="s">
        <v>2147</v>
      </c>
      <c r="S28" s="34" t="s">
        <v>2148</v>
      </c>
      <c r="T28" s="128" t="s">
        <v>2149</v>
      </c>
      <c r="U28" s="8"/>
      <c r="V28" s="129"/>
      <c r="W28" s="26"/>
      <c r="X28" s="42" t="s">
        <v>58</v>
      </c>
      <c r="Y28" s="54">
        <v>44847.0</v>
      </c>
      <c r="Z28" s="48" t="s">
        <v>70</v>
      </c>
      <c r="AA28" s="85" t="str">
        <f>AA$7</f>
        <v/>
      </c>
      <c r="AB28" s="15" t="str">
        <f>IFERROR(__xludf.DUMMYFUNCTION("join("","",filter(split($H$83,"",""),ARRAYFORMULA(ISERROR(FIND(split($H$83,"",""),CONCATENATE(E28:V28))))=TRUE))"),"СЗ,206,209,403,404,405,410")</f>
        <v>СЗ,206,209,403,404,405,410</v>
      </c>
      <c r="AC28" s="14"/>
      <c r="AD28" s="14"/>
      <c r="AE28" s="14"/>
      <c r="AF28" s="29"/>
      <c r="AG28" s="29"/>
      <c r="AH28" s="29"/>
    </row>
    <row r="29" ht="40.5" customHeight="1">
      <c r="A29" s="274"/>
      <c r="B29" s="436">
        <v>6.0</v>
      </c>
      <c r="C29" s="55" t="s">
        <v>71</v>
      </c>
      <c r="D29" s="56" t="s">
        <v>72</v>
      </c>
      <c r="E29" s="39" t="s">
        <v>2150</v>
      </c>
      <c r="F29" s="34" t="s">
        <v>2151</v>
      </c>
      <c r="G29" s="40" t="s">
        <v>2152</v>
      </c>
      <c r="H29" s="41"/>
      <c r="I29" s="34" t="s">
        <v>2153</v>
      </c>
      <c r="J29" s="123" t="s">
        <v>2154</v>
      </c>
      <c r="K29" s="41"/>
      <c r="L29" s="89" t="s">
        <v>2155</v>
      </c>
      <c r="M29" s="13"/>
      <c r="N29" s="130" t="s">
        <v>2156</v>
      </c>
      <c r="O29" s="13"/>
      <c r="P29" s="131" t="s">
        <v>2157</v>
      </c>
      <c r="Q29" s="132" t="s">
        <v>2158</v>
      </c>
      <c r="R29" s="437" t="s">
        <v>2159</v>
      </c>
      <c r="S29" s="92" t="s">
        <v>2160</v>
      </c>
      <c r="V29" s="134"/>
      <c r="W29" s="26"/>
      <c r="X29" s="58" t="s">
        <v>71</v>
      </c>
      <c r="Y29" s="59" t="s">
        <v>72</v>
      </c>
      <c r="Z29" s="48" t="s">
        <v>84</v>
      </c>
      <c r="AA29" s="85" t="str">
        <f>AA$8</f>
        <v/>
      </c>
      <c r="AB29" s="15" t="str">
        <f>IFERROR(__xludf.DUMMYFUNCTION("join("","",filter(split($H$83,"",""),ARRAYFORMULA(ISERROR(FIND(split($H$83,"",""),CONCATENATE(E29:V29))))=TRUE))"),"СЗ,КЗ,201,206,403,404,410,АЗ")</f>
        <v>СЗ,КЗ,201,206,403,404,410,АЗ</v>
      </c>
      <c r="AC29" s="14"/>
      <c r="AD29" s="14"/>
      <c r="AE29" s="14"/>
      <c r="AF29" s="29"/>
      <c r="AG29" s="29"/>
      <c r="AH29" s="29"/>
    </row>
    <row r="30" ht="40.5" customHeight="1">
      <c r="A30" s="274"/>
      <c r="B30" s="436">
        <v>7.0</v>
      </c>
      <c r="C30" s="32" t="s">
        <v>85</v>
      </c>
      <c r="D30" s="32" t="s">
        <v>86</v>
      </c>
      <c r="E30" s="39" t="s">
        <v>2161</v>
      </c>
      <c r="F30" s="34" t="s">
        <v>2162</v>
      </c>
      <c r="G30" s="40" t="s">
        <v>2163</v>
      </c>
      <c r="H30" s="41"/>
      <c r="I30" s="34" t="s">
        <v>2164</v>
      </c>
      <c r="J30" s="35" t="s">
        <v>2165</v>
      </c>
      <c r="K30" s="13"/>
      <c r="L30" s="123" t="s">
        <v>2166</v>
      </c>
      <c r="M30" s="41"/>
      <c r="N30" s="130" t="s">
        <v>2167</v>
      </c>
      <c r="O30" s="13"/>
      <c r="P30" s="131" t="s">
        <v>2168</v>
      </c>
      <c r="Q30" s="132" t="s">
        <v>2169</v>
      </c>
      <c r="R30" s="173"/>
      <c r="S30" s="92" t="s">
        <v>2170</v>
      </c>
      <c r="V30" s="134"/>
      <c r="W30" s="26"/>
      <c r="X30" s="42" t="s">
        <v>85</v>
      </c>
      <c r="Y30" s="42" t="s">
        <v>86</v>
      </c>
      <c r="Z30" s="48" t="s">
        <v>97</v>
      </c>
      <c r="AA30" s="85" t="str">
        <f>AA$9</f>
        <v/>
      </c>
      <c r="AB30" s="15" t="str">
        <f>IFERROR(__xludf.DUMMYFUNCTION("join("","",filter(split($H$83,"",""),ARRAYFORMULA(ISERROR(FIND(split($H$83,"",""),CONCATENATE(E30:V30))))=TRUE))"),"СЗ,КЗ,206,403,404,405,409,410,АЗ")</f>
        <v>СЗ,КЗ,206,403,404,405,409,410,АЗ</v>
      </c>
      <c r="AC30" s="14"/>
      <c r="AD30" s="14"/>
      <c r="AE30" s="14"/>
      <c r="AF30" s="29"/>
      <c r="AG30" s="29"/>
      <c r="AH30" s="29"/>
    </row>
    <row r="31" ht="52.5" customHeight="1">
      <c r="A31" s="274"/>
      <c r="B31" s="436">
        <v>8.0</v>
      </c>
      <c r="C31" s="32" t="s">
        <v>98</v>
      </c>
      <c r="D31" s="32" t="s">
        <v>99</v>
      </c>
      <c r="E31" s="46" t="s">
        <v>2171</v>
      </c>
      <c r="F31" s="41"/>
      <c r="G31" s="137" t="s">
        <v>2172</v>
      </c>
      <c r="H31" s="8"/>
      <c r="I31" s="129"/>
      <c r="J31" s="334" t="s">
        <v>2173</v>
      </c>
      <c r="K31" s="36"/>
      <c r="L31" s="36"/>
      <c r="M31" s="13"/>
      <c r="N31" s="45" t="s">
        <v>2174</v>
      </c>
      <c r="O31" s="13"/>
      <c r="P31" s="33" t="s">
        <v>2175</v>
      </c>
      <c r="Q31" s="408" t="s">
        <v>2176</v>
      </c>
      <c r="R31" s="144"/>
      <c r="S31" s="133" t="s">
        <v>276</v>
      </c>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customHeight="1">
      <c r="A32" s="274"/>
      <c r="B32" s="436">
        <v>9.0</v>
      </c>
      <c r="C32" s="65">
        <v>44697.0</v>
      </c>
      <c r="D32" s="44" t="s">
        <v>109</v>
      </c>
      <c r="E32" s="141" t="s">
        <v>2177</v>
      </c>
      <c r="F32" s="13"/>
      <c r="G32" s="142"/>
      <c r="H32" s="64"/>
      <c r="I32" s="88"/>
      <c r="J32" s="334" t="s">
        <v>2178</v>
      </c>
      <c r="K32" s="36"/>
      <c r="L32" s="36"/>
      <c r="M32" s="13"/>
      <c r="N32" s="45" t="s">
        <v>2179</v>
      </c>
      <c r="O32" s="13"/>
      <c r="P32" s="33" t="s">
        <v>2180</v>
      </c>
      <c r="Q32" s="408" t="s">
        <v>2181</v>
      </c>
      <c r="R32" s="144"/>
      <c r="S32" s="92"/>
      <c r="T32" s="64"/>
      <c r="U32" s="64"/>
      <c r="V32" s="88"/>
      <c r="W32" s="26"/>
      <c r="X32" s="69">
        <v>44697.0</v>
      </c>
      <c r="Y32" s="70" t="s">
        <v>109</v>
      </c>
      <c r="Z32" s="28"/>
      <c r="AA32" s="14"/>
      <c r="AB32" s="15" t="str">
        <f>IFERROR(__xludf.DUMMYFUNCTION("join("","",filter(split($H$83,"",""),ARRAYFORMULA(ISERROR(FIND(split($H$83,"",""),CONCATENATE(E32:V32))))=TRUE))"),"СЗ,КЗ,201,206,401,402,403,404,405,406,408,409,АЗ")</f>
        <v>СЗ,КЗ,201,206,401,402,403,404,405,406,408,409,АЗ</v>
      </c>
      <c r="AC32" s="14"/>
      <c r="AD32" s="14"/>
      <c r="AE32" s="14"/>
      <c r="AF32" s="29"/>
      <c r="AG32" s="29"/>
      <c r="AH32" s="29"/>
    </row>
    <row r="33" ht="40.5" customHeight="1">
      <c r="A33" s="274"/>
      <c r="B33" s="436">
        <v>10.0</v>
      </c>
      <c r="C33" s="44" t="s">
        <v>120</v>
      </c>
      <c r="D33" s="44" t="s">
        <v>121</v>
      </c>
      <c r="E33" s="268"/>
      <c r="F33" s="269"/>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customHeight="1">
      <c r="A34" s="289"/>
      <c r="B34" s="438">
        <v>11.0</v>
      </c>
      <c r="C34" s="76" t="s">
        <v>124</v>
      </c>
      <c r="D34" s="76" t="s">
        <v>125</v>
      </c>
      <c r="E34" s="110"/>
      <c r="F34" s="112"/>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IFERROR(__xludf.DUMMYFUNCTION("join("","",filter(split($H$83,"",""),ARRAYFORMULA(ISERROR(FIND(split($H$83,"",""),CONCATENATE(E34:V34))))=TRUE))"),"СЗ,КЗ,201,202,206,209,210,401,402,403,404,405,406,408,409,410,АЗ")</f>
        <v>СЗ,КЗ,201,202,206,209,210,401,402,403,404,405,406,408,409,410,АЗ</v>
      </c>
      <c r="AC34" s="14"/>
      <c r="AD34" s="14"/>
      <c r="AE34" s="14"/>
      <c r="AF34" s="29"/>
      <c r="AG34" s="29"/>
      <c r="AH34" s="29"/>
    </row>
    <row r="35" ht="60.75" customHeight="1">
      <c r="A35" s="18">
        <v>44833.0</v>
      </c>
      <c r="B35" s="19">
        <v>1.0</v>
      </c>
      <c r="C35" s="20" t="s">
        <v>12</v>
      </c>
      <c r="D35" s="20" t="s">
        <v>13</v>
      </c>
      <c r="E35" s="80"/>
      <c r="F35" s="25"/>
      <c r="G35" s="156" t="s">
        <v>2182</v>
      </c>
      <c r="H35" s="117" t="s">
        <v>2183</v>
      </c>
      <c r="I35" s="25"/>
      <c r="J35" s="157" t="s">
        <v>2184</v>
      </c>
      <c r="K35" s="13"/>
      <c r="L35" s="156" t="s">
        <v>2185</v>
      </c>
      <c r="M35" s="156" t="s">
        <v>2186</v>
      </c>
      <c r="N35" s="80" t="s">
        <v>2187</v>
      </c>
      <c r="O35" s="25"/>
      <c r="P35" s="156" t="s">
        <v>2188</v>
      </c>
      <c r="Q35" s="156" t="s">
        <v>2189</v>
      </c>
      <c r="R35" s="159" t="s">
        <v>2190</v>
      </c>
      <c r="S35" s="160"/>
      <c r="T35" s="161" t="s">
        <v>2191</v>
      </c>
      <c r="U35" s="24"/>
      <c r="V35" s="22"/>
      <c r="W35" s="26"/>
      <c r="X35" s="27" t="s">
        <v>12</v>
      </c>
      <c r="Y35" s="27" t="s">
        <v>13</v>
      </c>
      <c r="Z35" s="28"/>
      <c r="AA35" s="14"/>
      <c r="AB35" s="15" t="str">
        <f>IFERROR(__xludf.DUMMYFUNCTION("join("","",filter(split($H$83,"",""),ARRAYFORMULA(ISERROR(FIND(split($H$83,"",""),CONCATENATE(E35:V35))))=TRUE))"),"СЗ,КЗ,201,206,406,410,АЗ")</f>
        <v>СЗ,КЗ,201,206,406,410,АЗ</v>
      </c>
      <c r="AC35" s="14"/>
      <c r="AD35" s="14"/>
      <c r="AE35" s="14"/>
      <c r="AF35" s="29"/>
      <c r="AG35" s="29"/>
      <c r="AH35" s="29"/>
    </row>
    <row r="36" ht="55.5" customHeight="1">
      <c r="A36" s="30"/>
      <c r="B36" s="31">
        <v>2.0</v>
      </c>
      <c r="C36" s="32" t="s">
        <v>21</v>
      </c>
      <c r="D36" s="32" t="s">
        <v>22</v>
      </c>
      <c r="E36" s="45" t="s">
        <v>2192</v>
      </c>
      <c r="F36" s="13"/>
      <c r="G36" s="44" t="s">
        <v>2193</v>
      </c>
      <c r="H36" s="40" t="s">
        <v>2194</v>
      </c>
      <c r="I36" s="13"/>
      <c r="J36" s="157" t="s">
        <v>2195</v>
      </c>
      <c r="K36" s="13"/>
      <c r="L36" s="44" t="s">
        <v>2196</v>
      </c>
      <c r="M36" s="44" t="s">
        <v>2197</v>
      </c>
      <c r="N36" s="45" t="s">
        <v>316</v>
      </c>
      <c r="O36" s="13"/>
      <c r="P36" s="44" t="s">
        <v>2198</v>
      </c>
      <c r="Q36" s="44" t="s">
        <v>2199</v>
      </c>
      <c r="R36" s="162" t="s">
        <v>2200</v>
      </c>
      <c r="S36" s="90"/>
      <c r="T36" s="163" t="s">
        <v>2201</v>
      </c>
      <c r="U36" s="36"/>
      <c r="V36" s="41"/>
      <c r="W36" s="26"/>
      <c r="X36" s="42" t="s">
        <v>21</v>
      </c>
      <c r="Y36" s="42" t="s">
        <v>22</v>
      </c>
      <c r="Z36" s="28"/>
      <c r="AA36" s="14"/>
      <c r="AB36" s="15" t="str">
        <f>IFERROR(__xludf.DUMMYFUNCTION("join("","",filter(split($H$83,"",""),ARRAYFORMULA(ISERROR(FIND(split($H$83,"",""),CONCATENATE(E36:V36))))=TRUE))"),"СЗ,КЗ,206,406,410,АЗ")</f>
        <v>СЗ,КЗ,206,406,410,АЗ</v>
      </c>
      <c r="AC36" s="14"/>
      <c r="AD36" s="14"/>
      <c r="AE36" s="14"/>
      <c r="AF36" s="29"/>
      <c r="AG36" s="29"/>
      <c r="AH36" s="29"/>
    </row>
    <row r="37" ht="56.25" customHeight="1">
      <c r="A37" s="30"/>
      <c r="B37" s="31">
        <v>3.0</v>
      </c>
      <c r="C37" s="32" t="s">
        <v>33</v>
      </c>
      <c r="D37" s="32" t="s">
        <v>34</v>
      </c>
      <c r="E37" s="45" t="s">
        <v>2202</v>
      </c>
      <c r="F37" s="13"/>
      <c r="G37" s="132" t="s">
        <v>2203</v>
      </c>
      <c r="H37" s="45" t="s">
        <v>2204</v>
      </c>
      <c r="I37" s="13"/>
      <c r="J37" s="45" t="s">
        <v>2205</v>
      </c>
      <c r="K37" s="13"/>
      <c r="L37" s="44" t="s">
        <v>2206</v>
      </c>
      <c r="M37" s="44" t="s">
        <v>2207</v>
      </c>
      <c r="N37" s="164" t="s">
        <v>2208</v>
      </c>
      <c r="O37" s="36"/>
      <c r="P37" s="36"/>
      <c r="Q37" s="13"/>
      <c r="R37" s="44" t="s">
        <v>2209</v>
      </c>
      <c r="S37" s="44" t="s">
        <v>2210</v>
      </c>
      <c r="T37" s="87" t="s">
        <v>2211</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customHeight="1">
      <c r="A38" s="30"/>
      <c r="B38" s="31">
        <v>4.0</v>
      </c>
      <c r="C38" s="32" t="s">
        <v>48</v>
      </c>
      <c r="D38" s="32" t="s">
        <v>49</v>
      </c>
      <c r="E38" s="45" t="s">
        <v>2212</v>
      </c>
      <c r="F38" s="13"/>
      <c r="G38" s="132" t="s">
        <v>2213</v>
      </c>
      <c r="H38" s="45" t="s">
        <v>2214</v>
      </c>
      <c r="I38" s="13"/>
      <c r="J38" s="45" t="s">
        <v>2215</v>
      </c>
      <c r="K38" s="13"/>
      <c r="L38" s="44" t="s">
        <v>2216</v>
      </c>
      <c r="M38" s="44" t="s">
        <v>2217</v>
      </c>
      <c r="N38" s="164" t="s">
        <v>2218</v>
      </c>
      <c r="O38" s="36"/>
      <c r="P38" s="36"/>
      <c r="Q38" s="13"/>
      <c r="R38" s="44" t="s">
        <v>2219</v>
      </c>
      <c r="S38" s="44" t="s">
        <v>2220</v>
      </c>
      <c r="T38" s="87" t="s">
        <v>2221</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customHeight="1">
      <c r="A39" s="30"/>
      <c r="B39" s="31">
        <v>5.0</v>
      </c>
      <c r="C39" s="32" t="s">
        <v>58</v>
      </c>
      <c r="D39" s="53">
        <v>44847.0</v>
      </c>
      <c r="E39" s="45" t="s">
        <v>2222</v>
      </c>
      <c r="F39" s="13"/>
      <c r="G39" s="44" t="s">
        <v>2223</v>
      </c>
      <c r="H39" s="45" t="s">
        <v>2224</v>
      </c>
      <c r="I39" s="13"/>
      <c r="J39" s="44" t="s">
        <v>2225</v>
      </c>
      <c r="K39" s="44" t="s">
        <v>2226</v>
      </c>
      <c r="L39" s="45" t="s">
        <v>2227</v>
      </c>
      <c r="M39" s="13"/>
      <c r="N39" s="44" t="s">
        <v>2228</v>
      </c>
      <c r="O39" s="44" t="s">
        <v>2229</v>
      </c>
      <c r="P39" s="45" t="s">
        <v>2230</v>
      </c>
      <c r="Q39" s="13"/>
      <c r="R39" s="44" t="s">
        <v>2231</v>
      </c>
      <c r="S39" s="132" t="s">
        <v>2232</v>
      </c>
      <c r="T39" s="45" t="s">
        <v>2233</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customHeight="1">
      <c r="A40" s="30"/>
      <c r="B40" s="31">
        <v>6.0</v>
      </c>
      <c r="C40" s="55" t="s">
        <v>71</v>
      </c>
      <c r="D40" s="56" t="s">
        <v>72</v>
      </c>
      <c r="E40" s="45" t="s">
        <v>2234</v>
      </c>
      <c r="F40" s="13"/>
      <c r="G40" s="44" t="s">
        <v>355</v>
      </c>
      <c r="H40" s="45" t="s">
        <v>2235</v>
      </c>
      <c r="I40" s="13"/>
      <c r="J40" s="44" t="s">
        <v>2236</v>
      </c>
      <c r="K40" s="44" t="s">
        <v>2237</v>
      </c>
      <c r="L40" s="45" t="s">
        <v>2238</v>
      </c>
      <c r="M40" s="13"/>
      <c r="N40" s="44" t="s">
        <v>2239</v>
      </c>
      <c r="O40" s="44" t="s">
        <v>2240</v>
      </c>
      <c r="P40" s="45" t="s">
        <v>2241</v>
      </c>
      <c r="Q40" s="13"/>
      <c r="R40" s="44" t="s">
        <v>2242</v>
      </c>
      <c r="S40" s="132" t="s">
        <v>2243</v>
      </c>
      <c r="T40" s="45" t="s">
        <v>2244</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customHeight="1">
      <c r="A41" s="30"/>
      <c r="B41" s="31">
        <v>7.0</v>
      </c>
      <c r="C41" s="32" t="s">
        <v>85</v>
      </c>
      <c r="D41" s="32" t="s">
        <v>86</v>
      </c>
      <c r="E41" s="45" t="s">
        <v>2245</v>
      </c>
      <c r="F41" s="13"/>
      <c r="G41" s="44" t="s">
        <v>2246</v>
      </c>
      <c r="H41" s="45" t="s">
        <v>2247</v>
      </c>
      <c r="I41" s="13"/>
      <c r="J41" s="44" t="s">
        <v>2248</v>
      </c>
      <c r="K41" s="44" t="s">
        <v>2249</v>
      </c>
      <c r="L41" s="45" t="s">
        <v>2250</v>
      </c>
      <c r="M41" s="13"/>
      <c r="N41" s="87" t="s">
        <v>2251</v>
      </c>
      <c r="O41" s="13"/>
      <c r="P41" s="45" t="s">
        <v>2252</v>
      </c>
      <c r="Q41" s="13"/>
      <c r="R41" s="44" t="s">
        <v>2253</v>
      </c>
      <c r="S41" s="44" t="s">
        <v>2254</v>
      </c>
      <c r="T41" s="165" t="s">
        <v>2255</v>
      </c>
      <c r="U41" s="36"/>
      <c r="V41" s="41"/>
      <c r="W41" s="26"/>
      <c r="X41" s="42" t="s">
        <v>85</v>
      </c>
      <c r="Y41" s="42" t="s">
        <v>86</v>
      </c>
      <c r="Z41" s="48" t="s">
        <v>97</v>
      </c>
      <c r="AA41" s="85" t="str">
        <f>AA$9</f>
        <v/>
      </c>
      <c r="AB41" s="15" t="str">
        <f>IFERROR(__xludf.DUMMYFUNCTION("join("","",filter(split($H$83,"",""),ARRAYFORMULA(ISERROR(FIND(split($H$83,"",""),CONCATENATE(E41:V41))))=TRUE))"),"СЗ,КЗ,206,210,403,406,410,АЗ")</f>
        <v>СЗ,КЗ,206,210,403,406,410,АЗ</v>
      </c>
      <c r="AC41" s="14"/>
      <c r="AD41" s="14"/>
      <c r="AE41" s="14"/>
      <c r="AF41" s="29"/>
      <c r="AG41" s="29"/>
      <c r="AH41" s="29"/>
    </row>
    <row r="42" ht="52.5" customHeight="1">
      <c r="A42" s="30"/>
      <c r="B42" s="31">
        <v>8.0</v>
      </c>
      <c r="C42" s="32" t="s">
        <v>98</v>
      </c>
      <c r="D42" s="32" t="s">
        <v>99</v>
      </c>
      <c r="E42" s="45" t="s">
        <v>2256</v>
      </c>
      <c r="F42" s="13"/>
      <c r="G42" s="44" t="s">
        <v>2257</v>
      </c>
      <c r="H42" s="45" t="s">
        <v>2258</v>
      </c>
      <c r="I42" s="13"/>
      <c r="J42" s="44" t="s">
        <v>2259</v>
      </c>
      <c r="K42" s="44" t="s">
        <v>2260</v>
      </c>
      <c r="L42" s="45" t="s">
        <v>2261</v>
      </c>
      <c r="M42" s="13"/>
      <c r="N42" s="87" t="s">
        <v>2262</v>
      </c>
      <c r="O42" s="13"/>
      <c r="P42" s="45" t="s">
        <v>2263</v>
      </c>
      <c r="Q42" s="13"/>
      <c r="R42" s="343"/>
      <c r="S42" s="13"/>
      <c r="T42" s="165" t="s">
        <v>2264</v>
      </c>
      <c r="U42" s="36"/>
      <c r="V42" s="41"/>
      <c r="W42" s="26"/>
      <c r="X42" s="42" t="s">
        <v>98</v>
      </c>
      <c r="Y42" s="42" t="s">
        <v>99</v>
      </c>
      <c r="Z42" s="11"/>
      <c r="AA42" s="14"/>
      <c r="AB42" s="15" t="str">
        <f>IFERROR(__xludf.DUMMYFUNCTION("join("","",filter(split($H$83,"",""),ARRAYFORMULA(ISERROR(FIND(split($H$83,"",""),CONCATENATE(E42:V42))))=TRUE))"),"СЗ,КЗ,206,210,403,404,405,406,410,АЗ")</f>
        <v>СЗ,КЗ,206,210,403,404,405,406,410,АЗ</v>
      </c>
      <c r="AC42" s="14"/>
      <c r="AD42" s="14"/>
      <c r="AE42" s="14"/>
      <c r="AF42" s="29"/>
      <c r="AG42" s="29"/>
      <c r="AH42" s="29"/>
    </row>
    <row r="43" ht="40.5" customHeight="1">
      <c r="A43" s="30"/>
      <c r="B43" s="31">
        <v>9.0</v>
      </c>
      <c r="C43" s="65">
        <v>44697.0</v>
      </c>
      <c r="D43" s="44" t="s">
        <v>109</v>
      </c>
      <c r="E43" s="167" t="s">
        <v>2265</v>
      </c>
      <c r="F43" s="4"/>
      <c r="G43" s="168"/>
      <c r="H43" s="169" t="s">
        <v>2266</v>
      </c>
      <c r="I43" s="36"/>
      <c r="J43" s="13"/>
      <c r="K43" s="170"/>
      <c r="L43" s="4"/>
      <c r="M43" s="171"/>
      <c r="N43" s="45" t="s">
        <v>2267</v>
      </c>
      <c r="O43" s="13"/>
      <c r="P43" s="174" t="s">
        <v>2268</v>
      </c>
      <c r="Q43" s="426" t="s">
        <v>2269</v>
      </c>
      <c r="R43" s="8"/>
      <c r="S43" s="8"/>
      <c r="T43" s="8"/>
      <c r="U43" s="8"/>
      <c r="V43" s="129"/>
      <c r="W43" s="26"/>
      <c r="X43" s="69">
        <v>44697.0</v>
      </c>
      <c r="Y43" s="70" t="s">
        <v>109</v>
      </c>
      <c r="Z43" s="28"/>
      <c r="AA43" s="14"/>
      <c r="AB43" s="15" t="str">
        <f>IFERROR(__xludf.DUMMYFUNCTION("join("","",filter(split($H$83,"",""),ARRAYFORMULA(ISERROR(FIND(split($H$83,"",""),CONCATENATE(E43:V43))))=TRUE))"),"КЗ,206,209,210,401,403,404,405,406,408,409,АЗ")</f>
        <v>КЗ,206,209,210,401,403,404,405,406,408,409,АЗ</v>
      </c>
      <c r="AC43" s="14"/>
      <c r="AD43" s="14"/>
      <c r="AE43" s="14"/>
      <c r="AF43" s="29"/>
      <c r="AG43" s="29"/>
      <c r="AH43" s="29"/>
    </row>
    <row r="44" ht="40.5" customHeight="1">
      <c r="A44" s="30"/>
      <c r="B44" s="31">
        <v>10.0</v>
      </c>
      <c r="C44" s="44" t="s">
        <v>120</v>
      </c>
      <c r="D44" s="44" t="s">
        <v>121</v>
      </c>
      <c r="E44" s="104"/>
      <c r="F44" s="72"/>
      <c r="G44" s="173"/>
      <c r="H44" s="169" t="s">
        <v>2270</v>
      </c>
      <c r="I44" s="36"/>
      <c r="J44" s="13"/>
      <c r="K44" s="104"/>
      <c r="L44" s="72"/>
      <c r="M44" s="171"/>
      <c r="N44" s="45" t="s">
        <v>2271</v>
      </c>
      <c r="O44" s="13"/>
      <c r="P44" s="173"/>
      <c r="Q44" s="104"/>
      <c r="R44" s="64"/>
      <c r="S44" s="64"/>
      <c r="T44" s="64"/>
      <c r="U44" s="64"/>
      <c r="V44" s="88"/>
      <c r="W44" s="26"/>
      <c r="X44" s="70" t="s">
        <v>120</v>
      </c>
      <c r="Y44" s="70" t="s">
        <v>121</v>
      </c>
      <c r="Z44" s="28"/>
      <c r="AA44" s="14"/>
      <c r="AB44" s="15" t="str">
        <f>IFERROR(__xludf.DUMMYFUNCTION("join("","",filter(split($H$83,"",""),ARRAYFORMULA(ISERROR(FIND(split($H$83,"",""),CONCATENATE(E44:V44))))=TRUE))"),"КЗ,201,202,206,209,210,401,403,404,405,406,408,409,410,АЗ")</f>
        <v>КЗ,201,202,206,209,210,401,403,404,405,406,408,409,410,АЗ</v>
      </c>
      <c r="AC44" s="14"/>
      <c r="AD44" s="14"/>
      <c r="AE44" s="14"/>
      <c r="AF44" s="29"/>
      <c r="AG44" s="29"/>
      <c r="AH44" s="29"/>
    </row>
    <row r="45" ht="40.5"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18">
        <v>44834.0</v>
      </c>
      <c r="B46" s="19">
        <v>1.0</v>
      </c>
      <c r="C46" s="20" t="s">
        <v>12</v>
      </c>
      <c r="D46" s="20" t="s">
        <v>13</v>
      </c>
      <c r="E46" s="156" t="s">
        <v>2272</v>
      </c>
      <c r="F46" s="156" t="s">
        <v>2273</v>
      </c>
      <c r="G46" s="80" t="s">
        <v>2274</v>
      </c>
      <c r="H46" s="25"/>
      <c r="I46" s="174" t="s">
        <v>2275</v>
      </c>
      <c r="J46" s="175" t="s">
        <v>2276</v>
      </c>
      <c r="K46" s="25"/>
      <c r="L46" s="439" t="s">
        <v>2277</v>
      </c>
      <c r="M46" s="25"/>
      <c r="N46" s="156" t="s">
        <v>2278</v>
      </c>
      <c r="O46" s="156" t="s">
        <v>2279</v>
      </c>
      <c r="P46" s="80" t="s">
        <v>2280</v>
      </c>
      <c r="Q46" s="25"/>
      <c r="R46" s="80" t="s">
        <v>2281</v>
      </c>
      <c r="S46" s="25"/>
      <c r="T46" s="80" t="s">
        <v>2282</v>
      </c>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2283</v>
      </c>
      <c r="F47" s="44" t="s">
        <v>2284</v>
      </c>
      <c r="G47" s="45" t="s">
        <v>2285</v>
      </c>
      <c r="H47" s="13"/>
      <c r="I47" s="173"/>
      <c r="J47" s="157" t="s">
        <v>2286</v>
      </c>
      <c r="K47" s="13"/>
      <c r="L47" s="440" t="s">
        <v>2287</v>
      </c>
      <c r="M47" s="13"/>
      <c r="N47" s="44" t="s">
        <v>2288</v>
      </c>
      <c r="O47" s="44" t="s">
        <v>2289</v>
      </c>
      <c r="P47" s="45" t="s">
        <v>2290</v>
      </c>
      <c r="Q47" s="13"/>
      <c r="R47" s="44" t="s">
        <v>2291</v>
      </c>
      <c r="S47" s="90" t="s">
        <v>2292</v>
      </c>
      <c r="T47" s="45" t="s">
        <v>2293</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40" t="s">
        <v>2294</v>
      </c>
      <c r="F48" s="13"/>
      <c r="G48" s="176" t="s">
        <v>2295</v>
      </c>
      <c r="H48" s="4"/>
      <c r="I48" s="90" t="s">
        <v>2296</v>
      </c>
      <c r="J48" s="44" t="s">
        <v>2297</v>
      </c>
      <c r="K48" s="44" t="s">
        <v>2298</v>
      </c>
      <c r="L48" s="44" t="s">
        <v>2299</v>
      </c>
      <c r="M48" s="44" t="s">
        <v>2300</v>
      </c>
      <c r="N48" s="164" t="s">
        <v>2301</v>
      </c>
      <c r="O48" s="36"/>
      <c r="P48" s="36"/>
      <c r="Q48" s="13"/>
      <c r="R48" s="44" t="s">
        <v>2302</v>
      </c>
      <c r="S48" s="90" t="s">
        <v>2303</v>
      </c>
      <c r="T48" s="45" t="s">
        <v>2304</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2305</v>
      </c>
      <c r="F49" s="13"/>
      <c r="G49" s="104"/>
      <c r="H49" s="72"/>
      <c r="I49" s="90" t="s">
        <v>2306</v>
      </c>
      <c r="J49" s="44" t="s">
        <v>2307</v>
      </c>
      <c r="K49" s="44" t="s">
        <v>2308</v>
      </c>
      <c r="L49" s="44" t="s">
        <v>2309</v>
      </c>
      <c r="M49" s="44" t="s">
        <v>2310</v>
      </c>
      <c r="N49" s="164" t="s">
        <v>2311</v>
      </c>
      <c r="O49" s="36"/>
      <c r="P49" s="36"/>
      <c r="Q49" s="13"/>
      <c r="R49" s="441" t="s">
        <v>2312</v>
      </c>
      <c r="S49" s="133" t="s">
        <v>2313</v>
      </c>
      <c r="T49" s="45" t="s">
        <v>2314</v>
      </c>
      <c r="U49" s="36"/>
      <c r="V49" s="41"/>
      <c r="W49" s="26"/>
      <c r="X49" s="42" t="s">
        <v>48</v>
      </c>
      <c r="Y49" s="42" t="s">
        <v>49</v>
      </c>
      <c r="Z49" s="48" t="s">
        <v>57</v>
      </c>
      <c r="AA49" s="85" t="str">
        <f>AA$6</f>
        <v/>
      </c>
      <c r="AB49" s="15" t="str">
        <f>IFERROR(__xludf.DUMMYFUNCTION("join("","",filter(split($H$83,"",""),ARRAYFORMULA(ISERROR(FIND(split($H$83,"",""),CONCATENATE(E49:V49))))=TRUE))"),"СЗ,КЗ,201,206,209,410,АЗ")</f>
        <v>СЗ,КЗ,201,206,209,410,АЗ</v>
      </c>
      <c r="AC49" s="14"/>
      <c r="AD49" s="14"/>
      <c r="AE49" s="14"/>
      <c r="AF49" s="29"/>
      <c r="AG49" s="29"/>
      <c r="AH49" s="29"/>
    </row>
    <row r="50" ht="40.5" customHeight="1">
      <c r="A50" s="30"/>
      <c r="B50" s="31">
        <v>5.0</v>
      </c>
      <c r="C50" s="32" t="s">
        <v>58</v>
      </c>
      <c r="D50" s="53">
        <v>44847.0</v>
      </c>
      <c r="E50" s="45" t="s">
        <v>2315</v>
      </c>
      <c r="F50" s="13"/>
      <c r="G50" s="44" t="s">
        <v>2316</v>
      </c>
      <c r="H50" s="44" t="s">
        <v>2317</v>
      </c>
      <c r="I50" s="44" t="s">
        <v>2318</v>
      </c>
      <c r="J50" s="45" t="s">
        <v>2319</v>
      </c>
      <c r="K50" s="13"/>
      <c r="L50" s="45" t="s">
        <v>2320</v>
      </c>
      <c r="M50" s="13"/>
      <c r="N50" s="442" t="s">
        <v>2321</v>
      </c>
      <c r="O50" s="124" t="s">
        <v>2322</v>
      </c>
      <c r="P50" s="45" t="s">
        <v>2323</v>
      </c>
      <c r="Q50" s="13"/>
      <c r="R50" s="441" t="s">
        <v>2324</v>
      </c>
      <c r="S50" s="133" t="s">
        <v>2325</v>
      </c>
      <c r="T50" s="45" t="s">
        <v>2326</v>
      </c>
      <c r="U50" s="36"/>
      <c r="V50" s="41"/>
      <c r="W50" s="26"/>
      <c r="X50" s="42" t="s">
        <v>58</v>
      </c>
      <c r="Y50" s="54">
        <v>44847.0</v>
      </c>
      <c r="Z50" s="48" t="s">
        <v>70</v>
      </c>
      <c r="AA50" s="85" t="str">
        <f>AA$7</f>
        <v/>
      </c>
      <c r="AB50" s="15" t="str">
        <f>IFERROR(__xludf.DUMMYFUNCTION("join("","",filter(split($H$83,"",""),ARRAYFORMULA(ISERROR(FIND(split($H$83,"",""),CONCATENATE(E50:V50))))=TRUE))"),"СЗ,КЗ,206,401,404,406,410")</f>
        <v>СЗ,КЗ,206,401,404,406,410</v>
      </c>
      <c r="AC50" s="14"/>
      <c r="AD50" s="14"/>
      <c r="AE50" s="14"/>
      <c r="AF50" s="29"/>
      <c r="AG50" s="29"/>
      <c r="AH50" s="29"/>
    </row>
    <row r="51" ht="48.75" customHeight="1">
      <c r="A51" s="30"/>
      <c r="B51" s="31">
        <v>6.0</v>
      </c>
      <c r="C51" s="55" t="s">
        <v>71</v>
      </c>
      <c r="D51" s="56" t="s">
        <v>72</v>
      </c>
      <c r="E51" s="45" t="s">
        <v>2327</v>
      </c>
      <c r="F51" s="13"/>
      <c r="G51" s="44" t="s">
        <v>2328</v>
      </c>
      <c r="H51" s="44" t="s">
        <v>2329</v>
      </c>
      <c r="I51" s="44" t="s">
        <v>2330</v>
      </c>
      <c r="J51" s="45" t="s">
        <v>2331</v>
      </c>
      <c r="K51" s="13"/>
      <c r="L51" s="45" t="s">
        <v>2332</v>
      </c>
      <c r="M51" s="13"/>
      <c r="N51" s="442" t="s">
        <v>2333</v>
      </c>
      <c r="O51" s="124" t="s">
        <v>2334</v>
      </c>
      <c r="P51" s="45" t="s">
        <v>2335</v>
      </c>
      <c r="Q51" s="13"/>
      <c r="R51" s="162" t="s">
        <v>2336</v>
      </c>
      <c r="S51" s="178" t="s">
        <v>2337</v>
      </c>
      <c r="T51" s="44" t="s">
        <v>2338</v>
      </c>
      <c r="U51" s="44" t="s">
        <v>2339</v>
      </c>
      <c r="V51" s="34"/>
      <c r="W51" s="179"/>
      <c r="X51" s="58" t="s">
        <v>71</v>
      </c>
      <c r="Y51" s="59" t="s">
        <v>72</v>
      </c>
      <c r="Z51" s="48" t="s">
        <v>84</v>
      </c>
      <c r="AA51" s="85"/>
      <c r="AB51" s="15" t="str">
        <f>IFERROR(__xludf.DUMMYFUNCTION("join("","",filter(split($H$83,"",""),ARRAYFORMULA(ISERROR(FIND(split($H$83,"",""),CONCATENATE(E51:V51))))=TRUE))"),"СЗ,206,409,410")</f>
        <v>СЗ,206,409,410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2340</v>
      </c>
      <c r="F52" s="13"/>
      <c r="G52" s="44" t="s">
        <v>2341</v>
      </c>
      <c r="H52" s="44" t="s">
        <v>2342</v>
      </c>
      <c r="I52" s="44" t="s">
        <v>2343</v>
      </c>
      <c r="J52" s="45" t="s">
        <v>2344</v>
      </c>
      <c r="K52" s="13"/>
      <c r="L52" s="45" t="s">
        <v>2345</v>
      </c>
      <c r="M52" s="13"/>
      <c r="N52" s="132"/>
      <c r="O52" s="442" t="s">
        <v>2346</v>
      </c>
      <c r="P52" s="124" t="s">
        <v>2347</v>
      </c>
      <c r="Q52" s="132"/>
      <c r="R52" s="180" t="s">
        <v>2348</v>
      </c>
      <c r="S52" s="181" t="s">
        <v>2349</v>
      </c>
      <c r="T52" s="44" t="s">
        <v>2350</v>
      </c>
      <c r="U52" s="44"/>
      <c r="V52" s="34"/>
      <c r="W52" s="26"/>
      <c r="X52" s="42" t="s">
        <v>85</v>
      </c>
      <c r="Y52" s="42" t="s">
        <v>86</v>
      </c>
      <c r="Z52" s="48" t="s">
        <v>97</v>
      </c>
      <c r="AA52" s="85" t="str">
        <f>AA$9</f>
        <v/>
      </c>
      <c r="AB52" s="15" t="str">
        <f>IFERROR(__xludf.DUMMYFUNCTION("join("","",filter(split($H$83,"",""),ARRAYFORMULA(ISERROR(FIND(split($H$83,"",""),CONCATENATE(E52:V52))))=TRUE))"),"СЗ,206,408,409,410")</f>
        <v>СЗ,206,408,409,410</v>
      </c>
      <c r="AC52" s="14"/>
      <c r="AD52" s="14"/>
      <c r="AE52" s="14"/>
      <c r="AF52" s="29"/>
      <c r="AG52" s="29"/>
      <c r="AH52" s="29"/>
    </row>
    <row r="53" ht="51.75" customHeight="1">
      <c r="A53" s="30"/>
      <c r="B53" s="31">
        <v>8.0</v>
      </c>
      <c r="C53" s="32" t="s">
        <v>98</v>
      </c>
      <c r="D53" s="32" t="s">
        <v>99</v>
      </c>
      <c r="E53" s="44" t="s">
        <v>2351</v>
      </c>
      <c r="F53" s="44" t="s">
        <v>2352</v>
      </c>
      <c r="G53" s="416" t="s">
        <v>1913</v>
      </c>
      <c r="H53" s="86" t="s">
        <v>2353</v>
      </c>
      <c r="I53" s="13"/>
      <c r="J53" s="45" t="s">
        <v>2354</v>
      </c>
      <c r="K53" s="13"/>
      <c r="L53" s="45" t="s">
        <v>2355</v>
      </c>
      <c r="M53" s="13"/>
      <c r="N53" s="132"/>
      <c r="O53" s="442" t="s">
        <v>2356</v>
      </c>
      <c r="P53" s="124" t="s">
        <v>2357</v>
      </c>
      <c r="Q53" s="132"/>
      <c r="R53" s="45" t="s">
        <v>2358</v>
      </c>
      <c r="S53" s="13"/>
      <c r="T53" s="144"/>
      <c r="U53" s="144"/>
      <c r="V53" s="184"/>
      <c r="W53" s="26"/>
      <c r="X53" s="42" t="s">
        <v>98</v>
      </c>
      <c r="Y53" s="42" t="s">
        <v>99</v>
      </c>
      <c r="Z53" s="11"/>
      <c r="AA53" s="14"/>
      <c r="AB53" s="15" t="str">
        <f>IFERROR(__xludf.DUMMYFUNCTION("join("","",filter(split($H$83,"",""),ARRAYFORMULA(ISERROR(FIND(split($H$83,"",""),CONCATENATE(E53:V53))))=TRUE))"),"СЗ,201,206,401,402,404,405,408,409,410")</f>
        <v>СЗ,201,206,401,402,404,405,408,409,410</v>
      </c>
      <c r="AC53" s="14"/>
      <c r="AD53" s="14"/>
      <c r="AE53" s="14"/>
      <c r="AF53" s="29"/>
      <c r="AG53" s="29"/>
      <c r="AH53" s="29"/>
    </row>
    <row r="54" ht="71.25" customHeight="1">
      <c r="A54" s="30"/>
      <c r="B54" s="31">
        <v>9.0</v>
      </c>
      <c r="C54" s="65">
        <v>44697.0</v>
      </c>
      <c r="D54" s="44" t="s">
        <v>109</v>
      </c>
      <c r="E54" s="187" t="s">
        <v>1920</v>
      </c>
      <c r="F54" s="8"/>
      <c r="G54" s="8"/>
      <c r="H54" s="8"/>
      <c r="I54" s="8"/>
      <c r="J54" s="8"/>
      <c r="K54" s="8"/>
      <c r="L54" s="8"/>
      <c r="M54" s="8"/>
      <c r="N54" s="8"/>
      <c r="O54" s="8"/>
      <c r="P54" s="8"/>
      <c r="Q54" s="8"/>
      <c r="R54" s="8"/>
      <c r="S54" s="8"/>
      <c r="T54" s="8"/>
      <c r="U54" s="8"/>
      <c r="V54" s="8"/>
      <c r="W54" s="186"/>
      <c r="X54" s="69">
        <v>44697.0</v>
      </c>
      <c r="Y54" s="70" t="s">
        <v>109</v>
      </c>
      <c r="Z54" s="28"/>
      <c r="AA54" s="14"/>
      <c r="AB54" s="15" t="str">
        <f>IFERROR(__xludf.DUMMYFUNCTION("join("","",filter(split($H$83,"",""),ARRAYFORMULA(ISERROR(FIND(split($H$83,"",""),CONCATENATE(E54:V54))))=TRUE))"),"206,209,401,403,404,405,408,409,АЗ")</f>
        <v>206,209,401,403,404,405,408,409,АЗ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64"/>
      <c r="O55" s="64"/>
      <c r="P55" s="6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18">
        <v>44835.0</v>
      </c>
      <c r="B57" s="191">
        <v>1.0</v>
      </c>
      <c r="C57" s="192" t="str">
        <f>D$1</f>
        <v/>
      </c>
      <c r="D57" s="72"/>
      <c r="E57" s="193"/>
      <c r="F57" s="193"/>
      <c r="G57" s="194" t="s">
        <v>2359</v>
      </c>
      <c r="H57" s="64"/>
      <c r="I57" s="72"/>
      <c r="J57" s="195"/>
      <c r="K57" s="64"/>
      <c r="L57" s="64"/>
      <c r="M57" s="72"/>
      <c r="N57" s="193"/>
      <c r="O57" s="193"/>
      <c r="P57" s="259"/>
      <c r="Q57" s="259"/>
      <c r="R57" s="193"/>
      <c r="S57" s="193"/>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5"/>
      <c r="P58" s="144"/>
      <c r="Q58" s="144"/>
      <c r="R58" s="15"/>
      <c r="S58" s="15"/>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5"/>
      <c r="K59" s="36"/>
      <c r="L59" s="36"/>
      <c r="M59" s="13"/>
      <c r="N59" s="15"/>
      <c r="O59" s="15"/>
      <c r="P59" s="15"/>
      <c r="Q59" s="15"/>
      <c r="R59" s="15"/>
      <c r="S59" s="15"/>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15"/>
      <c r="K60" s="15"/>
      <c r="L60" s="15"/>
      <c r="M60" s="15"/>
      <c r="N60" s="15"/>
      <c r="O60" s="15"/>
      <c r="P60" s="15"/>
      <c r="Q60" s="15"/>
      <c r="R60" s="15"/>
      <c r="S60" s="15"/>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15"/>
      <c r="K61" s="15"/>
      <c r="L61" s="15"/>
      <c r="M61" s="15"/>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15"/>
      <c r="K62" s="15"/>
      <c r="L62" s="15"/>
      <c r="M62" s="15"/>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15"/>
      <c r="K63" s="15"/>
      <c r="L63" s="15"/>
      <c r="M63" s="15"/>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15"/>
      <c r="K64" s="15"/>
      <c r="L64" s="15"/>
      <c r="M64" s="15"/>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15"/>
      <c r="K65" s="15"/>
      <c r="L65" s="15"/>
      <c r="M65" s="15"/>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15"/>
      <c r="L66" s="15"/>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15"/>
      <c r="L67" s="15"/>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15"/>
      <c r="L68" s="15"/>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76">
    <mergeCell ref="E10:F10"/>
    <mergeCell ref="G10:I10"/>
    <mergeCell ref="Q10:V10"/>
    <mergeCell ref="T11:V11"/>
    <mergeCell ref="U13:V13"/>
    <mergeCell ref="U14:V14"/>
    <mergeCell ref="T15:V15"/>
    <mergeCell ref="N16:O16"/>
    <mergeCell ref="P16:Q16"/>
    <mergeCell ref="T16:V17"/>
    <mergeCell ref="E17:F17"/>
    <mergeCell ref="H17:I17"/>
    <mergeCell ref="J17:K17"/>
    <mergeCell ref="L17:M17"/>
    <mergeCell ref="P24:S24"/>
    <mergeCell ref="T24:V24"/>
    <mergeCell ref="T18:V18"/>
    <mergeCell ref="T19:V19"/>
    <mergeCell ref="T20:V20"/>
    <mergeCell ref="T21:V21"/>
    <mergeCell ref="T22:V22"/>
    <mergeCell ref="R23:V23"/>
    <mergeCell ref="N24:O24"/>
    <mergeCell ref="N25:O25"/>
    <mergeCell ref="P25:Q25"/>
    <mergeCell ref="R25:S25"/>
    <mergeCell ref="T25:V25"/>
    <mergeCell ref="N26:O26"/>
    <mergeCell ref="R26:S26"/>
    <mergeCell ref="T26:V26"/>
    <mergeCell ref="L29:M29"/>
    <mergeCell ref="N29:O29"/>
    <mergeCell ref="T36:V36"/>
    <mergeCell ref="G29:H29"/>
    <mergeCell ref="G30:H30"/>
    <mergeCell ref="E21:F22"/>
    <mergeCell ref="H21:M22"/>
    <mergeCell ref="J24:M24"/>
    <mergeCell ref="J25:K25"/>
    <mergeCell ref="L25:M25"/>
    <mergeCell ref="J27:K27"/>
    <mergeCell ref="L27:M27"/>
    <mergeCell ref="J28:K28"/>
    <mergeCell ref="L28:M28"/>
    <mergeCell ref="J10:K10"/>
    <mergeCell ref="L10:M10"/>
    <mergeCell ref="A13:A23"/>
    <mergeCell ref="E13:F13"/>
    <mergeCell ref="J13:K13"/>
    <mergeCell ref="L13:M13"/>
    <mergeCell ref="E14:F14"/>
    <mergeCell ref="E26:F26"/>
    <mergeCell ref="G26:I26"/>
    <mergeCell ref="J26:K26"/>
    <mergeCell ref="L26:M26"/>
    <mergeCell ref="G27:H27"/>
    <mergeCell ref="G28:H28"/>
    <mergeCell ref="E31:F31"/>
    <mergeCell ref="G31:I32"/>
    <mergeCell ref="J31:M31"/>
    <mergeCell ref="E32:F32"/>
    <mergeCell ref="J32:M32"/>
    <mergeCell ref="J35:K35"/>
    <mergeCell ref="H35:I35"/>
    <mergeCell ref="E36:F36"/>
    <mergeCell ref="H36:I36"/>
    <mergeCell ref="J36:K36"/>
    <mergeCell ref="N36:O36"/>
    <mergeCell ref="T47:V47"/>
    <mergeCell ref="T48:V48"/>
    <mergeCell ref="N43:O43"/>
    <mergeCell ref="N44:O44"/>
    <mergeCell ref="P46:Q46"/>
    <mergeCell ref="R46:S46"/>
    <mergeCell ref="T46:V46"/>
    <mergeCell ref="P47:Q47"/>
    <mergeCell ref="N48:Q48"/>
    <mergeCell ref="J30:K30"/>
    <mergeCell ref="L30:M30"/>
    <mergeCell ref="J37:K37"/>
    <mergeCell ref="J38:K38"/>
    <mergeCell ref="L39:M39"/>
    <mergeCell ref="L40:M40"/>
    <mergeCell ref="L41:M41"/>
    <mergeCell ref="L42:M42"/>
    <mergeCell ref="N32:O32"/>
    <mergeCell ref="G33:Q34"/>
    <mergeCell ref="T35:V35"/>
    <mergeCell ref="T37:V37"/>
    <mergeCell ref="T38:V38"/>
    <mergeCell ref="T39:V39"/>
    <mergeCell ref="T40:V40"/>
    <mergeCell ref="N27:O27"/>
    <mergeCell ref="P27:Q27"/>
    <mergeCell ref="T27:V27"/>
    <mergeCell ref="N28:O28"/>
    <mergeCell ref="T28:V32"/>
    <mergeCell ref="J29:K29"/>
    <mergeCell ref="R29:R30"/>
    <mergeCell ref="N41:O41"/>
    <mergeCell ref="P41:Q41"/>
    <mergeCell ref="T41:V41"/>
    <mergeCell ref="N30:O30"/>
    <mergeCell ref="N31:O31"/>
    <mergeCell ref="N35:O35"/>
    <mergeCell ref="N37:Q37"/>
    <mergeCell ref="N38:Q38"/>
    <mergeCell ref="P39:Q39"/>
    <mergeCell ref="P40:Q40"/>
    <mergeCell ref="N42:O42"/>
    <mergeCell ref="P42:Q42"/>
    <mergeCell ref="R42:S42"/>
    <mergeCell ref="T42:V42"/>
    <mergeCell ref="P43:P44"/>
    <mergeCell ref="Q43:V44"/>
    <mergeCell ref="H44:J44"/>
    <mergeCell ref="N49:Q49"/>
    <mergeCell ref="T49:V49"/>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R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P15:Q15"/>
    <mergeCell ref="P7:Q7"/>
    <mergeCell ref="R7:S7"/>
    <mergeCell ref="H8:I8"/>
    <mergeCell ref="J8:K8"/>
    <mergeCell ref="L8:M8"/>
    <mergeCell ref="N8:O8"/>
    <mergeCell ref="P8:Q8"/>
    <mergeCell ref="R8:S8"/>
    <mergeCell ref="G9:I9"/>
    <mergeCell ref="J9:K9"/>
    <mergeCell ref="L9:M9"/>
    <mergeCell ref="N9:O9"/>
    <mergeCell ref="N21:O21"/>
    <mergeCell ref="P21:Q21"/>
    <mergeCell ref="R21:S21"/>
    <mergeCell ref="N22:O22"/>
    <mergeCell ref="P22:S22"/>
    <mergeCell ref="N17:O17"/>
    <mergeCell ref="N18:O18"/>
    <mergeCell ref="N19:O20"/>
    <mergeCell ref="P19:Q19"/>
    <mergeCell ref="J20:K20"/>
    <mergeCell ref="L20:M20"/>
    <mergeCell ref="P20:Q20"/>
    <mergeCell ref="E15:F15"/>
    <mergeCell ref="G15:I15"/>
    <mergeCell ref="E16:F16"/>
    <mergeCell ref="G16:I16"/>
    <mergeCell ref="J16:K16"/>
    <mergeCell ref="L16:M16"/>
    <mergeCell ref="E18:F18"/>
    <mergeCell ref="H18:I18"/>
    <mergeCell ref="J18:K18"/>
    <mergeCell ref="L18:M18"/>
    <mergeCell ref="E19:F19"/>
    <mergeCell ref="H19:I19"/>
    <mergeCell ref="J19:K19"/>
    <mergeCell ref="L19:M19"/>
    <mergeCell ref="E25:F25"/>
    <mergeCell ref="E35:F35"/>
    <mergeCell ref="H25:I25"/>
    <mergeCell ref="G46:H46"/>
    <mergeCell ref="I46:I47"/>
    <mergeCell ref="G47:H47"/>
    <mergeCell ref="E48:F48"/>
    <mergeCell ref="G48:H49"/>
    <mergeCell ref="E49:F49"/>
    <mergeCell ref="E50:F50"/>
    <mergeCell ref="E51:F51"/>
    <mergeCell ref="E52:F52"/>
    <mergeCell ref="H53:I53"/>
    <mergeCell ref="A57:A67"/>
    <mergeCell ref="C57:D57"/>
    <mergeCell ref="E20:F20"/>
    <mergeCell ref="H20:I20"/>
    <mergeCell ref="A24:A34"/>
    <mergeCell ref="E24:F24"/>
    <mergeCell ref="H24:I24"/>
    <mergeCell ref="A35:A45"/>
    <mergeCell ref="A46:A56"/>
    <mergeCell ref="G57:I57"/>
    <mergeCell ref="J47:K47"/>
    <mergeCell ref="J50:K50"/>
    <mergeCell ref="L50:M50"/>
    <mergeCell ref="P50:Q50"/>
    <mergeCell ref="T50:V50"/>
    <mergeCell ref="L51:M51"/>
    <mergeCell ref="P51:Q51"/>
    <mergeCell ref="J57:M57"/>
    <mergeCell ref="X57:Y57"/>
    <mergeCell ref="J59:M59"/>
    <mergeCell ref="J51:K51"/>
    <mergeCell ref="J52:K52"/>
    <mergeCell ref="L52:M52"/>
    <mergeCell ref="J53:K53"/>
    <mergeCell ref="L53:M53"/>
    <mergeCell ref="R53:S53"/>
    <mergeCell ref="E54:V55"/>
    <mergeCell ref="E37:F37"/>
    <mergeCell ref="H37:I37"/>
    <mergeCell ref="E38:F38"/>
    <mergeCell ref="H38:I38"/>
    <mergeCell ref="E39:F39"/>
    <mergeCell ref="H39:I39"/>
    <mergeCell ref="E40:F40"/>
    <mergeCell ref="H40:I40"/>
    <mergeCell ref="E41:F41"/>
    <mergeCell ref="H41:I41"/>
    <mergeCell ref="E42:F42"/>
    <mergeCell ref="H42:I42"/>
    <mergeCell ref="E43:F44"/>
    <mergeCell ref="G43:G44"/>
    <mergeCell ref="H43:J43"/>
    <mergeCell ref="K43:L44"/>
    <mergeCell ref="J46:K46"/>
    <mergeCell ref="L46:M46"/>
    <mergeCell ref="L47:M47"/>
  </mergeCells>
  <conditionalFormatting sqref="E1:T86 U1:U31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T53 U2:U31 V32:V34 U35:U53 V50:V52 W51 K61:L68">
    <cfRule type="containsText" dxfId="2" priority="3" operator="containsText" text="Шерашова">
      <formula>NOT(ISERROR(SEARCH(("Шерашова"),(E2))))</formula>
    </cfRule>
  </conditionalFormatting>
  <conditionalFormatting sqref="E2:T53 U2:U31 V32:V34 U35:U53 V50:V52 W51 K61:L68">
    <cfRule type="containsText" dxfId="3" priority="4" operator="containsText" text="Англ">
      <formula>NOT(ISERROR(SEARCH(("Англ"),(E2))))</formula>
    </cfRule>
  </conditionalFormatting>
  <conditionalFormatting sqref="E2:T53 U2:U31 V32:V34 U35:U53 V50:V52 W51 K61:L68">
    <cfRule type="containsText" dxfId="4" priority="5" operator="containsText" text="Театр">
      <formula>NOT(ISERROR(SEARCH(("Театр"),(E2))))</formula>
    </cfRule>
  </conditionalFormatting>
  <conditionalFormatting sqref="E2:T53 U2:U31 V32:V34 U35:U53 V50:V52 W51 K61:L68">
    <cfRule type="containsText" dxfId="5" priority="6" operator="containsText" text="Колечкин">
      <formula>NOT(ISERROR(SEARCH(("Колечкин"),(E2))))</formula>
    </cfRule>
  </conditionalFormatting>
  <conditionalFormatting sqref="E2:W72">
    <cfRule type="containsText" dxfId="0" priority="7" operator="containsText" text="Репнев">
      <formula>NOT(ISERROR(SEARCH(("Репнев"),(E2))))</formula>
    </cfRule>
  </conditionalFormatting>
  <conditionalFormatting sqref="E2:G65 H2:N68 O2:W65">
    <cfRule type="containsText" dxfId="6" priority="8" operator="containsText" text="Рогацкина">
      <formula>NOT(ISERROR(SEARCH(("Рогацкина"),(E2))))</formula>
    </cfRule>
  </conditionalFormatting>
  <conditionalFormatting sqref="E2:G67 H2:N68 O2:W67">
    <cfRule type="containsText" dxfId="7" priority="9" operator="containsText" text="Белоусова">
      <formula>NOT(ISERROR(SEARCH(("Белоусова"),(E2))))</formula>
    </cfRule>
  </conditionalFormatting>
  <conditionalFormatting sqref="E2:G60 H2:N68 O2:W60">
    <cfRule type="containsText" dxfId="8" priority="10" operator="containsText" text="Караванова">
      <formula>NOT(ISERROR(SEARCH(("Караванова"),(E2))))</formula>
    </cfRule>
  </conditionalFormatting>
  <conditionalFormatting sqref="E2:G63 H2:N68 O2:W63">
    <cfRule type="containsText" dxfId="9" priority="11" operator="containsText" text="Дронзик">
      <formula>NOT(ISERROR(SEARCH(("Дронзик"),(E2))))</formula>
    </cfRule>
  </conditionalFormatting>
  <conditionalFormatting sqref="E2:G64 H2:N68 O2:W64">
    <cfRule type="containsText" dxfId="10" priority="12" operator="containsText" text="Старунова">
      <formula>NOT(ISERROR(SEARCH(("Старунова"),(E2))))</formula>
    </cfRule>
  </conditionalFormatting>
  <conditionalFormatting sqref="E2:G62 H2:N68 O2:W62">
    <cfRule type="containsText" dxfId="11" priority="13" operator="containsText" text="Харитонов">
      <formula>NOT(ISERROR(SEARCH(("Харитонов"),(E2))))</formula>
    </cfRule>
  </conditionalFormatting>
  <conditionalFormatting sqref="E2:G67 H2:N68 O2:W67">
    <cfRule type="containsText" dxfId="12" priority="14" operator="containsText" text="Хуснутдинов">
      <formula>NOT(ISERROR(SEARCH(("Хуснутдинов"),(E2))))</formula>
    </cfRule>
  </conditionalFormatting>
  <conditionalFormatting sqref="E2:G66 H2:N68 O2:W66">
    <cfRule type="containsText" dxfId="13" priority="15" operator="containsText" text="Решетников">
      <formula>NOT(ISERROR(SEARCH(("Решетников"),(E2))))</formula>
    </cfRule>
  </conditionalFormatting>
  <conditionalFormatting sqref="E2:W69">
    <cfRule type="containsText" dxfId="14" priority="16" operator="containsText" text="Заводов">
      <formula>NOT(ISERROR(SEARCH(("Заводов"),(E2))))</formula>
    </cfRule>
  </conditionalFormatting>
  <conditionalFormatting sqref="E1:G66 H1:N68 O1:W66">
    <cfRule type="containsText" dxfId="15" priority="17" operator="containsText" text="Абрамов">
      <formula>NOT(ISERROR(SEARCH(("Абрамов"),(E1))))</formula>
    </cfRule>
  </conditionalFormatting>
  <conditionalFormatting sqref="E2:G67 H2:N68 O2:W67">
    <cfRule type="containsText" dxfId="16" priority="18" operator="containsText" text="Климов">
      <formula>NOT(ISERROR(SEARCH(("Климов"),(E2))))</formula>
    </cfRule>
  </conditionalFormatting>
  <conditionalFormatting sqref="E2:G61 H2:N68 O2:W61">
    <cfRule type="containsText" dxfId="17" priority="19" operator="containsText" text="Клейменов">
      <formula>NOT(ISERROR(SEARCH(("Клейменов"),(E2))))</formula>
    </cfRule>
  </conditionalFormatting>
  <conditionalFormatting sqref="E2:W68">
    <cfRule type="containsText" dxfId="18" priority="20" operator="containsText" text="Попович">
      <formula>NOT(ISERROR(SEARCH(("Попович"),(E2))))</formula>
    </cfRule>
  </conditionalFormatting>
  <conditionalFormatting sqref="E2:W68">
    <cfRule type="containsText" dxfId="19" priority="21" operator="containsText" text="Исмаилов">
      <formula>NOT(ISERROR(SEARCH(("Исмаилов"),(E2))))</formula>
    </cfRule>
  </conditionalFormatting>
  <conditionalFormatting sqref="E2:E20 F2:F12 G2:I45 J2:K49 L2:Q45 R2:S6 T2:V45 R9:S9 R11:R46 S11:S32 F15:F17 F19:F20 E24:F30 E32:E53 F32:F45 S35:S41 S43:S45 S47:S53 T47:T50 F48:F49 N48:N49 R49:R53 G50:H53 I50:I52 P50:P53 F52:F53 J52:J53 N52:N53 Q52:Q53 K53:M53 K61:L68">
    <cfRule type="containsText" dxfId="20" priority="22" operator="containsText" text="Ларченко">
      <formula>NOT(ISERROR(SEARCH(("Ларченко"),(E2))))</formula>
    </cfRule>
  </conditionalFormatting>
  <conditionalFormatting sqref="E2:G65 H2:N68 O2:W65">
    <cfRule type="containsText" dxfId="21" priority="23" operator="containsText" text="Краснова">
      <formula>NOT(ISERROR(SEARCH(("Краснова"),(E2))))</formula>
    </cfRule>
  </conditionalFormatting>
  <conditionalFormatting sqref="E2:G65 H2:N68 O2:W65">
    <cfRule type="containsText" dxfId="22" priority="24" operator="containsText" text="Белоус">
      <formula>NOT(ISERROR(SEARCH(("Белоус"),(E2))))</formula>
    </cfRule>
  </conditionalFormatting>
  <conditionalFormatting sqref="E2:G65 H2:N68 O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formula1>IF(COUNTA(filter($E1:$W1,ARRAYFORMULA(ISERROR(FIND(join(",",filter(split($H$83,","),ARRAYFORMULA(ISERROR(FIND(split($H$83,","),L39)))=FALSE)),$E1:$W1))=FALSE)))&gt;1,FALSE,TRUE)</formula1>
    </dataValidation>
    <dataValidation type="custom" allowBlank="1" showDropDown="1" sqref="T18:T20">
      <formula1>IF(COUNTA(filter($E26:$W26,ARRAYFORMULA(ISERROR(FIND(join(",",filter(split($H$83,","),ARRAYFORMULA(ISERROR(FIND(split($H$83,","),T18)))=FALSE)),$E26:$W26))=FALSE)))&gt;1,FALSE,TRUE)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G10 H17:H18 G19:G20 I29:I30 L50 J50:J51 R53">
      <formula1>IF(COUNTA(filter($E6:$W6,ARRAYFORMULA(ISERROR(FIND(join(",",filter(split($H$83,","),ARRAYFORMULA(ISERROR(FIND(split($H$83,","),G10)))=FALSE)),$E6:$W6))=FALSE)))&gt;1,FALSE,TRUE)</formula1>
    </dataValidation>
    <dataValidation type="custom" allowBlank="1" showDropDown="1" sqref="G31 E32 Q31:Q32">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 N24 N29:N30 J52:J53 L52:L53 Q52:Q53">
      <formula1>IF(COUNTA(filter($E7:$W7,ARRAYFORMULA(ISERROR(FIND(join(",",filter(split($H$83,","),ARRAYFORMULA(ISERROR(FIND(split($H$83,","),J9)))=FALSE)),$E7:$W7))=FALSE)))&gt;1,FALSE,TRUE)</formula1>
    </dataValidation>
    <dataValidation type="custom" allowBlank="1" showDropDown="1" sqref="S52">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39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4:H24 G25 E26 F28 R27:S28 E29:E30 H35:H36 G37:G38 E48:E49 N52:N53">
      <formula1>IF(COUNTA(filter($E8:$W8,ARRAYFORMULA(ISERROR(FIND(join(",",filter(split($H$83,","),ARRAYFORMULA(ISERROR(FIND(split($H$83,","),E7)))=FALSE)),$E8:$W8))=FALSE)))&gt;1,FALSE,TRUE)</formula1>
    </dataValidation>
    <dataValidation type="custom" allowBlank="1" showDropDown="1" sqref="N2 R2 T2 G2:G3 J2:J3 L4 P2:P4 G5:H6 K5:M6 T5:T6 L7:L8 P7:P8 T7:U8 G7:G9 Q9:R9 J9:J10 N9:N10 Q10 W2:W10 E12:W12 E13:E14 H13:H14 L13:L14 E17:E18 G15:G18 S17:S18 H19:H20 J15:J20 L17:L20 R19:R21 T21 G21:G22 G23:R23 J24 P25 R25 Q26 E27:F27 P27 E28 I27:I28 Q28 T28 F29:G30 P29:Q30 J31:J32 W13:W32 E33:F34 R33:R34 T33:W34 G35:G36 L35:M36 P35:Q36 E37:E38 H37:H38 J37:J38 L37:N38 E40 G39:G40 J39:K40 N39:P40 R37:S40 R41:T41 J41:L42 T42 E43 G41:H43 K43 Q43 H44 M43:N44 W35:W44 E45:W45 I46 F46:G47 L46:L47 N46:P47 G48 L48:M49 L51 N50:O51 I50:I52 G53:H53 O52:P53 E54 W46:W55 E56:W56 E57:G57 J57 N57:O57 E58:O58 R57:W58 E59:J59 N59:W59 E60:W65 H66:N68">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R7:R8">
      <formula1>IF(COUNTA(filter($E52:$W52,ARRAYFORMULA(ISERROR(FIND(join(",",filter(split($H$83,","),ARRAYFORMULA(ISERROR(FIND(split($H$83,","),R7)))=FALSE)),$E52:$W52))=FALSE)))&gt;1,FALSE,TRUE)</formula1>
    </dataValidation>
    <dataValidation type="custom" allowBlank="1" showDropDown="1" sqref="P43">
      <formula1>IF(COUNTA(filter($E40:$W40,ARRAYFORMULA(ISERROR(FIND(join(",",filter(split($H$83,","),ARRAYFORMULA(ISERROR(FIND(split($H$83,","),P43)))=FALSE)),$E40:$W40))=FALSE)))&gt;1,FALSE,TRUE)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P32">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S29:S30 S32 R47:R48 T51:V52">
      <formula1>IF(COUNTA(filter($E25:$W25,ARRAYFORMULA(ISERROR(FIND(join(",",filter(split($H$83,","),ARRAYFORMULA(ISERROR(FIND(split($H$83,","),P26)))=FALSE)),$E25:$W25))=FALSE)))&gt;1,FALSE,TRUE)</formula1>
    </dataValidation>
    <dataValidation type="custom" allowBlank="1" showDropDown="1" sqref="P13:P1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46">
      <formula1>IF(COUNTA(filter($E52:$W52,ARRAYFORMULA(ISERROR(FIND(join(",",filter(split($H$83,","),ARRAYFORMULA(ISERROR(FIND(split($H$83,","),T46)))=FALSE)),$E52:$W52))=FALSE)))&gt;1,FALSE,TRUE)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5" width="5.25"/>
    <col customWidth="1" min="6" max="7" width="16.25"/>
    <col customWidth="1" min="8" max="8" width="20.88"/>
    <col customWidth="1" min="9" max="9" width="15.63"/>
    <col customWidth="1" min="10" max="10" width="14.5"/>
    <col customWidth="1" min="11" max="11" width="13.88"/>
    <col customWidth="1" min="12" max="12" width="14.25"/>
    <col customWidth="1" min="14" max="14" width="11.38"/>
    <col customWidth="1" min="15" max="15" width="15.25"/>
    <col customWidth="1" min="16" max="16" width="14.25"/>
    <col customWidth="1" min="17" max="17" width="16.88"/>
    <col customWidth="1" min="18" max="18" width="14.13"/>
    <col customWidth="1" min="19" max="19" width="16.38"/>
    <col customWidth="1" min="20" max="20" width="15.75"/>
    <col customWidth="1" min="21" max="21" width="14.25"/>
    <col hidden="1" min="24" max="24" width="12.63"/>
    <col customWidth="1" min="27" max="27" width="18.0"/>
    <col customWidth="1" min="29" max="29" width="20.88"/>
  </cols>
  <sheetData>
    <row r="1" ht="40.5" customHeight="1">
      <c r="A1" s="1"/>
      <c r="B1" s="2"/>
      <c r="C1" s="3" t="s">
        <v>0</v>
      </c>
      <c r="D1" s="4"/>
      <c r="E1" s="443"/>
      <c r="F1" s="5" t="s">
        <v>1</v>
      </c>
      <c r="G1" s="6"/>
      <c r="H1" s="7" t="s">
        <v>2</v>
      </c>
      <c r="I1" s="8"/>
      <c r="J1" s="4"/>
      <c r="K1" s="9" t="s">
        <v>3</v>
      </c>
      <c r="L1" s="8"/>
      <c r="M1" s="8"/>
      <c r="N1" s="4"/>
      <c r="O1" s="10" t="s">
        <v>4</v>
      </c>
      <c r="P1" s="4"/>
      <c r="Q1" s="10" t="s">
        <v>5</v>
      </c>
      <c r="R1" s="4"/>
      <c r="S1" s="10" t="s">
        <v>6</v>
      </c>
      <c r="T1" s="4"/>
      <c r="U1" s="9" t="s">
        <v>7</v>
      </c>
      <c r="V1" s="8"/>
      <c r="W1" s="4"/>
      <c r="X1" s="11" t="s">
        <v>8</v>
      </c>
      <c r="Y1" s="12" t="s">
        <v>0</v>
      </c>
      <c r="Z1" s="13"/>
      <c r="AA1" s="11" t="s">
        <v>9</v>
      </c>
      <c r="AB1" s="14"/>
      <c r="AC1" s="11" t="s">
        <v>10</v>
      </c>
      <c r="AD1" s="15" t="s">
        <v>11</v>
      </c>
      <c r="AE1" s="16">
        <f>1/24/60</f>
        <v>0.0006944444444</v>
      </c>
      <c r="AF1" s="16"/>
      <c r="AG1" s="17"/>
      <c r="AH1" s="17"/>
      <c r="AI1" s="17"/>
    </row>
    <row r="2" ht="40.5" customHeight="1">
      <c r="A2" s="18">
        <v>44837.0</v>
      </c>
      <c r="B2" s="19">
        <v>1.0</v>
      </c>
      <c r="C2" s="20" t="s">
        <v>12</v>
      </c>
      <c r="D2" s="20" t="s">
        <v>13</v>
      </c>
      <c r="E2" s="444"/>
      <c r="F2" s="21" t="s">
        <v>2360</v>
      </c>
      <c r="G2" s="22"/>
      <c r="H2" s="23" t="s">
        <v>2361</v>
      </c>
      <c r="I2" s="24"/>
      <c r="J2" s="25"/>
      <c r="K2" s="21" t="s">
        <v>2362</v>
      </c>
      <c r="L2" s="24"/>
      <c r="M2" s="24"/>
      <c r="N2" s="25"/>
      <c r="O2" s="21" t="s">
        <v>2363</v>
      </c>
      <c r="P2" s="25"/>
      <c r="Q2" s="21" t="s">
        <v>2364</v>
      </c>
      <c r="R2" s="25"/>
      <c r="S2" s="21" t="s">
        <v>2365</v>
      </c>
      <c r="T2" s="25"/>
      <c r="U2" s="21" t="s">
        <v>2366</v>
      </c>
      <c r="V2" s="24"/>
      <c r="W2" s="22"/>
      <c r="X2" s="26"/>
      <c r="Y2" s="27" t="s">
        <v>12</v>
      </c>
      <c r="Z2" s="27" t="s">
        <v>13</v>
      </c>
      <c r="AA2" s="28"/>
      <c r="AB2" s="14"/>
      <c r="AC2" s="15"/>
      <c r="AD2" s="14"/>
      <c r="AE2" s="14"/>
      <c r="AF2" s="14"/>
      <c r="AG2" s="29"/>
      <c r="AH2" s="29"/>
      <c r="AI2" s="29"/>
    </row>
    <row r="3" ht="40.5" customHeight="1">
      <c r="A3" s="30"/>
      <c r="B3" s="31">
        <v>2.0</v>
      </c>
      <c r="C3" s="32" t="s">
        <v>21</v>
      </c>
      <c r="D3" s="32" t="s">
        <v>22</v>
      </c>
      <c r="E3" s="351"/>
      <c r="F3" s="33" t="s">
        <v>2367</v>
      </c>
      <c r="G3" s="34" t="s">
        <v>2368</v>
      </c>
      <c r="H3" s="35" t="s">
        <v>2369</v>
      </c>
      <c r="I3" s="36"/>
      <c r="J3" s="13"/>
      <c r="K3" s="37" t="s">
        <v>2370</v>
      </c>
      <c r="L3" s="13"/>
      <c r="M3" s="38" t="s">
        <v>2371</v>
      </c>
      <c r="N3" s="13"/>
      <c r="O3" s="37" t="s">
        <v>2372</v>
      </c>
      <c r="P3" s="13"/>
      <c r="Q3" s="37" t="s">
        <v>2373</v>
      </c>
      <c r="R3" s="13"/>
      <c r="S3" s="39" t="s">
        <v>2374</v>
      </c>
      <c r="T3" s="40" t="s">
        <v>2375</v>
      </c>
      <c r="U3" s="37" t="s">
        <v>2376</v>
      </c>
      <c r="V3" s="36"/>
      <c r="W3" s="41"/>
      <c r="X3" s="26"/>
      <c r="Y3" s="42" t="s">
        <v>21</v>
      </c>
      <c r="Z3" s="42" t="s">
        <v>22</v>
      </c>
      <c r="AA3" s="28"/>
      <c r="AB3" s="14"/>
      <c r="AC3" s="15" t="str">
        <f>IFERROR(__xludf.DUMMYFUNCTION("join("","",filter(split($I$85,"",""),ARRAYFORMULA(ISERROR(FIND(split($I$85,"",""),CONCATENATE(F3:W3))))=TRUE))"),"201,206,405,406,409,410,АЗ")</f>
        <v>201,206,405,406,409,410,АЗ</v>
      </c>
      <c r="AD3" s="14"/>
      <c r="AE3" s="14"/>
      <c r="AF3" s="14"/>
      <c r="AG3" s="29"/>
      <c r="AH3" s="29"/>
      <c r="AI3" s="29"/>
    </row>
    <row r="4" ht="40.5" customHeight="1">
      <c r="A4" s="30"/>
      <c r="B4" s="31">
        <v>3.0</v>
      </c>
      <c r="C4" s="32" t="s">
        <v>33</v>
      </c>
      <c r="D4" s="32" t="s">
        <v>34</v>
      </c>
      <c r="E4" s="351"/>
      <c r="F4" s="33" t="s">
        <v>2377</v>
      </c>
      <c r="G4" s="126" t="s">
        <v>2378</v>
      </c>
      <c r="H4" s="43" t="s">
        <v>2379</v>
      </c>
      <c r="I4" s="44" t="s">
        <v>499</v>
      </c>
      <c r="J4" s="45" t="s">
        <v>2380</v>
      </c>
      <c r="K4" s="46" t="s">
        <v>2381</v>
      </c>
      <c r="L4" s="13"/>
      <c r="M4" s="45" t="s">
        <v>2382</v>
      </c>
      <c r="N4" s="13"/>
      <c r="O4" s="37" t="s">
        <v>2383</v>
      </c>
      <c r="P4" s="13"/>
      <c r="Q4" s="37" t="s">
        <v>2384</v>
      </c>
      <c r="R4" s="13"/>
      <c r="S4" s="39" t="s">
        <v>2385</v>
      </c>
      <c r="T4" s="40" t="s">
        <v>2386</v>
      </c>
      <c r="U4" s="37" t="s">
        <v>2387</v>
      </c>
      <c r="V4" s="36"/>
      <c r="W4" s="41"/>
      <c r="X4" s="26"/>
      <c r="Y4" s="42" t="s">
        <v>33</v>
      </c>
      <c r="Z4" s="42" t="s">
        <v>34</v>
      </c>
      <c r="AA4" s="48" t="s">
        <v>47</v>
      </c>
      <c r="AB4" s="14"/>
      <c r="AC4" s="15" t="str">
        <f>IFERROR(__xludf.DUMMYFUNCTION("join("","",filter(split($I$85,"",""),ARRAYFORMULA(ISERROR(FIND(split($I$85,"",""),CONCATENATE(F4:W4))))=TRUE))"),"КЗ,201,206,404,406,409,АЗ")</f>
        <v>КЗ,201,206,404,406,409,АЗ</v>
      </c>
      <c r="AD4" s="14"/>
      <c r="AE4" s="14"/>
      <c r="AF4" s="14"/>
      <c r="AG4" s="29"/>
      <c r="AH4" s="29"/>
      <c r="AI4" s="29"/>
    </row>
    <row r="5" ht="40.5" customHeight="1">
      <c r="A5" s="30"/>
      <c r="B5" s="31">
        <v>4.0</v>
      </c>
      <c r="C5" s="32" t="s">
        <v>48</v>
      </c>
      <c r="D5" s="32" t="s">
        <v>49</v>
      </c>
      <c r="E5" s="351"/>
      <c r="F5" s="33" t="s">
        <v>2388</v>
      </c>
      <c r="G5" s="126" t="s">
        <v>2389</v>
      </c>
      <c r="H5" s="43" t="s">
        <v>2390</v>
      </c>
      <c r="I5" s="45" t="s">
        <v>2391</v>
      </c>
      <c r="J5" s="13"/>
      <c r="K5" s="33" t="s">
        <v>2392</v>
      </c>
      <c r="L5" s="44" t="s">
        <v>2393</v>
      </c>
      <c r="M5" s="44" t="s">
        <v>2394</v>
      </c>
      <c r="N5" s="45" t="s">
        <v>2395</v>
      </c>
      <c r="O5" s="37" t="s">
        <v>2396</v>
      </c>
      <c r="P5" s="13"/>
      <c r="Q5" s="37" t="s">
        <v>2397</v>
      </c>
      <c r="R5" s="13"/>
      <c r="S5" s="51" t="s">
        <v>2398</v>
      </c>
      <c r="T5" s="13"/>
      <c r="U5" s="52" t="s">
        <v>2399</v>
      </c>
      <c r="V5" s="36"/>
      <c r="W5" s="41"/>
      <c r="X5" s="26"/>
      <c r="Y5" s="42" t="s">
        <v>48</v>
      </c>
      <c r="Z5" s="42" t="s">
        <v>49</v>
      </c>
      <c r="AA5" s="48" t="s">
        <v>57</v>
      </c>
      <c r="AB5" s="14"/>
      <c r="AC5" s="15" t="str">
        <f>IFERROR(__xludf.DUMMYFUNCTION("join("","",filter(split($I$85,"",""),ARRAYFORMULA(ISERROR(FIND(split($I$85,"",""),CONCATENATE(F5:W5))))=TRUE))"),"СЗ,КЗ,206,406,408,409")</f>
        <v>СЗ,КЗ,206,406,408,409</v>
      </c>
      <c r="AD5" s="14"/>
      <c r="AE5" s="14"/>
      <c r="AF5" s="14"/>
      <c r="AG5" s="29"/>
      <c r="AH5" s="29"/>
      <c r="AI5" s="29"/>
    </row>
    <row r="6" ht="40.5" customHeight="1">
      <c r="A6" s="30"/>
      <c r="B6" s="31">
        <v>5.0</v>
      </c>
      <c r="C6" s="32" t="s">
        <v>58</v>
      </c>
      <c r="D6" s="53">
        <v>44847.0</v>
      </c>
      <c r="E6" s="445"/>
      <c r="F6" s="316" t="s">
        <v>2389</v>
      </c>
      <c r="G6" s="34" t="s">
        <v>2400</v>
      </c>
      <c r="H6" s="43" t="s">
        <v>2401</v>
      </c>
      <c r="I6" s="45" t="s">
        <v>2402</v>
      </c>
      <c r="J6" s="13"/>
      <c r="K6" s="33" t="s">
        <v>2403</v>
      </c>
      <c r="L6" s="44" t="s">
        <v>2404</v>
      </c>
      <c r="M6" s="44" t="s">
        <v>2405</v>
      </c>
      <c r="N6" s="45" t="s">
        <v>2406</v>
      </c>
      <c r="O6" s="37" t="s">
        <v>2407</v>
      </c>
      <c r="P6" s="13"/>
      <c r="Q6" s="37" t="s">
        <v>2408</v>
      </c>
      <c r="R6" s="13"/>
      <c r="S6" s="51" t="s">
        <v>2409</v>
      </c>
      <c r="T6" s="13"/>
      <c r="U6" s="52" t="s">
        <v>2410</v>
      </c>
      <c r="V6" s="36"/>
      <c r="W6" s="41"/>
      <c r="X6" s="26"/>
      <c r="Y6" s="42" t="s">
        <v>58</v>
      </c>
      <c r="Z6" s="54">
        <v>44847.0</v>
      </c>
      <c r="AA6" s="48" t="s">
        <v>70</v>
      </c>
      <c r="AB6" s="14"/>
      <c r="AC6" s="15" t="str">
        <f>IFERROR(__xludf.DUMMYFUNCTION("join("","",filter(split($I$85,"",""),ARRAYFORMULA(ISERROR(FIND(split($I$85,"",""),CONCATENATE(F6:W6))))=TRUE))"),"СЗ,КЗ,206,406,408,409")</f>
        <v>СЗ,КЗ,206,406,408,409</v>
      </c>
      <c r="AD6" s="14"/>
      <c r="AE6" s="14"/>
      <c r="AF6" s="14"/>
      <c r="AG6" s="29"/>
      <c r="AH6" s="29"/>
      <c r="AI6" s="29"/>
    </row>
    <row r="7" ht="42.0" customHeight="1">
      <c r="A7" s="30"/>
      <c r="B7" s="31">
        <v>6.0</v>
      </c>
      <c r="C7" s="55" t="s">
        <v>71</v>
      </c>
      <c r="D7" s="56" t="s">
        <v>72</v>
      </c>
      <c r="E7" s="446"/>
      <c r="F7" s="316" t="s">
        <v>2411</v>
      </c>
      <c r="G7" s="34" t="s">
        <v>2412</v>
      </c>
      <c r="H7" s="43" t="s">
        <v>2413</v>
      </c>
      <c r="I7" s="45" t="s">
        <v>2414</v>
      </c>
      <c r="J7" s="13"/>
      <c r="K7" s="37" t="s">
        <v>2415</v>
      </c>
      <c r="L7" s="13"/>
      <c r="M7" s="45" t="s">
        <v>2416</v>
      </c>
      <c r="N7" s="13"/>
      <c r="O7" s="37" t="s">
        <v>2417</v>
      </c>
      <c r="P7" s="13"/>
      <c r="Q7" s="37" t="s">
        <v>2418</v>
      </c>
      <c r="R7" s="13"/>
      <c r="S7" s="37" t="s">
        <v>2419</v>
      </c>
      <c r="T7" s="13"/>
      <c r="U7" s="33" t="s">
        <v>2420</v>
      </c>
      <c r="V7" s="45" t="s">
        <v>2421</v>
      </c>
      <c r="W7" s="41"/>
      <c r="X7" s="26"/>
      <c r="Y7" s="58" t="s">
        <v>71</v>
      </c>
      <c r="Z7" s="59" t="s">
        <v>72</v>
      </c>
      <c r="AA7" s="48" t="s">
        <v>84</v>
      </c>
      <c r="AB7" s="14"/>
      <c r="AC7" s="15" t="str">
        <f>IFERROR(__xludf.DUMMYFUNCTION("join("","",filter(split($I$85,"",""),ARRAYFORMULA(ISERROR(FIND(split($I$85,"",""),CONCATENATE(F7:W7))))=TRUE))"),"КЗ,206,403,406,408,409,АЗ")</f>
        <v>КЗ,206,403,406,408,409,АЗ</v>
      </c>
      <c r="AD7" s="14"/>
      <c r="AE7" s="14"/>
      <c r="AF7" s="14"/>
      <c r="AG7" s="29"/>
      <c r="AH7" s="29"/>
      <c r="AI7" s="29"/>
    </row>
    <row r="8" ht="42.0" customHeight="1">
      <c r="A8" s="30"/>
      <c r="B8" s="31">
        <v>7.0</v>
      </c>
      <c r="C8" s="32" t="s">
        <v>85</v>
      </c>
      <c r="D8" s="32" t="s">
        <v>86</v>
      </c>
      <c r="E8" s="351"/>
      <c r="F8" s="318" t="s">
        <v>2422</v>
      </c>
      <c r="G8" s="319" t="s">
        <v>2423</v>
      </c>
      <c r="H8" s="43" t="s">
        <v>2424</v>
      </c>
      <c r="I8" s="45" t="s">
        <v>2425</v>
      </c>
      <c r="J8" s="13"/>
      <c r="K8" s="37" t="s">
        <v>2426</v>
      </c>
      <c r="L8" s="13"/>
      <c r="M8" s="45" t="s">
        <v>2427</v>
      </c>
      <c r="N8" s="13"/>
      <c r="O8" s="37" t="s">
        <v>2428</v>
      </c>
      <c r="P8" s="13"/>
      <c r="Q8" s="37" t="s">
        <v>2429</v>
      </c>
      <c r="R8" s="13"/>
      <c r="S8" s="37" t="s">
        <v>2430</v>
      </c>
      <c r="T8" s="13"/>
      <c r="U8" s="33" t="s">
        <v>2431</v>
      </c>
      <c r="V8" s="45" t="s">
        <v>2432</v>
      </c>
      <c r="W8" s="41"/>
      <c r="X8" s="26"/>
      <c r="Y8" s="42" t="s">
        <v>85</v>
      </c>
      <c r="Z8" s="42" t="s">
        <v>86</v>
      </c>
      <c r="AA8" s="48" t="s">
        <v>97</v>
      </c>
      <c r="AB8" s="14"/>
      <c r="AC8" s="15" t="str">
        <f>IFERROR(__xludf.DUMMYFUNCTION("join("","",filter(split($I$85,"",""),ARRAYFORMULA(ISERROR(FIND(split($I$85,"",""),CONCATENATE(F8:W8))))=TRUE))"),"КЗ,202,206,406,408,409,410")</f>
        <v>КЗ,202,206,406,408,409,410</v>
      </c>
      <c r="AD8" s="14"/>
      <c r="AE8" s="14"/>
      <c r="AF8" s="14"/>
      <c r="AG8" s="29"/>
      <c r="AH8" s="29"/>
      <c r="AI8" s="29"/>
    </row>
    <row r="9" ht="40.5" customHeight="1">
      <c r="A9" s="30"/>
      <c r="B9" s="31">
        <v>8.0</v>
      </c>
      <c r="C9" s="32" t="s">
        <v>98</v>
      </c>
      <c r="D9" s="32" t="s">
        <v>99</v>
      </c>
      <c r="E9" s="351"/>
      <c r="F9" s="320" t="s">
        <v>2433</v>
      </c>
      <c r="G9" s="276" t="s">
        <v>2434</v>
      </c>
      <c r="H9" s="43" t="s">
        <v>2435</v>
      </c>
      <c r="I9" s="45" t="s">
        <v>2436</v>
      </c>
      <c r="J9" s="13"/>
      <c r="K9" s="37" t="s">
        <v>2437</v>
      </c>
      <c r="L9" s="13"/>
      <c r="M9" s="45" t="s">
        <v>2438</v>
      </c>
      <c r="N9" s="13"/>
      <c r="O9" s="61" t="s">
        <v>2439</v>
      </c>
      <c r="P9" s="13"/>
      <c r="Q9" s="447" t="s">
        <v>2440</v>
      </c>
      <c r="R9" s="45" t="s">
        <v>2441</v>
      </c>
      <c r="S9" s="322" t="s">
        <v>2442</v>
      </c>
      <c r="T9" s="36"/>
      <c r="U9" s="36"/>
      <c r="V9" s="36"/>
      <c r="W9" s="41"/>
      <c r="X9" s="26"/>
      <c r="Y9" s="42" t="s">
        <v>98</v>
      </c>
      <c r="Z9" s="42" t="s">
        <v>99</v>
      </c>
      <c r="AA9" s="11"/>
      <c r="AB9" s="14"/>
      <c r="AC9" s="15" t="str">
        <f>IFERROR(__xludf.DUMMYFUNCTION("join("","",filter(split($I$85,"",""),ARRAYFORMULA(ISERROR(FIND(split($I$85,"",""),CONCATENATE(F9:W9))))=TRUE))"),"КЗ,206,405,406,408,409,410")</f>
        <v>КЗ,206,405,406,408,409,410</v>
      </c>
      <c r="AD9" s="14"/>
      <c r="AE9" s="14"/>
      <c r="AF9" s="14"/>
      <c r="AG9" s="29"/>
      <c r="AH9" s="29"/>
      <c r="AI9" s="29"/>
    </row>
    <row r="10" ht="40.5" customHeight="1">
      <c r="A10" s="30"/>
      <c r="B10" s="31">
        <v>9.0</v>
      </c>
      <c r="C10" s="65">
        <v>44697.0</v>
      </c>
      <c r="D10" s="44" t="s">
        <v>109</v>
      </c>
      <c r="E10" s="128"/>
      <c r="F10" s="66" t="s">
        <v>2443</v>
      </c>
      <c r="G10" s="67"/>
      <c r="H10" s="43" t="s">
        <v>2444</v>
      </c>
      <c r="I10" s="45" t="s">
        <v>2445</v>
      </c>
      <c r="J10" s="13"/>
      <c r="K10" s="37" t="s">
        <v>2446</v>
      </c>
      <c r="L10" s="13"/>
      <c r="M10" s="45" t="s">
        <v>2447</v>
      </c>
      <c r="N10" s="13"/>
      <c r="O10" s="61" t="s">
        <v>2448</v>
      </c>
      <c r="P10" s="13"/>
      <c r="Q10" s="447" t="s">
        <v>2449</v>
      </c>
      <c r="R10" s="448" t="s">
        <v>2450</v>
      </c>
      <c r="S10" s="64"/>
      <c r="T10" s="64"/>
      <c r="U10" s="64"/>
      <c r="V10" s="64"/>
      <c r="W10" s="64"/>
      <c r="X10" s="26"/>
      <c r="Y10" s="69">
        <v>44697.0</v>
      </c>
      <c r="Z10" s="70" t="s">
        <v>109</v>
      </c>
      <c r="AA10" s="28"/>
      <c r="AB10" s="14"/>
      <c r="AC10" s="15" t="str">
        <f>IFERROR(__xludf.DUMMYFUNCTION("join("","",filter(split($I$85,"",""),ARRAYFORMULA(ISERROR(FIND(split($I$85,"",""),CONCATENATE(F10:W10))))=TRUE))"),"КЗ,206,210,403,404,405,406,408,409,АЗ")</f>
        <v>КЗ,206,210,403,404,405,406,408,409,АЗ</v>
      </c>
      <c r="AD10" s="14"/>
      <c r="AE10" s="14"/>
      <c r="AF10" s="14"/>
      <c r="AG10" s="29"/>
      <c r="AH10" s="29"/>
      <c r="AI10" s="29"/>
    </row>
    <row r="11" ht="49.5" customHeight="1">
      <c r="A11" s="30"/>
      <c r="B11" s="31">
        <v>10.0</v>
      </c>
      <c r="C11" s="44" t="s">
        <v>120</v>
      </c>
      <c r="D11" s="44" t="s">
        <v>121</v>
      </c>
      <c r="E11" s="195"/>
      <c r="F11" s="71" t="s">
        <v>122</v>
      </c>
      <c r="G11" s="64"/>
      <c r="H11" s="64"/>
      <c r="I11" s="64"/>
      <c r="J11" s="64"/>
      <c r="K11" s="64"/>
      <c r="L11" s="64"/>
      <c r="M11" s="64"/>
      <c r="N11" s="64"/>
      <c r="O11" s="64"/>
      <c r="P11" s="64"/>
      <c r="Q11" s="64"/>
      <c r="R11" s="64"/>
      <c r="S11" s="64"/>
      <c r="T11" s="183" t="s">
        <v>2451</v>
      </c>
      <c r="U11" s="73" t="s">
        <v>2452</v>
      </c>
      <c r="V11" s="36"/>
      <c r="W11" s="41"/>
      <c r="X11" s="26"/>
      <c r="Y11" s="70" t="s">
        <v>120</v>
      </c>
      <c r="Z11" s="70" t="s">
        <v>121</v>
      </c>
      <c r="AA11" s="28"/>
      <c r="AB11" s="14"/>
      <c r="AC11" s="15" t="str">
        <f>IFERROR(__xludf.DUMMYFUNCTION("join("","",filter(split($I$85,"",""),ARRAYFORMULA(ISERROR(FIND(split($I$85,"",""),CONCATENATE(G11:W11))))=TRUE))"),"СЗ,КЗ,201,202,206,209,210,401,403,404,405,406,408,409,410")</f>
        <v>СЗ,КЗ,201,202,206,209,210,401,403,404,405,406,408,409,410</v>
      </c>
      <c r="AD11" s="14"/>
      <c r="AE11" s="14"/>
      <c r="AF11" s="14"/>
      <c r="AG11" s="29"/>
      <c r="AH11" s="29"/>
      <c r="AI11" s="29"/>
    </row>
    <row r="12" ht="40.5" customHeight="1">
      <c r="A12" s="74"/>
      <c r="B12" s="75">
        <v>11.0</v>
      </c>
      <c r="C12" s="76" t="s">
        <v>124</v>
      </c>
      <c r="D12" s="76" t="s">
        <v>125</v>
      </c>
      <c r="E12" s="76"/>
      <c r="F12" s="76"/>
      <c r="G12" s="76"/>
      <c r="H12" s="76"/>
      <c r="I12" s="76"/>
      <c r="J12" s="76"/>
      <c r="K12" s="76"/>
      <c r="L12" s="76"/>
      <c r="M12" s="76"/>
      <c r="N12" s="76"/>
      <c r="O12" s="76"/>
      <c r="P12" s="76"/>
      <c r="Q12" s="76"/>
      <c r="R12" s="76"/>
      <c r="S12" s="76"/>
      <c r="T12" s="76"/>
      <c r="U12" s="77"/>
      <c r="V12" s="77"/>
      <c r="W12" s="78"/>
      <c r="X12" s="26"/>
      <c r="Y12" s="79" t="s">
        <v>124</v>
      </c>
      <c r="Z12" s="79" t="s">
        <v>125</v>
      </c>
      <c r="AA12" s="28"/>
      <c r="AB12" s="14"/>
      <c r="AC12" s="15" t="str">
        <f>IFERROR(__xludf.DUMMYFUNCTION("join("","",filter(split($I$85,"",""),ARRAYFORMULA(ISERROR(FIND(split($I$85,"",""),CONCATENATE(F12:W12))))=TRUE))"),"СЗ,КЗ,201,202,206,209,210,401,402,403,404,405,406,408,409,410,АЗ")</f>
        <v>СЗ,КЗ,201,202,206,209,210,401,402,403,404,405,406,408,409,410,АЗ</v>
      </c>
      <c r="AD12" s="14"/>
      <c r="AE12" s="14"/>
      <c r="AF12" s="14"/>
      <c r="AG12" s="29"/>
      <c r="AH12" s="29"/>
      <c r="AI12" s="29"/>
    </row>
    <row r="13" ht="40.5" customHeight="1">
      <c r="A13" s="18">
        <v>44838.0</v>
      </c>
      <c r="B13" s="19">
        <v>1.0</v>
      </c>
      <c r="C13" s="20" t="s">
        <v>12</v>
      </c>
      <c r="D13" s="20" t="s">
        <v>13</v>
      </c>
      <c r="E13" s="20"/>
      <c r="F13" s="80" t="s">
        <v>2453</v>
      </c>
      <c r="G13" s="25"/>
      <c r="H13" s="81" t="s">
        <v>2454</v>
      </c>
      <c r="I13" s="80" t="s">
        <v>2455</v>
      </c>
      <c r="J13" s="22"/>
      <c r="K13" s="23" t="s">
        <v>2456</v>
      </c>
      <c r="L13" s="25"/>
      <c r="M13" s="80" t="s">
        <v>2457</v>
      </c>
      <c r="N13" s="25"/>
      <c r="O13" s="82" t="s">
        <v>2458</v>
      </c>
      <c r="P13" s="25"/>
      <c r="Q13" s="21" t="s">
        <v>2459</v>
      </c>
      <c r="R13" s="22"/>
      <c r="S13" s="23" t="s">
        <v>2460</v>
      </c>
      <c r="T13" s="22"/>
      <c r="U13" s="84" t="s">
        <v>2461</v>
      </c>
      <c r="V13" s="80" t="s">
        <v>2462</v>
      </c>
      <c r="W13" s="22"/>
      <c r="X13" s="26"/>
      <c r="Y13" s="27" t="s">
        <v>12</v>
      </c>
      <c r="Z13" s="27" t="s">
        <v>13</v>
      </c>
      <c r="AA13" s="28"/>
      <c r="AB13" s="85"/>
      <c r="AC13" s="15" t="str">
        <f>IFERROR(__xludf.DUMMYFUNCTION("join("","",filter(split($I$85,"",""),ARRAYFORMULA(ISERROR(FIND(split($I$85,"",""),CONCATENATE(F13:W13))))=TRUE))"),"СЗ,КЗ,202,206,403,409,410,АЗ")</f>
        <v>СЗ,КЗ,202,206,403,409,410,АЗ</v>
      </c>
      <c r="AD13" s="14"/>
      <c r="AE13" s="14"/>
      <c r="AF13" s="14"/>
      <c r="AG13" s="29"/>
      <c r="AH13" s="29"/>
      <c r="AI13" s="29"/>
    </row>
    <row r="14" ht="40.5" customHeight="1">
      <c r="A14" s="30"/>
      <c r="B14" s="31">
        <v>2.0</v>
      </c>
      <c r="C14" s="32" t="s">
        <v>21</v>
      </c>
      <c r="D14" s="32" t="s">
        <v>22</v>
      </c>
      <c r="E14" s="32"/>
      <c r="F14" s="45" t="s">
        <v>2463</v>
      </c>
      <c r="G14" s="13"/>
      <c r="H14" s="46" t="s">
        <v>2464</v>
      </c>
      <c r="I14" s="86" t="s">
        <v>2465</v>
      </c>
      <c r="J14" s="41"/>
      <c r="K14" s="35" t="s">
        <v>2466</v>
      </c>
      <c r="L14" s="13"/>
      <c r="M14" s="45" t="s">
        <v>2467</v>
      </c>
      <c r="N14" s="13"/>
      <c r="O14" s="87" t="s">
        <v>2468</v>
      </c>
      <c r="P14" s="13"/>
      <c r="Q14" s="37" t="s">
        <v>2469</v>
      </c>
      <c r="R14" s="41"/>
      <c r="S14" s="35" t="s">
        <v>2470</v>
      </c>
      <c r="T14" s="41"/>
      <c r="U14" s="43" t="s">
        <v>2471</v>
      </c>
      <c r="V14" s="45" t="s">
        <v>2472</v>
      </c>
      <c r="W14" s="41"/>
      <c r="X14" s="26"/>
      <c r="Y14" s="42" t="s">
        <v>21</v>
      </c>
      <c r="Z14" s="42" t="s">
        <v>22</v>
      </c>
      <c r="AA14" s="28"/>
      <c r="AB14" s="85"/>
      <c r="AC14" s="15" t="str">
        <f>IFERROR(__xludf.DUMMYFUNCTION("join("","",filter(split($I$85,"",""),ARRAYFORMULA(ISERROR(FIND(split($I$85,"",""),CONCATENATE(F14:W14))))=TRUE))"),"СЗ,КЗ,202,206,403,409,410,АЗ")</f>
        <v>СЗ,КЗ,202,206,403,409,410,АЗ</v>
      </c>
      <c r="AD14" s="14"/>
      <c r="AE14" s="14"/>
      <c r="AF14" s="14"/>
      <c r="AG14" s="29"/>
      <c r="AH14" s="29"/>
      <c r="AI14" s="29"/>
    </row>
    <row r="15" ht="40.5" customHeight="1">
      <c r="A15" s="30"/>
      <c r="B15" s="31">
        <v>3.0</v>
      </c>
      <c r="C15" s="32" t="s">
        <v>33</v>
      </c>
      <c r="D15" s="32" t="s">
        <v>34</v>
      </c>
      <c r="E15" s="32"/>
      <c r="F15" s="40" t="s">
        <v>2473</v>
      </c>
      <c r="G15" s="13"/>
      <c r="H15" s="37" t="s">
        <v>2474</v>
      </c>
      <c r="I15" s="36"/>
      <c r="J15" s="41"/>
      <c r="K15" s="35" t="s">
        <v>2475</v>
      </c>
      <c r="L15" s="13"/>
      <c r="M15" s="45" t="s">
        <v>2476</v>
      </c>
      <c r="N15" s="13"/>
      <c r="O15" s="89" t="s">
        <v>2477</v>
      </c>
      <c r="P15" s="13"/>
      <c r="Q15" s="37" t="s">
        <v>2478</v>
      </c>
      <c r="R15" s="41"/>
      <c r="S15" s="43" t="s">
        <v>2479</v>
      </c>
      <c r="T15" s="34" t="s">
        <v>2480</v>
      </c>
      <c r="U15" s="91" t="s">
        <v>2481</v>
      </c>
      <c r="V15" s="36"/>
      <c r="W15" s="41"/>
      <c r="X15" s="26"/>
      <c r="Y15" s="42" t="s">
        <v>33</v>
      </c>
      <c r="Z15" s="42" t="s">
        <v>34</v>
      </c>
      <c r="AA15" s="48" t="s">
        <v>47</v>
      </c>
      <c r="AB15" s="85" t="str">
        <f>AB$5</f>
        <v/>
      </c>
      <c r="AC15" s="15" t="str">
        <f>IFERROR(__xludf.DUMMYFUNCTION("join("","",filter(split($I$85,"",""),ARRAYFORMULA(ISERROR(FIND(split($I$85,"",""),CONCATENATE(F15:W15))))=TRUE))"),"КЗ,201,202,206,210,403,406,408,410,АЗ")</f>
        <v>КЗ,201,202,206,210,403,406,408,410,АЗ</v>
      </c>
      <c r="AD15" s="14"/>
      <c r="AE15" s="14"/>
      <c r="AF15" s="14"/>
      <c r="AG15" s="29"/>
      <c r="AH15" s="29"/>
      <c r="AI15" s="29"/>
    </row>
    <row r="16" ht="40.5" customHeight="1">
      <c r="A16" s="30"/>
      <c r="B16" s="31">
        <v>4.0</v>
      </c>
      <c r="C16" s="32" t="s">
        <v>48</v>
      </c>
      <c r="D16" s="32" t="s">
        <v>49</v>
      </c>
      <c r="E16" s="32"/>
      <c r="F16" s="40" t="s">
        <v>2482</v>
      </c>
      <c r="G16" s="13"/>
      <c r="H16" s="37" t="s">
        <v>2483</v>
      </c>
      <c r="I16" s="36"/>
      <c r="J16" s="41"/>
      <c r="K16" s="35" t="s">
        <v>2484</v>
      </c>
      <c r="L16" s="13"/>
      <c r="M16" s="45" t="s">
        <v>2485</v>
      </c>
      <c r="N16" s="13"/>
      <c r="O16" s="89" t="s">
        <v>2486</v>
      </c>
      <c r="P16" s="13"/>
      <c r="Q16" s="37" t="s">
        <v>2487</v>
      </c>
      <c r="R16" s="41"/>
      <c r="S16" s="43" t="s">
        <v>2488</v>
      </c>
      <c r="T16" s="34" t="s">
        <v>2489</v>
      </c>
      <c r="U16" s="91" t="s">
        <v>2490</v>
      </c>
      <c r="V16" s="36"/>
      <c r="W16" s="41"/>
      <c r="X16" s="26"/>
      <c r="Y16" s="42" t="s">
        <v>48</v>
      </c>
      <c r="Z16" s="42" t="s">
        <v>49</v>
      </c>
      <c r="AA16" s="48" t="s">
        <v>57</v>
      </c>
      <c r="AB16" s="85" t="str">
        <f>AB$6</f>
        <v/>
      </c>
      <c r="AC16" s="15" t="str">
        <f>IFERROR(__xludf.DUMMYFUNCTION("join("","",filter(split($I$85,"",""),ARRAYFORMULA(ISERROR(FIND(split($I$85,"",""),CONCATENATE(F16:W16))))=TRUE))"),"КЗ,201,202,206,210,403,406,408,410,АЗ")</f>
        <v>КЗ,201,202,206,210,403,406,408,410,АЗ</v>
      </c>
      <c r="AD16" s="14"/>
      <c r="AE16" s="14"/>
      <c r="AF16" s="14"/>
      <c r="AG16" s="29"/>
      <c r="AH16" s="29"/>
      <c r="AI16" s="29"/>
    </row>
    <row r="17" ht="40.5" customHeight="1">
      <c r="A17" s="30"/>
      <c r="B17" s="31">
        <v>5.0</v>
      </c>
      <c r="C17" s="32" t="s">
        <v>58</v>
      </c>
      <c r="D17" s="53">
        <v>44847.0</v>
      </c>
      <c r="E17" s="53"/>
      <c r="F17" s="45" t="s">
        <v>2491</v>
      </c>
      <c r="G17" s="13"/>
      <c r="H17" s="33" t="s">
        <v>2492</v>
      </c>
      <c r="I17" s="45" t="s">
        <v>2493</v>
      </c>
      <c r="J17" s="41"/>
      <c r="K17" s="35" t="s">
        <v>2494</v>
      </c>
      <c r="L17" s="13"/>
      <c r="M17" s="40" t="s">
        <v>2495</v>
      </c>
      <c r="N17" s="13"/>
      <c r="O17" s="45" t="s">
        <v>2496</v>
      </c>
      <c r="P17" s="13"/>
      <c r="Q17" s="449" t="s">
        <v>2497</v>
      </c>
      <c r="R17" s="129"/>
      <c r="S17" s="326" t="s">
        <v>2498</v>
      </c>
      <c r="T17" s="92" t="s">
        <v>2499</v>
      </c>
      <c r="U17" s="93" t="s">
        <v>2500</v>
      </c>
      <c r="V17" s="36"/>
      <c r="W17" s="41"/>
      <c r="X17" s="26"/>
      <c r="Y17" s="42" t="s">
        <v>58</v>
      </c>
      <c r="Z17" s="54">
        <v>44847.0</v>
      </c>
      <c r="AA17" s="48" t="s">
        <v>70</v>
      </c>
      <c r="AB17" s="85" t="str">
        <f>AB$7</f>
        <v/>
      </c>
      <c r="AC17" s="15" t="str">
        <f>IFERROR(__xludf.DUMMYFUNCTION("join("","",filter(split($I$85,"",""),ARRAYFORMULA(ISERROR(FIND(split($I$85,"",""),CONCATENATE(F17:W17))))=TRUE))"),"СЗ,202,206,209,403,404,410,АЗ")</f>
        <v>СЗ,202,206,209,403,404,410,АЗ</v>
      </c>
      <c r="AD17" s="14"/>
      <c r="AE17" s="14"/>
      <c r="AF17" s="14"/>
      <c r="AG17" s="29"/>
      <c r="AH17" s="29"/>
      <c r="AI17" s="29"/>
    </row>
    <row r="18" ht="40.5" customHeight="1">
      <c r="A18" s="30"/>
      <c r="B18" s="31">
        <v>6.0</v>
      </c>
      <c r="C18" s="55" t="s">
        <v>71</v>
      </c>
      <c r="D18" s="56" t="s">
        <v>72</v>
      </c>
      <c r="E18" s="56"/>
      <c r="F18" s="45" t="s">
        <v>2501</v>
      </c>
      <c r="G18" s="13"/>
      <c r="H18" s="33" t="s">
        <v>2502</v>
      </c>
      <c r="I18" s="45" t="s">
        <v>2503</v>
      </c>
      <c r="J18" s="41"/>
      <c r="K18" s="35" t="s">
        <v>2504</v>
      </c>
      <c r="L18" s="13"/>
      <c r="M18" s="40" t="s">
        <v>2505</v>
      </c>
      <c r="N18" s="13"/>
      <c r="O18" s="45" t="s">
        <v>2506</v>
      </c>
      <c r="P18" s="13"/>
      <c r="Q18" s="142"/>
      <c r="R18" s="88"/>
      <c r="S18" s="326" t="s">
        <v>2507</v>
      </c>
      <c r="T18" s="92" t="s">
        <v>2508</v>
      </c>
      <c r="U18" s="93" t="s">
        <v>2509</v>
      </c>
      <c r="V18" s="36"/>
      <c r="W18" s="41"/>
      <c r="X18" s="26"/>
      <c r="Y18" s="58" t="s">
        <v>71</v>
      </c>
      <c r="Z18" s="59" t="s">
        <v>72</v>
      </c>
      <c r="AA18" s="48" t="s">
        <v>84</v>
      </c>
      <c r="AB18" s="85" t="str">
        <f>AB$8</f>
        <v/>
      </c>
      <c r="AC18" s="15" t="str">
        <f>IFERROR(__xludf.DUMMYFUNCTION("join("","",filter(split($I$85,"",""),ARRAYFORMULA(ISERROR(FIND(split($I$85,"",""),CONCATENATE(F18:W18))))=TRUE))"),"СЗ,202,206,209,403,404,406,408,410,АЗ")</f>
        <v>СЗ,202,206,209,403,404,406,408,410,АЗ</v>
      </c>
      <c r="AD18" s="14"/>
      <c r="AE18" s="14"/>
      <c r="AF18" s="14"/>
      <c r="AG18" s="29"/>
      <c r="AH18" s="29"/>
      <c r="AI18" s="29"/>
    </row>
    <row r="19" ht="40.5" customHeight="1">
      <c r="A19" s="30"/>
      <c r="B19" s="31">
        <v>7.0</v>
      </c>
      <c r="C19" s="32" t="s">
        <v>85</v>
      </c>
      <c r="D19" s="32" t="s">
        <v>86</v>
      </c>
      <c r="E19" s="32"/>
      <c r="F19" s="94" t="s">
        <v>2510</v>
      </c>
      <c r="G19" s="13"/>
      <c r="H19" s="33" t="s">
        <v>2511</v>
      </c>
      <c r="I19" s="45" t="s">
        <v>2512</v>
      </c>
      <c r="J19" s="41"/>
      <c r="K19" s="95" t="s">
        <v>2513</v>
      </c>
      <c r="L19" s="13"/>
      <c r="M19" s="45" t="s">
        <v>2514</v>
      </c>
      <c r="N19" s="13"/>
      <c r="O19" s="45" t="s">
        <v>2515</v>
      </c>
      <c r="P19" s="13"/>
      <c r="Q19" s="37" t="s">
        <v>2516</v>
      </c>
      <c r="R19" s="41"/>
      <c r="S19" s="96" t="s">
        <v>2517</v>
      </c>
      <c r="T19" s="97" t="s">
        <v>2518</v>
      </c>
      <c r="U19" s="93" t="s">
        <v>2509</v>
      </c>
      <c r="V19" s="36"/>
      <c r="W19" s="41"/>
      <c r="X19" s="26"/>
      <c r="Y19" s="42" t="s">
        <v>85</v>
      </c>
      <c r="Z19" s="42" t="s">
        <v>86</v>
      </c>
      <c r="AA19" s="48" t="s">
        <v>97</v>
      </c>
      <c r="AB19" s="85" t="str">
        <f>AB$9</f>
        <v/>
      </c>
      <c r="AC19" s="15" t="str">
        <f>IFERROR(__xludf.DUMMYFUNCTION("join("","",filter(split($I$85,"",""),ARRAYFORMULA(ISERROR(FIND(split($I$85,"",""),CONCATENATE(F19:W19))))=TRUE))"),"СЗ,202,206,209,403,404,406,410,АЗ")</f>
        <v>СЗ,202,206,209,403,404,406,410,АЗ</v>
      </c>
      <c r="AD19" s="14"/>
      <c r="AE19" s="14"/>
      <c r="AF19" s="14"/>
      <c r="AG19" s="29"/>
      <c r="AH19" s="29"/>
      <c r="AI19" s="29"/>
    </row>
    <row r="20" ht="40.5" customHeight="1">
      <c r="A20" s="30"/>
      <c r="B20" s="31">
        <v>8.0</v>
      </c>
      <c r="C20" s="32" t="s">
        <v>98</v>
      </c>
      <c r="D20" s="32" t="s">
        <v>99</v>
      </c>
      <c r="E20" s="32"/>
      <c r="F20" s="94" t="s">
        <v>2519</v>
      </c>
      <c r="G20" s="13"/>
      <c r="H20" s="33" t="s">
        <v>2520</v>
      </c>
      <c r="I20" s="45" t="s">
        <v>2521</v>
      </c>
      <c r="J20" s="41"/>
      <c r="K20" s="95" t="s">
        <v>2522</v>
      </c>
      <c r="L20" s="13"/>
      <c r="M20" s="45" t="s">
        <v>2523</v>
      </c>
      <c r="N20" s="13"/>
      <c r="O20" s="45" t="s">
        <v>2524</v>
      </c>
      <c r="P20" s="13"/>
      <c r="Q20" s="37" t="s">
        <v>2525</v>
      </c>
      <c r="R20" s="41"/>
      <c r="S20" s="96" t="s">
        <v>2526</v>
      </c>
      <c r="T20" s="97" t="s">
        <v>2527</v>
      </c>
      <c r="U20" s="93" t="s">
        <v>2509</v>
      </c>
      <c r="V20" s="36"/>
      <c r="W20" s="41"/>
      <c r="X20" s="26"/>
      <c r="Y20" s="42" t="s">
        <v>98</v>
      </c>
      <c r="Z20" s="42" t="s">
        <v>99</v>
      </c>
      <c r="AA20" s="11"/>
      <c r="AB20" s="98"/>
      <c r="AC20" s="15" t="str">
        <f>IFERROR(__xludf.DUMMYFUNCTION("join("","",filter(split($I$85,"",""),ARRAYFORMULA(ISERROR(FIND(split($I$85,"",""),CONCATENATE(F20:W20))))=TRUE))"),"СЗ,202,206,209,403,404,406,410,АЗ")</f>
        <v>СЗ,202,206,209,403,404,406,410,АЗ</v>
      </c>
      <c r="AD20" s="14"/>
      <c r="AE20" s="14"/>
      <c r="AF20" s="14"/>
      <c r="AG20" s="29"/>
      <c r="AH20" s="29"/>
      <c r="AI20" s="29"/>
    </row>
    <row r="21" ht="40.5" customHeight="1">
      <c r="A21" s="30"/>
      <c r="B21" s="31">
        <v>9.0</v>
      </c>
      <c r="C21" s="65">
        <v>44697.0</v>
      </c>
      <c r="D21" s="44" t="s">
        <v>109</v>
      </c>
      <c r="E21" s="44"/>
      <c r="F21" s="99" t="s">
        <v>206</v>
      </c>
      <c r="G21" s="4"/>
      <c r="H21" s="328" t="s">
        <v>2528</v>
      </c>
      <c r="I21" s="101" t="s">
        <v>208</v>
      </c>
      <c r="J21" s="36"/>
      <c r="K21" s="36"/>
      <c r="L21" s="36"/>
      <c r="M21" s="36"/>
      <c r="N21" s="13"/>
      <c r="O21" s="45" t="s">
        <v>2529</v>
      </c>
      <c r="P21" s="13"/>
      <c r="Q21" s="102" t="s">
        <v>2530</v>
      </c>
      <c r="R21" s="41"/>
      <c r="S21" s="35" t="s">
        <v>211</v>
      </c>
      <c r="T21" s="41"/>
      <c r="U21" s="103" t="s">
        <v>2531</v>
      </c>
      <c r="V21" s="36"/>
      <c r="W21" s="41"/>
      <c r="X21" s="26"/>
      <c r="Y21" s="69">
        <v>44697.0</v>
      </c>
      <c r="Z21" s="70" t="s">
        <v>109</v>
      </c>
      <c r="AA21" s="28"/>
      <c r="AB21" s="98"/>
      <c r="AC21" s="15" t="str">
        <f>IFERROR(__xludf.DUMMYFUNCTION("join("","",filter(split($I$85,"",""),ARRAYFORMULA(ISERROR(FIND(split($I$85,"",""),CONCATENATE(F21:W21))))=TRUE))"),"201,206,209,210,401,403,404,405,406,408,АЗ")</f>
        <v>201,206,209,210,401,403,404,405,406,408,АЗ</v>
      </c>
      <c r="AD21" s="14"/>
      <c r="AE21" s="14"/>
      <c r="AF21" s="14"/>
      <c r="AG21" s="29"/>
      <c r="AH21" s="29"/>
      <c r="AI21" s="29"/>
    </row>
    <row r="22" ht="40.5" customHeight="1">
      <c r="A22" s="30"/>
      <c r="B22" s="31">
        <v>10.0</v>
      </c>
      <c r="C22" s="44" t="s">
        <v>120</v>
      </c>
      <c r="D22" s="44" t="s">
        <v>121</v>
      </c>
      <c r="E22" s="44"/>
      <c r="F22" s="104"/>
      <c r="G22" s="72"/>
      <c r="H22" s="328" t="s">
        <v>2532</v>
      </c>
      <c r="I22" s="106" t="s">
        <v>1678</v>
      </c>
      <c r="J22" s="36"/>
      <c r="K22" s="36"/>
      <c r="L22" s="36"/>
      <c r="M22" s="36"/>
      <c r="N22" s="13"/>
      <c r="O22" s="45" t="s">
        <v>2533</v>
      </c>
      <c r="P22" s="13"/>
      <c r="Q22" s="101" t="s">
        <v>215</v>
      </c>
      <c r="R22" s="36"/>
      <c r="S22" s="36"/>
      <c r="T22" s="13"/>
      <c r="U22" s="107" t="s">
        <v>2534</v>
      </c>
      <c r="V22" s="36"/>
      <c r="W22" s="41"/>
      <c r="X22" s="26"/>
      <c r="Y22" s="70" t="s">
        <v>120</v>
      </c>
      <c r="Z22" s="70" t="s">
        <v>121</v>
      </c>
      <c r="AA22" s="28"/>
      <c r="AB22" s="98"/>
      <c r="AC22" s="15" t="str">
        <f>IFERROR(__xludf.DUMMYFUNCTION("join("","",filter(split($I$85,"",""),ARRAYFORMULA(ISERROR(FIND(split($I$85,"",""),CONCATENATE(F22:W22))))=TRUE))"),"201,206,209,210,401,403,404,405,406,408,409,АЗ")</f>
        <v>201,206,209,210,401,403,404,405,406,408,409,АЗ</v>
      </c>
      <c r="AD22" s="14"/>
      <c r="AE22" s="14"/>
      <c r="AF22" s="14"/>
      <c r="AG22" s="29"/>
      <c r="AH22" s="29"/>
      <c r="AI22" s="29"/>
    </row>
    <row r="23" ht="40.5" customHeight="1">
      <c r="A23" s="74"/>
      <c r="B23" s="75">
        <v>11.0</v>
      </c>
      <c r="C23" s="76" t="s">
        <v>124</v>
      </c>
      <c r="D23" s="76" t="s">
        <v>125</v>
      </c>
      <c r="E23" s="76"/>
      <c r="F23" s="108"/>
      <c r="G23" s="109"/>
      <c r="H23" s="110"/>
      <c r="I23" s="111"/>
      <c r="J23" s="112"/>
      <c r="K23" s="113"/>
      <c r="L23" s="111"/>
      <c r="M23" s="111"/>
      <c r="N23" s="111"/>
      <c r="O23" s="111"/>
      <c r="P23" s="111"/>
      <c r="Q23" s="111"/>
      <c r="R23" s="111"/>
      <c r="S23" s="434" t="s">
        <v>2535</v>
      </c>
      <c r="T23" s="115"/>
      <c r="U23" s="115"/>
      <c r="V23" s="115"/>
      <c r="W23" s="67"/>
      <c r="X23" s="26"/>
      <c r="Y23" s="79" t="s">
        <v>124</v>
      </c>
      <c r="Z23" s="79" t="s">
        <v>125</v>
      </c>
      <c r="AA23" s="28" t="str">
        <f/>
        <v>#ERROR!</v>
      </c>
      <c r="AB23" s="98"/>
      <c r="AC23" s="15" t="str">
        <f>IFERROR(__xludf.DUMMYFUNCTION("join("","",filter(split($I$85,"",""),ARRAYFORMULA(ISERROR(FIND(split($I$85,"",""),CONCATENATE(F23:W23))))=TRUE))"),"КЗ,201,202,206,209,210,401,402,403,404,405,406,408,409,410,АЗ")</f>
        <v>КЗ,201,202,206,209,210,401,402,403,404,405,406,408,409,410,АЗ</v>
      </c>
      <c r="AD23" s="14"/>
      <c r="AE23" s="14"/>
      <c r="AF23" s="14"/>
      <c r="AG23" s="29"/>
      <c r="AH23" s="29"/>
      <c r="AI23" s="29"/>
    </row>
    <row r="24" ht="40.5" customHeight="1">
      <c r="A24" s="450"/>
      <c r="B24" s="451"/>
      <c r="C24" s="452"/>
      <c r="D24" s="452"/>
      <c r="E24" s="453"/>
      <c r="F24" s="454"/>
      <c r="W24" s="134"/>
      <c r="X24" s="26"/>
      <c r="Y24" s="455"/>
      <c r="Z24" s="455"/>
      <c r="AA24" s="28"/>
      <c r="AB24" s="14"/>
      <c r="AC24" s="15"/>
      <c r="AD24" s="14"/>
      <c r="AE24" s="14"/>
      <c r="AF24" s="14"/>
      <c r="AG24" s="29"/>
      <c r="AH24" s="29"/>
      <c r="AI24" s="29"/>
    </row>
    <row r="25" ht="40.5" customHeight="1">
      <c r="A25" s="450"/>
      <c r="B25" s="451"/>
      <c r="C25" s="452"/>
      <c r="D25" s="452"/>
      <c r="E25" s="453"/>
      <c r="F25" s="454" t="s">
        <v>2536</v>
      </c>
      <c r="W25" s="134"/>
      <c r="X25" s="26"/>
      <c r="Y25" s="455"/>
      <c r="Z25" s="455"/>
      <c r="AA25" s="28"/>
      <c r="AB25" s="14"/>
      <c r="AC25" s="15"/>
      <c r="AD25" s="14"/>
      <c r="AE25" s="14"/>
      <c r="AF25" s="14"/>
      <c r="AG25" s="29"/>
      <c r="AH25" s="29"/>
      <c r="AI25" s="29"/>
    </row>
    <row r="26" ht="40.5" customHeight="1">
      <c r="A26" s="18">
        <v>44839.0</v>
      </c>
      <c r="B26" s="435">
        <v>1.0</v>
      </c>
      <c r="C26" s="20" t="s">
        <v>12</v>
      </c>
      <c r="D26" s="20" t="s">
        <v>13</v>
      </c>
      <c r="E26" s="444"/>
      <c r="F26" s="21" t="s">
        <v>2537</v>
      </c>
      <c r="G26" s="22"/>
      <c r="H26" s="116" t="s">
        <v>2538</v>
      </c>
      <c r="I26" s="117" t="s">
        <v>2539</v>
      </c>
      <c r="J26" s="22"/>
      <c r="K26" s="118" t="s">
        <v>221</v>
      </c>
      <c r="L26" s="24"/>
      <c r="M26" s="24"/>
      <c r="N26" s="25"/>
      <c r="O26" s="80" t="s">
        <v>2540</v>
      </c>
      <c r="P26" s="25"/>
      <c r="Q26" s="331" t="s">
        <v>2541</v>
      </c>
      <c r="R26" s="24"/>
      <c r="S26" s="24"/>
      <c r="T26" s="22"/>
      <c r="U26" s="121" t="s">
        <v>2542</v>
      </c>
      <c r="V26" s="24"/>
      <c r="W26" s="22"/>
      <c r="X26" s="26"/>
      <c r="Y26" s="27" t="s">
        <v>12</v>
      </c>
      <c r="Z26" s="27" t="s">
        <v>13</v>
      </c>
      <c r="AA26" s="28"/>
      <c r="AB26" s="14"/>
      <c r="AC26" s="15" t="str">
        <f>IFERROR(__xludf.DUMMYFUNCTION("join("","",filter(split($I$85,"",""),ARRAYFORMULA(ISERROR(FIND(split($I$85,"",""),CONCATENATE(F26:W26))))=TRUE))"),"СЗ,КЗ,206,210,401,402,403,404,405,406,409,410")</f>
        <v>СЗ,КЗ,206,210,401,402,403,404,405,406,409,410</v>
      </c>
      <c r="AD26" s="14"/>
      <c r="AE26" s="14"/>
      <c r="AF26" s="14"/>
      <c r="AG26" s="29"/>
      <c r="AH26" s="29"/>
      <c r="AI26" s="29"/>
    </row>
    <row r="27" ht="40.5" customHeight="1">
      <c r="A27" s="30"/>
      <c r="B27" s="436">
        <v>2.0</v>
      </c>
      <c r="C27" s="32" t="s">
        <v>21</v>
      </c>
      <c r="D27" s="32" t="s">
        <v>22</v>
      </c>
      <c r="E27" s="456"/>
      <c r="F27" s="51" t="s">
        <v>2543</v>
      </c>
      <c r="G27" s="41"/>
      <c r="H27" s="39" t="s">
        <v>2544</v>
      </c>
      <c r="I27" s="89" t="s">
        <v>2545</v>
      </c>
      <c r="J27" s="41"/>
      <c r="K27" s="35" t="s">
        <v>2546</v>
      </c>
      <c r="L27" s="13"/>
      <c r="M27" s="40" t="s">
        <v>2547</v>
      </c>
      <c r="N27" s="13"/>
      <c r="O27" s="40" t="s">
        <v>2548</v>
      </c>
      <c r="P27" s="13"/>
      <c r="Q27" s="37" t="s">
        <v>2549</v>
      </c>
      <c r="R27" s="13"/>
      <c r="S27" s="122" t="s">
        <v>2550</v>
      </c>
      <c r="T27" s="41"/>
      <c r="U27" s="103" t="s">
        <v>2551</v>
      </c>
      <c r="V27" s="36"/>
      <c r="W27" s="41"/>
      <c r="X27" s="26"/>
      <c r="Y27" s="42" t="s">
        <v>21</v>
      </c>
      <c r="Z27" s="42" t="s">
        <v>22</v>
      </c>
      <c r="AA27" s="28"/>
      <c r="AB27" s="14"/>
      <c r="AC27" s="15" t="str">
        <f>IFERROR(__xludf.DUMMYFUNCTION("join("","",filter(split($I$85,"",""),ARRAYFORMULA(ISERROR(FIND(split($I$85,"",""),CONCATENATE(F27:W27))))=TRUE))"),"СЗ,КЗ,206,209,210,403,404,405,410,АЗ")</f>
        <v>СЗ,КЗ,206,209,210,403,404,405,410,АЗ</v>
      </c>
      <c r="AD27" s="14"/>
      <c r="AE27" s="14"/>
      <c r="AF27" s="14"/>
      <c r="AG27" s="29"/>
      <c r="AH27" s="29"/>
      <c r="AI27" s="29"/>
    </row>
    <row r="28" ht="40.5" customHeight="1">
      <c r="A28" s="30"/>
      <c r="B28" s="436">
        <v>3.0</v>
      </c>
      <c r="C28" s="32" t="s">
        <v>33</v>
      </c>
      <c r="D28" s="32" t="s">
        <v>34</v>
      </c>
      <c r="E28" s="456"/>
      <c r="F28" s="37" t="s">
        <v>2552</v>
      </c>
      <c r="G28" s="41"/>
      <c r="H28" s="51" t="s">
        <v>2553</v>
      </c>
      <c r="I28" s="36"/>
      <c r="J28" s="41"/>
      <c r="K28" s="95" t="s">
        <v>2554</v>
      </c>
      <c r="L28" s="13"/>
      <c r="M28" s="123" t="s">
        <v>2555</v>
      </c>
      <c r="N28" s="41"/>
      <c r="O28" s="40" t="s">
        <v>2556</v>
      </c>
      <c r="P28" s="13"/>
      <c r="Q28" s="39" t="s">
        <v>2557</v>
      </c>
      <c r="R28" s="124" t="s">
        <v>576</v>
      </c>
      <c r="S28" s="89" t="s">
        <v>2558</v>
      </c>
      <c r="T28" s="41"/>
      <c r="U28" s="125" t="s">
        <v>2559</v>
      </c>
      <c r="V28" s="36"/>
      <c r="W28" s="41"/>
      <c r="X28" s="26"/>
      <c r="Y28" s="42" t="s">
        <v>33</v>
      </c>
      <c r="Z28" s="42" t="s">
        <v>34</v>
      </c>
      <c r="AA28" s="48" t="s">
        <v>47</v>
      </c>
      <c r="AB28" s="85" t="str">
        <f>AB$5</f>
        <v/>
      </c>
      <c r="AC28" s="15" t="str">
        <f>IFERROR(__xludf.DUMMYFUNCTION("join("","",filter(split($I$85,"",""),ARRAYFORMULA(ISERROR(FIND(split($I$85,"",""),CONCATENATE(F28:W28))))=TRUE))"),"СЗ,КЗ,206,210,402,403,404,405,408,410,АЗ")</f>
        <v>СЗ,КЗ,206,210,402,403,404,405,408,410,АЗ</v>
      </c>
      <c r="AD28" s="14"/>
      <c r="AE28" s="14"/>
      <c r="AF28" s="14"/>
      <c r="AG28" s="29"/>
      <c r="AH28" s="29"/>
      <c r="AI28" s="29"/>
    </row>
    <row r="29" ht="54.0" customHeight="1">
      <c r="A29" s="30"/>
      <c r="B29" s="436">
        <v>4.0</v>
      </c>
      <c r="C29" s="32" t="s">
        <v>48</v>
      </c>
      <c r="D29" s="32" t="s">
        <v>49</v>
      </c>
      <c r="E29" s="351"/>
      <c r="F29" s="33" t="s">
        <v>2560</v>
      </c>
      <c r="G29" s="286" t="s">
        <v>2561</v>
      </c>
      <c r="H29" s="37" t="s">
        <v>2562</v>
      </c>
      <c r="I29" s="13"/>
      <c r="J29" s="92" t="s">
        <v>2563</v>
      </c>
      <c r="K29" s="107" t="s">
        <v>2564</v>
      </c>
      <c r="L29" s="13"/>
      <c r="M29" s="45" t="s">
        <v>2565</v>
      </c>
      <c r="N29" s="13"/>
      <c r="O29" s="127" t="s">
        <v>2566</v>
      </c>
      <c r="P29" s="13"/>
      <c r="Q29" s="37" t="s">
        <v>2567</v>
      </c>
      <c r="R29" s="13"/>
      <c r="S29" s="34" t="s">
        <v>2568</v>
      </c>
      <c r="T29" s="132" t="s">
        <v>2569</v>
      </c>
      <c r="U29" s="125" t="s">
        <v>2570</v>
      </c>
      <c r="V29" s="36"/>
      <c r="W29" s="41"/>
      <c r="X29" s="26"/>
      <c r="Y29" s="42" t="s">
        <v>48</v>
      </c>
      <c r="Z29" s="42" t="s">
        <v>49</v>
      </c>
      <c r="AA29" s="48" t="s">
        <v>57</v>
      </c>
      <c r="AB29" s="85" t="str">
        <f>AB$6</f>
        <v/>
      </c>
      <c r="AC29" s="15" t="str">
        <f>IFERROR(__xludf.DUMMYFUNCTION("join("","",filter(split($I$85,"",""),ARRAYFORMULA(ISERROR(FIND(split($I$85,"",""),CONCATENATE(F29:W29))))=TRUE))"),"СЗ,202,206,403,404,405,410,АЗ")</f>
        <v>СЗ,202,206,403,404,405,410,АЗ</v>
      </c>
      <c r="AD29" s="14"/>
      <c r="AE29" s="14"/>
      <c r="AF29" s="14"/>
      <c r="AH29" s="29"/>
      <c r="AI29" s="29"/>
    </row>
    <row r="30" ht="53.25" customHeight="1">
      <c r="A30" s="30"/>
      <c r="B30" s="436">
        <v>5.0</v>
      </c>
      <c r="C30" s="32" t="s">
        <v>58</v>
      </c>
      <c r="D30" s="53">
        <v>44847.0</v>
      </c>
      <c r="E30" s="445"/>
      <c r="F30" s="33" t="s">
        <v>2571</v>
      </c>
      <c r="G30" s="92" t="s">
        <v>2572</v>
      </c>
      <c r="H30" s="37" t="s">
        <v>2573</v>
      </c>
      <c r="I30" s="13"/>
      <c r="J30" s="92" t="s">
        <v>2574</v>
      </c>
      <c r="K30" s="123" t="s">
        <v>2575</v>
      </c>
      <c r="L30" s="41"/>
      <c r="M30" s="45" t="s">
        <v>2576</v>
      </c>
      <c r="N30" s="13"/>
      <c r="O30" s="89" t="s">
        <v>2577</v>
      </c>
      <c r="P30" s="13"/>
      <c r="Q30" s="39" t="s">
        <v>2578</v>
      </c>
      <c r="R30" s="124" t="s">
        <v>2579</v>
      </c>
      <c r="S30" s="34" t="s">
        <v>2580</v>
      </c>
      <c r="T30" s="132" t="s">
        <v>2581</v>
      </c>
      <c r="U30" s="128" t="s">
        <v>2582</v>
      </c>
      <c r="V30" s="8"/>
      <c r="W30" s="129"/>
      <c r="X30" s="26"/>
      <c r="Y30" s="42" t="s">
        <v>58</v>
      </c>
      <c r="Z30" s="54">
        <v>44847.0</v>
      </c>
      <c r="AA30" s="48" t="s">
        <v>70</v>
      </c>
      <c r="AB30" s="85" t="str">
        <f>AB$7</f>
        <v/>
      </c>
      <c r="AC30" s="15" t="str">
        <f>IFERROR(__xludf.DUMMYFUNCTION("join("","",filter(split($I$85,"",""),ARRAYFORMULA(ISERROR(FIND(split($I$85,"",""),CONCATENATE(F30:W30))))=TRUE))"),"СЗ,206,209,403,404,405,410")</f>
        <v>СЗ,206,209,403,404,405,410</v>
      </c>
      <c r="AD30" s="14"/>
      <c r="AE30" s="14"/>
      <c r="AF30" s="14"/>
      <c r="AH30" s="29"/>
      <c r="AI30" s="29"/>
    </row>
    <row r="31" ht="40.5" customHeight="1">
      <c r="A31" s="30"/>
      <c r="B31" s="436">
        <v>6.0</v>
      </c>
      <c r="C31" s="55" t="s">
        <v>71</v>
      </c>
      <c r="D31" s="56" t="s">
        <v>72</v>
      </c>
      <c r="E31" s="446"/>
      <c r="F31" s="39" t="s">
        <v>2583</v>
      </c>
      <c r="G31" s="34" t="s">
        <v>2584</v>
      </c>
      <c r="H31" s="40" t="s">
        <v>2585</v>
      </c>
      <c r="I31" s="41"/>
      <c r="J31" s="34" t="s">
        <v>2586</v>
      </c>
      <c r="K31" s="123" t="s">
        <v>2587</v>
      </c>
      <c r="L31" s="41"/>
      <c r="M31" s="89" t="s">
        <v>2588</v>
      </c>
      <c r="N31" s="13"/>
      <c r="O31" s="130" t="s">
        <v>2589</v>
      </c>
      <c r="P31" s="13"/>
      <c r="Q31" s="131" t="s">
        <v>2590</v>
      </c>
      <c r="R31" s="132" t="s">
        <v>2591</v>
      </c>
      <c r="S31" s="92" t="s">
        <v>2592</v>
      </c>
      <c r="W31" s="134"/>
      <c r="X31" s="26"/>
      <c r="Y31" s="58" t="s">
        <v>71</v>
      </c>
      <c r="Z31" s="59" t="s">
        <v>72</v>
      </c>
      <c r="AA31" s="48" t="s">
        <v>84</v>
      </c>
      <c r="AB31" s="85" t="str">
        <f>AB$8</f>
        <v/>
      </c>
      <c r="AC31" s="15" t="str">
        <f>IFERROR(__xludf.DUMMYFUNCTION("join("","",filter(split($I$85,"",""),ARRAYFORMULA(ISERROR(FIND(split($I$85,"",""),CONCATENATE(F31:W31))))=TRUE))"),"СЗ,КЗ,201,206,403,404,405,410,АЗ")</f>
        <v>СЗ,КЗ,201,206,403,404,405,410,АЗ</v>
      </c>
      <c r="AD31" s="14"/>
      <c r="AE31" s="14"/>
      <c r="AF31" s="14"/>
      <c r="AH31" s="29"/>
      <c r="AI31" s="29"/>
    </row>
    <row r="32" ht="40.5" customHeight="1">
      <c r="A32" s="30"/>
      <c r="B32" s="436">
        <v>7.0</v>
      </c>
      <c r="C32" s="32" t="s">
        <v>85</v>
      </c>
      <c r="D32" s="32" t="s">
        <v>86</v>
      </c>
      <c r="E32" s="351"/>
      <c r="F32" s="39" t="s">
        <v>2593</v>
      </c>
      <c r="G32" s="34" t="s">
        <v>2594</v>
      </c>
      <c r="H32" s="40" t="s">
        <v>2595</v>
      </c>
      <c r="I32" s="41"/>
      <c r="J32" s="34" t="s">
        <v>2596</v>
      </c>
      <c r="K32" s="35" t="s">
        <v>2597</v>
      </c>
      <c r="L32" s="13"/>
      <c r="M32" s="123" t="s">
        <v>2598</v>
      </c>
      <c r="N32" s="41"/>
      <c r="O32" s="130" t="s">
        <v>2599</v>
      </c>
      <c r="P32" s="13"/>
      <c r="Q32" s="131" t="s">
        <v>2600</v>
      </c>
      <c r="R32" s="132" t="s">
        <v>2601</v>
      </c>
      <c r="S32" s="92" t="s">
        <v>2602</v>
      </c>
      <c r="W32" s="134"/>
      <c r="X32" s="26"/>
      <c r="Y32" s="42" t="s">
        <v>85</v>
      </c>
      <c r="Z32" s="42" t="s">
        <v>86</v>
      </c>
      <c r="AA32" s="48" t="s">
        <v>97</v>
      </c>
      <c r="AB32" s="85" t="str">
        <f>AB$9</f>
        <v/>
      </c>
      <c r="AC32" s="15" t="str">
        <f>IFERROR(__xludf.DUMMYFUNCTION("join("","",filter(split($I$85,"",""),ARRAYFORMULA(ISERROR(FIND(split($I$85,"",""),CONCATENATE(F32:W32))))=TRUE))"),"СЗ,КЗ,206,403,404,405,409,410,АЗ")</f>
        <v>СЗ,КЗ,206,403,404,405,409,410,АЗ</v>
      </c>
      <c r="AD32" s="14"/>
      <c r="AE32" s="14"/>
      <c r="AF32" s="14"/>
      <c r="AH32" s="29"/>
      <c r="AI32" s="29"/>
    </row>
    <row r="33" ht="52.5" customHeight="1">
      <c r="A33" s="30"/>
      <c r="B33" s="436">
        <v>8.0</v>
      </c>
      <c r="C33" s="32" t="s">
        <v>98</v>
      </c>
      <c r="D33" s="32" t="s">
        <v>99</v>
      </c>
      <c r="E33" s="456"/>
      <c r="F33" s="46" t="s">
        <v>2603</v>
      </c>
      <c r="G33" s="41"/>
      <c r="H33" s="137" t="s">
        <v>2604</v>
      </c>
      <c r="I33" s="8"/>
      <c r="J33" s="129"/>
      <c r="K33" s="334" t="s">
        <v>2605</v>
      </c>
      <c r="L33" s="36"/>
      <c r="M33" s="36"/>
      <c r="N33" s="13"/>
      <c r="O33" s="45" t="s">
        <v>2606</v>
      </c>
      <c r="P33" s="13"/>
      <c r="Q33" s="33" t="s">
        <v>2607</v>
      </c>
      <c r="R33" s="408" t="s">
        <v>2608</v>
      </c>
      <c r="S33" s="437" t="s">
        <v>2609</v>
      </c>
      <c r="T33" s="133"/>
      <c r="W33" s="134"/>
      <c r="X33" s="26"/>
      <c r="Y33" s="42" t="s">
        <v>98</v>
      </c>
      <c r="Z33" s="42" t="s">
        <v>99</v>
      </c>
      <c r="AA33" s="11"/>
      <c r="AB33" s="14"/>
      <c r="AC33" s="15" t="str">
        <f>IFERROR(__xludf.DUMMYFUNCTION("join("","",filter(split($I$85,"",""),ARRAYFORMULA(ISERROR(FIND(split($I$85,"",""),CONCATENATE(F33:W33))))=TRUE))"),"СЗ,КЗ,201,206,401,403,404,405,406,408,409,АЗ")</f>
        <v>СЗ,КЗ,201,206,401,403,404,405,406,408,409,АЗ</v>
      </c>
      <c r="AD33" s="14"/>
      <c r="AE33" s="14"/>
      <c r="AF33" s="14"/>
      <c r="AG33" s="29"/>
      <c r="AH33" s="29"/>
      <c r="AI33" s="29"/>
    </row>
    <row r="34" ht="57.0" customHeight="1">
      <c r="A34" s="30"/>
      <c r="B34" s="436">
        <v>9.0</v>
      </c>
      <c r="C34" s="65">
        <v>44697.0</v>
      </c>
      <c r="D34" s="44" t="s">
        <v>109</v>
      </c>
      <c r="E34" s="43"/>
      <c r="F34" s="141" t="s">
        <v>2610</v>
      </c>
      <c r="G34" s="13"/>
      <c r="H34" s="142"/>
      <c r="I34" s="64"/>
      <c r="J34" s="88"/>
      <c r="K34" s="334" t="s">
        <v>2611</v>
      </c>
      <c r="L34" s="36"/>
      <c r="M34" s="36"/>
      <c r="N34" s="13"/>
      <c r="O34" s="45" t="s">
        <v>2612</v>
      </c>
      <c r="P34" s="13"/>
      <c r="Q34" s="33" t="s">
        <v>2613</v>
      </c>
      <c r="R34" s="408" t="s">
        <v>2614</v>
      </c>
      <c r="S34" s="173"/>
      <c r="T34" s="92"/>
      <c r="U34" s="64"/>
      <c r="V34" s="64"/>
      <c r="W34" s="88"/>
      <c r="X34" s="26"/>
      <c r="Y34" s="69">
        <v>44697.0</v>
      </c>
      <c r="Z34" s="70" t="s">
        <v>109</v>
      </c>
      <c r="AA34" s="28"/>
      <c r="AB34" s="14"/>
      <c r="AC34" s="15" t="str">
        <f>IFERROR(__xludf.DUMMYFUNCTION("join("","",filter(split($I$85,"",""),ARRAYFORMULA(ISERROR(FIND(split($I$85,"",""),CONCATENATE(F34:W34))))=TRUE))"),"СЗ,КЗ,201,206,401,402,403,404,405,406,408,409,АЗ")</f>
        <v>СЗ,КЗ,201,206,401,402,403,404,405,406,408,409,АЗ</v>
      </c>
      <c r="AD34" s="14"/>
      <c r="AE34" s="14"/>
      <c r="AF34" s="14"/>
      <c r="AG34" s="29"/>
      <c r="AH34" s="29"/>
      <c r="AI34" s="29"/>
    </row>
    <row r="35" ht="40.5" customHeight="1">
      <c r="A35" s="30"/>
      <c r="B35" s="436">
        <v>10.0</v>
      </c>
      <c r="C35" s="44" t="s">
        <v>120</v>
      </c>
      <c r="D35" s="44" t="s">
        <v>121</v>
      </c>
      <c r="E35" s="186"/>
      <c r="F35" s="268"/>
      <c r="G35" s="269"/>
      <c r="H35" s="145" t="s">
        <v>296</v>
      </c>
      <c r="I35" s="8"/>
      <c r="J35" s="8"/>
      <c r="K35" s="8"/>
      <c r="L35" s="8"/>
      <c r="M35" s="8"/>
      <c r="N35" s="8"/>
      <c r="O35" s="8"/>
      <c r="P35" s="8"/>
      <c r="Q35" s="8"/>
      <c r="R35" s="4"/>
      <c r="S35" s="146"/>
      <c r="T35" s="147"/>
      <c r="U35" s="148"/>
      <c r="V35" s="149"/>
      <c r="W35" s="150"/>
      <c r="X35" s="26"/>
      <c r="Y35" s="70" t="s">
        <v>120</v>
      </c>
      <c r="Z35" s="70" t="s">
        <v>121</v>
      </c>
      <c r="AA35" s="28"/>
      <c r="AB35" s="14"/>
      <c r="AC35" s="15"/>
      <c r="AD35" s="14"/>
      <c r="AE35" s="14"/>
      <c r="AF35" s="14"/>
      <c r="AG35" s="29"/>
      <c r="AH35" s="29"/>
      <c r="AI35" s="29"/>
    </row>
    <row r="36" ht="40.5" customHeight="1">
      <c r="A36" s="74"/>
      <c r="B36" s="438">
        <v>11.0</v>
      </c>
      <c r="C36" s="76" t="s">
        <v>124</v>
      </c>
      <c r="D36" s="76" t="s">
        <v>125</v>
      </c>
      <c r="E36" s="457"/>
      <c r="F36" s="110"/>
      <c r="G36" s="112"/>
      <c r="H36" s="151"/>
      <c r="I36" s="151"/>
      <c r="J36" s="151"/>
      <c r="K36" s="151"/>
      <c r="L36" s="151"/>
      <c r="M36" s="151"/>
      <c r="N36" s="151"/>
      <c r="O36" s="151"/>
      <c r="P36" s="151"/>
      <c r="Q36" s="151"/>
      <c r="R36" s="152"/>
      <c r="S36" s="153"/>
      <c r="T36" s="154"/>
      <c r="U36" s="113"/>
      <c r="V36" s="155"/>
      <c r="W36" s="112"/>
      <c r="X36" s="26"/>
      <c r="Y36" s="79" t="s">
        <v>124</v>
      </c>
      <c r="Z36" s="79" t="s">
        <v>125</v>
      </c>
      <c r="AA36" s="28"/>
      <c r="AB36" s="14"/>
      <c r="AC36" s="15" t="str">
        <f>IFERROR(__xludf.DUMMYFUNCTION("join("","",filter(split($I$85,"",""),ARRAYFORMULA(ISERROR(FIND(split($I$85,"",""),CONCATENATE(F36:W36))))=TRUE))"),"СЗ,КЗ,201,202,206,209,210,401,402,403,404,405,406,408,409,410,АЗ")</f>
        <v>СЗ,КЗ,201,202,206,209,210,401,402,403,404,405,406,408,409,410,АЗ</v>
      </c>
      <c r="AD36" s="14"/>
      <c r="AE36" s="14"/>
      <c r="AF36" s="14"/>
      <c r="AG36" s="29"/>
      <c r="AH36" s="29"/>
      <c r="AI36" s="29"/>
    </row>
    <row r="37" ht="60.0" customHeight="1">
      <c r="A37" s="18">
        <v>44840.0</v>
      </c>
      <c r="B37" s="19">
        <v>1.0</v>
      </c>
      <c r="C37" s="20" t="s">
        <v>12</v>
      </c>
      <c r="D37" s="20" t="s">
        <v>13</v>
      </c>
      <c r="E37" s="20"/>
      <c r="F37" s="80"/>
      <c r="G37" s="25"/>
      <c r="H37" s="156" t="s">
        <v>2615</v>
      </c>
      <c r="I37" s="117" t="s">
        <v>2616</v>
      </c>
      <c r="J37" s="25"/>
      <c r="K37" s="157" t="s">
        <v>2617</v>
      </c>
      <c r="L37" s="13"/>
      <c r="M37" s="156" t="s">
        <v>2618</v>
      </c>
      <c r="N37" s="156" t="s">
        <v>2619</v>
      </c>
      <c r="O37" s="80" t="s">
        <v>2620</v>
      </c>
      <c r="P37" s="25"/>
      <c r="Q37" s="156" t="s">
        <v>2621</v>
      </c>
      <c r="R37" s="156" t="s">
        <v>2622</v>
      </c>
      <c r="S37" s="159" t="s">
        <v>2623</v>
      </c>
      <c r="T37" s="160" t="s">
        <v>2624</v>
      </c>
      <c r="U37" s="161" t="s">
        <v>2625</v>
      </c>
      <c r="V37" s="24"/>
      <c r="W37" s="22"/>
      <c r="X37" s="26"/>
      <c r="Y37" s="27" t="s">
        <v>12</v>
      </c>
      <c r="Z37" s="27" t="s">
        <v>13</v>
      </c>
      <c r="AA37" s="28"/>
      <c r="AB37" s="14"/>
      <c r="AC37" s="15" t="str">
        <f>IFERROR(__xludf.DUMMYFUNCTION("join("","",filter(split($I$85,"",""),ARRAYFORMULA(ISERROR(FIND(split($I$85,"",""),CONCATENATE(F37:W37))))=TRUE))"),"СЗ,КЗ,201,206,406,410,АЗ")</f>
        <v>СЗ,КЗ,201,206,406,410,АЗ</v>
      </c>
      <c r="AD37" s="14"/>
      <c r="AE37" s="14"/>
      <c r="AF37" s="14"/>
      <c r="AG37" s="29"/>
      <c r="AH37" s="29"/>
      <c r="AI37" s="29"/>
    </row>
    <row r="38" ht="54.0" customHeight="1">
      <c r="A38" s="30"/>
      <c r="B38" s="31">
        <v>2.0</v>
      </c>
      <c r="C38" s="32" t="s">
        <v>21</v>
      </c>
      <c r="D38" s="32" t="s">
        <v>22</v>
      </c>
      <c r="E38" s="32"/>
      <c r="F38" s="45" t="s">
        <v>2626</v>
      </c>
      <c r="G38" s="13"/>
      <c r="H38" s="44" t="s">
        <v>2627</v>
      </c>
      <c r="I38" s="40" t="s">
        <v>2628</v>
      </c>
      <c r="J38" s="13"/>
      <c r="K38" s="157" t="s">
        <v>313</v>
      </c>
      <c r="L38" s="13"/>
      <c r="M38" s="44" t="s">
        <v>2629</v>
      </c>
      <c r="N38" s="44" t="s">
        <v>2630</v>
      </c>
      <c r="O38" s="45" t="s">
        <v>316</v>
      </c>
      <c r="P38" s="13"/>
      <c r="Q38" s="44" t="s">
        <v>2631</v>
      </c>
      <c r="R38" s="44" t="s">
        <v>2632</v>
      </c>
      <c r="S38" s="162" t="s">
        <v>2633</v>
      </c>
      <c r="T38" s="90" t="s">
        <v>2634</v>
      </c>
      <c r="U38" s="163" t="s">
        <v>2635</v>
      </c>
      <c r="V38" s="36"/>
      <c r="W38" s="41"/>
      <c r="X38" s="26"/>
      <c r="Y38" s="42" t="s">
        <v>21</v>
      </c>
      <c r="Z38" s="42" t="s">
        <v>22</v>
      </c>
      <c r="AA38" s="28"/>
      <c r="AB38" s="14"/>
      <c r="AC38" s="15" t="str">
        <f>IFERROR(__xludf.DUMMYFUNCTION("join("","",filter(split($I$85,"",""),ARRAYFORMULA(ISERROR(FIND(split($I$85,"",""),CONCATENATE(F38:W38))))=TRUE))"),"СЗ,КЗ,206,406,410,АЗ")</f>
        <v>СЗ,КЗ,206,406,410,АЗ</v>
      </c>
      <c r="AD38" s="14"/>
      <c r="AE38" s="14"/>
      <c r="AF38" s="14"/>
      <c r="AG38" s="29"/>
      <c r="AH38" s="29"/>
      <c r="AI38" s="29"/>
    </row>
    <row r="39" ht="56.25" customHeight="1">
      <c r="A39" s="30"/>
      <c r="B39" s="31">
        <v>3.0</v>
      </c>
      <c r="C39" s="32" t="s">
        <v>33</v>
      </c>
      <c r="D39" s="32" t="s">
        <v>34</v>
      </c>
      <c r="E39" s="32"/>
      <c r="F39" s="45" t="s">
        <v>2636</v>
      </c>
      <c r="G39" s="13"/>
      <c r="H39" s="132" t="s">
        <v>2637</v>
      </c>
      <c r="I39" s="45" t="s">
        <v>2638</v>
      </c>
      <c r="J39" s="13"/>
      <c r="K39" s="45" t="s">
        <v>2639</v>
      </c>
      <c r="L39" s="13"/>
      <c r="M39" s="44" t="s">
        <v>2640</v>
      </c>
      <c r="N39" s="44" t="s">
        <v>2641</v>
      </c>
      <c r="O39" s="164" t="s">
        <v>2642</v>
      </c>
      <c r="P39" s="36"/>
      <c r="Q39" s="36"/>
      <c r="R39" s="13"/>
      <c r="S39" s="44" t="s">
        <v>2643</v>
      </c>
      <c r="T39" s="44" t="s">
        <v>2644</v>
      </c>
      <c r="U39" s="87" t="s">
        <v>2645</v>
      </c>
      <c r="V39" s="36"/>
      <c r="W39" s="41"/>
      <c r="X39" s="26"/>
      <c r="Y39" s="42" t="s">
        <v>33</v>
      </c>
      <c r="Z39" s="42" t="s">
        <v>34</v>
      </c>
      <c r="AA39" s="48" t="s">
        <v>47</v>
      </c>
      <c r="AB39" s="85" t="str">
        <f>AB$5</f>
        <v/>
      </c>
      <c r="AC39" s="15" t="str">
        <f>IFERROR(__xludf.DUMMYFUNCTION("join("","",filter(split($I$85,"",""),ARRAYFORMULA(ISERROR(FIND(split($I$85,"",""),CONCATENATE(F39:W39))))=TRUE))"),"КЗ,201,206,406,410,АЗ")</f>
        <v>КЗ,201,206,406,410,АЗ</v>
      </c>
      <c r="AD39" s="14"/>
      <c r="AE39" s="14"/>
      <c r="AF39" s="14"/>
      <c r="AG39" s="29"/>
      <c r="AH39" s="29"/>
      <c r="AI39" s="29"/>
    </row>
    <row r="40" ht="51.75" customHeight="1">
      <c r="A40" s="30"/>
      <c r="B40" s="31">
        <v>4.0</v>
      </c>
      <c r="C40" s="32" t="s">
        <v>48</v>
      </c>
      <c r="D40" s="32" t="s">
        <v>49</v>
      </c>
      <c r="E40" s="32"/>
      <c r="F40" s="45" t="s">
        <v>2646</v>
      </c>
      <c r="G40" s="13"/>
      <c r="H40" s="132" t="s">
        <v>2647</v>
      </c>
      <c r="I40" s="45" t="s">
        <v>2648</v>
      </c>
      <c r="J40" s="13"/>
      <c r="K40" s="45" t="s">
        <v>2649</v>
      </c>
      <c r="L40" s="13"/>
      <c r="M40" s="44" t="s">
        <v>2650</v>
      </c>
      <c r="N40" s="44" t="s">
        <v>2651</v>
      </c>
      <c r="O40" s="164" t="s">
        <v>2652</v>
      </c>
      <c r="P40" s="36"/>
      <c r="Q40" s="36"/>
      <c r="R40" s="13"/>
      <c r="S40" s="44" t="s">
        <v>2653</v>
      </c>
      <c r="T40" s="44" t="s">
        <v>2654</v>
      </c>
      <c r="U40" s="87" t="s">
        <v>2655</v>
      </c>
      <c r="V40" s="36"/>
      <c r="W40" s="41"/>
      <c r="X40" s="26"/>
      <c r="Y40" s="42" t="s">
        <v>48</v>
      </c>
      <c r="Z40" s="42" t="s">
        <v>49</v>
      </c>
      <c r="AA40" s="48" t="s">
        <v>57</v>
      </c>
      <c r="AB40" s="85" t="str">
        <f>AB$6</f>
        <v/>
      </c>
      <c r="AC40" s="15" t="str">
        <f>IFERROR(__xludf.DUMMYFUNCTION("join("","",filter(split($I$85,"",""),ARRAYFORMULA(ISERROR(FIND(split($I$85,"",""),CONCATENATE(F40:W40))))=TRUE))"),"КЗ,201,206,406,410,АЗ")</f>
        <v>КЗ,201,206,406,410,АЗ</v>
      </c>
      <c r="AD40" s="14"/>
      <c r="AE40" s="14"/>
      <c r="AF40" s="14"/>
      <c r="AG40" s="29"/>
      <c r="AH40" s="29"/>
      <c r="AI40" s="29"/>
    </row>
    <row r="41" ht="58.5" customHeight="1">
      <c r="A41" s="30"/>
      <c r="B41" s="31">
        <v>5.0</v>
      </c>
      <c r="C41" s="32" t="s">
        <v>58</v>
      </c>
      <c r="D41" s="53">
        <v>44847.0</v>
      </c>
      <c r="E41" s="458"/>
      <c r="F41" s="45" t="s">
        <v>2656</v>
      </c>
      <c r="G41" s="13"/>
      <c r="H41" s="44" t="s">
        <v>2657</v>
      </c>
      <c r="I41" s="45" t="s">
        <v>2658</v>
      </c>
      <c r="J41" s="13"/>
      <c r="K41" s="44" t="s">
        <v>2659</v>
      </c>
      <c r="L41" s="44" t="s">
        <v>2660</v>
      </c>
      <c r="M41" s="45" t="s">
        <v>2661</v>
      </c>
      <c r="N41" s="13"/>
      <c r="O41" s="44" t="s">
        <v>2662</v>
      </c>
      <c r="P41" s="44" t="s">
        <v>2663</v>
      </c>
      <c r="Q41" s="45" t="s">
        <v>2664</v>
      </c>
      <c r="R41" s="13"/>
      <c r="S41" s="44" t="s">
        <v>2665</v>
      </c>
      <c r="T41" s="132" t="s">
        <v>2666</v>
      </c>
      <c r="U41" s="45" t="s">
        <v>2667</v>
      </c>
      <c r="V41" s="36"/>
      <c r="W41" s="41"/>
      <c r="X41" s="26"/>
      <c r="Y41" s="42" t="s">
        <v>58</v>
      </c>
      <c r="Z41" s="54">
        <v>44847.0</v>
      </c>
      <c r="AA41" s="48" t="s">
        <v>70</v>
      </c>
      <c r="AB41" s="85" t="str">
        <f>AB$7</f>
        <v/>
      </c>
      <c r="AC41" s="15" t="str">
        <f>IFERROR(__xludf.DUMMYFUNCTION("join("","",filter(split($I$85,"",""),ARRAYFORMULA(ISERROR(FIND(split($I$85,"",""),CONCATENATE(F41:W41))))=TRUE))"),"СЗ,КЗ,206,403,406,АЗ")</f>
        <v>СЗ,КЗ,206,403,406,АЗ</v>
      </c>
      <c r="AD41" s="14"/>
      <c r="AE41" s="14"/>
      <c r="AF41" s="14"/>
      <c r="AG41" s="29"/>
      <c r="AH41" s="29"/>
      <c r="AI41" s="29"/>
    </row>
    <row r="42" ht="54.0" customHeight="1">
      <c r="A42" s="30"/>
      <c r="B42" s="31">
        <v>6.0</v>
      </c>
      <c r="C42" s="55" t="s">
        <v>71</v>
      </c>
      <c r="D42" s="56" t="s">
        <v>72</v>
      </c>
      <c r="E42" s="446"/>
      <c r="F42" s="35" t="s">
        <v>2668</v>
      </c>
      <c r="G42" s="13"/>
      <c r="H42" s="44" t="s">
        <v>355</v>
      </c>
      <c r="I42" s="45" t="s">
        <v>2669</v>
      </c>
      <c r="J42" s="13"/>
      <c r="K42" s="44" t="s">
        <v>2670</v>
      </c>
      <c r="L42" s="44" t="s">
        <v>2671</v>
      </c>
      <c r="M42" s="45" t="s">
        <v>2672</v>
      </c>
      <c r="N42" s="13"/>
      <c r="O42" s="44" t="s">
        <v>2673</v>
      </c>
      <c r="P42" s="44" t="s">
        <v>2674</v>
      </c>
      <c r="Q42" s="45" t="s">
        <v>2675</v>
      </c>
      <c r="R42" s="13"/>
      <c r="S42" s="44" t="s">
        <v>2676</v>
      </c>
      <c r="T42" s="132" t="s">
        <v>2677</v>
      </c>
      <c r="U42" s="45" t="s">
        <v>2678</v>
      </c>
      <c r="V42" s="36"/>
      <c r="W42" s="41"/>
      <c r="X42" s="26"/>
      <c r="Y42" s="58" t="s">
        <v>71</v>
      </c>
      <c r="Z42" s="59" t="s">
        <v>72</v>
      </c>
      <c r="AA42" s="48" t="s">
        <v>84</v>
      </c>
      <c r="AB42" s="85" t="str">
        <f>AB$8</f>
        <v/>
      </c>
      <c r="AC42" s="15" t="str">
        <f>IFERROR(__xludf.DUMMYFUNCTION("join("","",filter(split($I$85,"",""),ARRAYFORMULA(ISERROR(FIND(split($I$85,"",""),CONCATENATE(G42:W42))))=TRUE))"),"СЗ,КЗ,206,210,403,406,АЗ")</f>
        <v>СЗ,КЗ,206,210,403,406,АЗ</v>
      </c>
      <c r="AD42" s="14"/>
      <c r="AE42" s="14"/>
      <c r="AF42" s="14"/>
      <c r="AG42" s="29"/>
      <c r="AH42" s="29"/>
      <c r="AI42" s="29"/>
    </row>
    <row r="43" ht="48.75" customHeight="1">
      <c r="A43" s="30"/>
      <c r="B43" s="31">
        <v>7.0</v>
      </c>
      <c r="C43" s="32" t="s">
        <v>85</v>
      </c>
      <c r="D43" s="32" t="s">
        <v>86</v>
      </c>
      <c r="E43" s="32"/>
      <c r="F43" s="45" t="s">
        <v>2679</v>
      </c>
      <c r="G43" s="13"/>
      <c r="H43" s="44" t="s">
        <v>2680</v>
      </c>
      <c r="I43" s="45" t="s">
        <v>2681</v>
      </c>
      <c r="J43" s="13"/>
      <c r="K43" s="44" t="s">
        <v>2682</v>
      </c>
      <c r="L43" s="44" t="s">
        <v>2683</v>
      </c>
      <c r="M43" s="45" t="s">
        <v>2684</v>
      </c>
      <c r="N43" s="13"/>
      <c r="O43" s="87" t="s">
        <v>2685</v>
      </c>
      <c r="P43" s="13"/>
      <c r="Q43" s="45" t="s">
        <v>2686</v>
      </c>
      <c r="R43" s="13"/>
      <c r="S43" s="44" t="s">
        <v>2687</v>
      </c>
      <c r="T43" s="44" t="s">
        <v>2688</v>
      </c>
      <c r="U43" s="165" t="s">
        <v>2689</v>
      </c>
      <c r="V43" s="36"/>
      <c r="W43" s="41"/>
      <c r="X43" s="26"/>
      <c r="Y43" s="42" t="s">
        <v>85</v>
      </c>
      <c r="Z43" s="42" t="s">
        <v>86</v>
      </c>
      <c r="AA43" s="48" t="s">
        <v>97</v>
      </c>
      <c r="AB43" s="85" t="str">
        <f>AB$9</f>
        <v/>
      </c>
      <c r="AC43" s="15" t="str">
        <f>IFERROR(__xludf.DUMMYFUNCTION("join("","",filter(split($I$85,"",""),ARRAYFORMULA(ISERROR(FIND(split($I$85,"",""),CONCATENATE(F43:W43))))=TRUE))"),"СЗ,КЗ,206,210,403,406,410,АЗ")</f>
        <v>СЗ,КЗ,206,210,403,406,410,АЗ</v>
      </c>
      <c r="AD43" s="14"/>
      <c r="AE43" s="14"/>
      <c r="AF43" s="14"/>
      <c r="AG43" s="29"/>
      <c r="AH43" s="29"/>
      <c r="AI43" s="29"/>
    </row>
    <row r="44" ht="52.5" customHeight="1">
      <c r="A44" s="30"/>
      <c r="B44" s="31">
        <v>8.0</v>
      </c>
      <c r="C44" s="32" t="s">
        <v>98</v>
      </c>
      <c r="D44" s="32" t="s">
        <v>99</v>
      </c>
      <c r="E44" s="32"/>
      <c r="F44" s="45" t="s">
        <v>2690</v>
      </c>
      <c r="G44" s="13"/>
      <c r="H44" s="44" t="s">
        <v>2691</v>
      </c>
      <c r="I44" s="45" t="s">
        <v>2692</v>
      </c>
      <c r="J44" s="13"/>
      <c r="K44" s="44" t="s">
        <v>2693</v>
      </c>
      <c r="L44" s="44" t="s">
        <v>2694</v>
      </c>
      <c r="M44" s="45" t="s">
        <v>2695</v>
      </c>
      <c r="N44" s="13"/>
      <c r="O44" s="87" t="s">
        <v>2696</v>
      </c>
      <c r="P44" s="13"/>
      <c r="Q44" s="45" t="s">
        <v>2697</v>
      </c>
      <c r="R44" s="13"/>
      <c r="S44" s="343" t="s">
        <v>2698</v>
      </c>
      <c r="T44" s="13"/>
      <c r="U44" s="165" t="s">
        <v>2699</v>
      </c>
      <c r="V44" s="36"/>
      <c r="W44" s="41"/>
      <c r="X44" s="26"/>
      <c r="Y44" s="42" t="s">
        <v>98</v>
      </c>
      <c r="Z44" s="42" t="s">
        <v>99</v>
      </c>
      <c r="AA44" s="11"/>
      <c r="AB44" s="14"/>
      <c r="AC44" s="15" t="str">
        <f>IFERROR(__xludf.DUMMYFUNCTION("join("","",filter(split($I$85,"",""),ARRAYFORMULA(ISERROR(FIND(split($I$85,"",""),CONCATENATE(F44:W44))))=TRUE))"),"СЗ,КЗ,206,403,404,405,406,410,АЗ")</f>
        <v>СЗ,КЗ,206,403,404,405,406,410,АЗ</v>
      </c>
      <c r="AD44" s="14"/>
      <c r="AE44" s="14"/>
      <c r="AF44" s="14"/>
      <c r="AG44" s="29"/>
      <c r="AH44" s="29"/>
      <c r="AI44" s="29"/>
    </row>
    <row r="45" ht="40.5" customHeight="1">
      <c r="A45" s="30"/>
      <c r="B45" s="31">
        <v>9.0</v>
      </c>
      <c r="C45" s="65">
        <v>44697.0</v>
      </c>
      <c r="D45" s="44" t="s">
        <v>109</v>
      </c>
      <c r="E45" s="44"/>
      <c r="F45" s="167" t="s">
        <v>2700</v>
      </c>
      <c r="G45" s="4"/>
      <c r="H45" s="168"/>
      <c r="I45" s="169" t="s">
        <v>2701</v>
      </c>
      <c r="J45" s="36"/>
      <c r="K45" s="13"/>
      <c r="L45" s="170"/>
      <c r="M45" s="4"/>
      <c r="N45" s="171"/>
      <c r="O45" s="45" t="s">
        <v>2702</v>
      </c>
      <c r="P45" s="13"/>
      <c r="Q45" s="174" t="s">
        <v>2703</v>
      </c>
      <c r="R45" s="459" t="s">
        <v>2704</v>
      </c>
      <c r="S45" s="8"/>
      <c r="T45" s="8"/>
      <c r="U45" s="8"/>
      <c r="V45" s="8"/>
      <c r="W45" s="129"/>
      <c r="X45" s="26"/>
      <c r="Y45" s="69">
        <v>44697.0</v>
      </c>
      <c r="Z45" s="70" t="s">
        <v>109</v>
      </c>
      <c r="AA45" s="28"/>
      <c r="AB45" s="14"/>
      <c r="AC45" s="15" t="str">
        <f>IFERROR(__xludf.DUMMYFUNCTION("join("","",filter(split($I$85,"",""),ARRAYFORMULA(ISERROR(FIND(split($I$85,"",""),CONCATENATE(F45:W45))))=TRUE))"),"КЗ,206,209,210,401,403,404,405,406,408,409,АЗ")</f>
        <v>КЗ,206,209,210,401,403,404,405,406,408,409,АЗ</v>
      </c>
      <c r="AD45" s="14"/>
      <c r="AE45" s="14"/>
      <c r="AF45" s="14"/>
      <c r="AG45" s="29"/>
      <c r="AH45" s="29"/>
      <c r="AI45" s="29"/>
    </row>
    <row r="46" ht="40.5" customHeight="1">
      <c r="A46" s="30"/>
      <c r="B46" s="31">
        <v>10.0</v>
      </c>
      <c r="C46" s="44" t="s">
        <v>120</v>
      </c>
      <c r="D46" s="44" t="s">
        <v>121</v>
      </c>
      <c r="E46" s="44"/>
      <c r="F46" s="104"/>
      <c r="G46" s="72"/>
      <c r="H46" s="173"/>
      <c r="I46" s="169" t="s">
        <v>2705</v>
      </c>
      <c r="J46" s="36"/>
      <c r="K46" s="13"/>
      <c r="L46" s="104"/>
      <c r="M46" s="72"/>
      <c r="N46" s="171"/>
      <c r="O46" s="45" t="s">
        <v>2706</v>
      </c>
      <c r="P46" s="13"/>
      <c r="Q46" s="173"/>
      <c r="R46" s="104"/>
      <c r="S46" s="64"/>
      <c r="T46" s="64"/>
      <c r="U46" s="64"/>
      <c r="V46" s="64"/>
      <c r="W46" s="88"/>
      <c r="X46" s="26"/>
      <c r="Y46" s="70" t="s">
        <v>120</v>
      </c>
      <c r="Z46" s="70" t="s">
        <v>121</v>
      </c>
      <c r="AA46" s="28"/>
      <c r="AB46" s="14"/>
      <c r="AC46" s="15" t="str">
        <f>IFERROR(__xludf.DUMMYFUNCTION("join("","",filter(split($I$85,"",""),ARRAYFORMULA(ISERROR(FIND(split($I$85,"",""),CONCATENATE(F46:W46))))=TRUE))"),"КЗ,201,202,206,209,210,401,403,404,405,406,408,409,410,АЗ")</f>
        <v>КЗ,201,202,206,209,210,401,403,404,405,406,408,409,410,АЗ</v>
      </c>
      <c r="AD46" s="14"/>
      <c r="AE46" s="14"/>
      <c r="AF46" s="14"/>
      <c r="AG46" s="29"/>
      <c r="AH46" s="29"/>
      <c r="AI46" s="29"/>
    </row>
    <row r="47" ht="40.5" customHeight="1">
      <c r="A47" s="74"/>
      <c r="B47" s="75">
        <v>11.0</v>
      </c>
      <c r="C47" s="76" t="s">
        <v>124</v>
      </c>
      <c r="D47" s="76" t="s">
        <v>125</v>
      </c>
      <c r="E47" s="76"/>
      <c r="F47" s="111"/>
      <c r="G47" s="111"/>
      <c r="H47" s="111"/>
      <c r="I47" s="111"/>
      <c r="J47" s="111"/>
      <c r="K47" s="111"/>
      <c r="L47" s="111"/>
      <c r="M47" s="111"/>
      <c r="N47" s="111"/>
      <c r="O47" s="111"/>
      <c r="P47" s="111"/>
      <c r="Q47" s="111"/>
      <c r="R47" s="111"/>
      <c r="S47" s="111"/>
      <c r="T47" s="111"/>
      <c r="U47" s="111"/>
      <c r="V47" s="111"/>
      <c r="W47" s="112"/>
      <c r="X47" s="26"/>
      <c r="Y47" s="79" t="s">
        <v>124</v>
      </c>
      <c r="Z47" s="79" t="s">
        <v>125</v>
      </c>
      <c r="AA47" s="28"/>
      <c r="AB47" s="14"/>
      <c r="AC47" s="15" t="str">
        <f>IFERROR(__xludf.DUMMYFUNCTION("join("","",filter(split($I$85,"",""),ARRAYFORMULA(ISERROR(FIND(split($I$85,"",""),CONCATENATE(F47:W47))))=TRUE))"),"СЗ,КЗ,201,202,206,209,210,401,402,403,404,405,406,408,409,410,АЗ")</f>
        <v>СЗ,КЗ,201,202,206,209,210,401,402,403,404,405,406,408,409,410,АЗ</v>
      </c>
      <c r="AD47" s="14"/>
      <c r="AE47" s="14"/>
      <c r="AF47" s="14"/>
      <c r="AG47" s="29"/>
      <c r="AH47" s="29"/>
      <c r="AI47" s="29"/>
    </row>
    <row r="48" ht="40.5" customHeight="1">
      <c r="A48" s="18">
        <v>44841.0</v>
      </c>
      <c r="B48" s="19">
        <v>1.0</v>
      </c>
      <c r="C48" s="20" t="s">
        <v>12</v>
      </c>
      <c r="D48" s="20" t="s">
        <v>13</v>
      </c>
      <c r="E48" s="20"/>
      <c r="F48" s="156" t="s">
        <v>2707</v>
      </c>
      <c r="G48" s="156" t="s">
        <v>2708</v>
      </c>
      <c r="H48" s="80"/>
      <c r="I48" s="25"/>
      <c r="J48" s="174"/>
      <c r="K48" s="175" t="s">
        <v>2709</v>
      </c>
      <c r="L48" s="25"/>
      <c r="M48" s="80" t="s">
        <v>2710</v>
      </c>
      <c r="N48" s="25"/>
      <c r="O48" s="156" t="s">
        <v>2711</v>
      </c>
      <c r="P48" s="156" t="s">
        <v>2712</v>
      </c>
      <c r="Q48" s="80" t="s">
        <v>2713</v>
      </c>
      <c r="R48" s="25"/>
      <c r="S48" s="80" t="s">
        <v>2714</v>
      </c>
      <c r="T48" s="25"/>
      <c r="U48" s="80" t="s">
        <v>2715</v>
      </c>
      <c r="V48" s="24"/>
      <c r="W48" s="22"/>
      <c r="X48" s="26"/>
      <c r="Y48" s="27" t="s">
        <v>12</v>
      </c>
      <c r="Z48" s="27" t="s">
        <v>13</v>
      </c>
      <c r="AA48" s="28"/>
      <c r="AB48" s="14"/>
      <c r="AC48" s="15" t="str">
        <f>IFERROR(__xludf.DUMMYFUNCTION("join("","",filter(split($I$85,"",""),ARRAYFORMULA(ISERROR(FIND(split($I$85,"",""),CONCATENATE(F48:W48))))=TRUE))"),"СЗ,КЗ,202,206,402,408,409,410,АЗ")</f>
        <v>СЗ,КЗ,202,206,402,408,409,410,АЗ</v>
      </c>
      <c r="AD48" s="14"/>
      <c r="AE48" s="14"/>
      <c r="AF48" s="14"/>
      <c r="AG48" s="29"/>
      <c r="AH48" s="29"/>
      <c r="AI48" s="29"/>
    </row>
    <row r="49" ht="40.5" customHeight="1">
      <c r="A49" s="30"/>
      <c r="B49" s="31">
        <v>2.0</v>
      </c>
      <c r="C49" s="32" t="s">
        <v>21</v>
      </c>
      <c r="D49" s="32" t="s">
        <v>22</v>
      </c>
      <c r="E49" s="32"/>
      <c r="F49" s="44" t="s">
        <v>2716</v>
      </c>
      <c r="G49" s="44" t="s">
        <v>2717</v>
      </c>
      <c r="H49" s="45"/>
      <c r="I49" s="13"/>
      <c r="J49" s="173"/>
      <c r="K49" s="157" t="s">
        <v>2718</v>
      </c>
      <c r="L49" s="13"/>
      <c r="M49" s="80" t="s">
        <v>2719</v>
      </c>
      <c r="N49" s="25"/>
      <c r="O49" s="44" t="s">
        <v>2720</v>
      </c>
      <c r="P49" s="44" t="s">
        <v>2721</v>
      </c>
      <c r="Q49" s="45" t="s">
        <v>2722</v>
      </c>
      <c r="R49" s="13"/>
      <c r="S49" s="44" t="s">
        <v>2723</v>
      </c>
      <c r="T49" s="90" t="s">
        <v>2724</v>
      </c>
      <c r="U49" s="45" t="s">
        <v>2725</v>
      </c>
      <c r="V49" s="36"/>
      <c r="W49" s="41"/>
      <c r="X49" s="26"/>
      <c r="Y49" s="42" t="s">
        <v>21</v>
      </c>
      <c r="Z49" s="42" t="s">
        <v>22</v>
      </c>
      <c r="AA49" s="28"/>
      <c r="AB49" s="14"/>
      <c r="AC49" s="15" t="str">
        <f>IFERROR(__xludf.DUMMYFUNCTION("join("","",filter(split($I$85,"",""),ARRAYFORMULA(ISERROR(FIND(split($I$85,"",""),CONCATENATE(F49:W49))))=TRUE))"),"СЗ,КЗ,202,206,408,409,410,АЗ")</f>
        <v>СЗ,КЗ,202,206,408,409,410,АЗ</v>
      </c>
      <c r="AD49" s="14"/>
      <c r="AE49" s="14"/>
      <c r="AF49" s="14"/>
      <c r="AG49" s="29"/>
      <c r="AH49" s="29"/>
      <c r="AI49" s="29"/>
    </row>
    <row r="50" ht="40.5" customHeight="1">
      <c r="A50" s="30"/>
      <c r="B50" s="31">
        <v>3.0</v>
      </c>
      <c r="C50" s="32" t="s">
        <v>33</v>
      </c>
      <c r="D50" s="32" t="s">
        <v>34</v>
      </c>
      <c r="E50" s="32"/>
      <c r="F50" s="40" t="s">
        <v>2726</v>
      </c>
      <c r="G50" s="13"/>
      <c r="H50" s="80" t="s">
        <v>2727</v>
      </c>
      <c r="I50" s="24"/>
      <c r="J50" s="25"/>
      <c r="K50" s="44" t="s">
        <v>2728</v>
      </c>
      <c r="L50" s="44" t="s">
        <v>2729</v>
      </c>
      <c r="M50" s="44" t="s">
        <v>2730</v>
      </c>
      <c r="N50" s="44" t="s">
        <v>2731</v>
      </c>
      <c r="O50" s="164" t="s">
        <v>2732</v>
      </c>
      <c r="P50" s="36"/>
      <c r="Q50" s="36"/>
      <c r="R50" s="13"/>
      <c r="S50" s="44" t="s">
        <v>2733</v>
      </c>
      <c r="T50" s="90" t="s">
        <v>2734</v>
      </c>
      <c r="U50" s="45" t="s">
        <v>2735</v>
      </c>
      <c r="V50" s="36"/>
      <c r="W50" s="41"/>
      <c r="X50" s="26"/>
      <c r="Y50" s="42" t="s">
        <v>33</v>
      </c>
      <c r="Z50" s="42" t="s">
        <v>34</v>
      </c>
      <c r="AA50" s="48" t="s">
        <v>47</v>
      </c>
      <c r="AB50" s="85" t="str">
        <f>AB$5</f>
        <v/>
      </c>
      <c r="AC50" s="15" t="str">
        <f>IFERROR(__xludf.DUMMYFUNCTION("join("","",filter(split($I$85,"",""),ARRAYFORMULA(ISERROR(FIND(split($I$85,"",""),CONCATENATE(F50:W50))))=TRUE))"),"СЗ,202,206,209,409,410,АЗ")</f>
        <v>СЗ,202,206,209,409,410,АЗ</v>
      </c>
      <c r="AD50" s="14"/>
      <c r="AE50" s="14"/>
      <c r="AF50" s="14"/>
      <c r="AG50" s="29"/>
      <c r="AH50" s="29"/>
      <c r="AI50" s="29"/>
    </row>
    <row r="51" ht="40.5" customHeight="1">
      <c r="A51" s="30"/>
      <c r="B51" s="31">
        <v>4.0</v>
      </c>
      <c r="C51" s="32" t="s">
        <v>48</v>
      </c>
      <c r="D51" s="32" t="s">
        <v>49</v>
      </c>
      <c r="E51" s="32"/>
      <c r="F51" s="40" t="s">
        <v>2736</v>
      </c>
      <c r="G51" s="13"/>
      <c r="H51" s="80" t="s">
        <v>2737</v>
      </c>
      <c r="I51" s="24"/>
      <c r="J51" s="25"/>
      <c r="K51" s="44" t="s">
        <v>2738</v>
      </c>
      <c r="L51" s="44" t="s">
        <v>2739</v>
      </c>
      <c r="M51" s="44" t="s">
        <v>2740</v>
      </c>
      <c r="N51" s="44" t="s">
        <v>2741</v>
      </c>
      <c r="O51" s="164" t="s">
        <v>2742</v>
      </c>
      <c r="P51" s="36"/>
      <c r="Q51" s="36"/>
      <c r="R51" s="13"/>
      <c r="S51" s="90" t="s">
        <v>2743</v>
      </c>
      <c r="T51" s="133" t="s">
        <v>2744</v>
      </c>
      <c r="U51" s="45" t="s">
        <v>2745</v>
      </c>
      <c r="V51" s="36"/>
      <c r="W51" s="41"/>
      <c r="X51" s="26"/>
      <c r="Y51" s="42" t="s">
        <v>48</v>
      </c>
      <c r="Z51" s="42" t="s">
        <v>49</v>
      </c>
      <c r="AA51" s="48" t="s">
        <v>57</v>
      </c>
      <c r="AB51" s="85" t="str">
        <f>AB$6</f>
        <v/>
      </c>
      <c r="AC51" s="15" t="str">
        <f>IFERROR(__xludf.DUMMYFUNCTION("join("","",filter(split($I$85,"",""),ARRAYFORMULA(ISERROR(FIND(split($I$85,"",""),CONCATENATE(F51:W51))))=TRUE))"),"СЗ,201,202,206,209,410,АЗ")</f>
        <v>СЗ,201,202,206,209,410,АЗ</v>
      </c>
      <c r="AD51" s="14"/>
      <c r="AE51" s="14"/>
      <c r="AF51" s="14"/>
      <c r="AG51" s="29"/>
      <c r="AH51" s="29"/>
      <c r="AI51" s="29"/>
    </row>
    <row r="52" ht="58.5" customHeight="1">
      <c r="A52" s="30"/>
      <c r="B52" s="31">
        <v>5.0</v>
      </c>
      <c r="C52" s="32" t="s">
        <v>58</v>
      </c>
      <c r="D52" s="53">
        <v>44847.0</v>
      </c>
      <c r="E52" s="53"/>
      <c r="F52" s="45" t="s">
        <v>2746</v>
      </c>
      <c r="G52" s="13"/>
      <c r="H52" s="44" t="s">
        <v>2747</v>
      </c>
      <c r="I52" s="44" t="s">
        <v>2748</v>
      </c>
      <c r="J52" s="44" t="s">
        <v>2749</v>
      </c>
      <c r="K52" s="45" t="s">
        <v>2750</v>
      </c>
      <c r="L52" s="13"/>
      <c r="M52" s="460" t="s">
        <v>2751</v>
      </c>
      <c r="N52" s="13"/>
      <c r="O52" s="177" t="s">
        <v>2752</v>
      </c>
      <c r="P52" s="124" t="s">
        <v>2753</v>
      </c>
      <c r="Q52" s="45" t="s">
        <v>2754</v>
      </c>
      <c r="R52" s="13"/>
      <c r="S52" s="90" t="s">
        <v>2755</v>
      </c>
      <c r="T52" s="133" t="s">
        <v>2756</v>
      </c>
      <c r="U52" s="45" t="s">
        <v>2757</v>
      </c>
      <c r="V52" s="36"/>
      <c r="W52" s="41"/>
      <c r="X52" s="26"/>
      <c r="Y52" s="42" t="s">
        <v>58</v>
      </c>
      <c r="Z52" s="54">
        <v>44847.0</v>
      </c>
      <c r="AA52" s="48" t="s">
        <v>70</v>
      </c>
      <c r="AB52" s="85" t="str">
        <f>AB$7</f>
        <v/>
      </c>
      <c r="AC52" s="15" t="str">
        <f>IFERROR(__xludf.DUMMYFUNCTION("join("","",filter(split($I$85,"",""),ARRAYFORMULA(ISERROR(FIND(split($I$85,"",""),CONCATENATE(F52:W52))))=TRUE))"),"СЗ,206,401,404,408,410,АЗ")</f>
        <v>СЗ,206,401,404,408,410,АЗ</v>
      </c>
      <c r="AD52" s="14"/>
      <c r="AE52" s="14"/>
      <c r="AF52" s="14"/>
      <c r="AG52" s="29"/>
      <c r="AH52" s="29"/>
      <c r="AI52" s="29"/>
    </row>
    <row r="53" ht="48.75" customHeight="1">
      <c r="A53" s="30"/>
      <c r="B53" s="31">
        <v>6.0</v>
      </c>
      <c r="C53" s="55" t="s">
        <v>71</v>
      </c>
      <c r="D53" s="56" t="s">
        <v>72</v>
      </c>
      <c r="E53" s="56"/>
      <c r="F53" s="45" t="s">
        <v>2758</v>
      </c>
      <c r="G53" s="13"/>
      <c r="H53" s="44" t="s">
        <v>2759</v>
      </c>
      <c r="I53" s="44" t="s">
        <v>2760</v>
      </c>
      <c r="J53" s="44" t="s">
        <v>2761</v>
      </c>
      <c r="K53" s="460" t="s">
        <v>2751</v>
      </c>
      <c r="L53" s="13"/>
      <c r="M53" s="45" t="s">
        <v>2762</v>
      </c>
      <c r="N53" s="13"/>
      <c r="O53" s="177" t="s">
        <v>2763</v>
      </c>
      <c r="P53" s="124" t="s">
        <v>2764</v>
      </c>
      <c r="Q53" s="45" t="s">
        <v>2765</v>
      </c>
      <c r="R53" s="13"/>
      <c r="S53" s="162" t="s">
        <v>2766</v>
      </c>
      <c r="T53" s="178" t="s">
        <v>2767</v>
      </c>
      <c r="U53" s="44" t="s">
        <v>2768</v>
      </c>
      <c r="V53" s="44"/>
      <c r="W53" s="34"/>
      <c r="X53" s="179"/>
      <c r="Y53" s="58" t="s">
        <v>71</v>
      </c>
      <c r="Z53" s="59" t="s">
        <v>72</v>
      </c>
      <c r="AA53" s="48" t="s">
        <v>84</v>
      </c>
      <c r="AB53" s="85"/>
      <c r="AC53" s="15" t="str">
        <f>IFERROR(__xludf.DUMMYFUNCTION("join("","",filter(split($I$85,"",""),ARRAYFORMULA(ISERROR(FIND(split($I$85,"",""),CONCATENATE(F53:W53))))=TRUE))"),"СЗ,206,409,410,АЗ")</f>
        <v>СЗ,206,409,410,АЗ</v>
      </c>
      <c r="AD53" s="15" t="str">
        <f>IFERROR(__xludf.DUMMYFUNCTION("join("","",filter(split(#REF!,"",""),ARRAYFORMULA(ISERROR(FIND(split(#REF!,"",""),CONCATENATE(F53:T53))))=TRUE))"),"#REF!")</f>
        <v>#REF!</v>
      </c>
      <c r="AE53" s="14"/>
      <c r="AF53" s="14"/>
      <c r="AG53" s="29"/>
      <c r="AH53" s="29"/>
      <c r="AI53" s="29"/>
    </row>
    <row r="54" ht="55.5" customHeight="1">
      <c r="A54" s="30"/>
      <c r="B54" s="31">
        <v>7.0</v>
      </c>
      <c r="C54" s="32" t="s">
        <v>85</v>
      </c>
      <c r="D54" s="32" t="s">
        <v>86</v>
      </c>
      <c r="E54" s="32"/>
      <c r="F54" s="45" t="s">
        <v>2769</v>
      </c>
      <c r="G54" s="13"/>
      <c r="H54" s="44" t="s">
        <v>2770</v>
      </c>
      <c r="I54" s="44" t="s">
        <v>2771</v>
      </c>
      <c r="J54" s="44" t="s">
        <v>2772</v>
      </c>
      <c r="K54" s="45" t="s">
        <v>2773</v>
      </c>
      <c r="L54" s="13"/>
      <c r="M54" s="45" t="s">
        <v>2774</v>
      </c>
      <c r="N54" s="13"/>
      <c r="O54" s="341" t="s">
        <v>2775</v>
      </c>
      <c r="P54" s="177" t="s">
        <v>2776</v>
      </c>
      <c r="Q54" s="124" t="s">
        <v>2777</v>
      </c>
      <c r="R54" s="90" t="s">
        <v>2778</v>
      </c>
      <c r="S54" s="180" t="s">
        <v>2779</v>
      </c>
      <c r="T54" s="44"/>
      <c r="U54" s="44" t="s">
        <v>2350</v>
      </c>
      <c r="V54" s="44"/>
      <c r="W54" s="34"/>
      <c r="X54" s="26"/>
      <c r="Y54" s="42" t="s">
        <v>85</v>
      </c>
      <c r="Z54" s="42" t="s">
        <v>86</v>
      </c>
      <c r="AA54" s="48" t="s">
        <v>97</v>
      </c>
      <c r="AB54" s="85" t="str">
        <f>AB$9</f>
        <v/>
      </c>
      <c r="AC54" s="15" t="str">
        <f>IFERROR(__xludf.DUMMYFUNCTION("join("","",filter(split($I$85,"",""),ARRAYFORMULA(ISERROR(FIND(split($I$85,"",""),CONCATENATE(F54:W54))))=TRUE))"),"СЗ,406,410,АЗ")</f>
        <v>СЗ,406,410,АЗ</v>
      </c>
      <c r="AD54" s="14"/>
      <c r="AE54" s="14"/>
      <c r="AF54" s="14"/>
      <c r="AG54" s="29"/>
      <c r="AH54" s="29"/>
      <c r="AI54" s="29"/>
    </row>
    <row r="55" ht="51.75" customHeight="1">
      <c r="A55" s="30"/>
      <c r="B55" s="31">
        <v>8.0</v>
      </c>
      <c r="C55" s="32" t="s">
        <v>98</v>
      </c>
      <c r="D55" s="32" t="s">
        <v>99</v>
      </c>
      <c r="E55" s="32"/>
      <c r="F55" s="44" t="s">
        <v>2780</v>
      </c>
      <c r="G55" s="44" t="s">
        <v>2781</v>
      </c>
      <c r="H55" s="416" t="s">
        <v>1913</v>
      </c>
      <c r="I55" s="86" t="s">
        <v>2782</v>
      </c>
      <c r="J55" s="13"/>
      <c r="K55" s="45" t="s">
        <v>2783</v>
      </c>
      <c r="L55" s="13"/>
      <c r="M55" s="45" t="s">
        <v>2784</v>
      </c>
      <c r="N55" s="13"/>
      <c r="O55" s="341" t="s">
        <v>2785</v>
      </c>
      <c r="P55" s="177" t="s">
        <v>2786</v>
      </c>
      <c r="Q55" s="124" t="s">
        <v>2787</v>
      </c>
      <c r="R55" s="90" t="s">
        <v>2788</v>
      </c>
      <c r="S55" s="45"/>
      <c r="T55" s="13"/>
      <c r="U55" s="144"/>
      <c r="V55" s="144"/>
      <c r="W55" s="184"/>
      <c r="X55" s="26"/>
      <c r="Y55" s="42" t="s">
        <v>98</v>
      </c>
      <c r="Z55" s="42" t="s">
        <v>99</v>
      </c>
      <c r="AA55" s="11"/>
      <c r="AB55" s="14"/>
      <c r="AC55" s="15" t="str">
        <f>IFERROR(__xludf.DUMMYFUNCTION("join("","",filter(split($I$85,"",""),ARRAYFORMULA(ISERROR(FIND(split($I$85,"",""),CONCATENATE(F55:W55))))=TRUE))"),"СЗ,201,401,402,404,405,408,410,АЗ")</f>
        <v>СЗ,201,401,402,404,405,408,410,АЗ</v>
      </c>
      <c r="AD55" s="14"/>
      <c r="AE55" s="14"/>
      <c r="AF55" s="14"/>
      <c r="AG55" s="29"/>
      <c r="AH55" s="29"/>
      <c r="AI55" s="29"/>
    </row>
    <row r="56" ht="71.25" customHeight="1">
      <c r="A56" s="30"/>
      <c r="B56" s="31">
        <v>9.0</v>
      </c>
      <c r="C56" s="65">
        <v>44697.0</v>
      </c>
      <c r="D56" s="44" t="s">
        <v>109</v>
      </c>
      <c r="E56" s="45"/>
      <c r="F56" s="187" t="s">
        <v>2789</v>
      </c>
      <c r="G56" s="8"/>
      <c r="H56" s="8"/>
      <c r="I56" s="8"/>
      <c r="J56" s="8"/>
      <c r="K56" s="8"/>
      <c r="L56" s="8"/>
      <c r="M56" s="8"/>
      <c r="N56" s="8"/>
      <c r="O56" s="40"/>
      <c r="P56" s="341" t="s">
        <v>2790</v>
      </c>
      <c r="Q56" s="187" t="s">
        <v>2789</v>
      </c>
      <c r="R56" s="8"/>
      <c r="S56" s="8"/>
      <c r="T56" s="8"/>
      <c r="U56" s="8"/>
      <c r="V56" s="8"/>
      <c r="W56" s="8"/>
      <c r="X56" s="186"/>
      <c r="Y56" s="69">
        <v>44697.0</v>
      </c>
      <c r="Z56" s="70" t="s">
        <v>109</v>
      </c>
      <c r="AA56" s="28"/>
      <c r="AB56" s="14"/>
      <c r="AC56" s="15" t="str">
        <f>IFERROR(__xludf.DUMMYFUNCTION("join("","",filter(split($I$85,"",""),ARRAYFORMULA(ISERROR(FIND(split($I$85,"",""),CONCATENATE(F56:W56))))=TRUE))"),"209,401,403,404,405,408,409,АЗ")</f>
        <v>209,401,403,404,405,408,409,АЗ</v>
      </c>
      <c r="AD56" s="14"/>
      <c r="AE56" s="14"/>
      <c r="AF56" s="14"/>
      <c r="AG56" s="29"/>
      <c r="AH56" s="29"/>
      <c r="AI56" s="29"/>
    </row>
    <row r="57" ht="40.5" customHeight="1">
      <c r="A57" s="30"/>
      <c r="B57" s="31">
        <v>10.0</v>
      </c>
      <c r="C57" s="44" t="s">
        <v>120</v>
      </c>
      <c r="D57" s="44" t="s">
        <v>121</v>
      </c>
      <c r="E57" s="45"/>
      <c r="F57" s="104"/>
      <c r="G57" s="64"/>
      <c r="H57" s="64"/>
      <c r="I57" s="64"/>
      <c r="J57" s="64"/>
      <c r="K57" s="64"/>
      <c r="L57" s="64"/>
      <c r="M57" s="64"/>
      <c r="N57" s="64"/>
      <c r="O57" s="188"/>
      <c r="P57" s="189"/>
      <c r="Q57" s="104"/>
      <c r="R57" s="64"/>
      <c r="S57" s="64"/>
      <c r="T57" s="64"/>
      <c r="U57" s="64"/>
      <c r="V57" s="64"/>
      <c r="W57" s="64"/>
      <c r="X57" s="190"/>
      <c r="Y57" s="70" t="s">
        <v>120</v>
      </c>
      <c r="Z57" s="70" t="s">
        <v>121</v>
      </c>
      <c r="AA57" s="28"/>
      <c r="AB57" s="14"/>
      <c r="AC57" s="15" t="str">
        <f>IFERROR(__xludf.DUMMYFUNCTION("join("","",filter(split($I$85,"",""),ARRAYFORMULA(ISERROR(FIND(split($I$85,"",""),CONCATENATE(F57:W57))))=TRUE))"),"СЗ,КЗ,201,202,206,209,210,401,402,403,404,405,406,408,409,410,АЗ")</f>
        <v>СЗ,КЗ,201,202,206,209,210,401,402,403,404,405,406,408,409,410,АЗ</v>
      </c>
      <c r="AD57" s="14"/>
      <c r="AE57" s="14"/>
      <c r="AF57" s="14"/>
      <c r="AG57" s="29"/>
      <c r="AH57" s="29"/>
      <c r="AI57" s="29"/>
    </row>
    <row r="58" ht="40.5" customHeight="1">
      <c r="A58" s="74"/>
      <c r="B58" s="75">
        <v>11.0</v>
      </c>
      <c r="C58" s="76" t="s">
        <v>124</v>
      </c>
      <c r="D58" s="76" t="s">
        <v>125</v>
      </c>
      <c r="E58" s="76"/>
      <c r="F58" s="111"/>
      <c r="G58" s="111"/>
      <c r="H58" s="111"/>
      <c r="I58" s="111"/>
      <c r="J58" s="111"/>
      <c r="K58" s="111"/>
      <c r="L58" s="111"/>
      <c r="M58" s="111"/>
      <c r="N58" s="111"/>
      <c r="O58" s="111"/>
      <c r="P58" s="111"/>
      <c r="Q58" s="111"/>
      <c r="R58" s="111"/>
      <c r="S58" s="111"/>
      <c r="T58" s="111"/>
      <c r="U58" s="111"/>
      <c r="V58" s="111"/>
      <c r="W58" s="112"/>
      <c r="X58" s="26"/>
      <c r="Y58" s="79" t="s">
        <v>124</v>
      </c>
      <c r="Z58" s="79" t="s">
        <v>125</v>
      </c>
      <c r="AA58" s="28"/>
      <c r="AB58" s="14"/>
      <c r="AC58" s="15" t="str">
        <f>IFERROR(__xludf.DUMMYFUNCTION("join("","",filter(split($I$85,"",""),ARRAYFORMULA(ISERROR(FIND(split($I$85,"",""),CONCATENATE(F58:W58))))=TRUE))"),"СЗ,КЗ,201,202,206,209,210,401,402,403,404,405,406,408,409,410,АЗ")</f>
        <v>СЗ,КЗ,201,202,206,209,210,401,402,403,404,405,406,408,409,410,АЗ</v>
      </c>
      <c r="AD58" s="14"/>
      <c r="AE58" s="14"/>
      <c r="AF58" s="14"/>
      <c r="AG58" s="29"/>
      <c r="AH58" s="29"/>
      <c r="AI58" s="29"/>
    </row>
    <row r="59" ht="40.5" customHeight="1">
      <c r="A59" s="18">
        <v>44842.0</v>
      </c>
      <c r="B59" s="191">
        <v>1.0</v>
      </c>
      <c r="C59" s="20" t="str">
        <f>D$1</f>
        <v/>
      </c>
      <c r="D59" s="20"/>
      <c r="E59" s="461"/>
      <c r="F59" s="193"/>
      <c r="G59" s="193"/>
      <c r="H59" s="194" t="s">
        <v>481</v>
      </c>
      <c r="I59" s="64"/>
      <c r="J59" s="72"/>
      <c r="K59" s="462" t="s">
        <v>2791</v>
      </c>
      <c r="L59" s="64"/>
      <c r="M59" s="64"/>
      <c r="N59" s="72"/>
      <c r="O59" s="193"/>
      <c r="P59" s="193"/>
      <c r="Q59" s="259"/>
      <c r="R59" s="259"/>
      <c r="S59" s="193"/>
      <c r="T59" s="193"/>
      <c r="U59" s="193"/>
      <c r="V59" s="193"/>
      <c r="W59" s="193"/>
      <c r="X59" s="15"/>
      <c r="Y59" s="197" t="str">
        <f>Z$1</f>
        <v/>
      </c>
      <c r="Z59" s="13"/>
      <c r="AA59" s="28"/>
      <c r="AB59" s="14"/>
      <c r="AC59" s="15"/>
      <c r="AD59" s="14"/>
      <c r="AE59" s="14"/>
      <c r="AF59" s="14"/>
      <c r="AG59" s="29"/>
      <c r="AH59" s="29"/>
      <c r="AI59" s="29"/>
    </row>
    <row r="60" ht="40.5" customHeight="1">
      <c r="A60" s="30"/>
      <c r="B60" s="31">
        <v>2.0</v>
      </c>
      <c r="C60" s="85"/>
      <c r="D60" s="85"/>
      <c r="E60" s="85"/>
      <c r="F60" s="15"/>
      <c r="G60" s="15"/>
      <c r="H60" s="15"/>
      <c r="I60" s="15"/>
      <c r="J60" s="15"/>
      <c r="K60" s="15"/>
      <c r="L60" s="15"/>
      <c r="M60" s="15"/>
      <c r="N60" s="15"/>
      <c r="O60" s="15"/>
      <c r="P60" s="15"/>
      <c r="Q60" s="144"/>
      <c r="R60" s="144"/>
      <c r="S60" s="15"/>
      <c r="T60" s="15"/>
      <c r="U60" s="15"/>
      <c r="V60" s="15"/>
      <c r="W60" s="15"/>
      <c r="X60" s="15"/>
      <c r="Y60" s="85"/>
      <c r="Z60" s="85"/>
      <c r="AA60" s="198"/>
      <c r="AB60" s="14"/>
      <c r="AC60" s="15"/>
      <c r="AD60" s="14"/>
      <c r="AE60" s="14"/>
      <c r="AF60" s="14"/>
      <c r="AG60" s="29"/>
      <c r="AH60" s="29"/>
      <c r="AI60" s="29"/>
    </row>
    <row r="61" ht="40.5" customHeight="1">
      <c r="A61" s="30"/>
      <c r="B61" s="31">
        <v>3.0</v>
      </c>
      <c r="C61" s="85"/>
      <c r="D61" s="85"/>
      <c r="E61" s="85"/>
      <c r="F61" s="15"/>
      <c r="G61" s="15"/>
      <c r="H61" s="15"/>
      <c r="I61" s="15"/>
      <c r="J61" s="15"/>
      <c r="K61" s="15"/>
      <c r="L61" s="15"/>
      <c r="M61" s="15"/>
      <c r="N61" s="15"/>
      <c r="O61" s="15"/>
      <c r="P61" s="15"/>
      <c r="Q61" s="15"/>
      <c r="R61" s="15"/>
      <c r="S61" s="15"/>
      <c r="T61" s="15"/>
      <c r="U61" s="15"/>
      <c r="V61" s="15"/>
      <c r="W61" s="15"/>
      <c r="X61" s="15"/>
      <c r="Y61" s="85"/>
      <c r="Z61" s="85"/>
      <c r="AA61" s="198"/>
      <c r="AB61" s="85" t="str">
        <f>AB$5</f>
        <v/>
      </c>
      <c r="AC61" s="15"/>
      <c r="AD61" s="14"/>
      <c r="AE61" s="14"/>
      <c r="AF61" s="14"/>
      <c r="AG61" s="29"/>
      <c r="AH61" s="29"/>
      <c r="AI61" s="29"/>
    </row>
    <row r="62" ht="40.5" customHeight="1">
      <c r="A62" s="30"/>
      <c r="B62" s="31">
        <v>4.0</v>
      </c>
      <c r="C62" s="85"/>
      <c r="D62" s="85"/>
      <c r="E62" s="85"/>
      <c r="F62" s="15"/>
      <c r="G62" s="15"/>
      <c r="H62" s="15"/>
      <c r="I62" s="15"/>
      <c r="J62" s="15"/>
      <c r="K62" s="15"/>
      <c r="L62" s="15"/>
      <c r="M62" s="15"/>
      <c r="N62" s="15"/>
      <c r="O62" s="15"/>
      <c r="P62" s="15"/>
      <c r="Q62" s="15"/>
      <c r="R62" s="15"/>
      <c r="S62" s="15"/>
      <c r="T62" s="15"/>
      <c r="U62" s="15"/>
      <c r="V62" s="15"/>
      <c r="W62" s="15"/>
      <c r="X62" s="15"/>
      <c r="Y62" s="85"/>
      <c r="Z62" s="85"/>
      <c r="AA62" s="198"/>
      <c r="AB62" s="85" t="str">
        <f>AB$6</f>
        <v/>
      </c>
      <c r="AC62" s="15"/>
      <c r="AD62" s="14"/>
      <c r="AE62" s="14"/>
      <c r="AF62" s="14"/>
      <c r="AG62" s="29"/>
      <c r="AH62" s="29"/>
      <c r="AI62" s="29"/>
    </row>
    <row r="63" ht="40.5" customHeight="1">
      <c r="A63" s="30"/>
      <c r="B63" s="31">
        <v>5.0</v>
      </c>
      <c r="C63" s="85"/>
      <c r="D63" s="85"/>
      <c r="E63" s="85"/>
      <c r="F63" s="15"/>
      <c r="G63" s="15"/>
      <c r="H63" s="15"/>
      <c r="I63" s="15"/>
      <c r="J63" s="44"/>
      <c r="K63" s="15"/>
      <c r="L63" s="15"/>
      <c r="M63" s="15"/>
      <c r="N63" s="15"/>
      <c r="O63" s="15"/>
      <c r="P63" s="15"/>
      <c r="Q63" s="15"/>
      <c r="R63" s="15"/>
      <c r="S63" s="15"/>
      <c r="T63" s="15"/>
      <c r="U63" s="15"/>
      <c r="V63" s="15"/>
      <c r="W63" s="15"/>
      <c r="X63" s="15"/>
      <c r="Y63" s="85"/>
      <c r="Z63" s="85"/>
      <c r="AA63" s="198"/>
      <c r="AB63" s="85" t="str">
        <f>AB$7</f>
        <v/>
      </c>
      <c r="AC63" s="15"/>
      <c r="AD63" s="14"/>
      <c r="AE63" s="14"/>
      <c r="AF63" s="14"/>
      <c r="AG63" s="29"/>
      <c r="AH63" s="29"/>
      <c r="AI63" s="29"/>
    </row>
    <row r="64" ht="40.5" customHeight="1">
      <c r="A64" s="30"/>
      <c r="B64" s="31">
        <v>6.0</v>
      </c>
      <c r="C64" s="85"/>
      <c r="D64" s="85"/>
      <c r="E64" s="85"/>
      <c r="F64" s="15"/>
      <c r="G64" s="15"/>
      <c r="H64" s="15"/>
      <c r="I64" s="15"/>
      <c r="J64" s="44"/>
      <c r="K64" s="15"/>
      <c r="L64" s="15"/>
      <c r="M64" s="15"/>
      <c r="N64" s="15"/>
      <c r="O64" s="15"/>
      <c r="P64" s="15"/>
      <c r="Q64" s="15"/>
      <c r="R64" s="15"/>
      <c r="S64" s="15"/>
      <c r="T64" s="15"/>
      <c r="U64" s="15"/>
      <c r="V64" s="15"/>
      <c r="W64" s="15"/>
      <c r="X64" s="15"/>
      <c r="Y64" s="85"/>
      <c r="Z64" s="85"/>
      <c r="AA64" s="198"/>
      <c r="AB64" s="85" t="str">
        <f>AB$8</f>
        <v/>
      </c>
      <c r="AC64" s="15"/>
      <c r="AD64" s="14"/>
      <c r="AE64" s="14"/>
      <c r="AF64" s="14"/>
      <c r="AG64" s="29"/>
      <c r="AH64" s="29"/>
      <c r="AI64" s="29"/>
    </row>
    <row r="65" ht="40.5" customHeight="1">
      <c r="A65" s="30"/>
      <c r="B65" s="31">
        <v>7.0</v>
      </c>
      <c r="C65" s="85"/>
      <c r="D65" s="85"/>
      <c r="E65" s="85"/>
      <c r="F65" s="15"/>
      <c r="G65" s="15"/>
      <c r="H65" s="15"/>
      <c r="I65" s="15"/>
      <c r="J65" s="44"/>
      <c r="K65" s="15"/>
      <c r="L65" s="15"/>
      <c r="M65" s="15"/>
      <c r="N65" s="15"/>
      <c r="O65" s="15"/>
      <c r="P65" s="15"/>
      <c r="Q65" s="15"/>
      <c r="R65" s="15"/>
      <c r="S65" s="15"/>
      <c r="T65" s="15"/>
      <c r="U65" s="15"/>
      <c r="V65" s="15"/>
      <c r="W65" s="15"/>
      <c r="X65" s="15"/>
      <c r="Y65" s="85"/>
      <c r="Z65" s="85"/>
      <c r="AA65" s="198"/>
      <c r="AB65" s="85"/>
      <c r="AC65" s="14"/>
      <c r="AD65" s="14"/>
      <c r="AE65" s="14"/>
      <c r="AF65" s="14"/>
      <c r="AG65" s="29"/>
      <c r="AH65" s="29"/>
      <c r="AI65" s="29"/>
    </row>
    <row r="66" ht="40.5" customHeight="1">
      <c r="A66" s="30"/>
      <c r="B66" s="31">
        <v>8.0</v>
      </c>
      <c r="C66" s="85"/>
      <c r="D66" s="85"/>
      <c r="E66" s="85"/>
      <c r="F66" s="15"/>
      <c r="G66" s="15"/>
      <c r="H66" s="15"/>
      <c r="I66" s="15"/>
      <c r="J66" s="44"/>
      <c r="K66" s="15"/>
      <c r="L66" s="15"/>
      <c r="M66" s="15"/>
      <c r="N66" s="15"/>
      <c r="O66" s="15"/>
      <c r="P66" s="15"/>
      <c r="Q66" s="15"/>
      <c r="R66" s="15"/>
      <c r="S66" s="15"/>
      <c r="T66" s="15"/>
      <c r="U66" s="15"/>
      <c r="V66" s="15"/>
      <c r="W66" s="15"/>
      <c r="X66" s="15"/>
      <c r="Y66" s="85"/>
      <c r="Z66" s="85"/>
      <c r="AA66" s="198"/>
      <c r="AB66" s="85" t="str">
        <f>AB$9</f>
        <v/>
      </c>
      <c r="AC66" s="14"/>
      <c r="AD66" s="14"/>
      <c r="AE66" s="14"/>
      <c r="AF66" s="14"/>
      <c r="AG66" s="29"/>
      <c r="AH66" s="29"/>
      <c r="AI66" s="29"/>
    </row>
    <row r="67" ht="40.5" customHeight="1">
      <c r="A67" s="30"/>
      <c r="B67" s="31">
        <v>9.0</v>
      </c>
      <c r="C67" s="85"/>
      <c r="D67" s="85"/>
      <c r="E67" s="85"/>
      <c r="F67" s="15"/>
      <c r="G67" s="15"/>
      <c r="H67" s="15"/>
      <c r="I67" s="15"/>
      <c r="J67" s="44"/>
      <c r="K67" s="15"/>
      <c r="L67" s="15"/>
      <c r="M67" s="15"/>
      <c r="N67" s="15"/>
      <c r="O67" s="15"/>
      <c r="P67" s="15"/>
      <c r="Q67" s="15"/>
      <c r="R67" s="15"/>
      <c r="S67" s="15"/>
      <c r="T67" s="15"/>
      <c r="U67" s="15"/>
      <c r="V67" s="15"/>
      <c r="W67" s="15"/>
      <c r="X67" s="15"/>
      <c r="Y67" s="85"/>
      <c r="Z67" s="85"/>
      <c r="AA67" s="198"/>
      <c r="AB67" s="14"/>
      <c r="AC67" s="15"/>
      <c r="AD67" s="14"/>
      <c r="AE67" s="14"/>
      <c r="AF67" s="14"/>
      <c r="AG67" s="29"/>
      <c r="AH67" s="29"/>
      <c r="AI67" s="29"/>
    </row>
    <row r="68" ht="40.5" customHeight="1">
      <c r="A68" s="30"/>
      <c r="B68" s="200"/>
      <c r="C68" s="85"/>
      <c r="D68" s="85"/>
      <c r="E68" s="85"/>
      <c r="F68" s="15"/>
      <c r="G68" s="15"/>
      <c r="H68" s="15"/>
      <c r="I68" s="15"/>
      <c r="J68" s="15"/>
      <c r="K68" s="15"/>
      <c r="L68" s="15"/>
      <c r="M68" s="15"/>
      <c r="N68" s="15"/>
      <c r="O68" s="15"/>
      <c r="P68" s="15"/>
      <c r="Q68" s="15"/>
      <c r="R68" s="15"/>
      <c r="S68" s="15"/>
      <c r="T68" s="15"/>
      <c r="U68" s="15"/>
      <c r="V68" s="15"/>
      <c r="W68" s="15"/>
      <c r="X68" s="15"/>
      <c r="Y68" s="85"/>
      <c r="Z68" s="85"/>
      <c r="AA68" s="198" t="str">
        <f>AA$12</f>
        <v/>
      </c>
      <c r="AB68" s="14"/>
      <c r="AC68" s="14"/>
      <c r="AD68" s="14"/>
      <c r="AE68" s="14"/>
      <c r="AF68" s="14"/>
      <c r="AG68" s="29"/>
      <c r="AH68" s="29"/>
      <c r="AI68" s="29"/>
    </row>
    <row r="69" ht="40.5" customHeight="1">
      <c r="A69" s="74"/>
      <c r="B69" s="200"/>
      <c r="C69" s="14"/>
      <c r="D69" s="15"/>
      <c r="E69" s="15"/>
      <c r="F69" s="15"/>
      <c r="G69" s="15"/>
      <c r="H69" s="15"/>
      <c r="I69" s="15"/>
      <c r="J69" s="15"/>
      <c r="K69" s="15"/>
      <c r="L69" s="15"/>
      <c r="M69" s="15"/>
      <c r="N69" s="15"/>
      <c r="O69" s="15"/>
      <c r="P69" s="15"/>
      <c r="Q69" s="15"/>
      <c r="R69" s="15"/>
      <c r="S69" s="15"/>
      <c r="T69" s="15"/>
      <c r="U69" s="15"/>
      <c r="V69" s="15"/>
      <c r="W69" s="15"/>
      <c r="X69" s="15"/>
      <c r="Y69" s="14"/>
      <c r="Z69" s="15"/>
      <c r="AA69" s="198" t="str">
        <f>#REF!</f>
        <v>#REF!</v>
      </c>
      <c r="AB69" s="14"/>
      <c r="AC69" s="14"/>
      <c r="AD69" s="14"/>
      <c r="AE69" s="14"/>
      <c r="AF69" s="14"/>
      <c r="AG69" s="29"/>
      <c r="AH69" s="29"/>
      <c r="AI69" s="29"/>
    </row>
    <row r="70" ht="40.5" customHeight="1">
      <c r="A70" s="201"/>
      <c r="B70" s="200"/>
      <c r="C70" s="14"/>
      <c r="D70" s="14"/>
      <c r="E70" s="14"/>
      <c r="F70" s="15"/>
      <c r="G70" s="15"/>
      <c r="H70" s="15"/>
      <c r="I70" s="15"/>
      <c r="J70" s="15"/>
      <c r="K70" s="15"/>
      <c r="L70" s="15"/>
      <c r="M70" s="15"/>
      <c r="N70" s="15"/>
      <c r="O70" s="15"/>
      <c r="P70" s="15"/>
      <c r="Q70" s="15"/>
      <c r="R70" s="15"/>
      <c r="S70" s="15"/>
      <c r="T70" s="15"/>
      <c r="U70" s="15"/>
      <c r="V70" s="15"/>
      <c r="W70" s="15"/>
      <c r="X70" s="15"/>
      <c r="Y70" s="14"/>
      <c r="Z70" s="14"/>
      <c r="AA70" s="198"/>
      <c r="AB70" s="14"/>
      <c r="AC70" s="14"/>
      <c r="AD70" s="14"/>
      <c r="AE70" s="14"/>
      <c r="AF70" s="14"/>
      <c r="AG70" s="29"/>
      <c r="AH70" s="29"/>
      <c r="AI70" s="29"/>
    </row>
    <row r="71" ht="40.5" customHeight="1">
      <c r="A71" s="201"/>
      <c r="B71" s="200"/>
      <c r="C71" s="15"/>
      <c r="D71" s="14"/>
      <c r="E71" s="14"/>
      <c r="F71" s="15"/>
      <c r="G71" s="15"/>
      <c r="H71" s="15"/>
      <c r="I71" s="15"/>
      <c r="J71" s="15"/>
      <c r="K71" s="15"/>
      <c r="L71" s="15"/>
      <c r="M71" s="15"/>
      <c r="N71" s="15"/>
      <c r="O71" s="15"/>
      <c r="P71" s="15"/>
      <c r="Q71" s="15"/>
      <c r="R71" s="15"/>
      <c r="S71" s="15"/>
      <c r="T71" s="15"/>
      <c r="U71" s="15"/>
      <c r="V71" s="15"/>
      <c r="W71" s="15"/>
      <c r="X71" s="15"/>
      <c r="Y71" s="15"/>
      <c r="Z71" s="14"/>
      <c r="AA71" s="28"/>
      <c r="AB71" s="14"/>
      <c r="AC71" s="14"/>
      <c r="AD71" s="14"/>
      <c r="AE71" s="14"/>
      <c r="AF71" s="14"/>
      <c r="AG71" s="29"/>
      <c r="AH71" s="29"/>
      <c r="AI71" s="29"/>
    </row>
    <row r="72" ht="40.5" customHeight="1">
      <c r="A72" s="201"/>
      <c r="B72" s="200"/>
      <c r="C72" s="15"/>
      <c r="D72" s="14"/>
      <c r="E72" s="14"/>
      <c r="F72" s="15"/>
      <c r="G72" s="15"/>
      <c r="H72" s="15"/>
      <c r="I72" s="15"/>
      <c r="J72" s="15"/>
      <c r="K72" s="15"/>
      <c r="L72" s="15"/>
      <c r="M72" s="15"/>
      <c r="N72" s="15"/>
      <c r="O72" s="15"/>
      <c r="P72" s="15"/>
      <c r="Q72" s="15"/>
      <c r="R72" s="15"/>
      <c r="S72" s="15"/>
      <c r="T72" s="15"/>
      <c r="U72" s="15"/>
      <c r="V72" s="15"/>
      <c r="W72" s="15"/>
      <c r="X72" s="15"/>
      <c r="Y72" s="15"/>
      <c r="Z72" s="14"/>
      <c r="AA72" s="28"/>
      <c r="AB72" s="14"/>
      <c r="AC72" s="14"/>
      <c r="AD72" s="14"/>
      <c r="AE72" s="14"/>
      <c r="AF72" s="14"/>
      <c r="AG72" s="29"/>
      <c r="AH72" s="29"/>
      <c r="AI72" s="29"/>
    </row>
    <row r="73" ht="40.5" customHeight="1">
      <c r="A73" s="201"/>
      <c r="B73" s="200"/>
      <c r="C73" s="14"/>
      <c r="D73" s="14"/>
      <c r="E73" s="14"/>
      <c r="F73" s="15"/>
      <c r="G73" s="15"/>
      <c r="H73" s="15"/>
      <c r="I73" s="15"/>
      <c r="J73" s="15"/>
      <c r="K73" s="15"/>
      <c r="L73" s="15"/>
      <c r="M73" s="15"/>
      <c r="N73" s="15"/>
      <c r="O73" s="15"/>
      <c r="P73" s="15"/>
      <c r="Q73" s="15"/>
      <c r="R73" s="15"/>
      <c r="S73" s="15"/>
      <c r="T73" s="15"/>
      <c r="U73" s="15"/>
      <c r="V73" s="15"/>
      <c r="W73" s="15"/>
      <c r="X73" s="15"/>
      <c r="Y73" s="14"/>
      <c r="Z73" s="14"/>
      <c r="AA73" s="28"/>
      <c r="AB73" s="14"/>
      <c r="AC73" s="14"/>
      <c r="AD73" s="14"/>
      <c r="AE73" s="14"/>
      <c r="AF73" s="14"/>
      <c r="AG73" s="29"/>
      <c r="AH73" s="29"/>
      <c r="AI73" s="29"/>
    </row>
    <row r="74" ht="40.5" customHeight="1">
      <c r="A74" s="201"/>
      <c r="B74" s="200"/>
      <c r="C74" s="14"/>
      <c r="D74" s="14"/>
      <c r="E74" s="14"/>
      <c r="F74" s="15"/>
      <c r="G74" s="15"/>
      <c r="H74" s="15"/>
      <c r="I74" s="15"/>
      <c r="J74" s="15"/>
      <c r="K74" s="15"/>
      <c r="L74" s="15"/>
      <c r="M74" s="15"/>
      <c r="N74" s="15"/>
      <c r="O74" s="15"/>
      <c r="P74" s="15"/>
      <c r="Q74" s="15"/>
      <c r="R74" s="15"/>
      <c r="S74" s="15"/>
      <c r="T74" s="15"/>
      <c r="U74" s="15"/>
      <c r="V74" s="15"/>
      <c r="W74" s="15"/>
      <c r="X74" s="15"/>
      <c r="Y74" s="14"/>
      <c r="Z74" s="14"/>
      <c r="AA74" s="28"/>
      <c r="AB74" s="14"/>
      <c r="AC74" s="14"/>
      <c r="AD74" s="14"/>
      <c r="AE74" s="14"/>
      <c r="AF74" s="14"/>
      <c r="AG74" s="29"/>
      <c r="AH74" s="29"/>
      <c r="AI74" s="29"/>
    </row>
    <row r="75" ht="40.5" customHeight="1">
      <c r="A75" s="201"/>
      <c r="B75" s="200"/>
      <c r="C75" s="14"/>
      <c r="D75" s="14"/>
      <c r="E75" s="14"/>
      <c r="F75" s="15"/>
      <c r="G75" s="15"/>
      <c r="H75" s="15"/>
      <c r="I75" s="15"/>
      <c r="J75" s="15"/>
      <c r="K75" s="15"/>
      <c r="L75" s="15"/>
      <c r="M75" s="15"/>
      <c r="N75" s="15"/>
      <c r="O75" s="15"/>
      <c r="P75" s="15"/>
      <c r="Q75" s="15"/>
      <c r="R75" s="15"/>
      <c r="S75" s="15"/>
      <c r="T75" s="15"/>
      <c r="U75" s="15"/>
      <c r="V75" s="15"/>
      <c r="W75" s="15"/>
      <c r="X75" s="15"/>
      <c r="Y75" s="14"/>
      <c r="Z75" s="14"/>
      <c r="AA75" s="28"/>
      <c r="AB75" s="14"/>
      <c r="AC75" s="14"/>
      <c r="AD75" s="14"/>
      <c r="AE75" s="14"/>
      <c r="AF75" s="14"/>
      <c r="AG75" s="29"/>
      <c r="AH75" s="29"/>
      <c r="AI75" s="29"/>
    </row>
    <row r="76" ht="40.5" customHeight="1">
      <c r="A76" s="201"/>
      <c r="B76" s="200"/>
      <c r="C76" s="14"/>
      <c r="D76" s="14"/>
      <c r="E76" s="14"/>
      <c r="F76" s="15"/>
      <c r="G76" s="15"/>
      <c r="H76" s="15"/>
      <c r="I76" s="15"/>
      <c r="J76" s="15"/>
      <c r="K76" s="15"/>
      <c r="L76" s="15"/>
      <c r="M76" s="15"/>
      <c r="N76" s="15"/>
      <c r="O76" s="15"/>
      <c r="P76" s="15"/>
      <c r="Q76" s="15"/>
      <c r="R76" s="15"/>
      <c r="S76" s="15"/>
      <c r="T76" s="15"/>
      <c r="U76" s="15"/>
      <c r="V76" s="15"/>
      <c r="W76" s="15"/>
      <c r="X76" s="15"/>
      <c r="Y76" s="14"/>
      <c r="Z76" s="14"/>
      <c r="AA76" s="28"/>
      <c r="AB76" s="14"/>
      <c r="AC76" s="14"/>
      <c r="AD76" s="14"/>
      <c r="AE76" s="14"/>
      <c r="AF76" s="14"/>
      <c r="AG76" s="29"/>
      <c r="AH76" s="29"/>
      <c r="AI76" s="29"/>
    </row>
    <row r="77" ht="40.5" customHeight="1">
      <c r="A77" s="201"/>
      <c r="B77" s="200"/>
      <c r="C77" s="14"/>
      <c r="D77" s="14"/>
      <c r="E77" s="14"/>
      <c r="F77" s="15"/>
      <c r="G77" s="15"/>
      <c r="H77" s="15"/>
      <c r="I77" s="15"/>
      <c r="J77" s="15"/>
      <c r="K77" s="15"/>
      <c r="L77" s="15"/>
      <c r="M77" s="15"/>
      <c r="N77" s="15"/>
      <c r="O77" s="15"/>
      <c r="P77" s="15"/>
      <c r="Q77" s="15"/>
      <c r="R77" s="15"/>
      <c r="S77" s="15"/>
      <c r="T77" s="15"/>
      <c r="U77" s="15"/>
      <c r="V77" s="15"/>
      <c r="W77" s="15"/>
      <c r="X77" s="15"/>
      <c r="Y77" s="14"/>
      <c r="Z77" s="14"/>
      <c r="AA77" s="28"/>
      <c r="AB77" s="14"/>
      <c r="AC77" s="14"/>
      <c r="AD77" s="14"/>
      <c r="AE77" s="14"/>
      <c r="AF77" s="14"/>
      <c r="AG77" s="29"/>
      <c r="AH77" s="29"/>
      <c r="AI77" s="29"/>
    </row>
    <row r="78" ht="40.5" customHeight="1">
      <c r="A78" s="201"/>
      <c r="B78" s="200"/>
      <c r="C78" s="14"/>
      <c r="D78" s="14"/>
      <c r="E78" s="14"/>
      <c r="F78" s="15"/>
      <c r="G78" s="15"/>
      <c r="H78" s="15"/>
      <c r="I78" s="15"/>
      <c r="J78" s="15"/>
      <c r="K78" s="15"/>
      <c r="L78" s="15"/>
      <c r="M78" s="15"/>
      <c r="N78" s="15"/>
      <c r="O78" s="15"/>
      <c r="P78" s="15"/>
      <c r="Q78" s="15"/>
      <c r="R78" s="15"/>
      <c r="S78" s="15"/>
      <c r="T78" s="15"/>
      <c r="U78" s="15"/>
      <c r="V78" s="15"/>
      <c r="W78" s="15"/>
      <c r="X78" s="15"/>
      <c r="Y78" s="14"/>
      <c r="Z78" s="14"/>
      <c r="AA78" s="28"/>
      <c r="AB78" s="14"/>
      <c r="AC78" s="14"/>
      <c r="AD78" s="14"/>
      <c r="AE78" s="14"/>
      <c r="AF78" s="14"/>
      <c r="AG78" s="29"/>
      <c r="AH78" s="29"/>
      <c r="AI78" s="29"/>
    </row>
    <row r="79" ht="40.5" customHeight="1">
      <c r="A79" s="201"/>
      <c r="B79" s="200"/>
      <c r="C79" s="14"/>
      <c r="D79" s="14"/>
      <c r="E79" s="14"/>
      <c r="F79" s="15"/>
      <c r="G79" s="15"/>
      <c r="H79" s="15"/>
      <c r="I79" s="15"/>
      <c r="J79" s="15"/>
      <c r="K79" s="15"/>
      <c r="L79" s="15"/>
      <c r="M79" s="15"/>
      <c r="N79" s="15"/>
      <c r="O79" s="15"/>
      <c r="P79" s="15"/>
      <c r="Q79" s="15"/>
      <c r="R79" s="15"/>
      <c r="S79" s="15"/>
      <c r="T79" s="15"/>
      <c r="U79" s="15"/>
      <c r="V79" s="15"/>
      <c r="W79" s="15"/>
      <c r="X79" s="15"/>
      <c r="Y79" s="14"/>
      <c r="Z79" s="14"/>
      <c r="AA79" s="28"/>
      <c r="AB79" s="14"/>
      <c r="AC79" s="14"/>
      <c r="AD79" s="14"/>
      <c r="AE79" s="14"/>
      <c r="AF79" s="14"/>
      <c r="AG79" s="29"/>
      <c r="AH79" s="29"/>
      <c r="AI79" s="29"/>
    </row>
    <row r="80" ht="40.5" customHeight="1">
      <c r="A80" s="201"/>
      <c r="B80" s="200"/>
      <c r="C80" s="14"/>
      <c r="D80" s="14"/>
      <c r="E80" s="14"/>
      <c r="F80" s="15"/>
      <c r="G80" s="15"/>
      <c r="H80" s="15"/>
      <c r="I80" s="15"/>
      <c r="J80" s="15"/>
      <c r="K80" s="15"/>
      <c r="L80" s="15"/>
      <c r="M80" s="15"/>
      <c r="N80" s="15"/>
      <c r="O80" s="15"/>
      <c r="P80" s="15"/>
      <c r="Q80" s="15"/>
      <c r="R80" s="15"/>
      <c r="S80" s="15"/>
      <c r="T80" s="15"/>
      <c r="U80" s="15"/>
      <c r="V80" s="15"/>
      <c r="W80" s="15"/>
      <c r="X80" s="15"/>
      <c r="Y80" s="14"/>
      <c r="Z80" s="14"/>
      <c r="AA80" s="28"/>
      <c r="AB80" s="14"/>
      <c r="AC80" s="14"/>
      <c r="AD80" s="14"/>
      <c r="AE80" s="14"/>
      <c r="AF80" s="14"/>
      <c r="AG80" s="29"/>
      <c r="AH80" s="29"/>
      <c r="AI80" s="29"/>
    </row>
    <row r="81" ht="40.5" customHeight="1">
      <c r="A81" s="201"/>
      <c r="B81" s="200"/>
      <c r="C81" s="14"/>
      <c r="D81" s="14"/>
      <c r="E81" s="14"/>
      <c r="F81" s="15"/>
      <c r="G81" s="15"/>
      <c r="H81" s="15"/>
      <c r="I81" s="15"/>
      <c r="J81" s="15"/>
      <c r="K81" s="15"/>
      <c r="L81" s="15"/>
      <c r="M81" s="15"/>
      <c r="N81" s="15"/>
      <c r="O81" s="15"/>
      <c r="P81" s="15"/>
      <c r="Q81" s="15"/>
      <c r="R81" s="15"/>
      <c r="S81" s="15"/>
      <c r="T81" s="15"/>
      <c r="U81" s="15"/>
      <c r="V81" s="15"/>
      <c r="W81" s="15"/>
      <c r="X81" s="15"/>
      <c r="Y81" s="14"/>
      <c r="Z81" s="14"/>
      <c r="AA81" s="28"/>
      <c r="AB81" s="14"/>
      <c r="AC81" s="14"/>
      <c r="AD81" s="14"/>
      <c r="AE81" s="14"/>
      <c r="AF81" s="14"/>
      <c r="AG81" s="29"/>
      <c r="AH81" s="29"/>
      <c r="AI81" s="29"/>
    </row>
    <row r="82" ht="40.5" customHeight="1">
      <c r="A82" s="201"/>
      <c r="B82" s="200"/>
      <c r="C82" s="14"/>
      <c r="D82" s="14"/>
      <c r="E82" s="14"/>
      <c r="F82" s="15"/>
      <c r="G82" s="15"/>
      <c r="H82" s="15"/>
      <c r="I82" s="15"/>
      <c r="J82" s="15"/>
      <c r="K82" s="15"/>
      <c r="L82" s="15"/>
      <c r="M82" s="15"/>
      <c r="N82" s="15"/>
      <c r="O82" s="15"/>
      <c r="P82" s="15"/>
      <c r="Q82" s="15"/>
      <c r="R82" s="15"/>
      <c r="S82" s="15"/>
      <c r="T82" s="15"/>
      <c r="U82" s="15"/>
      <c r="V82" s="15"/>
      <c r="W82" s="15"/>
      <c r="X82" s="15"/>
      <c r="Y82" s="14"/>
      <c r="Z82" s="14"/>
      <c r="AA82" s="28"/>
      <c r="AB82" s="14"/>
      <c r="AC82" s="14"/>
      <c r="AD82" s="14"/>
      <c r="AE82" s="14"/>
      <c r="AF82" s="14"/>
      <c r="AG82" s="29"/>
      <c r="AH82" s="29"/>
      <c r="AI82" s="29"/>
    </row>
    <row r="83" ht="40.5" customHeight="1">
      <c r="A83" s="201"/>
      <c r="B83" s="200"/>
      <c r="C83" s="14"/>
      <c r="D83" s="14"/>
      <c r="E83" s="14"/>
      <c r="F83" s="15"/>
      <c r="G83" s="15"/>
      <c r="H83" s="15"/>
      <c r="I83" s="15"/>
      <c r="J83" s="15"/>
      <c r="K83" s="15"/>
      <c r="L83" s="15"/>
      <c r="M83" s="15"/>
      <c r="N83" s="15"/>
      <c r="O83" s="15"/>
      <c r="P83" s="15"/>
      <c r="Q83" s="15"/>
      <c r="R83" s="15"/>
      <c r="S83" s="15"/>
      <c r="T83" s="15"/>
      <c r="U83" s="15"/>
      <c r="V83" s="15"/>
      <c r="W83" s="15"/>
      <c r="X83" s="15"/>
      <c r="Y83" s="14"/>
      <c r="Z83" s="14"/>
      <c r="AA83" s="28"/>
      <c r="AB83" s="14"/>
      <c r="AC83" s="14"/>
      <c r="AD83" s="14"/>
      <c r="AE83" s="14"/>
      <c r="AF83" s="14"/>
      <c r="AG83" s="29"/>
      <c r="AH83" s="29"/>
      <c r="AI83" s="29"/>
    </row>
    <row r="84" ht="40.5" customHeight="1">
      <c r="A84" s="201"/>
      <c r="B84" s="200"/>
      <c r="C84" s="14"/>
      <c r="D84" s="14"/>
      <c r="E84" s="14"/>
      <c r="F84" s="44" t="s">
        <v>484</v>
      </c>
      <c r="G84" s="15"/>
      <c r="H84" s="15"/>
      <c r="I84" s="15"/>
      <c r="J84" s="15"/>
      <c r="K84" s="15"/>
      <c r="L84" s="15"/>
      <c r="M84" s="15"/>
      <c r="N84" s="15"/>
      <c r="O84" s="15"/>
      <c r="P84" s="15"/>
      <c r="Q84" s="15"/>
      <c r="R84" s="15"/>
      <c r="S84" s="15"/>
      <c r="T84" s="15"/>
      <c r="U84" s="15"/>
      <c r="V84" s="15"/>
      <c r="W84" s="15"/>
      <c r="X84" s="15"/>
      <c r="Y84" s="14"/>
      <c r="Z84" s="14"/>
      <c r="AA84" s="28"/>
      <c r="AB84" s="14"/>
      <c r="AC84" s="14"/>
      <c r="AD84" s="14"/>
      <c r="AE84" s="14"/>
      <c r="AF84" s="14"/>
      <c r="AG84" s="29"/>
      <c r="AH84" s="29"/>
      <c r="AI84" s="29"/>
    </row>
    <row r="85" ht="40.5" customHeight="1">
      <c r="A85" s="201"/>
      <c r="B85" s="200"/>
      <c r="C85" s="14"/>
      <c r="D85" s="14"/>
      <c r="E85" s="14"/>
      <c r="F85" s="202" t="s">
        <v>485</v>
      </c>
      <c r="G85" s="203"/>
      <c r="H85" s="203"/>
      <c r="I85" s="204" t="s">
        <v>486</v>
      </c>
      <c r="J85" s="15"/>
      <c r="K85" s="15"/>
      <c r="L85" s="15"/>
      <c r="M85" s="15"/>
      <c r="N85" s="15"/>
      <c r="O85" s="15"/>
      <c r="P85" s="15"/>
      <c r="Q85" s="15"/>
      <c r="R85" s="15"/>
      <c r="S85" s="15"/>
      <c r="T85" s="15"/>
      <c r="U85" s="15"/>
      <c r="V85" s="15"/>
      <c r="W85" s="15"/>
      <c r="X85" s="15"/>
      <c r="Y85" s="14"/>
      <c r="Z85" s="14"/>
      <c r="AA85" s="28"/>
      <c r="AB85" s="14"/>
      <c r="AC85" s="14"/>
      <c r="AD85" s="14"/>
      <c r="AE85" s="14"/>
      <c r="AF85" s="14"/>
      <c r="AG85" s="29"/>
      <c r="AH85" s="29"/>
      <c r="AI85" s="29"/>
    </row>
    <row r="86" ht="40.5" customHeight="1">
      <c r="A86" s="201"/>
      <c r="B86" s="200"/>
      <c r="C86" s="14"/>
      <c r="D86" s="14"/>
      <c r="E86" s="14"/>
      <c r="F86" s="15"/>
      <c r="G86" s="15"/>
      <c r="H86" s="15"/>
      <c r="I86" s="15"/>
      <c r="J86" s="15"/>
      <c r="K86" s="15"/>
      <c r="L86" s="15"/>
      <c r="M86" s="15"/>
      <c r="N86" s="15"/>
      <c r="O86" s="15"/>
      <c r="P86" s="15"/>
      <c r="Q86" s="15"/>
      <c r="R86" s="15"/>
      <c r="S86" s="15"/>
      <c r="T86" s="15"/>
      <c r="U86" s="15"/>
      <c r="V86" s="15"/>
      <c r="W86" s="15"/>
      <c r="X86" s="15"/>
      <c r="Y86" s="14"/>
      <c r="Z86" s="14"/>
      <c r="AA86" s="28"/>
      <c r="AB86" s="14"/>
      <c r="AC86" s="14"/>
      <c r="AD86" s="14"/>
      <c r="AE86" s="14"/>
      <c r="AF86" s="14"/>
      <c r="AG86" s="29"/>
      <c r="AH86" s="29"/>
      <c r="AI86" s="29"/>
    </row>
    <row r="87" ht="40.5" customHeight="1">
      <c r="A87" s="201"/>
      <c r="B87" s="200"/>
      <c r="C87" s="14"/>
      <c r="D87" s="14"/>
      <c r="E87" s="14"/>
      <c r="F87" s="15"/>
      <c r="G87" s="15"/>
      <c r="H87" s="15"/>
      <c r="I87" s="15"/>
      <c r="J87" s="15"/>
      <c r="K87" s="205" t="s">
        <v>487</v>
      </c>
      <c r="L87" s="205" t="b">
        <f>IFERROR(__xludf.DUMMYFUNCTION("IF(COUNTA(filter($F3:$X3,ARRAYFORMULA(ISERROR(FIND(join("","",filter(split($I$85,"",""),ARRAYFORMULA(ISERROR(FIND(split($I$85,"",""),F3)))=FALSE)),$F3:$X3))=FALSE)))&gt;1,FALSE,TRUE)"),TRUE)</f>
        <v>1</v>
      </c>
      <c r="M87" s="15"/>
      <c r="N87" s="15"/>
      <c r="O87" s="15"/>
      <c r="P87" s="15"/>
      <c r="Q87" s="15"/>
      <c r="R87" s="15"/>
      <c r="S87" s="15"/>
      <c r="T87" s="15"/>
      <c r="U87" s="15"/>
      <c r="V87" s="15"/>
      <c r="W87" s="15"/>
      <c r="X87" s="15"/>
      <c r="Y87" s="14"/>
      <c r="Z87" s="14"/>
      <c r="AA87" s="28"/>
      <c r="AB87" s="14"/>
      <c r="AC87" s="14"/>
      <c r="AD87" s="14"/>
      <c r="AE87" s="14"/>
      <c r="AF87" s="14"/>
      <c r="AG87" s="29"/>
      <c r="AH87" s="29"/>
      <c r="AI87" s="29"/>
    </row>
    <row r="88" ht="40.5" customHeight="1">
      <c r="A88" s="201"/>
      <c r="B88" s="200"/>
      <c r="C88" s="14"/>
      <c r="D88" s="14"/>
      <c r="E88" s="14"/>
      <c r="F88" s="15"/>
      <c r="G88" s="15"/>
      <c r="H88" s="15"/>
      <c r="I88" s="15"/>
      <c r="J88" s="15"/>
      <c r="K88" s="15"/>
      <c r="L88" s="15"/>
      <c r="M88" s="15"/>
      <c r="N88" s="15"/>
      <c r="O88" s="15"/>
      <c r="P88" s="15"/>
      <c r="Q88" s="15"/>
      <c r="R88" s="15"/>
      <c r="S88" s="15"/>
      <c r="T88" s="15"/>
      <c r="U88" s="15"/>
      <c r="V88" s="15"/>
      <c r="W88" s="15"/>
      <c r="X88" s="15"/>
      <c r="Y88" s="14"/>
      <c r="Z88" s="14"/>
      <c r="AA88" s="28"/>
      <c r="AB88" s="14"/>
      <c r="AC88" s="14"/>
      <c r="AD88" s="14"/>
      <c r="AE88" s="14"/>
      <c r="AF88" s="14"/>
      <c r="AG88" s="29"/>
      <c r="AH88" s="29"/>
      <c r="AI88" s="29"/>
    </row>
  </sheetData>
  <mergeCells count="282">
    <mergeCell ref="U17:W17"/>
    <mergeCell ref="U18:W18"/>
    <mergeCell ref="U19:W19"/>
    <mergeCell ref="U20:W20"/>
    <mergeCell ref="O16:P16"/>
    <mergeCell ref="Q16:R16"/>
    <mergeCell ref="U16:W16"/>
    <mergeCell ref="O17:P17"/>
    <mergeCell ref="Q17:R18"/>
    <mergeCell ref="F18:G18"/>
    <mergeCell ref="O18:P18"/>
    <mergeCell ref="I18:J18"/>
    <mergeCell ref="K18:L18"/>
    <mergeCell ref="O19:P19"/>
    <mergeCell ref="Q19:R19"/>
    <mergeCell ref="O20:P20"/>
    <mergeCell ref="Q20:R20"/>
    <mergeCell ref="O21:P21"/>
    <mergeCell ref="O22:P22"/>
    <mergeCell ref="Q21:R21"/>
    <mergeCell ref="S21:T21"/>
    <mergeCell ref="U21:W21"/>
    <mergeCell ref="Q22:T22"/>
    <mergeCell ref="U22:W22"/>
    <mergeCell ref="S23:W23"/>
    <mergeCell ref="F24:W24"/>
    <mergeCell ref="F25:W25"/>
    <mergeCell ref="O26:P26"/>
    <mergeCell ref="Q26:T26"/>
    <mergeCell ref="U26:W26"/>
    <mergeCell ref="Q27:R27"/>
    <mergeCell ref="S27:T27"/>
    <mergeCell ref="U27:W27"/>
    <mergeCell ref="O27:P27"/>
    <mergeCell ref="O28:P28"/>
    <mergeCell ref="S28:T28"/>
    <mergeCell ref="U28:W28"/>
    <mergeCell ref="O29:P29"/>
    <mergeCell ref="Q29:R29"/>
    <mergeCell ref="O30:P30"/>
    <mergeCell ref="U37:W37"/>
    <mergeCell ref="U38:W38"/>
    <mergeCell ref="U29:W29"/>
    <mergeCell ref="U30:W34"/>
    <mergeCell ref="S33:S34"/>
    <mergeCell ref="O34:P34"/>
    <mergeCell ref="H35:R36"/>
    <mergeCell ref="O37:P37"/>
    <mergeCell ref="O38:P38"/>
    <mergeCell ref="M20:N20"/>
    <mergeCell ref="F21:G22"/>
    <mergeCell ref="I21:N21"/>
    <mergeCell ref="I22:N22"/>
    <mergeCell ref="K10:L10"/>
    <mergeCell ref="M10:N10"/>
    <mergeCell ref="A13:A23"/>
    <mergeCell ref="K13:L13"/>
    <mergeCell ref="M13:N13"/>
    <mergeCell ref="M18:N18"/>
    <mergeCell ref="M19:N19"/>
    <mergeCell ref="I20:J20"/>
    <mergeCell ref="K20:L20"/>
    <mergeCell ref="I26:J26"/>
    <mergeCell ref="K26:N26"/>
    <mergeCell ref="I27:J27"/>
    <mergeCell ref="K27:L27"/>
    <mergeCell ref="M27:N27"/>
    <mergeCell ref="K30:L30"/>
    <mergeCell ref="M30:N30"/>
    <mergeCell ref="H33:J34"/>
    <mergeCell ref="K33:N33"/>
    <mergeCell ref="K34:N34"/>
    <mergeCell ref="H28:J28"/>
    <mergeCell ref="K28:L28"/>
    <mergeCell ref="M28:N28"/>
    <mergeCell ref="H29:I29"/>
    <mergeCell ref="K29:L29"/>
    <mergeCell ref="M29:N29"/>
    <mergeCell ref="H30:I30"/>
    <mergeCell ref="F34:G34"/>
    <mergeCell ref="F37:G37"/>
    <mergeCell ref="I37:J37"/>
    <mergeCell ref="K37:L37"/>
    <mergeCell ref="I38:J38"/>
    <mergeCell ref="K38:L38"/>
    <mergeCell ref="U1:W1"/>
    <mergeCell ref="Y1:Z1"/>
    <mergeCell ref="F1:G1"/>
    <mergeCell ref="F2:G2"/>
    <mergeCell ref="H2:J2"/>
    <mergeCell ref="K2:N2"/>
    <mergeCell ref="O2:P2"/>
    <mergeCell ref="Q2:R2"/>
    <mergeCell ref="U2:W2"/>
    <mergeCell ref="K3:L3"/>
    <mergeCell ref="M3:N3"/>
    <mergeCell ref="O3:P3"/>
    <mergeCell ref="Q3:R3"/>
    <mergeCell ref="U3:W3"/>
    <mergeCell ref="K4:L4"/>
    <mergeCell ref="M4:N4"/>
    <mergeCell ref="U4:W4"/>
    <mergeCell ref="U5:W5"/>
    <mergeCell ref="U6:W6"/>
    <mergeCell ref="O4:P4"/>
    <mergeCell ref="Q4:R4"/>
    <mergeCell ref="I5:J5"/>
    <mergeCell ref="O5:P5"/>
    <mergeCell ref="Q5:R5"/>
    <mergeCell ref="S5:T5"/>
    <mergeCell ref="I6:J6"/>
    <mergeCell ref="O6:P6"/>
    <mergeCell ref="Q6:R6"/>
    <mergeCell ref="S6:T6"/>
    <mergeCell ref="I7:J7"/>
    <mergeCell ref="K7:L7"/>
    <mergeCell ref="M7:N7"/>
    <mergeCell ref="O7:P7"/>
    <mergeCell ref="V7:W7"/>
    <mergeCell ref="V8:W8"/>
    <mergeCell ref="S9:W9"/>
    <mergeCell ref="H1:J1"/>
    <mergeCell ref="H3:J3"/>
    <mergeCell ref="O10:P10"/>
    <mergeCell ref="F11:S11"/>
    <mergeCell ref="O13:P13"/>
    <mergeCell ref="Q13:R13"/>
    <mergeCell ref="S13:T13"/>
    <mergeCell ref="C1:D1"/>
    <mergeCell ref="K1:N1"/>
    <mergeCell ref="O1:P1"/>
    <mergeCell ref="Q1:R1"/>
    <mergeCell ref="S1:T1"/>
    <mergeCell ref="A2:A12"/>
    <mergeCell ref="S2:T2"/>
    <mergeCell ref="I13:J13"/>
    <mergeCell ref="I14:J14"/>
    <mergeCell ref="K14:L14"/>
    <mergeCell ref="M14:N14"/>
    <mergeCell ref="O14:P14"/>
    <mergeCell ref="Q14:R14"/>
    <mergeCell ref="S14:T14"/>
    <mergeCell ref="K15:L15"/>
    <mergeCell ref="M15:N15"/>
    <mergeCell ref="O15:P15"/>
    <mergeCell ref="Q15:R15"/>
    <mergeCell ref="Q7:R7"/>
    <mergeCell ref="S7:T7"/>
    <mergeCell ref="I8:J8"/>
    <mergeCell ref="K8:L8"/>
    <mergeCell ref="M8:N8"/>
    <mergeCell ref="O8:P8"/>
    <mergeCell ref="Q8:R8"/>
    <mergeCell ref="S8:T8"/>
    <mergeCell ref="I9:J9"/>
    <mergeCell ref="K9:L9"/>
    <mergeCell ref="M9:N9"/>
    <mergeCell ref="O9:P9"/>
    <mergeCell ref="F10:G10"/>
    <mergeCell ref="I10:J10"/>
    <mergeCell ref="R10:W10"/>
    <mergeCell ref="U11:W11"/>
    <mergeCell ref="V13:W13"/>
    <mergeCell ref="V14:W14"/>
    <mergeCell ref="U15:W15"/>
    <mergeCell ref="F15:G15"/>
    <mergeCell ref="H15:J15"/>
    <mergeCell ref="F16:G16"/>
    <mergeCell ref="H16:J16"/>
    <mergeCell ref="K16:L16"/>
    <mergeCell ref="M16:N16"/>
    <mergeCell ref="F17:G17"/>
    <mergeCell ref="I17:J17"/>
    <mergeCell ref="K17:L17"/>
    <mergeCell ref="M17:N17"/>
    <mergeCell ref="F14:G14"/>
    <mergeCell ref="F19:G19"/>
    <mergeCell ref="I19:J19"/>
    <mergeCell ref="K19:L19"/>
    <mergeCell ref="F38:G38"/>
    <mergeCell ref="F39:G39"/>
    <mergeCell ref="F40:G40"/>
    <mergeCell ref="F41:G41"/>
    <mergeCell ref="F42:G42"/>
    <mergeCell ref="F43:G43"/>
    <mergeCell ref="F44:G44"/>
    <mergeCell ref="F45:G46"/>
    <mergeCell ref="H45:H46"/>
    <mergeCell ref="F28:G28"/>
    <mergeCell ref="F50:G50"/>
    <mergeCell ref="F51:G51"/>
    <mergeCell ref="F52:G52"/>
    <mergeCell ref="F53:G53"/>
    <mergeCell ref="F54:G54"/>
    <mergeCell ref="F13:G13"/>
    <mergeCell ref="F20:G20"/>
    <mergeCell ref="A26:A36"/>
    <mergeCell ref="F26:G26"/>
    <mergeCell ref="F27:G27"/>
    <mergeCell ref="A37:A47"/>
    <mergeCell ref="A48:A58"/>
    <mergeCell ref="A59:A69"/>
    <mergeCell ref="H48:I48"/>
    <mergeCell ref="J48:J49"/>
    <mergeCell ref="M48:N48"/>
    <mergeCell ref="S48:T48"/>
    <mergeCell ref="U48:W48"/>
    <mergeCell ref="H49:I49"/>
    <mergeCell ref="M49:N49"/>
    <mergeCell ref="U49:W49"/>
    <mergeCell ref="Q52:R52"/>
    <mergeCell ref="Q53:R53"/>
    <mergeCell ref="S55:T55"/>
    <mergeCell ref="Q56:W57"/>
    <mergeCell ref="Q48:R48"/>
    <mergeCell ref="Q49:R49"/>
    <mergeCell ref="O50:R50"/>
    <mergeCell ref="U50:W50"/>
    <mergeCell ref="O51:R51"/>
    <mergeCell ref="U51:W51"/>
    <mergeCell ref="U52:W52"/>
    <mergeCell ref="K48:L48"/>
    <mergeCell ref="K49:L49"/>
    <mergeCell ref="H50:J50"/>
    <mergeCell ref="H51:J51"/>
    <mergeCell ref="K52:L52"/>
    <mergeCell ref="M52:N52"/>
    <mergeCell ref="M53:N53"/>
    <mergeCell ref="H59:J59"/>
    <mergeCell ref="K59:N59"/>
    <mergeCell ref="Y59:Z59"/>
    <mergeCell ref="K53:L53"/>
    <mergeCell ref="K54:L54"/>
    <mergeCell ref="M54:N54"/>
    <mergeCell ref="I55:J55"/>
    <mergeCell ref="K55:L55"/>
    <mergeCell ref="M55:N55"/>
    <mergeCell ref="F56:N57"/>
    <mergeCell ref="H31:I31"/>
    <mergeCell ref="K31:L31"/>
    <mergeCell ref="M31:N31"/>
    <mergeCell ref="O31:P31"/>
    <mergeCell ref="K32:L32"/>
    <mergeCell ref="M32:N32"/>
    <mergeCell ref="O32:P32"/>
    <mergeCell ref="O33:P33"/>
    <mergeCell ref="O39:R39"/>
    <mergeCell ref="O40:R40"/>
    <mergeCell ref="Q41:R41"/>
    <mergeCell ref="U41:W41"/>
    <mergeCell ref="Q42:R42"/>
    <mergeCell ref="U42:W42"/>
    <mergeCell ref="H32:I32"/>
    <mergeCell ref="F33:G33"/>
    <mergeCell ref="I39:J39"/>
    <mergeCell ref="K39:L39"/>
    <mergeCell ref="U39:W39"/>
    <mergeCell ref="K40:L40"/>
    <mergeCell ref="U40:W40"/>
    <mergeCell ref="O43:P43"/>
    <mergeCell ref="Q43:R43"/>
    <mergeCell ref="U43:W43"/>
    <mergeCell ref="M43:N43"/>
    <mergeCell ref="M44:N44"/>
    <mergeCell ref="O44:P44"/>
    <mergeCell ref="Q44:R44"/>
    <mergeCell ref="S44:T44"/>
    <mergeCell ref="U44:W44"/>
    <mergeCell ref="I45:K45"/>
    <mergeCell ref="L45:M46"/>
    <mergeCell ref="O45:P45"/>
    <mergeCell ref="Q45:Q46"/>
    <mergeCell ref="R45:W46"/>
    <mergeCell ref="I46:K46"/>
    <mergeCell ref="O46:P46"/>
    <mergeCell ref="I40:J40"/>
    <mergeCell ref="I41:J41"/>
    <mergeCell ref="M41:N41"/>
    <mergeCell ref="I42:J42"/>
    <mergeCell ref="M42:N42"/>
    <mergeCell ref="I43:J43"/>
    <mergeCell ref="I44:J44"/>
  </mergeCells>
  <conditionalFormatting sqref="F1:U88 V1:V33 AG29:AG32 W34:W36 V37:V88 W52:W54 X53">
    <cfRule type="containsText" dxfId="0" priority="1" operator="containsText" text="Физика">
      <formula>NOT(ISERROR(SEARCH(("Физика"),(F1))))</formula>
    </cfRule>
  </conditionalFormatting>
  <conditionalFormatting sqref="F56:X57">
    <cfRule type="containsText" dxfId="1" priority="2" operator="containsText" text="Шерашова">
      <formula>NOT(ISERROR(SEARCH(("Шерашова"),(F56))))</formula>
    </cfRule>
  </conditionalFormatting>
  <conditionalFormatting sqref="F2:N55 O2:P56 Q2:U55 V2:V33 AG29:AG32 W34:W36 V37:V55 W52:W54 X53 L63:M70">
    <cfRule type="containsText" dxfId="2" priority="3" operator="containsText" text="Шерашова">
      <formula>NOT(ISERROR(SEARCH(("Шерашова"),(F2))))</formula>
    </cfRule>
  </conditionalFormatting>
  <conditionalFormatting sqref="F2:N55 O2:P56 Q2:U55 V2:V33 AG29:AG32 W34:W36 V37:V55 W52:W54 X53 L63:M70">
    <cfRule type="containsText" dxfId="3" priority="4" operator="containsText" text="Англ">
      <formula>NOT(ISERROR(SEARCH(("Англ"),(F2))))</formula>
    </cfRule>
  </conditionalFormatting>
  <conditionalFormatting sqref="F2:N55 O2:P56 Q2:U55 V2:V33 AG29:AG32 W34:W36 V37:V55 W52:W54 X53 L63:M70">
    <cfRule type="containsText" dxfId="4" priority="5" operator="containsText" text="Театр">
      <formula>NOT(ISERROR(SEARCH(("Театр"),(F2))))</formula>
    </cfRule>
  </conditionalFormatting>
  <conditionalFormatting sqref="F2:N55 O2:P56 Q2:U55 V2:V33 AG29:AG32 W34:W36 V37:V55 W52:W54 X53 L63:M70">
    <cfRule type="containsText" dxfId="5" priority="6" operator="containsText" text="Колечкин">
      <formula>NOT(ISERROR(SEARCH(("Колечкин"),(F2))))</formula>
    </cfRule>
  </conditionalFormatting>
  <conditionalFormatting sqref="F2:X74 AG29:AG32">
    <cfRule type="containsText" dxfId="0" priority="7" operator="containsText" text="Репнев">
      <formula>NOT(ISERROR(SEARCH(("Репнев"),(F2))))</formula>
    </cfRule>
  </conditionalFormatting>
  <conditionalFormatting sqref="F2:J67 K2:N70 O2:X67 AG29:AG32">
    <cfRule type="containsText" dxfId="6" priority="8" operator="containsText" text="Рогацкина">
      <formula>NOT(ISERROR(SEARCH(("Рогацкина"),(F2))))</formula>
    </cfRule>
  </conditionalFormatting>
  <conditionalFormatting sqref="F2:J69 K2:N70 O2:X69 AG29:AG32">
    <cfRule type="containsText" dxfId="7" priority="9" operator="containsText" text="Белоусова">
      <formula>NOT(ISERROR(SEARCH(("Белоусова"),(F2))))</formula>
    </cfRule>
  </conditionalFormatting>
  <conditionalFormatting sqref="F2:J62 K2:N70 O2:X62 AG29:AG32">
    <cfRule type="containsText" dxfId="8" priority="10" operator="containsText" text="Караванова">
      <formula>NOT(ISERROR(SEARCH(("Караванова"),(F2))))</formula>
    </cfRule>
  </conditionalFormatting>
  <conditionalFormatting sqref="F2:J65 K2:N70 O2:X65 AG29:AG32">
    <cfRule type="containsText" dxfId="9" priority="11" operator="containsText" text="Дронзик">
      <formula>NOT(ISERROR(SEARCH(("Дронзик"),(F2))))</formula>
    </cfRule>
  </conditionalFormatting>
  <conditionalFormatting sqref="F2:J66 K2:N70 O2:X66 AG29:AG32">
    <cfRule type="containsText" dxfId="10" priority="12" operator="containsText" text="Старунова">
      <formula>NOT(ISERROR(SEARCH(("Старунова"),(F2))))</formula>
    </cfRule>
  </conditionalFormatting>
  <conditionalFormatting sqref="F2:J64 K2:N70 O2:X64 AG29:AG32">
    <cfRule type="containsText" dxfId="11" priority="13" operator="containsText" text="Харитонов">
      <formula>NOT(ISERROR(SEARCH(("Харитонов"),(F2))))</formula>
    </cfRule>
  </conditionalFormatting>
  <conditionalFormatting sqref="F2:J69 K2:N70 O2:X69 AG29:AG32">
    <cfRule type="containsText" dxfId="12" priority="14" operator="containsText" text="Хуснутдинов">
      <formula>NOT(ISERROR(SEARCH(("Хуснутдинов"),(F2))))</formula>
    </cfRule>
  </conditionalFormatting>
  <conditionalFormatting sqref="F2:J68 K2:N70 O2:X68 AG29:AG32">
    <cfRule type="containsText" dxfId="13" priority="15" operator="containsText" text="Решетников">
      <formula>NOT(ISERROR(SEARCH(("Решетников"),(F2))))</formula>
    </cfRule>
  </conditionalFormatting>
  <conditionalFormatting sqref="F2:X71 AG29:AG32">
    <cfRule type="containsText" dxfId="14" priority="16" operator="containsText" text="Заводов">
      <formula>NOT(ISERROR(SEARCH(("Заводов"),(F2))))</formula>
    </cfRule>
  </conditionalFormatting>
  <conditionalFormatting sqref="F1:J68 K1:N70 O1:X68 AG29:AG32">
    <cfRule type="containsText" dxfId="15" priority="17" operator="containsText" text="Абрамов">
      <formula>NOT(ISERROR(SEARCH(("Абрамов"),(F1))))</formula>
    </cfRule>
  </conditionalFormatting>
  <conditionalFormatting sqref="F2:J69 K2:N70 O2:X69 AG29:AG32">
    <cfRule type="containsText" dxfId="16" priority="18" operator="containsText" text="Климов">
      <formula>NOT(ISERROR(SEARCH(("Климов"),(F2))))</formula>
    </cfRule>
  </conditionalFormatting>
  <conditionalFormatting sqref="F2:J63 K2:N70 O2:X63 AG29:AG32">
    <cfRule type="containsText" dxfId="17" priority="19" operator="containsText" text="Клейменов">
      <formula>NOT(ISERROR(SEARCH(("Клейменов"),(F2))))</formula>
    </cfRule>
  </conditionalFormatting>
  <conditionalFormatting sqref="F2:X70 AG29:AG32">
    <cfRule type="containsText" dxfId="18" priority="20" operator="containsText" text="Попович">
      <formula>NOT(ISERROR(SEARCH(("Попович"),(F2))))</formula>
    </cfRule>
  </conditionalFormatting>
  <conditionalFormatting sqref="F2:X70 AG29:AG32">
    <cfRule type="containsText" dxfId="19" priority="21" operator="containsText" text="Исмаилов">
      <formula>NOT(ISERROR(SEARCH(("Исмаилов"),(F2))))</formula>
    </cfRule>
  </conditionalFormatting>
  <conditionalFormatting sqref="F2:F20 G2:G12 H2:J47 K2:L51 M2:R47 S2:T6 U2:W47 S9:T9 S11:S48 T11:T34 G15:G17 G19:G20 F24:G32 AG29:AG32 F34:F55 G34:G47 T37:T43 T45:T47 T49:T55 U49:U52 G50:G51 O50:O51 S51:S55 H52:I55 J52:J54 M52 Q52:Q55 K53:K55 G54:G55 O54:O56 R54:R55 L55:N55 P56 L63:M70">
    <cfRule type="containsText" dxfId="20" priority="22" operator="containsText" text="Ларченко">
      <formula>NOT(ISERROR(SEARCH(("Ларченко"),(F2))))</formula>
    </cfRule>
  </conditionalFormatting>
  <conditionalFormatting sqref="F2:J67 K2:N70 O2:X67 AG29:AG32">
    <cfRule type="containsText" dxfId="21" priority="23" operator="containsText" text="Краснова">
      <formula>NOT(ISERROR(SEARCH(("Краснова"),(F2))))</formula>
    </cfRule>
  </conditionalFormatting>
  <conditionalFormatting sqref="F2:J67 K2:N70 O2:X67 AG29:AG32">
    <cfRule type="containsText" dxfId="22" priority="24" operator="containsText" text="Белоус">
      <formula>NOT(ISERROR(SEARCH(("Белоус"),(F2))))</formula>
    </cfRule>
  </conditionalFormatting>
  <conditionalFormatting sqref="F2:J67 K2:N70 O2:X67 AG29:AG32">
    <cfRule type="containsText" dxfId="23" priority="25" operator="containsText" text="Куницын">
      <formula>NOT(ISERROR(SEARCH(("Куницын"),(F2))))</formula>
    </cfRule>
  </conditionalFormatting>
  <dataValidations>
    <dataValidation type="custom" allowBlank="1" showDropDown="1" sqref="T3:T4">
      <formula1>IF(COUNTA(filter($F28:$X28,ARRAYFORMULA(ISERROR(FIND(join(",",filter(split($I$85,","),ARRAYFORMULA(ISERROR(FIND(split($I$85,","),T3)))=FALSE)),$F28:$X28))=FALSE)))&gt;1,FALSE,TRUE)</formula1>
    </dataValidation>
    <dataValidation type="custom" allowBlank="1" showDropDown="1" sqref="Q28 Q30 S31:S32 T34 S49:S50 U53:W54">
      <formula1>IF(COUNTA(filter($F27:$X27,ARRAYFORMULA(ISERROR(FIND(join(",",filter(split($I$85,","),ARRAYFORMULA(ISERROR(FIND(split($I$85,","),Q28)))=FALSE)),$F27:$X27))=FALSE)))&gt;1,FALSE,TRUE)</formula1>
    </dataValidation>
    <dataValidation type="custom" allowBlank="1" showDropDown="1" sqref="S33">
      <formula1>IF(COUNTA(filter($F31:$X31,ARRAYFORMULA(ISERROR(FIND(join(",",filter(split($I$84,","),ARRAYFORMULA(ISERROR(FIND(split($I$84,","),S33)))=FALSE)),$F31:$X31))=FALSE)))&gt;1,FALSE,TRUE)</formula1>
    </dataValidation>
    <dataValidation type="custom" allowBlank="1" showDropDown="1" sqref="F2">
      <formula1>IF(COUNTA(filter($F2:$X2,ARRAYFORMULA(ISERROR(FIND(join(",",filter(split($I$84,","),ARRAYFORMULA(ISERROR(FIND(split($I$84,","),F2)))=FALSE)),$F2:$X2))=FALSE)))&gt;1,FALSE,TRUE)</formula1>
    </dataValidation>
    <dataValidation type="custom" allowBlank="1" showDropDown="1" sqref="O3:O4 Q5:Q6 K7 M9:M10">
      <formula1>IF(COUNTA(filter($F37:$X37,ARRAYFORMULA(ISERROR(FIND(join(",",filter(split($I$85,","),ARRAYFORMULA(ISERROR(FIND(split($I$85,","),K3)))=FALSE)),$F37:$X37))=FALSE)))&gt;1,FALSE,TRUE)</formula1>
    </dataValidation>
    <dataValidation type="custom" allowBlank="1" showDropDown="1" sqref="H33 F34 R33:R34">
      <formula1>IF(COUNTA(filter($F33:$X33,ARRAYFORMULA(ISERROR(FIND(join(",",filter(split($I$84,","),ARRAYFORMULA(ISERROR(FIND(split($I$84,","),#REF!)))=FALSE)),$F33:$X33))=FALSE)))&gt;1,FALSE,TRUE)</formula1>
    </dataValidation>
    <dataValidation type="custom" allowBlank="1" showDropDown="1" sqref="U13:V14 U15:U16 Q26 K28">
      <formula1>IF(COUNTA(filter($F17:$X17,ARRAYFORMULA(ISERROR(FIND(join(",",filter(split($I$85,","),ARRAYFORMULA(ISERROR(FIND(split($I$85,","),K13)))=FALSE)),$F17:$X17))=FALSE)))&gt;1,FALSE,TRUE)</formula1>
    </dataValidation>
    <dataValidation type="custom" allowBlank="1" showDropDown="1" sqref="S13:S14">
      <formula1>IF(COUNTA(filter($F3:$X3,ARRAYFORMULA(ISERROR(FIND(join(",",filter(split($I$85,","),ARRAYFORMULA(ISERROR(FIND(split($I$85,","),S13)))=FALSE)),$F3:$X3))=FALSE)))&gt;1,FALSE,TRUE)</formula1>
    </dataValidation>
    <dataValidation type="custom" allowBlank="1" showDropDown="1" sqref="Q33">
      <formula1>IF(COUNTA(filter($G42:$X42,ARRAYFORMULA(ISERROR(FIND(join(",",filter(split($I$85,","),ARRAYFORMULA(ISERROR(FIND(split($I$85,","),Q33)))=FALSE)),$G42:$X42))=FALSE)))&gt;1,FALSE,TRUE)</formula1>
    </dataValidation>
    <dataValidation type="custom" allowBlank="1" showDropDown="1" sqref="K8">
      <formula1>IF(COUNTA(filter($G42:$X42,ARRAYFORMULA(ISERROR(FIND(join(",",filter(split($I$85,","),ARRAYFORMULA(ISERROR(FIND(split($I$85,","),K8)))=FALSE)),$G42:$X42))=FALSE)))&gt;1,FALSE,TRUE)</formula1>
    </dataValidation>
    <dataValidation type="custom" allowBlank="1" showDropDown="1" sqref="Q9:Q10 S15:T16 O19:O20 O31:O32 M52 K53:K55 M54:M55">
      <formula1>IF(COUNTA(filter($F7:$X7,ARRAYFORMULA(ISERROR(FIND(join(",",filter(split($I$85,","),ARRAYFORMULA(ISERROR(FIND(split($I$85,","),K9)))=FALSE)),$F7:$X7))=FALSE)))&gt;1,FALSE,TRUE)</formula1>
    </dataValidation>
    <dataValidation type="custom" allowBlank="1" showDropDown="1" sqref="U19:U20">
      <formula1>IF(COUNTA(filter($F27:$X27,ARRAYFORMULA(ISERROR(FIND(join(",",filter(split($I$85,","),ARRAYFORMULA(ISERROR(FIND(split($I$85,","),U19)))=FALSE)),$F27:$X27))=FALSE)))&gt;1,FALSE,TRUE)</formula1>
    </dataValidation>
    <dataValidation type="custom" allowBlank="1" showDropDown="1" sqref="K48:K49">
      <formula1>IF(COUNTA(filter($F9:$X9,ARRAYFORMULA(ISERROR(FIND(join(",",filter(split($I$85,","),ARRAYFORMULA(ISERROR(FIND(split($I$85,","),K48)))=FALSE)),$F9:$X9))=FALSE)))&gt;1,FALSE,TRUE)</formula1>
    </dataValidation>
    <dataValidation type="custom" allowBlank="1" showDropDown="1" sqref="Q13:Q17 H29:H30 M29:M30 K32 O33:O34 F37:F38 K37:K38 O37:O38 U41:U42 F43:F44 Q43:Q44 S48 U49:U50 L50:L51 Q52:Q53 F52:F54">
      <formula1>IF(COUNTA(filter(#REF!,ARRAYFORMULA(ISERROR(FIND(join(",",filter(split($I$85,","),ARRAYFORMULA(ISERROR(FIND(split($I$85,","),F13)))=FALSE)),#REF!))=FALSE)))&gt;1,FALSE,TRUE)</formula1>
    </dataValidation>
    <dataValidation type="custom" allowBlank="1" showDropDown="1" sqref="S7:S8">
      <formula1>IF(COUNTA(filter($F54:$X54,ARRAYFORMULA(ISERROR(FIND(join(",",filter(split($I$85,","),ARRAYFORMULA(ISERROR(FIND(split($I$85,","),S7)))=FALSE)),$F54:$X54))=FALSE)))&gt;1,FALSE,TRUE)</formula1>
    </dataValidation>
    <dataValidation type="custom" allowBlank="1" showDropDown="1" sqref="Q45">
      <formula1>IF(COUNTA(filter($G42:$X42,ARRAYFORMULA(ISERROR(FIND(join(",",filter(split($I$85,","),ARRAYFORMULA(ISERROR(FIND(split($I$85,","),Q45)))=FALSE)),$G42:$X42))=FALSE)))&gt;1,FALSE,TRUE)</formula1>
    </dataValidation>
    <dataValidation type="custom" allowBlank="1" showDropDown="1" sqref="T53">
      <formula1>IF(COUNTA(filter($F33:$X33,ARRAYFORMULA(ISERROR(FIND(join(",",filter(split($I$85,","),ARRAYFORMULA(ISERROR(FIND(split($I$85,","),T53)))=FALSE)),$F33:$X33))=FALSE)))&gt;1,FALSE,TRUE)</formula1>
    </dataValidation>
    <dataValidation type="custom" allowBlank="1" showDropDown="1" sqref="K27">
      <formula1>IF(COUNTA(filter($F32:$X32,ARRAYFORMULA(ISERROR(FIND(join(",",filter(split($I$85,","),ARRAYFORMULA(ISERROR(FIND(split($I$85,","),K27)))=FALSE)),$F32:$X32))=FALSE)))&gt;1,FALSE,TRUE)</formula1>
    </dataValidation>
    <dataValidation type="custom" allowBlank="1" showDropDown="1" sqref="U37:U38">
      <formula1>IF(COUNTA(filter($F13:$X13,ARRAYFORMULA(ISERROR(FIND(join(",",filter(split($I$85,","),ARRAYFORMULA(ISERROR(FIND(split($I$85,","),U37)))=FALSE)),$F13:$X13))=FALSE)))&gt;1,FALSE,TRUE)</formula1>
    </dataValidation>
    <dataValidation type="custom" allowBlank="1" showDropDown="1" sqref="O5:O6 O13:O14 F24 O27:O28 U26:U29 U39 O43:O44">
      <formula1>IF(COUNTA(filter($F7:$X7,ARRAYFORMULA(ISERROR(FIND(join(",",filter(split($I$85,","),ARRAYFORMULA(ISERROR(FIND(split($I$85,","),F5)))=FALSE)),$F7:$X7))=FALSE)))&gt;1,FALSE,TRUE)</formula1>
    </dataValidation>
    <dataValidation type="custom" allowBlank="1" showDropDown="1" sqref="F4:G7 M27">
      <formula1>IF(COUNTA(filter($F7:$X7,ARRAYFORMULA(ISERROR(FIND(join(",",filter(split($I$85,","),ARRAYFORMULA(ISERROR(FIND(split($I$85,","),F4)))=FALSE)),$F7:$X7))=FALSE)))&gt;1,FALSE,TRUE)</formula1>
    </dataValidation>
    <dataValidation type="custom" allowBlank="1" showDropDown="1" sqref="T54">
      <formula1>IF(COUNTA(filter($F9:$X9,ARRAYFORMULA(ISERROR(FIND(join(",",filter(split($I$85,","),ARRAYFORMULA(ISERROR(FIND(split($I$85,","),T54)))=FALSE)),$F9:$X9))=FALSE)))&gt;1,FALSE,TRUE)</formula1>
    </dataValidation>
    <dataValidation type="custom" allowBlank="1" showDropDown="1" sqref="U3:U4">
      <formula1>IF(COUNTA(filter($F48:$X48,ARRAYFORMULA(ISERROR(FIND(join(",",filter(split($I$85,","),ARRAYFORMULA(ISERROR(FIND(split($I$85,","),U3)))=FALSE)),$F48:$X48))=FALSE)))&gt;1,FALSE,TRUE)</formula1>
    </dataValidation>
    <dataValidation type="custom" allowBlank="1" showDropDown="1" sqref="U40">
      <formula1>IF(COUNTA(filter($G42:$X42,ARRAYFORMULA(ISERROR(FIND(join(",",filter(split($I$85,","),ARRAYFORMULA(ISERROR(FIND(split($I$85,","),U40)))=FALSE)),$G42:$X42))=FALSE)))&gt;1,FALSE,TRUE)</formula1>
    </dataValidation>
    <dataValidation type="custom" allowBlank="1" showDropDown="1" sqref="S3:S4 O22">
      <formula1>IF(COUNTA(filter($F17:$X17,ARRAYFORMULA(ISERROR(FIND(join(",",filter(split($I$85,","),ARRAYFORMULA(ISERROR(FIND(split($I$85,","),O3)))=FALSE)),$F17:$X17))=FALSE)))&gt;1,FALSE,TRUE)</formula1>
    </dataValidation>
    <dataValidation type="custom" allowBlank="1" showDropDown="1" sqref="U48">
      <formula1>IF(COUNTA(filter($F54:$X54,ARRAYFORMULA(ISERROR(FIND(join(",",filter(split($I$85,","),ARRAYFORMULA(ISERROR(FIND(split($I$85,","),U48)))=FALSE)),$F54:$X54))=FALSE)))&gt;1,FALSE,TRUE)</formula1>
    </dataValidation>
    <dataValidation type="custom" allowBlank="1" showDropDown="1" sqref="I9 H10 I17:I18 H19:H20 O26 J31:J32 K52 S55">
      <formula1>IF(COUNTA(filter($F5:$X5,ARRAYFORMULA(ISERROR(FIND(join(",",filter(split($I$85,","),ARRAYFORMULA(ISERROR(FIND(split($I$85,","),H9)))=FALSE)),$F5:$X5))=FALSE)))&gt;1,FALSE,TRUE)</formula1>
    </dataValidation>
    <dataValidation type="custom" allowBlank="1" showDropDown="1" sqref="I41:I42 U51:U52">
      <formula1>IF(COUNTA(filter($F73:$X73,ARRAYFORMULA(ISERROR(FIND(join(",",filter(split($I$85,","),ARRAYFORMULA(ISERROR(FIND(split($I$85,","),I41)))=FALSE)),$F73:$X73))=FALSE)))&gt;1,FALSE,TRUE)</formula1>
    </dataValidation>
    <dataValidation type="custom" allowBlank="1" showDropDown="1" sqref="O2 S2 U2 H2:H3 K2:K3 M4 Q2:Q4 H5:I6 L5:N6 U5:U6 M7:M8 Q7:Q8 U7:V8 H7:H9 R9:S9 I10 K9:K10 O9:O10 R10 X2:X10 F12:X12 F13:F14 I13:I14 M13:M14 F17:F18 H15:H18 T17:T18 I19:I20 K15:K20 M17:M20 H21 S19:S21 U21 H22:I22 H23:S23 K26 Q27 S27 R28 F29:G29 Q29 F30 J29:J30 R30 U30 G31:H32 Q31:R32 K33:K34 X13:X34 F35:G36 U35:X36 H37:H38 M37:N38 Q37:R38 I39:I40 K39:K40 M39:O40 H41 K41:L41 O41:Q41 S39:T41 X37:X41 F39:F42 S43:U43 K43:M44 U44 F45 H43:I45 L45 R45 I46 N45:O46 X43:X46 F47:X47 J48 G48:H49 M48:M49 O48:Q49 H50:H51 M50:N51 M53 O52:P53 J52:J54 H55:I55 P54:Q55 F56 Q56 O57:P57 X48:X57 F58:X58 F59:H59 K59 O59:P59 F60:P60 S59:X60 F61:X67 K68:N70">
      <formula1>IF(COUNTA(filter($F2:$X2,ARRAYFORMULA(ISERROR(FIND(join(",",filter(split($I$85,","),ARRAYFORMULA(ISERROR(FIND(split($I$85,","),F2)))=FALSE)),$F2:$X2))=FALSE)))&gt;1,FALSE,TRUE)</formula1>
    </dataValidation>
    <dataValidation type="custom" allowBlank="1" showDropDown="1" sqref="O7">
      <formula1>IF(COUNTA(filter(#REF!,ARRAYFORMULA(ISERROR(FIND(join(",",filter(split($I$85,","),ARRAYFORMULA(ISERROR(FIND(split($I$85,","),#REF!)))=FALSE)),#REF!))=FALSE)))&gt;1,FALSE,TRUE)</formula1>
    </dataValidation>
    <dataValidation type="custom" allowBlank="1" showDropDown="1" sqref="O54:O55 O56:P56">
      <formula1>IF(COUNTA(filter($E55:$W55,ARRAYFORMULA(ISERROR(FIND(join(",",filter(split($H$83,","),ARRAYFORMULA(ISERROR(FIND(split($H$83,","),O54)))=FALSE)),$E55:$W55))=FALSE)))&gt;1,FALSE,TRUE)</formula1>
    </dataValidation>
    <dataValidation type="custom" allowBlank="1" showDropDown="1" sqref="K13:K14 M15:M16 O17:O18 Q19:Q20">
      <formula1>IF(COUNTA(filter($F48:$X48,ARRAYFORMULA(ISERROR(FIND(join(",",filter(split($I$85,","),ARRAYFORMULA(ISERROR(FIND(split($I$85,","),K13)))=FALSE)),$F48:$X48))=FALSE)))&gt;1,FALSE,TRUE)</formula1>
    </dataValidation>
    <dataValidation type="custom" allowBlank="1" showDropDown="1" sqref="M41:M42">
      <formula1>IF(COUNTA(filter($F1:$X1,ARRAYFORMULA(ISERROR(FIND(join(",",filter(split($I$85,","),ARRAYFORMULA(ISERROR(FIND(split($I$85,","),M41)))=FALSE)),$F1:$X1))=FALSE)))&gt;1,FALSE,TRUE)</formula1>
    </dataValidation>
    <dataValidation type="custom" allowBlank="1" showDropDown="1" sqref="O8">
      <formula1>IF(COUNTA(filter($F1:$X1,ARRAYFORMULA(ISERROR(FIND(join(",",filter(split($I$85,","),ARRAYFORMULA(ISERROR(FIND(split($I$85,","),#REF!)))=FALSE)),$F1:$X1))=FALSE)))&gt;1,FALSE,TRUE)</formula1>
    </dataValidation>
    <dataValidation type="custom" allowBlank="1" showDropDown="1" sqref="U17:U18">
      <formula1>IF(COUNTA(filter($F27:$X27,ARRAYFORMULA(ISERROR(FIND(join(",",filter(split($I$85,","),ARRAYFORMULA(ISERROR(FIND(split($I$85,","),U17)))=FALSE)),$F27:$X27))=FALSE)))&gt;1,FALSE,TRUE)</formula1>
    </dataValidation>
    <dataValidation type="custom" allowBlank="1" showDropDown="1" sqref="I4:J4">
      <formula1>IF(COUNTA(filter($F7:$X7,ARRAYFORMULA(ISERROR(FIND(join(",",filter(split($I$85,","),ARRAYFORMULA(ISERROR(FIND(split($I$85,","),#REF!)))=FALSE)),$F7:$X7))=FALSE)))&gt;1,FALSE,TRUE)</formula1>
    </dataValidation>
    <dataValidation type="custom" allowBlank="1" showDropDown="1" sqref="U11 X11 H42 K42:L42 O42:Q42 S42:T42 X42">
      <formula1>IF(COUNTA(filter($G11:$X11,ARRAYFORMULA(ISERROR(FIND(join(",",filter(split($I$85,","),ARRAYFORMULA(ISERROR(FIND(split($I$85,","),H11)))=FALSE)),$G11:$X11))=FALSE)))&gt;1,FALSE,TRUE)</formula1>
    </dataValidation>
    <dataValidation type="custom" allowBlank="1" showDropDown="1" sqref="I52:I54 G55">
      <formula1>IF(COUNTA(filter($F1:$X1,ARRAYFORMULA(ISERROR(FIND(join(",",filter(split($I$85,","),ARRAYFORMULA(ISERROR(FIND(split($I$85,","),G52)))=FALSE)),$F1:$X1))=FALSE)))&gt;1,FALSE,TRUE)</formula1>
    </dataValidation>
    <dataValidation type="custom" allowBlank="1" showDropDown="1" sqref="I7:I8 F25:F26 H26:I26 H27 F28 G30 S29:T30 F31:F32 I37:I38 H39:H40 F50:F51">
      <formula1>IF(COUNTA(filter($F8:$X8,ARRAYFORMULA(ISERROR(FIND(join(",",filter(split($I$85,","),ARRAYFORMULA(ISERROR(FIND(split($I$85,","),F7)))=FALSE)),$F8:$X8))=FALSE)))&gt;1,FALSE,TRUE)</formula1>
    </dataValidation>
    <dataValidation type="custom" allowBlank="1" showDropDown="1" sqref="O21">
      <formula1>IF(COUNTA(filter($F34:$X34,ARRAYFORMULA(ISERROR(FIND(join(",",filter(split($I$85,","),ARRAYFORMULA(ISERROR(FIND(split($I$85,","),O21)))=FALSE)),$F34:$X34))=FALSE)))&gt;1,FALSE,TRUE)</formula1>
    </dataValidation>
    <dataValidation type="custom" allowBlank="1" showDropDown="1" sqref="F3:G3 H4 K5:K6 F15:F16 S35:S36 F48:F49 K50:K51 H52:H54 F55">
      <formula1>IF(COUNTA(filter($F3:$X3,ARRAYFORMULA(ISERROR(FIND(join(",",filter(split($I$85,","),ARRAYFORMULA(ISERROR(FIND(split($I$85,","),#REF!)))=FALSE)),$F3:$X3))=FALSE)))&gt;1,FALSE,TRUE)</formula1>
    </dataValidation>
    <dataValidation type="custom" allowBlank="1" showDropDown="1" sqref="Q34">
      <formula1>IF(COUNTA(filter($F43:$X43,ARRAYFORMULA(ISERROR(FIND(join(",",filter(split($I$85,","),ARRAYFORMULA(ISERROR(FIND(split($I$85,","),Q34)))=FALSE)),$F43:$X43))=FALSE)))&gt;1,FALSE,TRUE)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5.5"/>
    <col customWidth="1" min="2" max="2" width="11.0"/>
    <col customWidth="1" min="7" max="7" width="13.88"/>
    <col customWidth="1" min="8" max="8" width="13.75"/>
    <col customWidth="1" min="16" max="16" width="15.25"/>
  </cols>
  <sheetData>
    <row r="1">
      <c r="A1" s="463"/>
      <c r="B1" s="464"/>
      <c r="C1" s="465" t="s">
        <v>1</v>
      </c>
      <c r="D1" s="6"/>
      <c r="E1" s="465" t="s">
        <v>2792</v>
      </c>
      <c r="F1" s="6"/>
      <c r="G1" s="466" t="s">
        <v>2793</v>
      </c>
      <c r="H1" s="6"/>
      <c r="I1" s="465" t="s">
        <v>4</v>
      </c>
      <c r="J1" s="6"/>
      <c r="K1" s="465" t="s">
        <v>5</v>
      </c>
      <c r="L1" s="6"/>
      <c r="M1" s="465" t="s">
        <v>6</v>
      </c>
      <c r="N1" s="6"/>
      <c r="O1" s="467" t="s">
        <v>2794</v>
      </c>
      <c r="P1" s="6"/>
    </row>
    <row r="2" hidden="1">
      <c r="A2" s="468">
        <v>44858.0</v>
      </c>
      <c r="B2" s="469" t="s">
        <v>2795</v>
      </c>
      <c r="C2" s="470" t="s">
        <v>2796</v>
      </c>
      <c r="D2" s="247"/>
      <c r="E2" s="247"/>
      <c r="F2" s="247"/>
      <c r="G2" s="247"/>
      <c r="H2" s="247"/>
      <c r="I2" s="247"/>
      <c r="J2" s="247"/>
      <c r="K2" s="247"/>
      <c r="L2" s="247"/>
      <c r="M2" s="247"/>
      <c r="N2" s="247"/>
      <c r="O2" s="247"/>
      <c r="P2" s="6"/>
    </row>
    <row r="3" hidden="1">
      <c r="A3" s="30"/>
      <c r="B3" s="471"/>
      <c r="C3" s="472" t="s">
        <v>2797</v>
      </c>
      <c r="D3" s="36"/>
      <c r="E3" s="36"/>
      <c r="F3" s="36"/>
      <c r="G3" s="36"/>
      <c r="H3" s="36"/>
      <c r="I3" s="36"/>
      <c r="J3" s="36"/>
      <c r="K3" s="36"/>
      <c r="L3" s="36"/>
      <c r="M3" s="36"/>
      <c r="N3" s="36"/>
      <c r="O3" s="36"/>
      <c r="P3" s="41"/>
    </row>
    <row r="4" hidden="1">
      <c r="A4" s="30"/>
      <c r="B4" s="471" t="s">
        <v>2798</v>
      </c>
      <c r="C4" s="473" t="s">
        <v>2799</v>
      </c>
      <c r="P4" s="134"/>
    </row>
    <row r="5" hidden="1">
      <c r="A5" s="30"/>
      <c r="B5" s="471" t="s">
        <v>2800</v>
      </c>
      <c r="C5" s="474">
        <v>210.0</v>
      </c>
      <c r="D5" s="13"/>
      <c r="E5" s="474" t="s">
        <v>2801</v>
      </c>
      <c r="F5" s="13"/>
      <c r="G5" s="474" t="s">
        <v>2802</v>
      </c>
      <c r="H5" s="475">
        <v>503.0</v>
      </c>
      <c r="I5" s="474">
        <v>402.0</v>
      </c>
      <c r="J5" s="13"/>
      <c r="K5" s="474">
        <v>408.0</v>
      </c>
      <c r="L5" s="13"/>
      <c r="M5" s="474">
        <v>405.0</v>
      </c>
      <c r="N5" s="13"/>
      <c r="O5" s="474">
        <v>409.0</v>
      </c>
      <c r="P5" s="13"/>
    </row>
    <row r="6" hidden="1">
      <c r="A6" s="30"/>
      <c r="B6" s="471" t="s">
        <v>2803</v>
      </c>
      <c r="C6" s="472" t="s">
        <v>2804</v>
      </c>
      <c r="D6" s="36"/>
      <c r="E6" s="36"/>
      <c r="F6" s="36"/>
      <c r="G6" s="36"/>
      <c r="H6" s="36"/>
      <c r="I6" s="36"/>
      <c r="J6" s="36"/>
      <c r="K6" s="36"/>
      <c r="L6" s="36"/>
      <c r="M6" s="36"/>
      <c r="N6" s="36"/>
      <c r="O6" s="36"/>
      <c r="P6" s="41"/>
    </row>
    <row r="7" hidden="1">
      <c r="A7" s="30"/>
      <c r="B7" s="471" t="s">
        <v>2805</v>
      </c>
      <c r="C7" s="473" t="s">
        <v>2799</v>
      </c>
      <c r="P7" s="134"/>
    </row>
    <row r="8" hidden="1">
      <c r="A8" s="30"/>
      <c r="B8" s="471" t="s">
        <v>2800</v>
      </c>
      <c r="C8" s="474">
        <v>210.0</v>
      </c>
      <c r="D8" s="13"/>
      <c r="E8" s="474" t="s">
        <v>2801</v>
      </c>
      <c r="F8" s="13"/>
      <c r="G8" s="474" t="s">
        <v>2802</v>
      </c>
      <c r="H8" s="475">
        <v>503.0</v>
      </c>
      <c r="I8" s="474">
        <v>402.0</v>
      </c>
      <c r="J8" s="13"/>
      <c r="K8" s="474">
        <v>408.0</v>
      </c>
      <c r="L8" s="13"/>
      <c r="M8" s="474">
        <v>405.0</v>
      </c>
      <c r="N8" s="13"/>
      <c r="O8" s="474">
        <v>409.0</v>
      </c>
      <c r="P8" s="13"/>
    </row>
    <row r="9" hidden="1">
      <c r="A9" s="30"/>
      <c r="B9" s="471"/>
      <c r="C9" s="472" t="s">
        <v>2806</v>
      </c>
      <c r="D9" s="36"/>
      <c r="E9" s="36"/>
      <c r="F9" s="36"/>
      <c r="G9" s="36"/>
      <c r="H9" s="36"/>
      <c r="I9" s="36"/>
      <c r="J9" s="36"/>
      <c r="K9" s="36"/>
      <c r="L9" s="36"/>
      <c r="M9" s="36"/>
      <c r="N9" s="36"/>
      <c r="O9" s="36"/>
      <c r="P9" s="41"/>
    </row>
    <row r="10" hidden="1">
      <c r="A10" s="30"/>
      <c r="B10" s="471" t="s">
        <v>2807</v>
      </c>
      <c r="C10" s="476" t="s">
        <v>2808</v>
      </c>
      <c r="P10" s="134"/>
    </row>
    <row r="11" hidden="1">
      <c r="A11" s="30"/>
      <c r="B11" s="471" t="s">
        <v>2800</v>
      </c>
      <c r="C11" s="477" t="s">
        <v>2809</v>
      </c>
      <c r="P11" s="134"/>
    </row>
    <row r="12" ht="65.25" hidden="1" customHeight="1">
      <c r="A12" s="105"/>
      <c r="B12" s="478" t="s">
        <v>2810</v>
      </c>
      <c r="C12" s="479"/>
      <c r="D12" s="480"/>
      <c r="F12" s="480"/>
      <c r="K12" s="480"/>
      <c r="L12" s="480"/>
      <c r="M12" s="480"/>
      <c r="N12" s="480"/>
      <c r="O12" s="480"/>
      <c r="P12" s="481"/>
    </row>
    <row r="13" hidden="1">
      <c r="A13" s="468">
        <v>44859.0</v>
      </c>
      <c r="B13" s="469" t="s">
        <v>2811</v>
      </c>
      <c r="C13" s="482" t="s">
        <v>2812</v>
      </c>
      <c r="D13" s="247"/>
      <c r="E13" s="247"/>
      <c r="F13" s="247"/>
      <c r="G13" s="247"/>
      <c r="H13" s="247"/>
      <c r="I13" s="247"/>
      <c r="J13" s="247"/>
      <c r="K13" s="247"/>
      <c r="L13" s="247"/>
      <c r="M13" s="247"/>
      <c r="N13" s="247"/>
      <c r="O13" s="247"/>
      <c r="P13" s="6"/>
    </row>
    <row r="14" hidden="1">
      <c r="A14" s="30"/>
      <c r="C14" s="224"/>
      <c r="P14" s="134"/>
    </row>
    <row r="15" hidden="1">
      <c r="A15" s="30"/>
      <c r="C15" s="224"/>
      <c r="P15" s="134"/>
    </row>
    <row r="16" hidden="1">
      <c r="A16" s="30"/>
      <c r="C16" s="224"/>
      <c r="P16" s="134"/>
    </row>
    <row r="17" hidden="1">
      <c r="A17" s="30"/>
      <c r="B17" s="64"/>
      <c r="C17" s="104"/>
      <c r="D17" s="64"/>
      <c r="E17" s="64"/>
      <c r="F17" s="64"/>
      <c r="G17" s="64"/>
      <c r="H17" s="64"/>
      <c r="I17" s="64"/>
      <c r="J17" s="64"/>
      <c r="K17" s="64"/>
      <c r="L17" s="64"/>
      <c r="M17" s="64"/>
      <c r="N17" s="64"/>
      <c r="O17" s="64"/>
      <c r="P17" s="88"/>
    </row>
    <row r="18" ht="42.75" hidden="1" customHeight="1">
      <c r="A18" s="30"/>
      <c r="B18" s="483" t="s">
        <v>1921</v>
      </c>
      <c r="C18" s="484" t="s">
        <v>2813</v>
      </c>
      <c r="D18" s="88"/>
      <c r="E18" s="485"/>
      <c r="F18" s="486"/>
      <c r="G18" s="484" t="s">
        <v>2814</v>
      </c>
      <c r="H18" s="88"/>
      <c r="I18" s="487"/>
      <c r="J18" s="485"/>
      <c r="K18" s="484" t="s">
        <v>2815</v>
      </c>
      <c r="L18" s="88"/>
      <c r="M18" s="485"/>
      <c r="N18" s="485"/>
      <c r="O18" s="485"/>
      <c r="P18" s="485"/>
      <c r="Q18" s="488"/>
      <c r="R18" s="489"/>
      <c r="S18" s="489"/>
      <c r="T18" s="489"/>
      <c r="U18" s="489"/>
      <c r="V18" s="489"/>
      <c r="W18" s="489"/>
      <c r="X18" s="489"/>
      <c r="Y18" s="489"/>
      <c r="Z18" s="489"/>
    </row>
    <row r="19" ht="42.75" hidden="1" customHeight="1">
      <c r="A19" s="30"/>
      <c r="B19" s="478"/>
      <c r="C19" s="490" t="s">
        <v>2816</v>
      </c>
      <c r="D19" s="64"/>
      <c r="E19" s="64"/>
      <c r="F19" s="64"/>
      <c r="G19" s="64"/>
      <c r="H19" s="64"/>
      <c r="I19" s="64"/>
      <c r="J19" s="64"/>
      <c r="K19" s="64"/>
      <c r="L19" s="64"/>
      <c r="M19" s="64"/>
      <c r="N19" s="64"/>
      <c r="O19" s="64"/>
      <c r="P19" s="88"/>
      <c r="Q19" s="491"/>
    </row>
    <row r="20" hidden="1">
      <c r="A20" s="30"/>
      <c r="B20" s="492" t="s">
        <v>2817</v>
      </c>
      <c r="C20" s="493" t="s">
        <v>2818</v>
      </c>
      <c r="D20" s="13"/>
      <c r="E20" s="494" t="s">
        <v>2819</v>
      </c>
      <c r="F20" s="36"/>
      <c r="G20" s="36"/>
      <c r="H20" s="13"/>
      <c r="I20" s="493" t="s">
        <v>2820</v>
      </c>
      <c r="J20" s="13"/>
      <c r="K20" s="495" t="s">
        <v>2821</v>
      </c>
      <c r="L20" s="8"/>
      <c r="M20" s="8"/>
      <c r="N20" s="8"/>
      <c r="O20" s="8"/>
      <c r="P20" s="129"/>
      <c r="Q20" s="496" t="s">
        <v>2822</v>
      </c>
      <c r="S20" s="497"/>
      <c r="T20" s="497"/>
      <c r="U20" s="497"/>
      <c r="V20" s="497"/>
      <c r="W20" s="497"/>
      <c r="X20" s="497"/>
      <c r="Y20" s="497"/>
      <c r="Z20" s="497"/>
    </row>
    <row r="21" ht="24.0" hidden="1" customHeight="1">
      <c r="A21" s="30"/>
      <c r="B21" s="492"/>
      <c r="C21" s="498"/>
      <c r="D21" s="498"/>
      <c r="E21" s="498"/>
      <c r="F21" s="498"/>
      <c r="G21" s="498"/>
      <c r="H21" s="498"/>
      <c r="I21" s="499" t="s">
        <v>2819</v>
      </c>
      <c r="J21" s="500"/>
      <c r="K21" s="500"/>
      <c r="L21" s="500"/>
      <c r="M21" s="500"/>
      <c r="N21" s="500"/>
      <c r="O21" s="501"/>
      <c r="P21" s="502"/>
      <c r="Q21" s="503"/>
      <c r="R21" s="504"/>
      <c r="S21" s="497"/>
      <c r="T21" s="497"/>
      <c r="U21" s="497"/>
      <c r="V21" s="497"/>
      <c r="W21" s="497"/>
      <c r="X21" s="497"/>
      <c r="Y21" s="497"/>
      <c r="Z21" s="497"/>
    </row>
    <row r="22" hidden="1">
      <c r="A22" s="30"/>
      <c r="B22" s="505"/>
      <c r="C22" s="506"/>
      <c r="D22" s="506"/>
      <c r="E22" s="506"/>
      <c r="F22" s="506"/>
      <c r="G22" s="506"/>
      <c r="H22" s="506"/>
      <c r="I22" s="506"/>
      <c r="J22" s="506"/>
      <c r="K22" s="507"/>
      <c r="L22" s="507"/>
      <c r="M22" s="507"/>
      <c r="N22" s="507"/>
      <c r="O22" s="507"/>
      <c r="P22" s="508"/>
    </row>
    <row r="23" hidden="1">
      <c r="A23" s="30"/>
      <c r="B23" s="505"/>
      <c r="C23" s="506"/>
      <c r="D23" s="506"/>
      <c r="E23" s="506"/>
      <c r="F23" s="506"/>
      <c r="G23" s="506"/>
      <c r="H23" s="506"/>
      <c r="I23" s="506"/>
      <c r="J23" s="506"/>
      <c r="K23" s="506"/>
      <c r="L23" s="506"/>
      <c r="M23" s="506"/>
      <c r="N23" s="506"/>
      <c r="O23" s="506"/>
      <c r="P23" s="508"/>
    </row>
    <row r="24" hidden="1">
      <c r="A24" s="30"/>
      <c r="B24" s="505"/>
      <c r="C24" s="506"/>
      <c r="D24" s="506"/>
      <c r="E24" s="506"/>
      <c r="F24" s="506"/>
      <c r="G24" s="506"/>
      <c r="H24" s="506"/>
      <c r="I24" s="506"/>
      <c r="J24" s="506"/>
      <c r="K24" s="506"/>
      <c r="L24" s="506"/>
      <c r="M24" s="506"/>
      <c r="N24" s="506"/>
      <c r="O24" s="506"/>
      <c r="P24" s="508"/>
    </row>
    <row r="25" hidden="1">
      <c r="A25" s="30"/>
      <c r="B25" s="505"/>
      <c r="C25" s="506"/>
      <c r="D25" s="506"/>
      <c r="E25" s="506"/>
      <c r="F25" s="506"/>
      <c r="G25" s="506"/>
      <c r="H25" s="506"/>
      <c r="I25" s="506"/>
      <c r="J25" s="506"/>
      <c r="K25" s="506"/>
      <c r="L25" s="506"/>
      <c r="M25" s="506"/>
      <c r="N25" s="506"/>
      <c r="O25" s="506"/>
      <c r="P25" s="508"/>
    </row>
    <row r="26" hidden="1">
      <c r="A26" s="74"/>
      <c r="B26" s="509"/>
      <c r="C26" s="510"/>
      <c r="D26" s="510"/>
      <c r="E26" s="510"/>
      <c r="F26" s="510"/>
      <c r="G26" s="510"/>
      <c r="H26" s="510"/>
      <c r="I26" s="510"/>
      <c r="J26" s="510"/>
      <c r="K26" s="511"/>
      <c r="L26" s="511"/>
      <c r="M26" s="511"/>
      <c r="N26" s="511"/>
      <c r="O26" s="511"/>
      <c r="P26" s="512"/>
    </row>
    <row r="27" hidden="1">
      <c r="A27" s="468">
        <v>44860.0</v>
      </c>
      <c r="B27" s="513" t="s">
        <v>2823</v>
      </c>
      <c r="C27" s="514" t="s">
        <v>2824</v>
      </c>
      <c r="D27" s="36"/>
      <c r="E27" s="36"/>
      <c r="F27" s="13"/>
      <c r="G27" s="515" t="s">
        <v>2808</v>
      </c>
      <c r="H27" s="24"/>
      <c r="I27" s="24"/>
      <c r="J27" s="25"/>
      <c r="K27" s="516" t="s">
        <v>2812</v>
      </c>
      <c r="L27" s="247"/>
      <c r="M27" s="247"/>
      <c r="N27" s="247"/>
      <c r="O27" s="247"/>
      <c r="P27" s="6"/>
    </row>
    <row r="28" hidden="1">
      <c r="A28" s="30"/>
      <c r="B28" s="517" t="s">
        <v>2825</v>
      </c>
      <c r="C28" s="518" t="s">
        <v>2808</v>
      </c>
      <c r="D28" s="36"/>
      <c r="E28" s="36"/>
      <c r="F28" s="13"/>
      <c r="G28" s="514" t="s">
        <v>2826</v>
      </c>
      <c r="H28" s="36"/>
      <c r="I28" s="36"/>
      <c r="J28" s="13"/>
      <c r="P28" s="134"/>
    </row>
    <row r="29" hidden="1">
      <c r="A29" s="30"/>
      <c r="B29" s="517"/>
      <c r="C29" s="490" t="s">
        <v>2827</v>
      </c>
      <c r="D29" s="64"/>
      <c r="E29" s="64"/>
      <c r="F29" s="64"/>
      <c r="G29" s="64"/>
      <c r="H29" s="64"/>
      <c r="I29" s="64"/>
      <c r="J29" s="64"/>
      <c r="K29" s="64"/>
      <c r="L29" s="64"/>
      <c r="M29" s="64"/>
      <c r="N29" s="64"/>
      <c r="O29" s="64"/>
      <c r="P29" s="64"/>
    </row>
    <row r="30" ht="49.5" hidden="1" customHeight="1">
      <c r="A30" s="30"/>
      <c r="B30" s="517" t="s">
        <v>2828</v>
      </c>
      <c r="C30" s="482" t="s">
        <v>2812</v>
      </c>
      <c r="D30" s="247"/>
      <c r="E30" s="247"/>
      <c r="F30" s="247"/>
      <c r="G30" s="247"/>
      <c r="H30" s="247"/>
      <c r="I30" s="247"/>
      <c r="J30" s="6"/>
      <c r="K30" s="519" t="s">
        <v>2808</v>
      </c>
      <c r="P30" s="134"/>
    </row>
    <row r="31" hidden="1">
      <c r="A31" s="30"/>
      <c r="B31" s="517" t="s">
        <v>2829</v>
      </c>
      <c r="C31" s="104"/>
      <c r="D31" s="64"/>
      <c r="E31" s="64"/>
      <c r="F31" s="64"/>
      <c r="G31" s="64"/>
      <c r="H31" s="64"/>
      <c r="I31" s="64"/>
      <c r="J31" s="88"/>
      <c r="P31" s="134"/>
    </row>
    <row r="32" hidden="1">
      <c r="A32" s="30"/>
      <c r="B32" s="478" t="s">
        <v>2830</v>
      </c>
      <c r="C32" s="472" t="s">
        <v>2806</v>
      </c>
      <c r="D32" s="36"/>
      <c r="E32" s="36"/>
      <c r="F32" s="36"/>
      <c r="G32" s="36"/>
      <c r="H32" s="36"/>
      <c r="I32" s="36"/>
      <c r="J32" s="36"/>
      <c r="K32" s="36"/>
      <c r="L32" s="36"/>
      <c r="M32" s="36"/>
      <c r="N32" s="36"/>
      <c r="O32" s="36"/>
      <c r="P32" s="41"/>
    </row>
    <row r="33" hidden="1">
      <c r="A33" s="30"/>
      <c r="B33" s="478" t="s">
        <v>2831</v>
      </c>
      <c r="C33" s="520" t="s">
        <v>2832</v>
      </c>
      <c r="D33" s="13"/>
      <c r="E33" s="521" t="s">
        <v>2833</v>
      </c>
      <c r="F33" s="13"/>
      <c r="G33" s="522" t="s">
        <v>2834</v>
      </c>
      <c r="P33" s="134"/>
    </row>
    <row r="34" hidden="1">
      <c r="A34" s="30"/>
      <c r="B34" s="505"/>
      <c r="C34" s="506"/>
      <c r="D34" s="506"/>
      <c r="E34" s="506"/>
      <c r="F34" s="506"/>
      <c r="G34" s="506"/>
      <c r="H34" s="506"/>
      <c r="I34" s="506"/>
      <c r="J34" s="506"/>
      <c r="K34" s="506"/>
      <c r="L34" s="506"/>
      <c r="M34" s="506"/>
      <c r="N34" s="506"/>
      <c r="O34" s="523" t="s">
        <v>2835</v>
      </c>
      <c r="P34" s="41"/>
    </row>
    <row r="35" hidden="1">
      <c r="A35" s="30"/>
      <c r="B35" s="505"/>
      <c r="C35" s="506"/>
      <c r="D35" s="506"/>
      <c r="E35" s="506"/>
      <c r="F35" s="506"/>
      <c r="G35" s="506"/>
      <c r="H35" s="506"/>
      <c r="I35" s="506"/>
      <c r="J35" s="506"/>
      <c r="K35" s="506"/>
      <c r="L35" s="506"/>
      <c r="M35" s="506"/>
      <c r="N35" s="506"/>
      <c r="O35" s="506"/>
      <c r="P35" s="508"/>
    </row>
    <row r="36" hidden="1">
      <c r="A36" s="74"/>
      <c r="B36" s="524"/>
      <c r="C36" s="511"/>
      <c r="D36" s="511"/>
      <c r="E36" s="511"/>
      <c r="F36" s="511"/>
      <c r="G36" s="511"/>
      <c r="H36" s="511"/>
      <c r="I36" s="511"/>
      <c r="J36" s="511"/>
      <c r="K36" s="511"/>
      <c r="L36" s="511"/>
      <c r="M36" s="511"/>
      <c r="N36" s="511"/>
      <c r="O36" s="511"/>
      <c r="P36" s="512"/>
    </row>
    <row r="37" hidden="1">
      <c r="A37" s="525">
        <v>44861.0</v>
      </c>
      <c r="B37" s="526" t="s">
        <v>2836</v>
      </c>
      <c r="C37" s="482" t="s">
        <v>2812</v>
      </c>
      <c r="D37" s="247"/>
      <c r="E37" s="247"/>
      <c r="F37" s="247"/>
      <c r="G37" s="247"/>
      <c r="H37" s="247"/>
      <c r="I37" s="247"/>
      <c r="J37" s="247"/>
      <c r="K37" s="247"/>
      <c r="L37" s="247"/>
      <c r="M37" s="247"/>
      <c r="N37" s="247"/>
      <c r="O37" s="247"/>
      <c r="P37" s="6"/>
    </row>
    <row r="38" hidden="1">
      <c r="A38" s="224"/>
      <c r="B38" s="222"/>
      <c r="C38" s="224"/>
      <c r="P38" s="134"/>
    </row>
    <row r="39" hidden="1">
      <c r="A39" s="224"/>
      <c r="B39" s="222"/>
      <c r="C39" s="104"/>
      <c r="D39" s="64"/>
      <c r="E39" s="64"/>
      <c r="F39" s="64"/>
      <c r="G39" s="64"/>
      <c r="H39" s="64"/>
      <c r="I39" s="64"/>
      <c r="J39" s="64"/>
      <c r="K39" s="64"/>
      <c r="L39" s="64"/>
      <c r="M39" s="64"/>
      <c r="N39" s="64"/>
      <c r="O39" s="64"/>
      <c r="P39" s="88"/>
    </row>
    <row r="40" hidden="1">
      <c r="A40" s="224"/>
      <c r="B40" s="222"/>
      <c r="C40" s="476" t="s">
        <v>2837</v>
      </c>
      <c r="G40" s="527" t="s">
        <v>2838</v>
      </c>
      <c r="H40" s="519" t="s">
        <v>2837</v>
      </c>
      <c r="O40" s="528" t="s">
        <v>2808</v>
      </c>
      <c r="P40" s="139"/>
    </row>
    <row r="41" hidden="1">
      <c r="A41" s="224"/>
      <c r="B41" s="173"/>
      <c r="C41" s="224"/>
      <c r="G41" s="529" t="s">
        <v>2837</v>
      </c>
      <c r="H41" s="530" t="s">
        <v>2839</v>
      </c>
      <c r="I41" s="64"/>
      <c r="J41" s="64"/>
      <c r="K41" s="64"/>
      <c r="L41" s="64"/>
      <c r="M41" s="64"/>
      <c r="N41" s="64"/>
      <c r="O41" s="64"/>
      <c r="P41" s="72"/>
    </row>
    <row r="42" ht="60.0" hidden="1" customHeight="1">
      <c r="A42" s="224"/>
      <c r="B42" s="531"/>
      <c r="C42" s="104"/>
      <c r="D42" s="64"/>
      <c r="E42" s="64"/>
      <c r="F42" s="64"/>
      <c r="G42" s="532" t="s">
        <v>2840</v>
      </c>
      <c r="H42" s="151"/>
      <c r="I42" s="151"/>
      <c r="J42" s="151"/>
      <c r="K42" s="533" t="s">
        <v>2837</v>
      </c>
      <c r="L42" s="64"/>
      <c r="M42" s="64"/>
      <c r="N42" s="64"/>
      <c r="O42" s="64"/>
      <c r="P42" s="64"/>
      <c r="Q42" s="489"/>
      <c r="R42" s="489"/>
      <c r="S42" s="489"/>
      <c r="T42" s="489"/>
      <c r="U42" s="489"/>
      <c r="V42" s="489"/>
      <c r="W42" s="489"/>
      <c r="X42" s="489"/>
      <c r="Y42" s="489"/>
      <c r="Z42" s="489"/>
    </row>
    <row r="43" ht="22.5" hidden="1" customHeight="1">
      <c r="A43" s="224"/>
      <c r="B43" s="534" t="s">
        <v>2841</v>
      </c>
      <c r="C43" s="472" t="s">
        <v>2806</v>
      </c>
      <c r="D43" s="36"/>
      <c r="E43" s="36"/>
      <c r="F43" s="36"/>
      <c r="G43" s="36"/>
      <c r="H43" s="36"/>
      <c r="I43" s="36"/>
      <c r="J43" s="36"/>
      <c r="K43" s="36"/>
      <c r="L43" s="36"/>
      <c r="M43" s="36"/>
      <c r="N43" s="36"/>
      <c r="O43" s="36"/>
      <c r="P43" s="41"/>
    </row>
    <row r="44" ht="167.25" hidden="1" customHeight="1">
      <c r="A44" s="224"/>
      <c r="B44" s="56" t="s">
        <v>2831</v>
      </c>
      <c r="C44" s="535" t="s">
        <v>2842</v>
      </c>
      <c r="D44" s="13"/>
      <c r="E44" s="536" t="s">
        <v>2808</v>
      </c>
      <c r="F44" s="36"/>
      <c r="G44" s="537" t="s">
        <v>2843</v>
      </c>
      <c r="H44" s="13"/>
      <c r="I44" s="538" t="s">
        <v>2844</v>
      </c>
      <c r="J44" s="36"/>
      <c r="K44" s="36"/>
      <c r="L44" s="36"/>
      <c r="M44" s="36"/>
      <c r="N44" s="36"/>
      <c r="O44" s="36"/>
      <c r="P44" s="13"/>
    </row>
    <row r="45" hidden="1">
      <c r="A45" s="539"/>
      <c r="B45" s="540"/>
      <c r="E45" s="506"/>
      <c r="F45" s="506"/>
      <c r="G45" s="506"/>
      <c r="H45" s="506"/>
      <c r="I45" s="506"/>
      <c r="J45" s="506"/>
      <c r="K45" s="506"/>
      <c r="L45" s="506"/>
      <c r="M45" s="506"/>
      <c r="N45" s="506"/>
      <c r="O45" s="506"/>
      <c r="P45" s="508"/>
    </row>
    <row r="46">
      <c r="A46" s="468">
        <v>44862.0</v>
      </c>
      <c r="B46" s="526" t="s">
        <v>2836</v>
      </c>
      <c r="C46" s="482" t="s">
        <v>2845</v>
      </c>
      <c r="D46" s="247"/>
      <c r="E46" s="516" t="s">
        <v>2846</v>
      </c>
      <c r="F46" s="247"/>
      <c r="G46" s="516" t="s">
        <v>2847</v>
      </c>
      <c r="H46" s="247"/>
      <c r="I46" s="247"/>
      <c r="J46" s="247"/>
      <c r="K46" s="247"/>
      <c r="L46" s="247"/>
      <c r="M46" s="247"/>
      <c r="N46" s="247"/>
      <c r="O46" s="541" t="s">
        <v>2848</v>
      </c>
      <c r="P46" s="542" t="s">
        <v>2849</v>
      </c>
    </row>
    <row r="47">
      <c r="A47" s="30"/>
      <c r="B47" s="222"/>
      <c r="C47" s="224"/>
      <c r="O47" s="139"/>
      <c r="P47" s="134"/>
    </row>
    <row r="48">
      <c r="A48" s="30"/>
      <c r="B48" s="222"/>
      <c r="C48" s="224"/>
      <c r="O48" s="139"/>
      <c r="P48" s="134"/>
    </row>
    <row r="49">
      <c r="A49" s="30"/>
      <c r="B49" s="222"/>
      <c r="C49" s="224"/>
      <c r="E49" s="477" t="s">
        <v>2850</v>
      </c>
      <c r="O49" s="139"/>
      <c r="P49" s="134"/>
    </row>
    <row r="50" ht="98.25" customHeight="1">
      <c r="A50" s="30"/>
      <c r="B50" s="173"/>
      <c r="C50" s="104"/>
      <c r="D50" s="64"/>
      <c r="E50" s="64"/>
      <c r="F50" s="64"/>
      <c r="G50" s="64"/>
      <c r="H50" s="64"/>
      <c r="I50" s="64"/>
      <c r="J50" s="64"/>
      <c r="K50" s="64"/>
      <c r="L50" s="64"/>
      <c r="M50" s="64"/>
      <c r="N50" s="64"/>
      <c r="O50" s="72"/>
      <c r="P50" s="88"/>
    </row>
    <row r="51">
      <c r="A51" s="30"/>
      <c r="B51" s="56" t="s">
        <v>2851</v>
      </c>
      <c r="C51" s="543" t="s">
        <v>2808</v>
      </c>
      <c r="D51" s="4"/>
      <c r="E51" s="544" t="s">
        <v>2852</v>
      </c>
      <c r="F51" s="13"/>
      <c r="G51" s="536" t="s">
        <v>2808</v>
      </c>
      <c r="H51" s="13"/>
      <c r="I51" s="545" t="s">
        <v>2853</v>
      </c>
      <c r="J51" s="8"/>
      <c r="K51" s="8"/>
      <c r="L51" s="4"/>
      <c r="M51" s="546" t="s">
        <v>2854</v>
      </c>
      <c r="P51" s="134"/>
    </row>
    <row r="52" ht="81.0" customHeight="1">
      <c r="A52" s="30"/>
      <c r="B52" s="56" t="s">
        <v>2855</v>
      </c>
      <c r="C52" s="104"/>
      <c r="D52" s="72"/>
      <c r="E52" s="547" t="s">
        <v>2808</v>
      </c>
      <c r="G52" s="544" t="s">
        <v>2856</v>
      </c>
      <c r="H52" s="36"/>
      <c r="I52" s="104"/>
      <c r="J52" s="64"/>
      <c r="K52" s="64"/>
      <c r="L52" s="72"/>
      <c r="P52" s="134"/>
    </row>
    <row r="53">
      <c r="A53" s="74"/>
      <c r="B53" s="548"/>
      <c r="C53" s="506"/>
      <c r="D53" s="506"/>
      <c r="E53" s="506"/>
      <c r="F53" s="506"/>
      <c r="G53" s="506"/>
      <c r="H53" s="506"/>
      <c r="I53" s="506"/>
      <c r="J53" s="506"/>
      <c r="K53" s="506"/>
      <c r="L53" s="506"/>
      <c r="M53" s="506"/>
      <c r="N53" s="506"/>
      <c r="O53" s="506"/>
      <c r="P53" s="508"/>
    </row>
    <row r="54">
      <c r="A54" s="468">
        <v>44863.0</v>
      </c>
      <c r="B54" s="526" t="s">
        <v>2857</v>
      </c>
      <c r="C54" s="549" t="s">
        <v>2858</v>
      </c>
      <c r="D54" s="247"/>
      <c r="E54" s="247"/>
      <c r="F54" s="247"/>
      <c r="G54" s="247"/>
      <c r="H54" s="247"/>
      <c r="I54" s="247"/>
      <c r="J54" s="247"/>
      <c r="K54" s="247"/>
      <c r="L54" s="247"/>
      <c r="M54" s="247"/>
      <c r="N54" s="247"/>
      <c r="O54" s="247"/>
      <c r="P54" s="6"/>
    </row>
    <row r="55">
      <c r="A55" s="30"/>
      <c r="B55" s="222"/>
      <c r="C55" s="224"/>
      <c r="P55" s="134"/>
    </row>
    <row r="56">
      <c r="A56" s="30"/>
      <c r="B56" s="222"/>
      <c r="C56" s="224"/>
      <c r="P56" s="134"/>
    </row>
    <row r="57">
      <c r="A57" s="30"/>
      <c r="B57" s="222"/>
      <c r="C57" s="224"/>
      <c r="P57" s="134"/>
    </row>
    <row r="58">
      <c r="A58" s="30"/>
      <c r="B58" s="222"/>
      <c r="C58" s="224"/>
      <c r="P58" s="134"/>
    </row>
    <row r="59">
      <c r="A59" s="30"/>
      <c r="B59" s="222"/>
      <c r="C59" s="224"/>
      <c r="P59" s="134"/>
    </row>
    <row r="60">
      <c r="A60" s="30"/>
      <c r="B60" s="222"/>
      <c r="C60" s="224"/>
      <c r="P60" s="134"/>
    </row>
    <row r="61">
      <c r="A61" s="30"/>
      <c r="B61" s="222"/>
      <c r="C61" s="224"/>
      <c r="P61" s="134"/>
    </row>
    <row r="62">
      <c r="A62" s="74"/>
      <c r="B62" s="550"/>
      <c r="C62" s="539"/>
      <c r="D62" s="151"/>
      <c r="E62" s="151"/>
      <c r="F62" s="151"/>
      <c r="G62" s="151"/>
      <c r="H62" s="151"/>
      <c r="I62" s="151"/>
      <c r="J62" s="151"/>
      <c r="K62" s="151"/>
      <c r="L62" s="151"/>
      <c r="M62" s="151"/>
      <c r="N62" s="151"/>
      <c r="O62" s="151"/>
      <c r="P62" s="551"/>
    </row>
    <row r="63">
      <c r="A63" s="552"/>
    </row>
    <row r="64">
      <c r="A64" s="552"/>
    </row>
    <row r="65">
      <c r="A65" s="552"/>
    </row>
    <row r="66">
      <c r="A66" s="552"/>
    </row>
    <row r="67">
      <c r="A67" s="552"/>
    </row>
    <row r="68">
      <c r="A68" s="552"/>
    </row>
    <row r="69">
      <c r="A69" s="552"/>
    </row>
    <row r="70">
      <c r="A70" s="552"/>
    </row>
    <row r="71">
      <c r="A71" s="552"/>
    </row>
    <row r="72">
      <c r="A72" s="552"/>
    </row>
    <row r="73">
      <c r="A73" s="552"/>
    </row>
    <row r="74">
      <c r="A74" s="552"/>
    </row>
    <row r="75">
      <c r="A75" s="552"/>
    </row>
    <row r="76">
      <c r="A76" s="552"/>
    </row>
    <row r="77">
      <c r="A77" s="552"/>
    </row>
    <row r="78">
      <c r="A78" s="552"/>
    </row>
    <row r="79">
      <c r="A79" s="552"/>
    </row>
    <row r="80">
      <c r="A80" s="552"/>
    </row>
    <row r="81">
      <c r="A81" s="552"/>
    </row>
    <row r="82">
      <c r="A82" s="552"/>
    </row>
    <row r="83">
      <c r="A83" s="552"/>
    </row>
    <row r="84">
      <c r="A84" s="552"/>
    </row>
    <row r="85">
      <c r="A85" s="552"/>
    </row>
    <row r="86">
      <c r="A86" s="552"/>
    </row>
    <row r="87">
      <c r="A87" s="552"/>
    </row>
    <row r="88">
      <c r="A88" s="552"/>
    </row>
    <row r="89">
      <c r="A89" s="552"/>
    </row>
    <row r="90">
      <c r="A90" s="552"/>
    </row>
    <row r="91">
      <c r="A91" s="552"/>
    </row>
    <row r="92">
      <c r="A92" s="552"/>
    </row>
    <row r="93">
      <c r="A93" s="552"/>
    </row>
    <row r="94">
      <c r="A94" s="552"/>
    </row>
    <row r="95">
      <c r="A95" s="552"/>
    </row>
    <row r="96">
      <c r="A96" s="552"/>
    </row>
    <row r="97">
      <c r="A97" s="552"/>
    </row>
    <row r="98">
      <c r="A98" s="552"/>
    </row>
    <row r="99">
      <c r="A99" s="552"/>
    </row>
    <row r="100">
      <c r="A100" s="552"/>
    </row>
    <row r="101">
      <c r="A101" s="552"/>
    </row>
    <row r="102">
      <c r="A102" s="552"/>
    </row>
    <row r="103">
      <c r="A103" s="552"/>
    </row>
    <row r="104">
      <c r="A104" s="552"/>
    </row>
    <row r="105">
      <c r="A105" s="552"/>
    </row>
    <row r="106">
      <c r="A106" s="552"/>
    </row>
    <row r="107">
      <c r="A107" s="552"/>
    </row>
    <row r="108">
      <c r="A108" s="552"/>
    </row>
    <row r="109">
      <c r="A109" s="552"/>
    </row>
    <row r="110">
      <c r="A110" s="552"/>
    </row>
    <row r="111">
      <c r="A111" s="552"/>
    </row>
    <row r="112">
      <c r="A112" s="552"/>
    </row>
    <row r="113">
      <c r="A113" s="552"/>
    </row>
    <row r="114">
      <c r="A114" s="552"/>
    </row>
    <row r="115">
      <c r="A115" s="552"/>
    </row>
    <row r="116">
      <c r="A116" s="552"/>
    </row>
    <row r="117">
      <c r="A117" s="552"/>
    </row>
    <row r="118">
      <c r="A118" s="552"/>
    </row>
    <row r="119">
      <c r="A119" s="552"/>
    </row>
    <row r="120">
      <c r="A120" s="552"/>
    </row>
    <row r="121">
      <c r="A121" s="552"/>
    </row>
    <row r="122">
      <c r="A122" s="552"/>
    </row>
    <row r="123">
      <c r="A123" s="552"/>
    </row>
    <row r="124">
      <c r="A124" s="552"/>
    </row>
    <row r="125">
      <c r="A125" s="552"/>
    </row>
    <row r="126">
      <c r="A126" s="552"/>
    </row>
    <row r="127">
      <c r="A127" s="552"/>
    </row>
    <row r="128">
      <c r="A128" s="552"/>
    </row>
    <row r="129">
      <c r="A129" s="552"/>
    </row>
    <row r="130">
      <c r="A130" s="552"/>
    </row>
    <row r="131">
      <c r="A131" s="552"/>
    </row>
    <row r="132">
      <c r="A132" s="552"/>
    </row>
    <row r="133">
      <c r="A133" s="552"/>
    </row>
    <row r="134">
      <c r="A134" s="552"/>
    </row>
    <row r="135">
      <c r="A135" s="552"/>
    </row>
    <row r="136">
      <c r="A136" s="552"/>
    </row>
    <row r="137">
      <c r="A137" s="552"/>
    </row>
    <row r="138">
      <c r="A138" s="552"/>
    </row>
    <row r="139">
      <c r="A139" s="552"/>
    </row>
    <row r="140">
      <c r="A140" s="552"/>
    </row>
    <row r="141">
      <c r="A141" s="552"/>
    </row>
    <row r="142">
      <c r="A142" s="552"/>
    </row>
    <row r="143">
      <c r="A143" s="552"/>
    </row>
    <row r="144">
      <c r="A144" s="552"/>
    </row>
    <row r="145">
      <c r="A145" s="552"/>
    </row>
    <row r="146">
      <c r="A146" s="552"/>
    </row>
    <row r="147">
      <c r="A147" s="552"/>
    </row>
    <row r="148">
      <c r="A148" s="552"/>
    </row>
    <row r="149">
      <c r="A149" s="552"/>
    </row>
    <row r="150">
      <c r="A150" s="552"/>
    </row>
    <row r="151">
      <c r="A151" s="552"/>
    </row>
    <row r="152">
      <c r="A152" s="552"/>
    </row>
    <row r="153">
      <c r="A153" s="552"/>
    </row>
    <row r="154">
      <c r="A154" s="552"/>
    </row>
    <row r="155">
      <c r="A155" s="552"/>
    </row>
    <row r="156">
      <c r="A156" s="552"/>
    </row>
    <row r="157">
      <c r="A157" s="552"/>
    </row>
    <row r="158">
      <c r="A158" s="552"/>
    </row>
    <row r="159">
      <c r="A159" s="552"/>
    </row>
    <row r="160">
      <c r="A160" s="552"/>
    </row>
    <row r="161">
      <c r="A161" s="552"/>
    </row>
    <row r="162">
      <c r="A162" s="552"/>
    </row>
    <row r="163">
      <c r="A163" s="552"/>
    </row>
    <row r="164">
      <c r="A164" s="552"/>
    </row>
    <row r="165">
      <c r="A165" s="552"/>
    </row>
    <row r="166">
      <c r="A166" s="552"/>
    </row>
    <row r="167">
      <c r="A167" s="552"/>
    </row>
    <row r="168">
      <c r="A168" s="552"/>
    </row>
    <row r="169">
      <c r="A169" s="552"/>
    </row>
    <row r="170">
      <c r="A170" s="552"/>
    </row>
    <row r="171">
      <c r="A171" s="552"/>
    </row>
    <row r="172">
      <c r="A172" s="552"/>
    </row>
    <row r="173">
      <c r="A173" s="552"/>
    </row>
    <row r="174">
      <c r="A174" s="552"/>
    </row>
    <row r="175">
      <c r="A175" s="552"/>
    </row>
    <row r="176">
      <c r="A176" s="552"/>
    </row>
    <row r="177">
      <c r="A177" s="552"/>
    </row>
    <row r="178">
      <c r="A178" s="552"/>
    </row>
    <row r="179">
      <c r="A179" s="552"/>
    </row>
    <row r="180">
      <c r="A180" s="552"/>
    </row>
    <row r="181">
      <c r="A181" s="552"/>
    </row>
    <row r="182">
      <c r="A182" s="552"/>
    </row>
    <row r="183">
      <c r="A183" s="552"/>
    </row>
    <row r="184">
      <c r="A184" s="552"/>
    </row>
    <row r="185">
      <c r="A185" s="552"/>
    </row>
    <row r="186">
      <c r="A186" s="552"/>
    </row>
    <row r="187">
      <c r="A187" s="552"/>
    </row>
    <row r="188">
      <c r="A188" s="552"/>
    </row>
    <row r="189">
      <c r="A189" s="552"/>
    </row>
    <row r="190">
      <c r="A190" s="552"/>
    </row>
    <row r="191">
      <c r="A191" s="552"/>
    </row>
    <row r="192">
      <c r="A192" s="552"/>
    </row>
    <row r="193">
      <c r="A193" s="552"/>
    </row>
    <row r="194">
      <c r="A194" s="552"/>
    </row>
    <row r="195">
      <c r="A195" s="552"/>
    </row>
    <row r="196">
      <c r="A196" s="552"/>
    </row>
    <row r="197">
      <c r="A197" s="552"/>
    </row>
    <row r="198">
      <c r="A198" s="552"/>
    </row>
    <row r="199">
      <c r="A199" s="552"/>
    </row>
    <row r="200">
      <c r="A200" s="552"/>
    </row>
    <row r="201">
      <c r="A201" s="552"/>
    </row>
    <row r="202">
      <c r="A202" s="552"/>
    </row>
    <row r="203">
      <c r="A203" s="552"/>
    </row>
    <row r="204">
      <c r="A204" s="552"/>
    </row>
    <row r="205">
      <c r="A205" s="552"/>
    </row>
    <row r="206">
      <c r="A206" s="552"/>
    </row>
    <row r="207">
      <c r="A207" s="552"/>
    </row>
    <row r="208">
      <c r="A208" s="552"/>
    </row>
    <row r="209">
      <c r="A209" s="552"/>
    </row>
    <row r="210">
      <c r="A210" s="552"/>
    </row>
    <row r="211">
      <c r="A211" s="552"/>
    </row>
    <row r="212">
      <c r="A212" s="552"/>
    </row>
    <row r="213">
      <c r="A213" s="552"/>
    </row>
    <row r="214">
      <c r="A214" s="552"/>
    </row>
    <row r="215">
      <c r="A215" s="552"/>
    </row>
    <row r="216">
      <c r="A216" s="552"/>
    </row>
    <row r="217">
      <c r="A217" s="552"/>
    </row>
    <row r="218">
      <c r="A218" s="552"/>
    </row>
    <row r="219">
      <c r="A219" s="552"/>
    </row>
    <row r="220">
      <c r="A220" s="552"/>
    </row>
    <row r="221">
      <c r="A221" s="552"/>
    </row>
    <row r="222">
      <c r="A222" s="552"/>
    </row>
    <row r="223">
      <c r="A223" s="552"/>
    </row>
    <row r="224">
      <c r="A224" s="552"/>
    </row>
    <row r="225">
      <c r="A225" s="552"/>
    </row>
    <row r="226">
      <c r="A226" s="552"/>
    </row>
    <row r="227">
      <c r="A227" s="552"/>
    </row>
    <row r="228">
      <c r="A228" s="552"/>
    </row>
    <row r="229">
      <c r="A229" s="552"/>
    </row>
    <row r="230">
      <c r="A230" s="552"/>
    </row>
    <row r="231">
      <c r="A231" s="552"/>
    </row>
    <row r="232">
      <c r="A232" s="552"/>
    </row>
    <row r="233">
      <c r="A233" s="552"/>
    </row>
    <row r="234">
      <c r="A234" s="552"/>
    </row>
    <row r="235">
      <c r="A235" s="552"/>
    </row>
    <row r="236">
      <c r="A236" s="552"/>
    </row>
    <row r="237">
      <c r="A237" s="552"/>
    </row>
    <row r="238">
      <c r="A238" s="552"/>
    </row>
    <row r="239">
      <c r="A239" s="552"/>
    </row>
    <row r="240">
      <c r="A240" s="552"/>
    </row>
    <row r="241">
      <c r="A241" s="552"/>
    </row>
    <row r="242">
      <c r="A242" s="552"/>
    </row>
    <row r="243">
      <c r="A243" s="552"/>
    </row>
    <row r="244">
      <c r="A244" s="552"/>
    </row>
    <row r="245">
      <c r="A245" s="552"/>
    </row>
    <row r="246">
      <c r="A246" s="552"/>
    </row>
    <row r="247">
      <c r="A247" s="552"/>
    </row>
    <row r="248">
      <c r="A248" s="552"/>
    </row>
    <row r="249">
      <c r="A249" s="552"/>
    </row>
    <row r="250">
      <c r="A250" s="552"/>
    </row>
    <row r="251">
      <c r="A251" s="552"/>
    </row>
    <row r="252">
      <c r="A252" s="552"/>
    </row>
    <row r="253">
      <c r="A253" s="552"/>
    </row>
    <row r="254">
      <c r="A254" s="552"/>
    </row>
    <row r="255">
      <c r="A255" s="552"/>
    </row>
    <row r="256">
      <c r="A256" s="552"/>
    </row>
    <row r="257">
      <c r="A257" s="552"/>
    </row>
    <row r="258">
      <c r="A258" s="552"/>
    </row>
    <row r="259">
      <c r="A259" s="552"/>
    </row>
    <row r="260">
      <c r="A260" s="552"/>
    </row>
    <row r="261">
      <c r="A261" s="552"/>
    </row>
    <row r="262">
      <c r="A262" s="552"/>
    </row>
    <row r="263">
      <c r="A263" s="552"/>
    </row>
    <row r="264">
      <c r="A264" s="552"/>
    </row>
    <row r="265">
      <c r="A265" s="552"/>
    </row>
    <row r="266">
      <c r="A266" s="552"/>
    </row>
    <row r="267">
      <c r="A267" s="552"/>
    </row>
    <row r="268">
      <c r="A268" s="552"/>
    </row>
    <row r="269">
      <c r="A269" s="552"/>
    </row>
    <row r="270">
      <c r="A270" s="552"/>
    </row>
    <row r="271">
      <c r="A271" s="552"/>
    </row>
    <row r="272">
      <c r="A272" s="552"/>
    </row>
    <row r="273">
      <c r="A273" s="552"/>
    </row>
    <row r="274">
      <c r="A274" s="552"/>
    </row>
    <row r="275">
      <c r="A275" s="552"/>
    </row>
    <row r="276">
      <c r="A276" s="552"/>
    </row>
    <row r="277">
      <c r="A277" s="552"/>
    </row>
    <row r="278">
      <c r="A278" s="552"/>
    </row>
    <row r="279">
      <c r="A279" s="552"/>
    </row>
    <row r="280">
      <c r="A280" s="552"/>
    </row>
    <row r="281">
      <c r="A281" s="552"/>
    </row>
    <row r="282">
      <c r="A282" s="552"/>
    </row>
    <row r="283">
      <c r="A283" s="552"/>
    </row>
    <row r="284">
      <c r="A284" s="552"/>
    </row>
    <row r="285">
      <c r="A285" s="552"/>
    </row>
    <row r="286">
      <c r="A286" s="552"/>
    </row>
    <row r="287">
      <c r="A287" s="552"/>
    </row>
    <row r="288">
      <c r="A288" s="552"/>
    </row>
    <row r="289">
      <c r="A289" s="552"/>
    </row>
    <row r="290">
      <c r="A290" s="552"/>
    </row>
    <row r="291">
      <c r="A291" s="552"/>
    </row>
    <row r="292">
      <c r="A292" s="552"/>
    </row>
    <row r="293">
      <c r="A293" s="552"/>
    </row>
    <row r="294">
      <c r="A294" s="552"/>
    </row>
    <row r="295">
      <c r="A295" s="552"/>
    </row>
    <row r="296">
      <c r="A296" s="552"/>
    </row>
    <row r="297">
      <c r="A297" s="552"/>
    </row>
    <row r="298">
      <c r="A298" s="552"/>
    </row>
    <row r="299">
      <c r="A299" s="552"/>
    </row>
    <row r="300">
      <c r="A300" s="552"/>
    </row>
    <row r="301">
      <c r="A301" s="552"/>
    </row>
    <row r="302">
      <c r="A302" s="552"/>
    </row>
    <row r="303">
      <c r="A303" s="552"/>
    </row>
    <row r="304">
      <c r="A304" s="552"/>
    </row>
    <row r="305">
      <c r="A305" s="552"/>
    </row>
    <row r="306">
      <c r="A306" s="552"/>
    </row>
    <row r="307">
      <c r="A307" s="552"/>
    </row>
    <row r="308">
      <c r="A308" s="552"/>
    </row>
    <row r="309">
      <c r="A309" s="552"/>
    </row>
    <row r="310">
      <c r="A310" s="552"/>
    </row>
    <row r="311">
      <c r="A311" s="552"/>
    </row>
    <row r="312">
      <c r="A312" s="552"/>
    </row>
    <row r="313">
      <c r="A313" s="552"/>
    </row>
    <row r="314">
      <c r="A314" s="552"/>
    </row>
    <row r="315">
      <c r="A315" s="552"/>
    </row>
    <row r="316">
      <c r="A316" s="552"/>
    </row>
    <row r="317">
      <c r="A317" s="552"/>
    </row>
    <row r="318">
      <c r="A318" s="552"/>
    </row>
    <row r="319">
      <c r="A319" s="552"/>
    </row>
    <row r="320">
      <c r="A320" s="552"/>
    </row>
    <row r="321">
      <c r="A321" s="552"/>
    </row>
    <row r="322">
      <c r="A322" s="552"/>
    </row>
    <row r="323">
      <c r="A323" s="552"/>
    </row>
    <row r="324">
      <c r="A324" s="552"/>
    </row>
    <row r="325">
      <c r="A325" s="552"/>
    </row>
    <row r="326">
      <c r="A326" s="552"/>
    </row>
    <row r="327">
      <c r="A327" s="552"/>
    </row>
    <row r="328">
      <c r="A328" s="552"/>
    </row>
    <row r="329">
      <c r="A329" s="552"/>
    </row>
    <row r="330">
      <c r="A330" s="552"/>
    </row>
    <row r="331">
      <c r="A331" s="552"/>
    </row>
    <row r="332">
      <c r="A332" s="552"/>
    </row>
    <row r="333">
      <c r="A333" s="552"/>
    </row>
    <row r="334">
      <c r="A334" s="552"/>
    </row>
    <row r="335">
      <c r="A335" s="552"/>
    </row>
    <row r="336">
      <c r="A336" s="552"/>
    </row>
    <row r="337">
      <c r="A337" s="552"/>
    </row>
    <row r="338">
      <c r="A338" s="552"/>
    </row>
    <row r="339">
      <c r="A339" s="552"/>
    </row>
    <row r="340">
      <c r="A340" s="552"/>
    </row>
    <row r="341">
      <c r="A341" s="552"/>
    </row>
    <row r="342">
      <c r="A342" s="552"/>
    </row>
    <row r="343">
      <c r="A343" s="552"/>
    </row>
    <row r="344">
      <c r="A344" s="552"/>
    </row>
    <row r="345">
      <c r="A345" s="552"/>
    </row>
    <row r="346">
      <c r="A346" s="552"/>
    </row>
    <row r="347">
      <c r="A347" s="552"/>
    </row>
    <row r="348">
      <c r="A348" s="552"/>
    </row>
    <row r="349">
      <c r="A349" s="552"/>
    </row>
    <row r="350">
      <c r="A350" s="552"/>
    </row>
    <row r="351">
      <c r="A351" s="552"/>
    </row>
    <row r="352">
      <c r="A352" s="552"/>
    </row>
    <row r="353">
      <c r="A353" s="552"/>
    </row>
    <row r="354">
      <c r="A354" s="552"/>
    </row>
    <row r="355">
      <c r="A355" s="552"/>
    </row>
    <row r="356">
      <c r="A356" s="552"/>
    </row>
    <row r="357">
      <c r="A357" s="552"/>
    </row>
    <row r="358">
      <c r="A358" s="552"/>
    </row>
    <row r="359">
      <c r="A359" s="552"/>
    </row>
    <row r="360">
      <c r="A360" s="552"/>
    </row>
    <row r="361">
      <c r="A361" s="552"/>
    </row>
    <row r="362">
      <c r="A362" s="552"/>
    </row>
    <row r="363">
      <c r="A363" s="552"/>
    </row>
    <row r="364">
      <c r="A364" s="552"/>
    </row>
    <row r="365">
      <c r="A365" s="552"/>
    </row>
    <row r="366">
      <c r="A366" s="552"/>
    </row>
    <row r="367">
      <c r="A367" s="552"/>
    </row>
    <row r="368">
      <c r="A368" s="552"/>
    </row>
    <row r="369">
      <c r="A369" s="552"/>
    </row>
    <row r="370">
      <c r="A370" s="552"/>
    </row>
    <row r="371">
      <c r="A371" s="552"/>
    </row>
    <row r="372">
      <c r="A372" s="552"/>
    </row>
    <row r="373">
      <c r="A373" s="552"/>
    </row>
    <row r="374">
      <c r="A374" s="552"/>
    </row>
    <row r="375">
      <c r="A375" s="552"/>
    </row>
    <row r="376">
      <c r="A376" s="552"/>
    </row>
    <row r="377">
      <c r="A377" s="552"/>
    </row>
    <row r="378">
      <c r="A378" s="552"/>
    </row>
    <row r="379">
      <c r="A379" s="552"/>
    </row>
    <row r="380">
      <c r="A380" s="552"/>
    </row>
    <row r="381">
      <c r="A381" s="552"/>
    </row>
    <row r="382">
      <c r="A382" s="552"/>
    </row>
    <row r="383">
      <c r="A383" s="552"/>
    </row>
    <row r="384">
      <c r="A384" s="552"/>
    </row>
    <row r="385">
      <c r="A385" s="552"/>
    </row>
    <row r="386">
      <c r="A386" s="552"/>
    </row>
    <row r="387">
      <c r="A387" s="552"/>
    </row>
    <row r="388">
      <c r="A388" s="552"/>
    </row>
    <row r="389">
      <c r="A389" s="552"/>
    </row>
    <row r="390">
      <c r="A390" s="552"/>
    </row>
    <row r="391">
      <c r="A391" s="552"/>
    </row>
    <row r="392">
      <c r="A392" s="552"/>
    </row>
    <row r="393">
      <c r="A393" s="552"/>
    </row>
    <row r="394">
      <c r="A394" s="552"/>
    </row>
    <row r="395">
      <c r="A395" s="552"/>
    </row>
    <row r="396">
      <c r="A396" s="552"/>
    </row>
    <row r="397">
      <c r="A397" s="552"/>
    </row>
    <row r="398">
      <c r="A398" s="552"/>
    </row>
    <row r="399">
      <c r="A399" s="552"/>
    </row>
    <row r="400">
      <c r="A400" s="552"/>
    </row>
    <row r="401">
      <c r="A401" s="552"/>
    </row>
    <row r="402">
      <c r="A402" s="552"/>
    </row>
    <row r="403">
      <c r="A403" s="552"/>
    </row>
    <row r="404">
      <c r="A404" s="552"/>
    </row>
    <row r="405">
      <c r="A405" s="552"/>
    </row>
    <row r="406">
      <c r="A406" s="552"/>
    </row>
    <row r="407">
      <c r="A407" s="552"/>
    </row>
    <row r="408">
      <c r="A408" s="552"/>
    </row>
    <row r="409">
      <c r="A409" s="552"/>
    </row>
    <row r="410">
      <c r="A410" s="552"/>
    </row>
    <row r="411">
      <c r="A411" s="552"/>
    </row>
    <row r="412">
      <c r="A412" s="552"/>
    </row>
    <row r="413">
      <c r="A413" s="552"/>
    </row>
    <row r="414">
      <c r="A414" s="552"/>
    </row>
    <row r="415">
      <c r="A415" s="552"/>
    </row>
    <row r="416">
      <c r="A416" s="552"/>
    </row>
    <row r="417">
      <c r="A417" s="552"/>
    </row>
    <row r="418">
      <c r="A418" s="552"/>
    </row>
    <row r="419">
      <c r="A419" s="552"/>
    </row>
    <row r="420">
      <c r="A420" s="552"/>
    </row>
    <row r="421">
      <c r="A421" s="552"/>
    </row>
    <row r="422">
      <c r="A422" s="552"/>
    </row>
    <row r="423">
      <c r="A423" s="552"/>
    </row>
    <row r="424">
      <c r="A424" s="552"/>
    </row>
    <row r="425">
      <c r="A425" s="552"/>
    </row>
    <row r="426">
      <c r="A426" s="552"/>
    </row>
    <row r="427">
      <c r="A427" s="552"/>
    </row>
    <row r="428">
      <c r="A428" s="552"/>
    </row>
    <row r="429">
      <c r="A429" s="552"/>
    </row>
    <row r="430">
      <c r="A430" s="552"/>
    </row>
    <row r="431">
      <c r="A431" s="552"/>
    </row>
    <row r="432">
      <c r="A432" s="552"/>
    </row>
    <row r="433">
      <c r="A433" s="552"/>
    </row>
    <row r="434">
      <c r="A434" s="552"/>
    </row>
    <row r="435">
      <c r="A435" s="552"/>
    </row>
    <row r="436">
      <c r="A436" s="552"/>
    </row>
    <row r="437">
      <c r="A437" s="552"/>
    </row>
    <row r="438">
      <c r="A438" s="552"/>
    </row>
    <row r="439">
      <c r="A439" s="552"/>
    </row>
    <row r="440">
      <c r="A440" s="552"/>
    </row>
    <row r="441">
      <c r="A441" s="552"/>
    </row>
    <row r="442">
      <c r="A442" s="552"/>
    </row>
    <row r="443">
      <c r="A443" s="552"/>
    </row>
    <row r="444">
      <c r="A444" s="552"/>
    </row>
    <row r="445">
      <c r="A445" s="552"/>
    </row>
    <row r="446">
      <c r="A446" s="552"/>
    </row>
    <row r="447">
      <c r="A447" s="552"/>
    </row>
    <row r="448">
      <c r="A448" s="552"/>
    </row>
    <row r="449">
      <c r="A449" s="552"/>
    </row>
    <row r="450">
      <c r="A450" s="552"/>
    </row>
    <row r="451">
      <c r="A451" s="552"/>
    </row>
    <row r="452">
      <c r="A452" s="552"/>
    </row>
    <row r="453">
      <c r="A453" s="552"/>
    </row>
    <row r="454">
      <c r="A454" s="552"/>
    </row>
    <row r="455">
      <c r="A455" s="552"/>
    </row>
    <row r="456">
      <c r="A456" s="552"/>
    </row>
    <row r="457">
      <c r="A457" s="552"/>
    </row>
    <row r="458">
      <c r="A458" s="552"/>
    </row>
    <row r="459">
      <c r="A459" s="552"/>
    </row>
    <row r="460">
      <c r="A460" s="552"/>
    </row>
    <row r="461">
      <c r="A461" s="552"/>
    </row>
    <row r="462">
      <c r="A462" s="552"/>
    </row>
    <row r="463">
      <c r="A463" s="552"/>
    </row>
    <row r="464">
      <c r="A464" s="552"/>
    </row>
    <row r="465">
      <c r="A465" s="552"/>
    </row>
    <row r="466">
      <c r="A466" s="552"/>
    </row>
    <row r="467">
      <c r="A467" s="552"/>
    </row>
    <row r="468">
      <c r="A468" s="552"/>
    </row>
    <row r="469">
      <c r="A469" s="552"/>
    </row>
    <row r="470">
      <c r="A470" s="552"/>
    </row>
    <row r="471">
      <c r="A471" s="552"/>
    </row>
    <row r="472">
      <c r="A472" s="552"/>
    </row>
    <row r="473">
      <c r="A473" s="552"/>
    </row>
    <row r="474">
      <c r="A474" s="552"/>
    </row>
    <row r="475">
      <c r="A475" s="552"/>
    </row>
    <row r="476">
      <c r="A476" s="552"/>
    </row>
    <row r="477">
      <c r="A477" s="552"/>
    </row>
    <row r="478">
      <c r="A478" s="552"/>
    </row>
    <row r="479">
      <c r="A479" s="552"/>
    </row>
    <row r="480">
      <c r="A480" s="552"/>
    </row>
    <row r="481">
      <c r="A481" s="552"/>
    </row>
    <row r="482">
      <c r="A482" s="552"/>
    </row>
    <row r="483">
      <c r="A483" s="552"/>
    </row>
    <row r="484">
      <c r="A484" s="552"/>
    </row>
    <row r="485">
      <c r="A485" s="552"/>
    </row>
    <row r="486">
      <c r="A486" s="552"/>
    </row>
    <row r="487">
      <c r="A487" s="552"/>
    </row>
    <row r="488">
      <c r="A488" s="552"/>
    </row>
    <row r="489">
      <c r="A489" s="552"/>
    </row>
    <row r="490">
      <c r="A490" s="552"/>
    </row>
    <row r="491">
      <c r="A491" s="552"/>
    </row>
    <row r="492">
      <c r="A492" s="552"/>
    </row>
    <row r="493">
      <c r="A493" s="552"/>
    </row>
    <row r="494">
      <c r="A494" s="552"/>
    </row>
    <row r="495">
      <c r="A495" s="552"/>
    </row>
    <row r="496">
      <c r="A496" s="552"/>
    </row>
    <row r="497">
      <c r="A497" s="552"/>
    </row>
    <row r="498">
      <c r="A498" s="552"/>
    </row>
    <row r="499">
      <c r="A499" s="552"/>
    </row>
    <row r="500">
      <c r="A500" s="552"/>
    </row>
    <row r="501">
      <c r="A501" s="552"/>
    </row>
    <row r="502">
      <c r="A502" s="552"/>
    </row>
    <row r="503">
      <c r="A503" s="552"/>
    </row>
    <row r="504">
      <c r="A504" s="552"/>
    </row>
    <row r="505">
      <c r="A505" s="552"/>
    </row>
    <row r="506">
      <c r="A506" s="552"/>
    </row>
    <row r="507">
      <c r="A507" s="552"/>
    </row>
    <row r="508">
      <c r="A508" s="552"/>
    </row>
    <row r="509">
      <c r="A509" s="552"/>
    </row>
    <row r="510">
      <c r="A510" s="552"/>
    </row>
    <row r="511">
      <c r="A511" s="552"/>
    </row>
    <row r="512">
      <c r="A512" s="552"/>
    </row>
    <row r="513">
      <c r="A513" s="552"/>
    </row>
    <row r="514">
      <c r="A514" s="552"/>
    </row>
    <row r="515">
      <c r="A515" s="552"/>
    </row>
    <row r="516">
      <c r="A516" s="552"/>
    </row>
    <row r="517">
      <c r="A517" s="552"/>
    </row>
    <row r="518">
      <c r="A518" s="552"/>
    </row>
    <row r="519">
      <c r="A519" s="552"/>
    </row>
    <row r="520">
      <c r="A520" s="552"/>
    </row>
    <row r="521">
      <c r="A521" s="552"/>
    </row>
    <row r="522">
      <c r="A522" s="552"/>
    </row>
    <row r="523">
      <c r="A523" s="552"/>
    </row>
    <row r="524">
      <c r="A524" s="552"/>
    </row>
    <row r="525">
      <c r="A525" s="552"/>
    </row>
    <row r="526">
      <c r="A526" s="552"/>
    </row>
    <row r="527">
      <c r="A527" s="552"/>
    </row>
    <row r="528">
      <c r="A528" s="552"/>
    </row>
    <row r="529">
      <c r="A529" s="552"/>
    </row>
    <row r="530">
      <c r="A530" s="552"/>
    </row>
    <row r="531">
      <c r="A531" s="552"/>
    </row>
    <row r="532">
      <c r="A532" s="552"/>
    </row>
    <row r="533">
      <c r="A533" s="552"/>
    </row>
    <row r="534">
      <c r="A534" s="552"/>
    </row>
    <row r="535">
      <c r="A535" s="552"/>
    </row>
    <row r="536">
      <c r="A536" s="552"/>
    </row>
    <row r="537">
      <c r="A537" s="552"/>
    </row>
    <row r="538">
      <c r="A538" s="552"/>
    </row>
    <row r="539">
      <c r="A539" s="552"/>
    </row>
    <row r="540">
      <c r="A540" s="552"/>
    </row>
    <row r="541">
      <c r="A541" s="552"/>
    </row>
    <row r="542">
      <c r="A542" s="552"/>
    </row>
    <row r="543">
      <c r="A543" s="552"/>
    </row>
    <row r="544">
      <c r="A544" s="552"/>
    </row>
    <row r="545">
      <c r="A545" s="552"/>
    </row>
    <row r="546">
      <c r="A546" s="552"/>
    </row>
    <row r="547">
      <c r="A547" s="552"/>
    </row>
    <row r="548">
      <c r="A548" s="552"/>
    </row>
    <row r="549">
      <c r="A549" s="552"/>
    </row>
    <row r="550">
      <c r="A550" s="552"/>
    </row>
    <row r="551">
      <c r="A551" s="552"/>
    </row>
    <row r="552">
      <c r="A552" s="552"/>
    </row>
    <row r="553">
      <c r="A553" s="552"/>
    </row>
    <row r="554">
      <c r="A554" s="552"/>
    </row>
    <row r="555">
      <c r="A555" s="552"/>
    </row>
    <row r="556">
      <c r="A556" s="552"/>
    </row>
    <row r="557">
      <c r="A557" s="552"/>
    </row>
    <row r="558">
      <c r="A558" s="552"/>
    </row>
    <row r="559">
      <c r="A559" s="552"/>
    </row>
    <row r="560">
      <c r="A560" s="552"/>
    </row>
    <row r="561">
      <c r="A561" s="552"/>
    </row>
    <row r="562">
      <c r="A562" s="552"/>
    </row>
    <row r="563">
      <c r="A563" s="552"/>
    </row>
    <row r="564">
      <c r="A564" s="552"/>
    </row>
    <row r="565">
      <c r="A565" s="552"/>
    </row>
    <row r="566">
      <c r="A566" s="552"/>
    </row>
    <row r="567">
      <c r="A567" s="552"/>
    </row>
    <row r="568">
      <c r="A568" s="552"/>
    </row>
    <row r="569">
      <c r="A569" s="552"/>
    </row>
    <row r="570">
      <c r="A570" s="552"/>
    </row>
    <row r="571">
      <c r="A571" s="552"/>
    </row>
    <row r="572">
      <c r="A572" s="552"/>
    </row>
    <row r="573">
      <c r="A573" s="552"/>
    </row>
    <row r="574">
      <c r="A574" s="552"/>
    </row>
    <row r="575">
      <c r="A575" s="552"/>
    </row>
    <row r="576">
      <c r="A576" s="552"/>
    </row>
    <row r="577">
      <c r="A577" s="552"/>
    </row>
    <row r="578">
      <c r="A578" s="552"/>
    </row>
    <row r="579">
      <c r="A579" s="552"/>
    </row>
    <row r="580">
      <c r="A580" s="552"/>
    </row>
    <row r="581">
      <c r="A581" s="552"/>
    </row>
    <row r="582">
      <c r="A582" s="552"/>
    </row>
    <row r="583">
      <c r="A583" s="552"/>
    </row>
    <row r="584">
      <c r="A584" s="552"/>
    </row>
    <row r="585">
      <c r="A585" s="552"/>
    </row>
    <row r="586">
      <c r="A586" s="552"/>
    </row>
    <row r="587">
      <c r="A587" s="552"/>
    </row>
    <row r="588">
      <c r="A588" s="552"/>
    </row>
    <row r="589">
      <c r="A589" s="552"/>
    </row>
    <row r="590">
      <c r="A590" s="552"/>
    </row>
    <row r="591">
      <c r="A591" s="552"/>
    </row>
    <row r="592">
      <c r="A592" s="552"/>
    </row>
    <row r="593">
      <c r="A593" s="552"/>
    </row>
    <row r="594">
      <c r="A594" s="552"/>
    </row>
    <row r="595">
      <c r="A595" s="552"/>
    </row>
    <row r="596">
      <c r="A596" s="552"/>
    </row>
    <row r="597">
      <c r="A597" s="552"/>
    </row>
    <row r="598">
      <c r="A598" s="552"/>
    </row>
    <row r="599">
      <c r="A599" s="552"/>
    </row>
    <row r="600">
      <c r="A600" s="552"/>
    </row>
    <row r="601">
      <c r="A601" s="552"/>
    </row>
    <row r="602">
      <c r="A602" s="552"/>
    </row>
    <row r="603">
      <c r="A603" s="552"/>
    </row>
    <row r="604">
      <c r="A604" s="552"/>
    </row>
    <row r="605">
      <c r="A605" s="552"/>
    </row>
    <row r="606">
      <c r="A606" s="552"/>
    </row>
    <row r="607">
      <c r="A607" s="552"/>
    </row>
    <row r="608">
      <c r="A608" s="552"/>
    </row>
    <row r="609">
      <c r="A609" s="552"/>
    </row>
    <row r="610">
      <c r="A610" s="552"/>
    </row>
    <row r="611">
      <c r="A611" s="552"/>
    </row>
    <row r="612">
      <c r="A612" s="552"/>
    </row>
    <row r="613">
      <c r="A613" s="552"/>
    </row>
    <row r="614">
      <c r="A614" s="552"/>
    </row>
    <row r="615">
      <c r="A615" s="552"/>
    </row>
    <row r="616">
      <c r="A616" s="552"/>
    </row>
    <row r="617">
      <c r="A617" s="552"/>
    </row>
    <row r="618">
      <c r="A618" s="552"/>
    </row>
    <row r="619">
      <c r="A619" s="552"/>
    </row>
    <row r="620">
      <c r="A620" s="552"/>
    </row>
    <row r="621">
      <c r="A621" s="552"/>
    </row>
    <row r="622">
      <c r="A622" s="552"/>
    </row>
    <row r="623">
      <c r="A623" s="552"/>
    </row>
    <row r="624">
      <c r="A624" s="552"/>
    </row>
    <row r="625">
      <c r="A625" s="552"/>
    </row>
    <row r="626">
      <c r="A626" s="552"/>
    </row>
    <row r="627">
      <c r="A627" s="552"/>
    </row>
    <row r="628">
      <c r="A628" s="552"/>
    </row>
    <row r="629">
      <c r="A629" s="552"/>
    </row>
    <row r="630">
      <c r="A630" s="552"/>
    </row>
    <row r="631">
      <c r="A631" s="552"/>
    </row>
    <row r="632">
      <c r="A632" s="552"/>
    </row>
    <row r="633">
      <c r="A633" s="552"/>
    </row>
    <row r="634">
      <c r="A634" s="552"/>
    </row>
    <row r="635">
      <c r="A635" s="552"/>
    </row>
    <row r="636">
      <c r="A636" s="552"/>
    </row>
    <row r="637">
      <c r="A637" s="552"/>
    </row>
    <row r="638">
      <c r="A638" s="552"/>
    </row>
    <row r="639">
      <c r="A639" s="552"/>
    </row>
    <row r="640">
      <c r="A640" s="552"/>
    </row>
    <row r="641">
      <c r="A641" s="552"/>
    </row>
    <row r="642">
      <c r="A642" s="552"/>
    </row>
    <row r="643">
      <c r="A643" s="552"/>
    </row>
    <row r="644">
      <c r="A644" s="552"/>
    </row>
    <row r="645">
      <c r="A645" s="552"/>
    </row>
    <row r="646">
      <c r="A646" s="552"/>
    </row>
    <row r="647">
      <c r="A647" s="552"/>
    </row>
    <row r="648">
      <c r="A648" s="552"/>
    </row>
    <row r="649">
      <c r="A649" s="552"/>
    </row>
    <row r="650">
      <c r="A650" s="552"/>
    </row>
    <row r="651">
      <c r="A651" s="552"/>
    </row>
    <row r="652">
      <c r="A652" s="552"/>
    </row>
    <row r="653">
      <c r="A653" s="552"/>
    </row>
    <row r="654">
      <c r="A654" s="552"/>
    </row>
    <row r="655">
      <c r="A655" s="552"/>
    </row>
    <row r="656">
      <c r="A656" s="552"/>
    </row>
    <row r="657">
      <c r="A657" s="552"/>
    </row>
    <row r="658">
      <c r="A658" s="552"/>
    </row>
    <row r="659">
      <c r="A659" s="552"/>
    </row>
    <row r="660">
      <c r="A660" s="552"/>
    </row>
    <row r="661">
      <c r="A661" s="552"/>
    </row>
    <row r="662">
      <c r="A662" s="552"/>
    </row>
    <row r="663">
      <c r="A663" s="552"/>
    </row>
    <row r="664">
      <c r="A664" s="552"/>
    </row>
    <row r="665">
      <c r="A665" s="552"/>
    </row>
    <row r="666">
      <c r="A666" s="552"/>
    </row>
    <row r="667">
      <c r="A667" s="552"/>
    </row>
    <row r="668">
      <c r="A668" s="552"/>
    </row>
    <row r="669">
      <c r="A669" s="552"/>
    </row>
    <row r="670">
      <c r="A670" s="552"/>
    </row>
    <row r="671">
      <c r="A671" s="552"/>
    </row>
    <row r="672">
      <c r="A672" s="552"/>
    </row>
    <row r="673">
      <c r="A673" s="552"/>
    </row>
    <row r="674">
      <c r="A674" s="552"/>
    </row>
    <row r="675">
      <c r="A675" s="552"/>
    </row>
    <row r="676">
      <c r="A676" s="552"/>
    </row>
    <row r="677">
      <c r="A677" s="552"/>
    </row>
    <row r="678">
      <c r="A678" s="552"/>
    </row>
    <row r="679">
      <c r="A679" s="552"/>
    </row>
    <row r="680">
      <c r="A680" s="552"/>
    </row>
    <row r="681">
      <c r="A681" s="552"/>
    </row>
    <row r="682">
      <c r="A682" s="552"/>
    </row>
    <row r="683">
      <c r="A683" s="552"/>
    </row>
    <row r="684">
      <c r="A684" s="552"/>
    </row>
    <row r="685">
      <c r="A685" s="552"/>
    </row>
    <row r="686">
      <c r="A686" s="552"/>
    </row>
    <row r="687">
      <c r="A687" s="552"/>
    </row>
    <row r="688">
      <c r="A688" s="552"/>
    </row>
    <row r="689">
      <c r="A689" s="552"/>
    </row>
    <row r="690">
      <c r="A690" s="552"/>
    </row>
    <row r="691">
      <c r="A691" s="552"/>
    </row>
    <row r="692">
      <c r="A692" s="552"/>
    </row>
    <row r="693">
      <c r="A693" s="552"/>
    </row>
    <row r="694">
      <c r="A694" s="552"/>
    </row>
    <row r="695">
      <c r="A695" s="552"/>
    </row>
    <row r="696">
      <c r="A696" s="552"/>
    </row>
    <row r="697">
      <c r="A697" s="552"/>
    </row>
    <row r="698">
      <c r="A698" s="552"/>
    </row>
    <row r="699">
      <c r="A699" s="552"/>
    </row>
    <row r="700">
      <c r="A700" s="552"/>
    </row>
    <row r="701">
      <c r="A701" s="552"/>
    </row>
    <row r="702">
      <c r="A702" s="552"/>
    </row>
    <row r="703">
      <c r="A703" s="552"/>
    </row>
    <row r="704">
      <c r="A704" s="552"/>
    </row>
    <row r="705">
      <c r="A705" s="552"/>
    </row>
    <row r="706">
      <c r="A706" s="552"/>
    </row>
    <row r="707">
      <c r="A707" s="552"/>
    </row>
    <row r="708">
      <c r="A708" s="552"/>
    </row>
    <row r="709">
      <c r="A709" s="552"/>
    </row>
    <row r="710">
      <c r="A710" s="552"/>
    </row>
    <row r="711">
      <c r="A711" s="552"/>
    </row>
    <row r="712">
      <c r="A712" s="552"/>
    </row>
    <row r="713">
      <c r="A713" s="552"/>
    </row>
    <row r="714">
      <c r="A714" s="552"/>
    </row>
    <row r="715">
      <c r="A715" s="552"/>
    </row>
    <row r="716">
      <c r="A716" s="552"/>
    </row>
    <row r="717">
      <c r="A717" s="552"/>
    </row>
    <row r="718">
      <c r="A718" s="552"/>
    </row>
    <row r="719">
      <c r="A719" s="552"/>
    </row>
    <row r="720">
      <c r="A720" s="552"/>
    </row>
    <row r="721">
      <c r="A721" s="552"/>
    </row>
    <row r="722">
      <c r="A722" s="552"/>
    </row>
    <row r="723">
      <c r="A723" s="552"/>
    </row>
    <row r="724">
      <c r="A724" s="552"/>
    </row>
    <row r="725">
      <c r="A725" s="552"/>
    </row>
    <row r="726">
      <c r="A726" s="552"/>
    </row>
    <row r="727">
      <c r="A727" s="552"/>
    </row>
    <row r="728">
      <c r="A728" s="552"/>
    </row>
    <row r="729">
      <c r="A729" s="552"/>
    </row>
    <row r="730">
      <c r="A730" s="552"/>
    </row>
    <row r="731">
      <c r="A731" s="552"/>
    </row>
    <row r="732">
      <c r="A732" s="552"/>
    </row>
    <row r="733">
      <c r="A733" s="552"/>
    </row>
    <row r="734">
      <c r="A734" s="552"/>
    </row>
    <row r="735">
      <c r="A735" s="552"/>
    </row>
    <row r="736">
      <c r="A736" s="552"/>
    </row>
    <row r="737">
      <c r="A737" s="552"/>
    </row>
    <row r="738">
      <c r="A738" s="552"/>
    </row>
    <row r="739">
      <c r="A739" s="552"/>
    </row>
    <row r="740">
      <c r="A740" s="552"/>
    </row>
    <row r="741">
      <c r="A741" s="552"/>
    </row>
    <row r="742">
      <c r="A742" s="552"/>
    </row>
    <row r="743">
      <c r="A743" s="552"/>
    </row>
    <row r="744">
      <c r="A744" s="552"/>
    </row>
    <row r="745">
      <c r="A745" s="552"/>
    </row>
    <row r="746">
      <c r="A746" s="552"/>
    </row>
    <row r="747">
      <c r="A747" s="552"/>
    </row>
    <row r="748">
      <c r="A748" s="552"/>
    </row>
    <row r="749">
      <c r="A749" s="552"/>
    </row>
    <row r="750">
      <c r="A750" s="552"/>
    </row>
    <row r="751">
      <c r="A751" s="552"/>
    </row>
    <row r="752">
      <c r="A752" s="552"/>
    </row>
    <row r="753">
      <c r="A753" s="552"/>
    </row>
    <row r="754">
      <c r="A754" s="552"/>
    </row>
    <row r="755">
      <c r="A755" s="552"/>
    </row>
    <row r="756">
      <c r="A756" s="552"/>
    </row>
    <row r="757">
      <c r="A757" s="552"/>
    </row>
    <row r="758">
      <c r="A758" s="552"/>
    </row>
    <row r="759">
      <c r="A759" s="552"/>
    </row>
    <row r="760">
      <c r="A760" s="552"/>
    </row>
    <row r="761">
      <c r="A761" s="552"/>
    </row>
    <row r="762">
      <c r="A762" s="552"/>
    </row>
    <row r="763">
      <c r="A763" s="552"/>
    </row>
    <row r="764">
      <c r="A764" s="552"/>
    </row>
    <row r="765">
      <c r="A765" s="552"/>
    </row>
    <row r="766">
      <c r="A766" s="552"/>
    </row>
    <row r="767">
      <c r="A767" s="552"/>
    </row>
    <row r="768">
      <c r="A768" s="552"/>
    </row>
    <row r="769">
      <c r="A769" s="552"/>
    </row>
    <row r="770">
      <c r="A770" s="552"/>
    </row>
    <row r="771">
      <c r="A771" s="552"/>
    </row>
    <row r="772">
      <c r="A772" s="552"/>
    </row>
    <row r="773">
      <c r="A773" s="552"/>
    </row>
    <row r="774">
      <c r="A774" s="552"/>
    </row>
    <row r="775">
      <c r="A775" s="552"/>
    </row>
    <row r="776">
      <c r="A776" s="552"/>
    </row>
    <row r="777">
      <c r="A777" s="552"/>
    </row>
    <row r="778">
      <c r="A778" s="552"/>
    </row>
    <row r="779">
      <c r="A779" s="552"/>
    </row>
    <row r="780">
      <c r="A780" s="552"/>
    </row>
    <row r="781">
      <c r="A781" s="552"/>
    </row>
    <row r="782">
      <c r="A782" s="552"/>
    </row>
    <row r="783">
      <c r="A783" s="552"/>
    </row>
    <row r="784">
      <c r="A784" s="552"/>
    </row>
    <row r="785">
      <c r="A785" s="552"/>
    </row>
    <row r="786">
      <c r="A786" s="552"/>
    </row>
    <row r="787">
      <c r="A787" s="552"/>
    </row>
    <row r="788">
      <c r="A788" s="552"/>
    </row>
    <row r="789">
      <c r="A789" s="552"/>
    </row>
    <row r="790">
      <c r="A790" s="552"/>
    </row>
    <row r="791">
      <c r="A791" s="552"/>
    </row>
    <row r="792">
      <c r="A792" s="552"/>
    </row>
    <row r="793">
      <c r="A793" s="552"/>
    </row>
    <row r="794">
      <c r="A794" s="552"/>
    </row>
    <row r="795">
      <c r="A795" s="552"/>
    </row>
    <row r="796">
      <c r="A796" s="552"/>
    </row>
    <row r="797">
      <c r="A797" s="552"/>
    </row>
    <row r="798">
      <c r="A798" s="552"/>
    </row>
    <row r="799">
      <c r="A799" s="552"/>
    </row>
    <row r="800">
      <c r="A800" s="552"/>
    </row>
    <row r="801">
      <c r="A801" s="552"/>
    </row>
    <row r="802">
      <c r="A802" s="552"/>
    </row>
    <row r="803">
      <c r="A803" s="552"/>
    </row>
    <row r="804">
      <c r="A804" s="552"/>
    </row>
    <row r="805">
      <c r="A805" s="552"/>
    </row>
    <row r="806">
      <c r="A806" s="552"/>
    </row>
    <row r="807">
      <c r="A807" s="552"/>
    </row>
    <row r="808">
      <c r="A808" s="552"/>
    </row>
    <row r="809">
      <c r="A809" s="552"/>
    </row>
    <row r="810">
      <c r="A810" s="552"/>
    </row>
    <row r="811">
      <c r="A811" s="552"/>
    </row>
    <row r="812">
      <c r="A812" s="552"/>
    </row>
    <row r="813">
      <c r="A813" s="552"/>
    </row>
    <row r="814">
      <c r="A814" s="552"/>
    </row>
    <row r="815">
      <c r="A815" s="552"/>
    </row>
    <row r="816">
      <c r="A816" s="552"/>
    </row>
    <row r="817">
      <c r="A817" s="552"/>
    </row>
    <row r="818">
      <c r="A818" s="552"/>
    </row>
    <row r="819">
      <c r="A819" s="552"/>
    </row>
    <row r="820">
      <c r="A820" s="552"/>
    </row>
    <row r="821">
      <c r="A821" s="552"/>
    </row>
    <row r="822">
      <c r="A822" s="552"/>
    </row>
    <row r="823">
      <c r="A823" s="552"/>
    </row>
    <row r="824">
      <c r="A824" s="552"/>
    </row>
    <row r="825">
      <c r="A825" s="552"/>
    </row>
    <row r="826">
      <c r="A826" s="552"/>
    </row>
    <row r="827">
      <c r="A827" s="552"/>
    </row>
    <row r="828">
      <c r="A828" s="552"/>
    </row>
    <row r="829">
      <c r="A829" s="552"/>
    </row>
    <row r="830">
      <c r="A830" s="552"/>
    </row>
    <row r="831">
      <c r="A831" s="552"/>
    </row>
    <row r="832">
      <c r="A832" s="552"/>
    </row>
    <row r="833">
      <c r="A833" s="552"/>
    </row>
    <row r="834">
      <c r="A834" s="552"/>
    </row>
    <row r="835">
      <c r="A835" s="552"/>
    </row>
    <row r="836">
      <c r="A836" s="552"/>
    </row>
    <row r="837">
      <c r="A837" s="552"/>
    </row>
    <row r="838">
      <c r="A838" s="552"/>
    </row>
    <row r="839">
      <c r="A839" s="552"/>
    </row>
    <row r="840">
      <c r="A840" s="552"/>
    </row>
    <row r="841">
      <c r="A841" s="552"/>
    </row>
    <row r="842">
      <c r="A842" s="552"/>
    </row>
    <row r="843">
      <c r="A843" s="552"/>
    </row>
    <row r="844">
      <c r="A844" s="552"/>
    </row>
    <row r="845">
      <c r="A845" s="552"/>
    </row>
    <row r="846">
      <c r="A846" s="552"/>
    </row>
    <row r="847">
      <c r="A847" s="552"/>
    </row>
    <row r="848">
      <c r="A848" s="552"/>
    </row>
    <row r="849">
      <c r="A849" s="552"/>
    </row>
    <row r="850">
      <c r="A850" s="552"/>
    </row>
    <row r="851">
      <c r="A851" s="552"/>
    </row>
    <row r="852">
      <c r="A852" s="552"/>
    </row>
    <row r="853">
      <c r="A853" s="552"/>
    </row>
    <row r="854">
      <c r="A854" s="552"/>
    </row>
    <row r="855">
      <c r="A855" s="552"/>
    </row>
    <row r="856">
      <c r="A856" s="552"/>
    </row>
    <row r="857">
      <c r="A857" s="552"/>
    </row>
    <row r="858">
      <c r="A858" s="552"/>
    </row>
    <row r="859">
      <c r="A859" s="552"/>
    </row>
    <row r="860">
      <c r="A860" s="552"/>
    </row>
    <row r="861">
      <c r="A861" s="552"/>
    </row>
    <row r="862">
      <c r="A862" s="552"/>
    </row>
    <row r="863">
      <c r="A863" s="552"/>
    </row>
    <row r="864">
      <c r="A864" s="552"/>
    </row>
    <row r="865">
      <c r="A865" s="552"/>
    </row>
    <row r="866">
      <c r="A866" s="552"/>
    </row>
    <row r="867">
      <c r="A867" s="552"/>
    </row>
    <row r="868">
      <c r="A868" s="552"/>
    </row>
    <row r="869">
      <c r="A869" s="552"/>
    </row>
    <row r="870">
      <c r="A870" s="552"/>
    </row>
    <row r="871">
      <c r="A871" s="552"/>
    </row>
    <row r="872">
      <c r="A872" s="552"/>
    </row>
    <row r="873">
      <c r="A873" s="552"/>
    </row>
    <row r="874">
      <c r="A874" s="552"/>
    </row>
    <row r="875">
      <c r="A875" s="552"/>
    </row>
    <row r="876">
      <c r="A876" s="552"/>
    </row>
    <row r="877">
      <c r="A877" s="552"/>
    </row>
    <row r="878">
      <c r="A878" s="552"/>
    </row>
    <row r="879">
      <c r="A879" s="552"/>
    </row>
    <row r="880">
      <c r="A880" s="552"/>
    </row>
    <row r="881">
      <c r="A881" s="552"/>
    </row>
    <row r="882">
      <c r="A882" s="552"/>
    </row>
    <row r="883">
      <c r="A883" s="552"/>
    </row>
    <row r="884">
      <c r="A884" s="552"/>
    </row>
    <row r="885">
      <c r="A885" s="552"/>
    </row>
    <row r="886">
      <c r="A886" s="552"/>
    </row>
    <row r="887">
      <c r="A887" s="552"/>
    </row>
    <row r="888">
      <c r="A888" s="552"/>
    </row>
    <row r="889">
      <c r="A889" s="552"/>
    </row>
    <row r="890">
      <c r="A890" s="552"/>
    </row>
    <row r="891">
      <c r="A891" s="552"/>
    </row>
    <row r="892">
      <c r="A892" s="552"/>
    </row>
    <row r="893">
      <c r="A893" s="552"/>
    </row>
    <row r="894">
      <c r="A894" s="552"/>
    </row>
    <row r="895">
      <c r="A895" s="552"/>
    </row>
    <row r="896">
      <c r="A896" s="552"/>
    </row>
    <row r="897">
      <c r="A897" s="552"/>
    </row>
    <row r="898">
      <c r="A898" s="552"/>
    </row>
    <row r="899">
      <c r="A899" s="552"/>
    </row>
    <row r="900">
      <c r="A900" s="552"/>
    </row>
    <row r="901">
      <c r="A901" s="552"/>
    </row>
    <row r="902">
      <c r="A902" s="552"/>
    </row>
    <row r="903">
      <c r="A903" s="552"/>
    </row>
    <row r="904">
      <c r="A904" s="552"/>
    </row>
    <row r="905">
      <c r="A905" s="552"/>
    </row>
    <row r="906">
      <c r="A906" s="552"/>
    </row>
    <row r="907">
      <c r="A907" s="552"/>
    </row>
    <row r="908">
      <c r="A908" s="552"/>
    </row>
    <row r="909">
      <c r="A909" s="552"/>
    </row>
    <row r="910">
      <c r="A910" s="552"/>
    </row>
    <row r="911">
      <c r="A911" s="552"/>
    </row>
    <row r="912">
      <c r="A912" s="552"/>
    </row>
    <row r="913">
      <c r="A913" s="552"/>
    </row>
    <row r="914">
      <c r="A914" s="552"/>
    </row>
    <row r="915">
      <c r="A915" s="552"/>
    </row>
    <row r="916">
      <c r="A916" s="552"/>
    </row>
    <row r="917">
      <c r="A917" s="552"/>
    </row>
    <row r="918">
      <c r="A918" s="552"/>
    </row>
    <row r="919">
      <c r="A919" s="552"/>
    </row>
    <row r="920">
      <c r="A920" s="552"/>
    </row>
    <row r="921">
      <c r="A921" s="552"/>
    </row>
    <row r="922">
      <c r="A922" s="552"/>
    </row>
    <row r="923">
      <c r="A923" s="552"/>
    </row>
    <row r="924">
      <c r="A924" s="552"/>
    </row>
    <row r="925">
      <c r="A925" s="552"/>
    </row>
    <row r="926">
      <c r="A926" s="552"/>
    </row>
    <row r="927">
      <c r="A927" s="552"/>
    </row>
    <row r="928">
      <c r="A928" s="552"/>
    </row>
    <row r="929">
      <c r="A929" s="552"/>
    </row>
    <row r="930">
      <c r="A930" s="552"/>
    </row>
    <row r="931">
      <c r="A931" s="552"/>
    </row>
    <row r="932">
      <c r="A932" s="552"/>
    </row>
    <row r="933">
      <c r="A933" s="552"/>
    </row>
    <row r="934">
      <c r="A934" s="552"/>
    </row>
    <row r="935">
      <c r="A935" s="552"/>
    </row>
    <row r="936">
      <c r="A936" s="552"/>
    </row>
    <row r="937">
      <c r="A937" s="552"/>
    </row>
    <row r="938">
      <c r="A938" s="552"/>
    </row>
    <row r="939">
      <c r="A939" s="552"/>
    </row>
    <row r="940">
      <c r="A940" s="552"/>
    </row>
    <row r="941">
      <c r="A941" s="552"/>
    </row>
    <row r="942">
      <c r="A942" s="552"/>
    </row>
    <row r="943">
      <c r="A943" s="552"/>
    </row>
    <row r="944">
      <c r="A944" s="552"/>
    </row>
    <row r="945">
      <c r="A945" s="552"/>
    </row>
    <row r="946">
      <c r="A946" s="552"/>
    </row>
    <row r="947">
      <c r="A947" s="552"/>
    </row>
    <row r="948">
      <c r="A948" s="552"/>
    </row>
    <row r="949">
      <c r="A949" s="552"/>
    </row>
    <row r="950">
      <c r="A950" s="552"/>
    </row>
    <row r="951">
      <c r="A951" s="552"/>
    </row>
    <row r="952">
      <c r="A952" s="552"/>
    </row>
    <row r="953">
      <c r="A953" s="552"/>
    </row>
    <row r="954">
      <c r="A954" s="552"/>
    </row>
    <row r="955">
      <c r="A955" s="552"/>
    </row>
    <row r="956">
      <c r="A956" s="552"/>
    </row>
    <row r="957">
      <c r="A957" s="552"/>
    </row>
    <row r="958">
      <c r="A958" s="552"/>
    </row>
    <row r="959">
      <c r="A959" s="552"/>
    </row>
    <row r="960">
      <c r="A960" s="552"/>
    </row>
    <row r="961">
      <c r="A961" s="552"/>
    </row>
    <row r="962">
      <c r="A962" s="552"/>
    </row>
    <row r="963">
      <c r="A963" s="552"/>
    </row>
    <row r="964">
      <c r="A964" s="552"/>
    </row>
    <row r="965">
      <c r="A965" s="552"/>
    </row>
    <row r="966">
      <c r="A966" s="552"/>
    </row>
    <row r="967">
      <c r="A967" s="552"/>
    </row>
    <row r="968">
      <c r="A968" s="552"/>
    </row>
    <row r="969">
      <c r="A969" s="552"/>
    </row>
    <row r="970">
      <c r="A970" s="552"/>
    </row>
    <row r="971">
      <c r="A971" s="552"/>
    </row>
    <row r="972">
      <c r="A972" s="552"/>
    </row>
    <row r="973">
      <c r="A973" s="552"/>
    </row>
    <row r="974">
      <c r="A974" s="552"/>
    </row>
    <row r="975">
      <c r="A975" s="552"/>
    </row>
    <row r="976">
      <c r="A976" s="552"/>
    </row>
    <row r="977">
      <c r="A977" s="552"/>
    </row>
    <row r="978">
      <c r="A978" s="552"/>
    </row>
    <row r="979">
      <c r="A979" s="552"/>
    </row>
    <row r="980">
      <c r="A980" s="552"/>
    </row>
    <row r="981">
      <c r="A981" s="552"/>
    </row>
    <row r="982">
      <c r="A982" s="552"/>
    </row>
    <row r="983">
      <c r="A983" s="552"/>
    </row>
    <row r="984">
      <c r="A984" s="552"/>
    </row>
    <row r="985">
      <c r="A985" s="552"/>
    </row>
    <row r="986">
      <c r="A986" s="552"/>
    </row>
    <row r="987">
      <c r="A987" s="552"/>
    </row>
    <row r="988">
      <c r="A988" s="552"/>
    </row>
    <row r="989">
      <c r="A989" s="552"/>
    </row>
    <row r="990">
      <c r="A990" s="552"/>
    </row>
    <row r="991">
      <c r="A991" s="552"/>
    </row>
    <row r="992">
      <c r="A992" s="552"/>
    </row>
    <row r="993">
      <c r="A993" s="552"/>
    </row>
    <row r="994">
      <c r="A994" s="552"/>
    </row>
  </sheetData>
  <mergeCells count="87">
    <mergeCell ref="K8:L8"/>
    <mergeCell ref="M8:N8"/>
    <mergeCell ref="O8:P8"/>
    <mergeCell ref="C9:P9"/>
    <mergeCell ref="C10:P10"/>
    <mergeCell ref="C11:P11"/>
    <mergeCell ref="C13:P17"/>
    <mergeCell ref="G18:H18"/>
    <mergeCell ref="K18:L18"/>
    <mergeCell ref="C19:P19"/>
    <mergeCell ref="E20:H20"/>
    <mergeCell ref="K20:P20"/>
    <mergeCell ref="Q20:R20"/>
    <mergeCell ref="I21:O21"/>
    <mergeCell ref="G33:P33"/>
    <mergeCell ref="O34:P34"/>
    <mergeCell ref="C27:F27"/>
    <mergeCell ref="C28:F28"/>
    <mergeCell ref="C29:P29"/>
    <mergeCell ref="C30:J31"/>
    <mergeCell ref="K30:P31"/>
    <mergeCell ref="C32:P32"/>
    <mergeCell ref="E33:F33"/>
    <mergeCell ref="H40:N40"/>
    <mergeCell ref="H41:N41"/>
    <mergeCell ref="G42:J42"/>
    <mergeCell ref="K42:P42"/>
    <mergeCell ref="I20:J20"/>
    <mergeCell ref="G27:J27"/>
    <mergeCell ref="K27:P28"/>
    <mergeCell ref="G28:J28"/>
    <mergeCell ref="C37:P39"/>
    <mergeCell ref="C40:F42"/>
    <mergeCell ref="O40:P41"/>
    <mergeCell ref="C46:D50"/>
    <mergeCell ref="C51:D52"/>
    <mergeCell ref="A54:A62"/>
    <mergeCell ref="B54:B62"/>
    <mergeCell ref="E51:F51"/>
    <mergeCell ref="G51:H51"/>
    <mergeCell ref="I51:L52"/>
    <mergeCell ref="M51:P52"/>
    <mergeCell ref="E52:F52"/>
    <mergeCell ref="G52:H52"/>
    <mergeCell ref="A46:A53"/>
    <mergeCell ref="B46:B50"/>
    <mergeCell ref="E46:F48"/>
    <mergeCell ref="G46:N50"/>
    <mergeCell ref="O46:O50"/>
    <mergeCell ref="P46:P50"/>
    <mergeCell ref="E49:F50"/>
    <mergeCell ref="C54:P62"/>
    <mergeCell ref="O1:P1"/>
    <mergeCell ref="C2:P2"/>
    <mergeCell ref="C3:P3"/>
    <mergeCell ref="C4:P4"/>
    <mergeCell ref="C5:D5"/>
    <mergeCell ref="E5:F5"/>
    <mergeCell ref="I5:J5"/>
    <mergeCell ref="K5:L5"/>
    <mergeCell ref="O5:P5"/>
    <mergeCell ref="C6:P6"/>
    <mergeCell ref="C7:P7"/>
    <mergeCell ref="E8:F8"/>
    <mergeCell ref="I8:J8"/>
    <mergeCell ref="E1:F1"/>
    <mergeCell ref="G1:H1"/>
    <mergeCell ref="I1:J1"/>
    <mergeCell ref="K1:L1"/>
    <mergeCell ref="M1:N1"/>
    <mergeCell ref="A2:A12"/>
    <mergeCell ref="M5:N5"/>
    <mergeCell ref="A27:A36"/>
    <mergeCell ref="A37:A45"/>
    <mergeCell ref="B37:B41"/>
    <mergeCell ref="C43:P43"/>
    <mergeCell ref="C44:D44"/>
    <mergeCell ref="E44:F44"/>
    <mergeCell ref="G44:H44"/>
    <mergeCell ref="I44:P44"/>
    <mergeCell ref="C1:D1"/>
    <mergeCell ref="C8:D8"/>
    <mergeCell ref="A13:A26"/>
    <mergeCell ref="B13:B17"/>
    <mergeCell ref="C18:D18"/>
    <mergeCell ref="C20:D20"/>
    <mergeCell ref="C33:D3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429" t="s">
        <v>2859</v>
      </c>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customHeight="1">
      <c r="A2" s="553">
        <v>44851.0</v>
      </c>
      <c r="B2" s="19">
        <v>1.0</v>
      </c>
      <c r="C2" s="20" t="s">
        <v>12</v>
      </c>
      <c r="D2" s="20" t="s">
        <v>13</v>
      </c>
      <c r="E2" s="21" t="s">
        <v>2860</v>
      </c>
      <c r="F2" s="22"/>
      <c r="G2" s="23" t="s">
        <v>2861</v>
      </c>
      <c r="H2" s="24"/>
      <c r="I2" s="25"/>
      <c r="J2" s="21" t="s">
        <v>2862</v>
      </c>
      <c r="K2" s="24"/>
      <c r="L2" s="24"/>
      <c r="M2" s="25"/>
      <c r="N2" s="21" t="s">
        <v>2863</v>
      </c>
      <c r="O2" s="25"/>
      <c r="P2" s="21" t="s">
        <v>2864</v>
      </c>
      <c r="Q2" s="25"/>
      <c r="R2" s="21" t="s">
        <v>2865</v>
      </c>
      <c r="S2" s="25"/>
      <c r="T2" s="21" t="s">
        <v>2866</v>
      </c>
      <c r="U2" s="24"/>
      <c r="V2" s="22"/>
      <c r="W2" s="26"/>
      <c r="X2" s="27" t="s">
        <v>12</v>
      </c>
      <c r="Y2" s="27" t="s">
        <v>13</v>
      </c>
      <c r="Z2" s="28"/>
      <c r="AA2" s="14"/>
      <c r="AB2" s="15"/>
      <c r="AC2" s="14"/>
      <c r="AD2" s="14"/>
      <c r="AE2" s="14"/>
      <c r="AF2" s="29"/>
      <c r="AG2" s="29"/>
      <c r="AH2" s="29"/>
    </row>
    <row r="3" ht="40.5" customHeight="1">
      <c r="A3" s="30"/>
      <c r="B3" s="31">
        <v>2.0</v>
      </c>
      <c r="C3" s="32" t="s">
        <v>21</v>
      </c>
      <c r="D3" s="32" t="s">
        <v>22</v>
      </c>
      <c r="E3" s="33" t="s">
        <v>2867</v>
      </c>
      <c r="F3" s="34" t="s">
        <v>64</v>
      </c>
      <c r="G3" s="35" t="s">
        <v>25</v>
      </c>
      <c r="H3" s="36"/>
      <c r="I3" s="13"/>
      <c r="J3" s="37" t="s">
        <v>2868</v>
      </c>
      <c r="K3" s="13"/>
      <c r="L3" s="38" t="s">
        <v>2869</v>
      </c>
      <c r="M3" s="13"/>
      <c r="N3" s="37" t="s">
        <v>2870</v>
      </c>
      <c r="O3" s="13"/>
      <c r="P3" s="37" t="s">
        <v>2871</v>
      </c>
      <c r="Q3" s="13"/>
      <c r="R3" s="39" t="s">
        <v>2872</v>
      </c>
      <c r="S3" s="40" t="s">
        <v>2873</v>
      </c>
      <c r="T3" s="37" t="s">
        <v>2874</v>
      </c>
      <c r="U3" s="36"/>
      <c r="V3" s="41"/>
      <c r="W3" s="26"/>
      <c r="X3" s="42" t="s">
        <v>21</v>
      </c>
      <c r="Y3" s="42" t="s">
        <v>22</v>
      </c>
      <c r="Z3" s="28"/>
      <c r="AA3" s="14"/>
      <c r="AB3" s="15" t="str">
        <f>IFERROR(__xludf.DUMMYFUNCTION("join("","",filter(split($H$83,"",""),ARRAYFORMULA(ISERROR(FIND(split($H$83,"",""),CONCATENATE(E3:V3))))=TRUE))"),"201,206,403,404,405,406,410,АЗ")</f>
        <v>201,206,403,404,405,406,410,АЗ</v>
      </c>
      <c r="AC3" s="14"/>
      <c r="AD3" s="14"/>
      <c r="AE3" s="14"/>
      <c r="AF3" s="29"/>
      <c r="AG3" s="29"/>
      <c r="AH3" s="29"/>
    </row>
    <row r="4" ht="40.5" customHeight="1">
      <c r="A4" s="30"/>
      <c r="B4" s="31">
        <v>3.0</v>
      </c>
      <c r="C4" s="32" t="s">
        <v>33</v>
      </c>
      <c r="D4" s="32" t="s">
        <v>34</v>
      </c>
      <c r="E4" s="33" t="s">
        <v>2875</v>
      </c>
      <c r="F4" s="126" t="s">
        <v>2876</v>
      </c>
      <c r="G4" s="43" t="s">
        <v>2877</v>
      </c>
      <c r="H4" s="44" t="s">
        <v>64</v>
      </c>
      <c r="I4" s="45" t="s">
        <v>2878</v>
      </c>
      <c r="J4" s="46" t="s">
        <v>2879</v>
      </c>
      <c r="K4" s="13"/>
      <c r="L4" s="45" t="s">
        <v>2880</v>
      </c>
      <c r="M4" s="13"/>
      <c r="N4" s="37" t="s">
        <v>2881</v>
      </c>
      <c r="O4" s="13"/>
      <c r="P4" s="37" t="s">
        <v>2882</v>
      </c>
      <c r="Q4" s="13"/>
      <c r="R4" s="39" t="s">
        <v>2883</v>
      </c>
      <c r="S4" s="40" t="s">
        <v>2884</v>
      </c>
      <c r="T4" s="37" t="s">
        <v>2885</v>
      </c>
      <c r="U4" s="36"/>
      <c r="V4" s="41"/>
      <c r="W4" s="26"/>
      <c r="X4" s="42" t="s">
        <v>33</v>
      </c>
      <c r="Y4" s="42" t="s">
        <v>34</v>
      </c>
      <c r="Z4" s="48" t="s">
        <v>47</v>
      </c>
      <c r="AA4" s="14"/>
      <c r="AB4" s="15" t="str">
        <f>IFERROR(__xludf.DUMMYFUNCTION("join("","",filter(split($H$83,"",""),ARRAYFORMULA(ISERROR(FIND(split($H$83,"",""),CONCATENATE(E4:V4))))=TRUE))"),"КЗ,201,206,403,404,406,АЗ")</f>
        <v>КЗ,201,206,403,404,406,АЗ</v>
      </c>
      <c r="AC4" s="14"/>
      <c r="AD4" s="14"/>
      <c r="AE4" s="14"/>
      <c r="AF4" s="29"/>
      <c r="AG4" s="29"/>
      <c r="AH4" s="29"/>
    </row>
    <row r="5" ht="40.5" customHeight="1">
      <c r="A5" s="30"/>
      <c r="B5" s="31">
        <v>4.0</v>
      </c>
      <c r="C5" s="32" t="s">
        <v>48</v>
      </c>
      <c r="D5" s="32" t="s">
        <v>49</v>
      </c>
      <c r="E5" s="33" t="s">
        <v>2886</v>
      </c>
      <c r="F5" s="126" t="s">
        <v>2887</v>
      </c>
      <c r="G5" s="43" t="s">
        <v>2888</v>
      </c>
      <c r="H5" s="45" t="s">
        <v>2889</v>
      </c>
      <c r="I5" s="13"/>
      <c r="J5" s="33" t="s">
        <v>2890</v>
      </c>
      <c r="K5" s="44" t="s">
        <v>2891</v>
      </c>
      <c r="L5" s="44" t="s">
        <v>2892</v>
      </c>
      <c r="M5" s="45" t="s">
        <v>2893</v>
      </c>
      <c r="N5" s="37" t="s">
        <v>2894</v>
      </c>
      <c r="O5" s="13"/>
      <c r="P5" s="37" t="s">
        <v>2895</v>
      </c>
      <c r="Q5" s="13"/>
      <c r="R5" s="51" t="s">
        <v>2896</v>
      </c>
      <c r="S5" s="13"/>
      <c r="T5" s="52" t="s">
        <v>2897</v>
      </c>
      <c r="U5" s="36"/>
      <c r="V5" s="41"/>
      <c r="W5" s="26"/>
      <c r="X5" s="42" t="s">
        <v>48</v>
      </c>
      <c r="Y5" s="42" t="s">
        <v>49</v>
      </c>
      <c r="Z5" s="48" t="s">
        <v>57</v>
      </c>
      <c r="AA5" s="14"/>
      <c r="AB5" s="15" t="str">
        <f>IFERROR(__xludf.DUMMYFUNCTION("join("","",filter(split($H$83,"",""),ARRAYFORMULA(ISERROR(FIND(split($H$83,"",""),CONCATENATE(E5:V5))))=TRUE))"),"СЗ,КЗ,206,401,403,406,408")</f>
        <v>СЗ,КЗ,206,401,403,406,408</v>
      </c>
      <c r="AC5" s="14"/>
      <c r="AD5" s="14"/>
      <c r="AE5" s="14"/>
      <c r="AF5" s="29"/>
      <c r="AG5" s="29"/>
      <c r="AH5" s="29"/>
    </row>
    <row r="6" ht="40.5" customHeight="1">
      <c r="A6" s="30"/>
      <c r="B6" s="31">
        <v>5.0</v>
      </c>
      <c r="C6" s="32" t="s">
        <v>58</v>
      </c>
      <c r="D6" s="53">
        <v>44847.0</v>
      </c>
      <c r="E6" s="316" t="s">
        <v>2898</v>
      </c>
      <c r="F6" s="34" t="s">
        <v>2899</v>
      </c>
      <c r="G6" s="43" t="s">
        <v>2900</v>
      </c>
      <c r="H6" s="45" t="s">
        <v>2901</v>
      </c>
      <c r="I6" s="13"/>
      <c r="J6" s="33" t="s">
        <v>2902</v>
      </c>
      <c r="K6" s="44" t="s">
        <v>64</v>
      </c>
      <c r="L6" s="44" t="s">
        <v>2903</v>
      </c>
      <c r="M6" s="45" t="s">
        <v>2904</v>
      </c>
      <c r="N6" s="37" t="s">
        <v>2905</v>
      </c>
      <c r="O6" s="13"/>
      <c r="P6" s="37" t="s">
        <v>2906</v>
      </c>
      <c r="Q6" s="13"/>
      <c r="R6" s="51" t="s">
        <v>2907</v>
      </c>
      <c r="S6" s="13"/>
      <c r="T6" s="52" t="s">
        <v>2908</v>
      </c>
      <c r="U6" s="36"/>
      <c r="V6" s="41"/>
      <c r="W6" s="26"/>
      <c r="X6" s="42" t="s">
        <v>58</v>
      </c>
      <c r="Y6" s="54">
        <v>44847.0</v>
      </c>
      <c r="Z6" s="48" t="s">
        <v>70</v>
      </c>
      <c r="AA6" s="14"/>
      <c r="AB6" s="15" t="str">
        <f>IFERROR(__xludf.DUMMYFUNCTION("join("","",filter(split($H$83,"",""),ARRAYFORMULA(ISERROR(FIND(split($H$83,"",""),CONCATENATE(E6:V6))))=TRUE))"),"СЗ,КЗ,206,401,403,406,408")</f>
        <v>СЗ,КЗ,206,401,403,406,408</v>
      </c>
      <c r="AC6" s="14"/>
      <c r="AD6" s="14"/>
      <c r="AE6" s="14"/>
      <c r="AF6" s="29"/>
      <c r="AG6" s="29"/>
      <c r="AH6" s="29"/>
    </row>
    <row r="7" ht="42.0" customHeight="1">
      <c r="A7" s="30"/>
      <c r="B7" s="31">
        <v>6.0</v>
      </c>
      <c r="C7" s="55" t="s">
        <v>71</v>
      </c>
      <c r="D7" s="56" t="s">
        <v>72</v>
      </c>
      <c r="E7" s="316" t="s">
        <v>2909</v>
      </c>
      <c r="F7" s="34" t="s">
        <v>2910</v>
      </c>
      <c r="G7" s="43" t="s">
        <v>2911</v>
      </c>
      <c r="H7" s="45" t="s">
        <v>2912</v>
      </c>
      <c r="I7" s="13"/>
      <c r="J7" s="37" t="s">
        <v>2913</v>
      </c>
      <c r="K7" s="13"/>
      <c r="L7" s="45" t="s">
        <v>2914</v>
      </c>
      <c r="M7" s="13"/>
      <c r="N7" s="37" t="s">
        <v>2915</v>
      </c>
      <c r="O7" s="13"/>
      <c r="P7" s="37" t="s">
        <v>2916</v>
      </c>
      <c r="Q7" s="13"/>
      <c r="R7" s="37" t="s">
        <v>2917</v>
      </c>
      <c r="S7" s="13"/>
      <c r="T7" s="33" t="s">
        <v>2918</v>
      </c>
      <c r="U7" s="45" t="s">
        <v>2919</v>
      </c>
      <c r="V7" s="41"/>
      <c r="W7" s="26"/>
      <c r="X7" s="58" t="s">
        <v>71</v>
      </c>
      <c r="Y7" s="59" t="s">
        <v>72</v>
      </c>
      <c r="Z7" s="48" t="s">
        <v>84</v>
      </c>
      <c r="AA7" s="14"/>
      <c r="AB7" s="15" t="str">
        <f>IFERROR(__xludf.DUMMYFUNCTION("join("","",filter(split($H$83,"",""),ARRAYFORMULA(ISERROR(FIND(split($H$83,"",""),CONCATENATE(E7:V7))))=TRUE))"),"КЗ,206,403,406,408,409,АЗ")</f>
        <v>КЗ,206,403,406,408,409,АЗ</v>
      </c>
      <c r="AC7" s="14"/>
      <c r="AD7" s="14"/>
      <c r="AE7" s="14"/>
      <c r="AF7" s="29"/>
      <c r="AG7" s="29"/>
      <c r="AH7" s="29"/>
    </row>
    <row r="8" ht="42.0" customHeight="1">
      <c r="A8" s="30"/>
      <c r="B8" s="31">
        <v>7.0</v>
      </c>
      <c r="C8" s="32" t="s">
        <v>85</v>
      </c>
      <c r="D8" s="32" t="s">
        <v>86</v>
      </c>
      <c r="E8" s="318" t="s">
        <v>2920</v>
      </c>
      <c r="F8" s="319" t="s">
        <v>2921</v>
      </c>
      <c r="G8" s="43" t="s">
        <v>2922</v>
      </c>
      <c r="H8" s="45" t="s">
        <v>2923</v>
      </c>
      <c r="I8" s="13"/>
      <c r="J8" s="37" t="s">
        <v>2924</v>
      </c>
      <c r="K8" s="13"/>
      <c r="L8" s="45" t="s">
        <v>2925</v>
      </c>
      <c r="M8" s="13"/>
      <c r="N8" s="37" t="s">
        <v>2926</v>
      </c>
      <c r="O8" s="13"/>
      <c r="P8" s="37" t="s">
        <v>2927</v>
      </c>
      <c r="Q8" s="13"/>
      <c r="R8" s="37" t="s">
        <v>2928</v>
      </c>
      <c r="S8" s="13"/>
      <c r="T8" s="33" t="s">
        <v>2929</v>
      </c>
      <c r="U8" s="45" t="s">
        <v>2930</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customHeight="1">
      <c r="A9" s="30"/>
      <c r="B9" s="31">
        <v>8.0</v>
      </c>
      <c r="C9" s="32" t="s">
        <v>98</v>
      </c>
      <c r="D9" s="32" t="s">
        <v>99</v>
      </c>
      <c r="E9" s="320" t="s">
        <v>2931</v>
      </c>
      <c r="F9" s="276" t="s">
        <v>2932</v>
      </c>
      <c r="G9" s="43" t="s">
        <v>2933</v>
      </c>
      <c r="H9" s="45" t="s">
        <v>2934</v>
      </c>
      <c r="I9" s="13"/>
      <c r="J9" s="37" t="s">
        <v>2935</v>
      </c>
      <c r="K9" s="13"/>
      <c r="L9" s="45" t="s">
        <v>2936</v>
      </c>
      <c r="M9" s="13"/>
      <c r="N9" s="61" t="s">
        <v>2937</v>
      </c>
      <c r="O9" s="13"/>
      <c r="P9" s="62" t="s">
        <v>2938</v>
      </c>
      <c r="Q9" s="45" t="s">
        <v>2939</v>
      </c>
      <c r="R9" s="322" t="s">
        <v>2940</v>
      </c>
      <c r="S9" s="36"/>
      <c r="T9" s="36"/>
      <c r="U9" s="36"/>
      <c r="V9" s="41"/>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40.5" customHeight="1">
      <c r="A10" s="30"/>
      <c r="B10" s="31">
        <v>9.0</v>
      </c>
      <c r="C10" s="65">
        <v>44697.0</v>
      </c>
      <c r="D10" s="44" t="s">
        <v>109</v>
      </c>
      <c r="E10" s="66" t="s">
        <v>2941</v>
      </c>
      <c r="F10" s="67"/>
      <c r="G10" s="43" t="s">
        <v>2942</v>
      </c>
      <c r="H10" s="45" t="s">
        <v>2943</v>
      </c>
      <c r="I10" s="13"/>
      <c r="J10" s="37" t="s">
        <v>2944</v>
      </c>
      <c r="K10" s="13"/>
      <c r="L10" s="45" t="s">
        <v>2945</v>
      </c>
      <c r="M10" s="13"/>
      <c r="N10" s="61" t="s">
        <v>2946</v>
      </c>
      <c r="O10" s="13"/>
      <c r="P10" s="62" t="s">
        <v>2947</v>
      </c>
      <c r="Q10" s="68" t="s">
        <v>2948</v>
      </c>
      <c r="R10" s="36"/>
      <c r="S10" s="36"/>
      <c r="T10" s="36"/>
      <c r="U10" s="36"/>
      <c r="V10" s="41"/>
      <c r="W10" s="26"/>
      <c r="X10" s="69">
        <v>44697.0</v>
      </c>
      <c r="Y10" s="70" t="s">
        <v>109</v>
      </c>
      <c r="Z10" s="28"/>
      <c r="AA10" s="14"/>
      <c r="AB10" s="15" t="str">
        <f>IFERROR(__xludf.DUMMYFUNCTION("join("","",filter(split($H$83,"",""),ARRAYFORMULA(ISERROR(FIND(split($H$83,"",""),CONCATENATE(E10:V10))))=TRUE))"),"КЗ,206,210,403,404,405,406,408,409,АЗ")</f>
        <v>КЗ,206,210,403,404,405,406,408,409,АЗ</v>
      </c>
      <c r="AC10" s="14"/>
      <c r="AD10" s="14"/>
      <c r="AE10" s="14"/>
      <c r="AF10" s="29"/>
      <c r="AG10" s="29"/>
      <c r="AH10" s="29"/>
    </row>
    <row r="11" ht="49.5"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2949</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customHeight="1">
      <c r="A13" s="553">
        <v>44852.0</v>
      </c>
      <c r="B13" s="19">
        <v>1.0</v>
      </c>
      <c r="C13" s="20" t="s">
        <v>12</v>
      </c>
      <c r="D13" s="20" t="s">
        <v>13</v>
      </c>
      <c r="E13" s="554" t="s">
        <v>2950</v>
      </c>
      <c r="F13" s="245"/>
      <c r="G13" s="81" t="s">
        <v>2951</v>
      </c>
      <c r="H13" s="80" t="s">
        <v>2952</v>
      </c>
      <c r="I13" s="22"/>
      <c r="J13" s="23" t="s">
        <v>2953</v>
      </c>
      <c r="K13" s="25"/>
      <c r="L13" s="80" t="s">
        <v>2954</v>
      </c>
      <c r="M13" s="25"/>
      <c r="N13" s="82" t="s">
        <v>2955</v>
      </c>
      <c r="O13" s="25"/>
      <c r="P13" s="21" t="s">
        <v>2956</v>
      </c>
      <c r="Q13" s="22"/>
      <c r="R13" s="23" t="s">
        <v>2957</v>
      </c>
      <c r="S13" s="22"/>
      <c r="T13" s="84" t="s">
        <v>2958</v>
      </c>
      <c r="U13" s="80" t="s">
        <v>2959</v>
      </c>
      <c r="V13" s="22"/>
      <c r="W13" s="26"/>
      <c r="X13" s="27" t="s">
        <v>12</v>
      </c>
      <c r="Y13" s="27" t="s">
        <v>13</v>
      </c>
      <c r="Z13" s="28"/>
      <c r="AA13" s="85"/>
      <c r="AB13" s="15" t="str">
        <f>IFERROR(__xludf.DUMMYFUNCTION("join("","",filter(split($H$83,"",""),ARRAYFORMULA(ISERROR(FIND(split($H$83,"",""),CONCATENATE(E13:V13))))=TRUE))"),"СЗ,КЗ,210,403,409,410")</f>
        <v>СЗ,КЗ,210,403,409,410</v>
      </c>
      <c r="AC13" s="14"/>
      <c r="AD13" s="14"/>
      <c r="AE13" s="14"/>
      <c r="AF13" s="29"/>
      <c r="AG13" s="29"/>
      <c r="AH13" s="29"/>
    </row>
    <row r="14" ht="64.5" customHeight="1">
      <c r="A14" s="30"/>
      <c r="B14" s="31">
        <v>2.0</v>
      </c>
      <c r="C14" s="32" t="s">
        <v>21</v>
      </c>
      <c r="D14" s="32" t="s">
        <v>22</v>
      </c>
      <c r="E14" s="104"/>
      <c r="F14" s="72"/>
      <c r="G14" s="46" t="s">
        <v>2960</v>
      </c>
      <c r="H14" s="86" t="s">
        <v>2961</v>
      </c>
      <c r="I14" s="41"/>
      <c r="J14" s="35" t="s">
        <v>2962</v>
      </c>
      <c r="K14" s="13"/>
      <c r="L14" s="45" t="s">
        <v>2963</v>
      </c>
      <c r="M14" s="13"/>
      <c r="N14" s="87" t="s">
        <v>2964</v>
      </c>
      <c r="O14" s="13"/>
      <c r="P14" s="37" t="s">
        <v>2965</v>
      </c>
      <c r="Q14" s="41"/>
      <c r="R14" s="35" t="s">
        <v>2966</v>
      </c>
      <c r="S14" s="41"/>
      <c r="T14" s="43" t="s">
        <v>2967</v>
      </c>
      <c r="U14" s="45" t="s">
        <v>2968</v>
      </c>
      <c r="V14" s="41"/>
      <c r="W14" s="26"/>
      <c r="X14" s="42" t="s">
        <v>21</v>
      </c>
      <c r="Y14" s="42" t="s">
        <v>22</v>
      </c>
      <c r="Z14" s="28"/>
      <c r="AA14" s="85"/>
      <c r="AB14" s="15" t="str">
        <f>IFERROR(__xludf.DUMMYFUNCTION("join("","",filter(split($H$83,"",""),ARRAYFORMULA(ISERROR(FIND(split($H$83,"",""),CONCATENATE(E14:V14))))=TRUE))"),"СЗ,КЗ,210,403,406,408,409,410,АЗ")</f>
        <v>СЗ,КЗ,210,403,406,408,409,410,АЗ</v>
      </c>
      <c r="AC14" s="14"/>
      <c r="AD14" s="14"/>
      <c r="AE14" s="14"/>
      <c r="AF14" s="29"/>
      <c r="AG14" s="29"/>
      <c r="AH14" s="29"/>
    </row>
    <row r="15" ht="40.5" customHeight="1">
      <c r="A15" s="30"/>
      <c r="B15" s="31">
        <v>3.0</v>
      </c>
      <c r="C15" s="32" t="s">
        <v>33</v>
      </c>
      <c r="D15" s="32" t="s">
        <v>34</v>
      </c>
      <c r="E15" s="40" t="s">
        <v>2969</v>
      </c>
      <c r="F15" s="13"/>
      <c r="G15" s="37" t="s">
        <v>2970</v>
      </c>
      <c r="H15" s="36"/>
      <c r="I15" s="41"/>
      <c r="J15" s="35" t="s">
        <v>2971</v>
      </c>
      <c r="K15" s="13"/>
      <c r="L15" s="45" t="s">
        <v>2972</v>
      </c>
      <c r="M15" s="13"/>
      <c r="N15" s="89" t="s">
        <v>2973</v>
      </c>
      <c r="O15" s="13"/>
      <c r="P15" s="37" t="s">
        <v>2974</v>
      </c>
      <c r="Q15" s="41"/>
      <c r="R15" s="43" t="s">
        <v>2975</v>
      </c>
      <c r="S15" s="34" t="s">
        <v>2976</v>
      </c>
      <c r="T15" s="91" t="s">
        <v>2977</v>
      </c>
      <c r="U15" s="36"/>
      <c r="V15" s="41"/>
      <c r="W15" s="26"/>
      <c r="X15" s="42" t="s">
        <v>33</v>
      </c>
      <c r="Y15" s="42" t="s">
        <v>34</v>
      </c>
      <c r="Z15" s="48" t="s">
        <v>47</v>
      </c>
      <c r="AA15" s="85" t="str">
        <f>AA$5</f>
        <v/>
      </c>
      <c r="AB15" s="15" t="str">
        <f>IFERROR(__xludf.DUMMYFUNCTION("join("","",filter(split($H$83,"",""),ARRAYFORMULA(ISERROR(FIND(split($H$83,"",""),CONCATENATE(E15:V15))))=TRUE))"),"КЗ,201,202,206,210,403,406,409,410,АЗ")</f>
        <v>КЗ,201,202,206,210,403,406,409,410,АЗ</v>
      </c>
      <c r="AC15" s="14"/>
      <c r="AD15" s="14"/>
      <c r="AE15" s="14"/>
      <c r="AF15" s="29"/>
      <c r="AG15" s="29"/>
      <c r="AH15" s="29"/>
    </row>
    <row r="16" ht="40.5" customHeight="1">
      <c r="A16" s="30"/>
      <c r="B16" s="31">
        <v>4.0</v>
      </c>
      <c r="C16" s="32" t="s">
        <v>48</v>
      </c>
      <c r="D16" s="32" t="s">
        <v>49</v>
      </c>
      <c r="E16" s="40" t="s">
        <v>2978</v>
      </c>
      <c r="F16" s="13"/>
      <c r="G16" s="37" t="s">
        <v>2979</v>
      </c>
      <c r="H16" s="36"/>
      <c r="I16" s="41"/>
      <c r="J16" s="35" t="s">
        <v>2980</v>
      </c>
      <c r="K16" s="13"/>
      <c r="L16" s="45" t="s">
        <v>2981</v>
      </c>
      <c r="M16" s="13"/>
      <c r="N16" s="89" t="s">
        <v>2982</v>
      </c>
      <c r="O16" s="13"/>
      <c r="P16" s="37" t="s">
        <v>2983</v>
      </c>
      <c r="Q16" s="41"/>
      <c r="R16" s="43" t="s">
        <v>2984</v>
      </c>
      <c r="S16" s="34" t="s">
        <v>2985</v>
      </c>
      <c r="T16" s="91" t="s">
        <v>2986</v>
      </c>
      <c r="U16" s="36"/>
      <c r="V16" s="41"/>
      <c r="W16" s="26"/>
      <c r="X16" s="42" t="s">
        <v>48</v>
      </c>
      <c r="Y16" s="42" t="s">
        <v>49</v>
      </c>
      <c r="Z16" s="48" t="s">
        <v>57</v>
      </c>
      <c r="AA16" s="85" t="str">
        <f>AA$6</f>
        <v/>
      </c>
      <c r="AB16" s="15" t="str">
        <f>IFERROR(__xludf.DUMMYFUNCTION("join("","",filter(split($H$83,"",""),ARRAYFORMULA(ISERROR(FIND(split($H$83,"",""),CONCATENATE(E16:V16))))=TRUE))"),"КЗ,201,202,206,210,403,406,409,410,АЗ")</f>
        <v>КЗ,201,202,206,210,403,406,409,410,АЗ</v>
      </c>
      <c r="AC16" s="14"/>
      <c r="AD16" s="14"/>
      <c r="AE16" s="14"/>
      <c r="AF16" s="29"/>
      <c r="AG16" s="29"/>
      <c r="AH16" s="29"/>
    </row>
    <row r="17" ht="40.5" customHeight="1">
      <c r="A17" s="30"/>
      <c r="B17" s="31">
        <v>5.0</v>
      </c>
      <c r="C17" s="32" t="s">
        <v>58</v>
      </c>
      <c r="D17" s="53">
        <v>44847.0</v>
      </c>
      <c r="E17" s="45" t="s">
        <v>2987</v>
      </c>
      <c r="F17" s="13"/>
      <c r="G17" s="33" t="s">
        <v>2988</v>
      </c>
      <c r="H17" s="45" t="s">
        <v>2989</v>
      </c>
      <c r="I17" s="41"/>
      <c r="J17" s="35" t="s">
        <v>2990</v>
      </c>
      <c r="K17" s="13"/>
      <c r="L17" s="40" t="s">
        <v>2991</v>
      </c>
      <c r="M17" s="13"/>
      <c r="N17" s="45" t="s">
        <v>2992</v>
      </c>
      <c r="O17" s="13"/>
      <c r="P17" s="33" t="s">
        <v>2993</v>
      </c>
      <c r="Q17" s="34" t="s">
        <v>2994</v>
      </c>
      <c r="R17" s="326" t="s">
        <v>2995</v>
      </c>
      <c r="S17" s="92" t="s">
        <v>2996</v>
      </c>
      <c r="T17" s="93" t="s">
        <v>2997</v>
      </c>
      <c r="U17" s="36"/>
      <c r="V17" s="41"/>
      <c r="W17" s="26"/>
      <c r="X17" s="42" t="s">
        <v>58</v>
      </c>
      <c r="Y17" s="54">
        <v>44847.0</v>
      </c>
      <c r="Z17" s="48" t="s">
        <v>70</v>
      </c>
      <c r="AA17" s="85" t="str">
        <f>AA$7</f>
        <v/>
      </c>
      <c r="AB17" s="15" t="str">
        <f>IFERROR(__xludf.DUMMYFUNCTION("join("","",filter(split($H$83,"",""),ARRAYFORMULA(ISERROR(FIND(split($H$83,"",""),CONCATENATE(E17:V17))))=TRUE))"),"СЗ,202,206,209,403,408,410,АЗ")</f>
        <v>СЗ,202,206,209,403,408,410,АЗ</v>
      </c>
      <c r="AC17" s="14"/>
      <c r="AD17" s="14"/>
      <c r="AE17" s="14"/>
      <c r="AF17" s="29"/>
      <c r="AG17" s="29"/>
      <c r="AH17" s="29"/>
    </row>
    <row r="18" ht="40.5" customHeight="1">
      <c r="A18" s="30"/>
      <c r="B18" s="31">
        <v>6.0</v>
      </c>
      <c r="C18" s="55" t="s">
        <v>71</v>
      </c>
      <c r="D18" s="56" t="s">
        <v>72</v>
      </c>
      <c r="E18" s="45" t="s">
        <v>2998</v>
      </c>
      <c r="F18" s="13"/>
      <c r="G18" s="33" t="s">
        <v>2999</v>
      </c>
      <c r="H18" s="45" t="s">
        <v>3000</v>
      </c>
      <c r="I18" s="41"/>
      <c r="J18" s="35" t="s">
        <v>3001</v>
      </c>
      <c r="K18" s="13"/>
      <c r="L18" s="40" t="s">
        <v>3002</v>
      </c>
      <c r="M18" s="13"/>
      <c r="N18" s="45" t="s">
        <v>3003</v>
      </c>
      <c r="O18" s="13"/>
      <c r="P18" s="33" t="s">
        <v>3004</v>
      </c>
      <c r="Q18" s="34" t="s">
        <v>3005</v>
      </c>
      <c r="R18" s="326" t="s">
        <v>3006</v>
      </c>
      <c r="S18" s="92" t="s">
        <v>3007</v>
      </c>
      <c r="T18" s="93" t="s">
        <v>3008</v>
      </c>
      <c r="U18" s="36"/>
      <c r="V18" s="41"/>
      <c r="W18" s="26"/>
      <c r="X18" s="58" t="s">
        <v>71</v>
      </c>
      <c r="Y18" s="59" t="s">
        <v>72</v>
      </c>
      <c r="Z18" s="48" t="s">
        <v>84</v>
      </c>
      <c r="AA18" s="85" t="str">
        <f>AA$8</f>
        <v/>
      </c>
      <c r="AB18" s="15" t="str">
        <f>IFERROR(__xludf.DUMMYFUNCTION("join("","",filter(split($H$83,"",""),ARRAYFORMULA(ISERROR(FIND(split($H$83,"",""),CONCATENATE(E18:V18))))=TRUE))"),"СЗ,202,206,209,403,408,410,АЗ")</f>
        <v>СЗ,202,206,209,403,408,410,АЗ</v>
      </c>
      <c r="AC18" s="14"/>
      <c r="AD18" s="14"/>
      <c r="AE18" s="14"/>
      <c r="AF18" s="29"/>
      <c r="AG18" s="29"/>
      <c r="AH18" s="29"/>
    </row>
    <row r="19" ht="40.5" customHeight="1">
      <c r="A19" s="30"/>
      <c r="B19" s="31">
        <v>7.0</v>
      </c>
      <c r="C19" s="32" t="s">
        <v>85</v>
      </c>
      <c r="D19" s="32" t="s">
        <v>86</v>
      </c>
      <c r="E19" s="94" t="s">
        <v>3009</v>
      </c>
      <c r="F19" s="13"/>
      <c r="G19" s="33" t="s">
        <v>3010</v>
      </c>
      <c r="H19" s="45" t="s">
        <v>3011</v>
      </c>
      <c r="I19" s="41"/>
      <c r="J19" s="95" t="s">
        <v>3012</v>
      </c>
      <c r="K19" s="13"/>
      <c r="L19" s="45" t="s">
        <v>3013</v>
      </c>
      <c r="M19" s="13"/>
      <c r="N19" s="45" t="s">
        <v>3014</v>
      </c>
      <c r="O19" s="13"/>
      <c r="P19" s="37" t="s">
        <v>3015</v>
      </c>
      <c r="Q19" s="41"/>
      <c r="R19" s="96" t="s">
        <v>3016</v>
      </c>
      <c r="S19" s="97" t="s">
        <v>3017</v>
      </c>
      <c r="T19" s="93" t="s">
        <v>3018</v>
      </c>
      <c r="U19" s="36"/>
      <c r="V19" s="41"/>
      <c r="W19" s="26"/>
      <c r="X19" s="42" t="s">
        <v>85</v>
      </c>
      <c r="Y19" s="42" t="s">
        <v>86</v>
      </c>
      <c r="Z19" s="48" t="s">
        <v>97</v>
      </c>
      <c r="AA19" s="85" t="str">
        <f>AA$9</f>
        <v/>
      </c>
      <c r="AB19" s="15" t="str">
        <f>IFERROR(__xludf.DUMMYFUNCTION("join("","",filter(split($H$83,"",""),ARRAYFORMULA(ISERROR(FIND(split($H$83,"",""),CONCATENATE(E19:V19))))=TRUE))"),"СЗ,202,206,209,403,404,405,410,АЗ")</f>
        <v>СЗ,202,206,209,403,404,405,410,АЗ</v>
      </c>
      <c r="AC19" s="14"/>
      <c r="AD19" s="14"/>
      <c r="AE19" s="14"/>
      <c r="AF19" s="29"/>
      <c r="AG19" s="29"/>
      <c r="AH19" s="29"/>
    </row>
    <row r="20" ht="40.5" customHeight="1">
      <c r="A20" s="30"/>
      <c r="B20" s="31">
        <v>8.0</v>
      </c>
      <c r="C20" s="32" t="s">
        <v>98</v>
      </c>
      <c r="D20" s="32" t="s">
        <v>99</v>
      </c>
      <c r="E20" s="94" t="s">
        <v>3019</v>
      </c>
      <c r="F20" s="13"/>
      <c r="G20" s="328" t="s">
        <v>3020</v>
      </c>
      <c r="H20" s="45" t="s">
        <v>3021</v>
      </c>
      <c r="I20" s="41"/>
      <c r="J20" s="95" t="s">
        <v>3022</v>
      </c>
      <c r="K20" s="13"/>
      <c r="L20" s="45"/>
      <c r="M20" s="13"/>
      <c r="N20" s="45" t="s">
        <v>3023</v>
      </c>
      <c r="O20" s="13"/>
      <c r="P20" s="37" t="s">
        <v>3024</v>
      </c>
      <c r="Q20" s="41"/>
      <c r="R20" s="96" t="s">
        <v>3025</v>
      </c>
      <c r="S20" s="97" t="s">
        <v>3026</v>
      </c>
      <c r="T20" s="93" t="s">
        <v>3027</v>
      </c>
      <c r="U20" s="36"/>
      <c r="V20" s="41"/>
      <c r="W20" s="26"/>
      <c r="X20" s="42" t="s">
        <v>98</v>
      </c>
      <c r="Y20" s="42" t="s">
        <v>99</v>
      </c>
      <c r="Z20" s="11"/>
      <c r="AA20" s="98"/>
      <c r="AB20" s="15" t="str">
        <f>IFERROR(__xludf.DUMMYFUNCTION("join("","",filter(split($H$83,"",""),ARRAYFORMULA(ISERROR(FIND(split($H$83,"",""),CONCATENATE(E20:V20))))=TRUE))"),"СЗ,201,202,206,209,403,404,405,410,АЗ")</f>
        <v>СЗ,201,202,206,209,403,404,405,410,АЗ</v>
      </c>
      <c r="AC20" s="14"/>
      <c r="AD20" s="14"/>
      <c r="AE20" s="14"/>
      <c r="AF20" s="29"/>
      <c r="AG20" s="29"/>
      <c r="AH20" s="29"/>
    </row>
    <row r="21" ht="40.5" customHeight="1">
      <c r="A21" s="30"/>
      <c r="B21" s="31">
        <v>9.0</v>
      </c>
      <c r="C21" s="65">
        <v>44697.0</v>
      </c>
      <c r="D21" s="44" t="s">
        <v>109</v>
      </c>
      <c r="E21" s="99" t="s">
        <v>206</v>
      </c>
      <c r="F21" s="4"/>
      <c r="G21" s="328" t="s">
        <v>3028</v>
      </c>
      <c r="H21" s="101" t="s">
        <v>208</v>
      </c>
      <c r="I21" s="36"/>
      <c r="J21" s="36"/>
      <c r="K21" s="36"/>
      <c r="L21" s="36"/>
      <c r="M21" s="13"/>
      <c r="N21" s="45" t="s">
        <v>3029</v>
      </c>
      <c r="O21" s="13"/>
      <c r="P21" s="102" t="s">
        <v>3030</v>
      </c>
      <c r="Q21" s="41"/>
      <c r="R21" s="35" t="s">
        <v>211</v>
      </c>
      <c r="S21" s="41"/>
      <c r="T21" s="103" t="s">
        <v>3031</v>
      </c>
      <c r="U21" s="36"/>
      <c r="V21" s="41"/>
      <c r="W21" s="26"/>
      <c r="X21" s="69">
        <v>44697.0</v>
      </c>
      <c r="Y21" s="70" t="s">
        <v>109</v>
      </c>
      <c r="Z21" s="28"/>
      <c r="AA21" s="98"/>
      <c r="AB21" s="15" t="str">
        <f>IFERROR(__xludf.DUMMYFUNCTION("join("","",filter(split($H$83,"",""),ARRAYFORMULA(ISERROR(FIND(split($H$83,"",""),CONCATENATE(E21:V21))))=TRUE))"),"201,206,209,210,401,403,404,405,406,408,АЗ")</f>
        <v>201,206,209,210,401,403,404,405,406,408,АЗ</v>
      </c>
      <c r="AC21" s="14"/>
      <c r="AD21" s="14"/>
      <c r="AE21" s="14"/>
      <c r="AF21" s="29"/>
      <c r="AG21" s="29"/>
      <c r="AH21" s="29"/>
    </row>
    <row r="22" ht="40.5" customHeight="1">
      <c r="A22" s="30"/>
      <c r="B22" s="31">
        <v>10.0</v>
      </c>
      <c r="C22" s="44" t="s">
        <v>120</v>
      </c>
      <c r="D22" s="44" t="s">
        <v>121</v>
      </c>
      <c r="E22" s="104"/>
      <c r="F22" s="72"/>
      <c r="G22" s="328" t="s">
        <v>3032</v>
      </c>
      <c r="H22" s="106" t="s">
        <v>3033</v>
      </c>
      <c r="I22" s="36"/>
      <c r="J22" s="36"/>
      <c r="K22" s="36"/>
      <c r="L22" s="36"/>
      <c r="M22" s="13"/>
      <c r="N22" s="45" t="s">
        <v>3034</v>
      </c>
      <c r="O22" s="13"/>
      <c r="P22" s="101" t="s">
        <v>215</v>
      </c>
      <c r="Q22" s="36"/>
      <c r="R22" s="36"/>
      <c r="S22" s="13"/>
      <c r="T22" s="107" t="s">
        <v>3035</v>
      </c>
      <c r="U22" s="36"/>
      <c r="V22" s="41"/>
      <c r="W22" s="26"/>
      <c r="X22" s="70" t="s">
        <v>120</v>
      </c>
      <c r="Y22" s="70" t="s">
        <v>121</v>
      </c>
      <c r="Z22" s="28"/>
      <c r="AA22" s="98"/>
      <c r="AB22" s="15" t="str">
        <f>IFERROR(__xludf.DUMMYFUNCTION("join("","",filter(split($H$83,"",""),ARRAYFORMULA(ISERROR(FIND(split($H$83,"",""),CONCATENATE(E22:V22))))=TRUE))"),"201,206,209,210,401,403,404,405,406,408,409,АЗ")</f>
        <v>201,206,209,210,401,403,404,405,406,408,409,АЗ</v>
      </c>
      <c r="AC22" s="14"/>
      <c r="AD22" s="14"/>
      <c r="AE22" s="14"/>
      <c r="AF22" s="29"/>
      <c r="AG22" s="29"/>
      <c r="AH22" s="29"/>
    </row>
    <row r="23" ht="40.5" customHeight="1">
      <c r="A23" s="74"/>
      <c r="B23" s="75">
        <v>11.0</v>
      </c>
      <c r="C23" s="76" t="s">
        <v>124</v>
      </c>
      <c r="D23" s="76" t="s">
        <v>125</v>
      </c>
      <c r="E23" s="108"/>
      <c r="F23" s="109"/>
      <c r="G23" s="110"/>
      <c r="H23" s="111"/>
      <c r="I23" s="112"/>
      <c r="J23" s="113"/>
      <c r="K23" s="111"/>
      <c r="L23" s="111"/>
      <c r="M23" s="111"/>
      <c r="N23" s="111"/>
      <c r="O23" s="111"/>
      <c r="P23" s="111"/>
      <c r="Q23" s="111"/>
      <c r="R23" s="114" t="s">
        <v>3036</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customHeight="1">
      <c r="A24" s="553">
        <v>44853.0</v>
      </c>
      <c r="B24" s="435">
        <v>1.0</v>
      </c>
      <c r="C24" s="20" t="s">
        <v>12</v>
      </c>
      <c r="D24" s="20" t="s">
        <v>13</v>
      </c>
      <c r="E24" s="21" t="s">
        <v>3037</v>
      </c>
      <c r="F24" s="22"/>
      <c r="G24" s="244" t="s">
        <v>3038</v>
      </c>
      <c r="H24" s="247"/>
      <c r="I24" s="6"/>
      <c r="J24" s="555" t="s">
        <v>3039</v>
      </c>
      <c r="K24" s="247"/>
      <c r="L24" s="247"/>
      <c r="M24" s="245"/>
      <c r="N24" s="80" t="s">
        <v>3040</v>
      </c>
      <c r="O24" s="25"/>
      <c r="P24" s="331" t="s">
        <v>3041</v>
      </c>
      <c r="Q24" s="24"/>
      <c r="R24" s="24"/>
      <c r="S24" s="22"/>
      <c r="T24" s="556" t="s">
        <v>3042</v>
      </c>
      <c r="U24" s="247"/>
      <c r="V24" s="6"/>
      <c r="W24" s="26"/>
      <c r="X24" s="27" t="s">
        <v>12</v>
      </c>
      <c r="Y24" s="27" t="s">
        <v>13</v>
      </c>
      <c r="Z24" s="28"/>
      <c r="AA24" s="14"/>
      <c r="AB24" s="15" t="str">
        <f>IFERROR(__xludf.DUMMYFUNCTION("join("","",filter(split($H$83,"",""),ARRAYFORMULA(ISERROR(FIND(split($H$83,"",""),CONCATENATE(E24:V24))))=TRUE))"),"СЗ,206,210,401,402,403,404,405,406,408,409,410")</f>
        <v>СЗ,206,210,401,402,403,404,405,406,408,409,410</v>
      </c>
      <c r="AC24" s="14"/>
      <c r="AD24" s="14"/>
      <c r="AE24" s="14"/>
      <c r="AF24" s="29"/>
      <c r="AG24" s="29"/>
      <c r="AH24" s="29"/>
    </row>
    <row r="25" ht="40.5" customHeight="1">
      <c r="A25" s="30"/>
      <c r="B25" s="436">
        <v>2.0</v>
      </c>
      <c r="C25" s="32" t="s">
        <v>21</v>
      </c>
      <c r="D25" s="32" t="s">
        <v>22</v>
      </c>
      <c r="E25" s="51" t="s">
        <v>3043</v>
      </c>
      <c r="F25" s="41"/>
      <c r="G25" s="142"/>
      <c r="H25" s="64"/>
      <c r="I25" s="88"/>
      <c r="J25" s="64"/>
      <c r="K25" s="64"/>
      <c r="L25" s="64"/>
      <c r="M25" s="72"/>
      <c r="N25" s="40" t="s">
        <v>3044</v>
      </c>
      <c r="O25" s="13"/>
      <c r="P25" s="37" t="s">
        <v>3045</v>
      </c>
      <c r="Q25" s="13"/>
      <c r="R25" s="122" t="s">
        <v>3046</v>
      </c>
      <c r="S25" s="41"/>
      <c r="V25" s="134"/>
      <c r="W25" s="26"/>
      <c r="X25" s="42" t="s">
        <v>21</v>
      </c>
      <c r="Y25" s="42" t="s">
        <v>22</v>
      </c>
      <c r="Z25" s="28"/>
      <c r="AA25" s="14"/>
      <c r="AB25" s="15" t="str">
        <f>IFERROR(__xludf.DUMMYFUNCTION("join("","",filter(split($H$83,"",""),ARRAYFORMULA(ISERROR(FIND(split($H$83,"",""),CONCATENATE(E25:V25))))=TRUE))"),"СЗ,КЗ,201,202,206,209,210,401,403,404,405,408,410,АЗ")</f>
        <v>СЗ,КЗ,201,202,206,209,210,401,403,404,405,408,410,АЗ</v>
      </c>
      <c r="AC25" s="14"/>
      <c r="AD25" s="14"/>
      <c r="AE25" s="14"/>
      <c r="AF25" s="29"/>
      <c r="AG25" s="29"/>
      <c r="AH25" s="29"/>
    </row>
    <row r="26" ht="40.5" customHeight="1">
      <c r="A26" s="30"/>
      <c r="B26" s="436">
        <v>3.0</v>
      </c>
      <c r="C26" s="32" t="s">
        <v>33</v>
      </c>
      <c r="D26" s="32" t="s">
        <v>34</v>
      </c>
      <c r="E26" s="37" t="s">
        <v>3047</v>
      </c>
      <c r="F26" s="41"/>
      <c r="G26" s="51" t="s">
        <v>3048</v>
      </c>
      <c r="H26" s="36"/>
      <c r="I26" s="41"/>
      <c r="J26" s="95" t="s">
        <v>3049</v>
      </c>
      <c r="K26" s="13"/>
      <c r="L26" s="123" t="s">
        <v>3050</v>
      </c>
      <c r="M26" s="41"/>
      <c r="N26" s="40" t="s">
        <v>3051</v>
      </c>
      <c r="O26" s="13"/>
      <c r="P26" s="132" t="s">
        <v>3052</v>
      </c>
      <c r="Q26" s="131" t="s">
        <v>3053</v>
      </c>
      <c r="R26" s="89" t="s">
        <v>3054</v>
      </c>
      <c r="S26" s="41"/>
      <c r="T26" s="64"/>
      <c r="U26" s="64"/>
      <c r="V26" s="88"/>
      <c r="W26" s="26"/>
      <c r="X26" s="42" t="s">
        <v>33</v>
      </c>
      <c r="Y26" s="42" t="s">
        <v>34</v>
      </c>
      <c r="Z26" s="48" t="s">
        <v>47</v>
      </c>
      <c r="AA26" s="85" t="str">
        <f>AA$5</f>
        <v/>
      </c>
      <c r="AB26" s="15" t="str">
        <f>IFERROR(__xludf.DUMMYFUNCTION("join("","",filter(split($H$83,"",""),ARRAYFORMULA(ISERROR(FIND(split($H$83,"",""),CONCATENATE(E26:V26))))=TRUE))"),"СЗ,КЗ,206,402,403,404,405,408,410,АЗ")</f>
        <v>СЗ,КЗ,206,402,403,404,405,408,410,АЗ</v>
      </c>
      <c r="AC26" s="14"/>
      <c r="AD26" s="14"/>
      <c r="AE26" s="14"/>
      <c r="AF26" s="29"/>
      <c r="AG26" s="29"/>
      <c r="AH26" s="29"/>
    </row>
    <row r="27" ht="54.0" customHeight="1">
      <c r="A27" s="30"/>
      <c r="B27" s="436">
        <v>4.0</v>
      </c>
      <c r="C27" s="32" t="s">
        <v>48</v>
      </c>
      <c r="D27" s="32" t="s">
        <v>49</v>
      </c>
      <c r="E27" s="33" t="s">
        <v>3055</v>
      </c>
      <c r="F27" s="286" t="s">
        <v>3056</v>
      </c>
      <c r="G27" s="37" t="s">
        <v>3057</v>
      </c>
      <c r="H27" s="13"/>
      <c r="I27" s="92" t="s">
        <v>3058</v>
      </c>
      <c r="J27" s="107" t="s">
        <v>3059</v>
      </c>
      <c r="K27" s="13"/>
      <c r="L27" s="45" t="s">
        <v>3060</v>
      </c>
      <c r="M27" s="13"/>
      <c r="N27" s="127" t="s">
        <v>3061</v>
      </c>
      <c r="O27" s="13"/>
      <c r="P27" s="557" t="s">
        <v>3062</v>
      </c>
      <c r="Q27" s="129"/>
      <c r="R27" s="557" t="s">
        <v>3063</v>
      </c>
      <c r="S27" s="129"/>
      <c r="T27" s="91" t="s">
        <v>3064</v>
      </c>
      <c r="U27" s="36"/>
      <c r="V27" s="41"/>
      <c r="W27" s="26"/>
      <c r="X27" s="42" t="s">
        <v>48</v>
      </c>
      <c r="Y27" s="42" t="s">
        <v>49</v>
      </c>
      <c r="Z27" s="48" t="s">
        <v>57</v>
      </c>
      <c r="AA27" s="85" t="str">
        <f>AA$6</f>
        <v/>
      </c>
      <c r="AB27" s="15" t="str">
        <f>IFERROR(__xludf.DUMMYFUNCTION("join("","",filter(split($H$83,"",""),ARRAYFORMULA(ISERROR(FIND(split($H$83,"",""),CONCATENATE(E27:V27))))=TRUE))"),"СЗ,КЗ,202,206,403,404,408,410,АЗ")</f>
        <v>СЗ,КЗ,202,206,403,404,408,410,АЗ</v>
      </c>
      <c r="AC27" s="14"/>
      <c r="AD27" s="14"/>
      <c r="AE27" s="14"/>
      <c r="AF27" s="29"/>
      <c r="AG27" s="29"/>
      <c r="AH27" s="29"/>
    </row>
    <row r="28" ht="53.25" customHeight="1">
      <c r="A28" s="30"/>
      <c r="B28" s="436">
        <v>5.0</v>
      </c>
      <c r="C28" s="32" t="s">
        <v>58</v>
      </c>
      <c r="D28" s="53">
        <v>44847.0</v>
      </c>
      <c r="E28" s="33" t="s">
        <v>3065</v>
      </c>
      <c r="F28" s="286" t="s">
        <v>3056</v>
      </c>
      <c r="G28" s="37" t="s">
        <v>3066</v>
      </c>
      <c r="H28" s="13"/>
      <c r="I28" s="92" t="s">
        <v>3067</v>
      </c>
      <c r="J28" s="123" t="s">
        <v>3068</v>
      </c>
      <c r="K28" s="41"/>
      <c r="L28" s="45" t="s">
        <v>3069</v>
      </c>
      <c r="M28" s="13"/>
      <c r="N28" s="89" t="s">
        <v>3070</v>
      </c>
      <c r="O28" s="13"/>
      <c r="P28" s="224"/>
      <c r="Q28" s="134"/>
      <c r="R28" s="224"/>
      <c r="S28" s="134"/>
      <c r="T28" s="558" t="s">
        <v>3071</v>
      </c>
      <c r="U28" s="64"/>
      <c r="V28" s="72"/>
      <c r="W28" s="26"/>
      <c r="X28" s="42" t="s">
        <v>58</v>
      </c>
      <c r="Y28" s="54">
        <v>44847.0</v>
      </c>
      <c r="Z28" s="48" t="s">
        <v>70</v>
      </c>
      <c r="AA28" s="85" t="str">
        <f>AA$7</f>
        <v/>
      </c>
      <c r="AB28" s="15" t="str">
        <f>IFERROR(__xludf.DUMMYFUNCTION("join("","",filter(split($H$83,"",""),ARRAYFORMULA(ISERROR(FIND(split($H$83,"",""),CONCATENATE(E28:V28))))=TRUE))"),"СЗ,КЗ,206,401,403,404,410")</f>
        <v>СЗ,КЗ,206,401,403,404,410</v>
      </c>
      <c r="AC28" s="14"/>
      <c r="AD28" s="14"/>
      <c r="AE28" s="14"/>
      <c r="AF28" s="29"/>
      <c r="AG28" s="29"/>
      <c r="AH28" s="29"/>
    </row>
    <row r="29" ht="40.5" customHeight="1">
      <c r="A29" s="30"/>
      <c r="B29" s="436">
        <v>6.0</v>
      </c>
      <c r="C29" s="55" t="s">
        <v>71</v>
      </c>
      <c r="D29" s="56" t="s">
        <v>72</v>
      </c>
      <c r="E29" s="39" t="s">
        <v>3072</v>
      </c>
      <c r="F29" s="34" t="s">
        <v>3073</v>
      </c>
      <c r="G29" s="40" t="s">
        <v>3074</v>
      </c>
      <c r="H29" s="41"/>
      <c r="I29" s="34" t="s">
        <v>3075</v>
      </c>
      <c r="J29" s="123" t="s">
        <v>3076</v>
      </c>
      <c r="K29" s="41"/>
      <c r="L29" s="89" t="s">
        <v>3077</v>
      </c>
      <c r="M29" s="13"/>
      <c r="N29" s="557" t="s">
        <v>3078</v>
      </c>
      <c r="O29" s="4"/>
      <c r="P29" s="104"/>
      <c r="Q29" s="88"/>
      <c r="R29" s="559"/>
      <c r="S29" s="560"/>
      <c r="T29" s="128" t="s">
        <v>3079</v>
      </c>
      <c r="U29" s="8"/>
      <c r="V29" s="129"/>
      <c r="W29" s="26"/>
      <c r="X29" s="58" t="s">
        <v>71</v>
      </c>
      <c r="Y29" s="59" t="s">
        <v>72</v>
      </c>
      <c r="Z29" s="48" t="s">
        <v>84</v>
      </c>
      <c r="AA29" s="85" t="str">
        <f>AA$8</f>
        <v/>
      </c>
      <c r="AB29" s="15" t="str">
        <f>IFERROR(__xludf.DUMMYFUNCTION("join("","",filter(split($H$83,"",""),ARRAYFORMULA(ISERROR(FIND(split($H$83,"",""),CONCATENATE(E29:V29))))=TRUE))"),"СЗ,КЗ,206,401,403,404,406,408,410")</f>
        <v>СЗ,КЗ,206,401,403,404,406,408,410</v>
      </c>
      <c r="AC29" s="14"/>
      <c r="AD29" s="14"/>
      <c r="AE29" s="14"/>
      <c r="AF29" s="29"/>
      <c r="AG29" s="29"/>
      <c r="AH29" s="29"/>
    </row>
    <row r="30" ht="40.5" customHeight="1">
      <c r="A30" s="30"/>
      <c r="B30" s="436">
        <v>7.0</v>
      </c>
      <c r="C30" s="32" t="s">
        <v>85</v>
      </c>
      <c r="D30" s="32" t="s">
        <v>86</v>
      </c>
      <c r="E30" s="39" t="s">
        <v>3056</v>
      </c>
      <c r="F30" s="34" t="s">
        <v>3080</v>
      </c>
      <c r="G30" s="40" t="s">
        <v>3081</v>
      </c>
      <c r="H30" s="41"/>
      <c r="I30" s="34" t="s">
        <v>3082</v>
      </c>
      <c r="J30" s="35" t="s">
        <v>3083</v>
      </c>
      <c r="K30" s="13"/>
      <c r="L30" s="123" t="s">
        <v>3084</v>
      </c>
      <c r="M30" s="41"/>
      <c r="N30" s="104"/>
      <c r="O30" s="72"/>
      <c r="P30" s="131" t="s">
        <v>3085</v>
      </c>
      <c r="Q30" s="132" t="s">
        <v>3086</v>
      </c>
      <c r="R30" s="356"/>
      <c r="S30" s="92"/>
      <c r="V30" s="134"/>
      <c r="W30" s="26"/>
      <c r="X30" s="42" t="s">
        <v>85</v>
      </c>
      <c r="Y30" s="42" t="s">
        <v>86</v>
      </c>
      <c r="Z30" s="48" t="s">
        <v>97</v>
      </c>
      <c r="AA30" s="85" t="str">
        <f>AA$9</f>
        <v/>
      </c>
      <c r="AB30" s="15" t="str">
        <f>IFERROR(__xludf.DUMMYFUNCTION("join("","",filter(split($H$83,"",""),ARRAYFORMULA(ISERROR(FIND(split($H$83,"",""),CONCATENATE(E30:V30))))=TRUE))"),"СЗ,КЗ,206,209,401,403,404,408,409,410,АЗ")</f>
        <v>СЗ,КЗ,206,209,401,403,404,408,409,410,АЗ</v>
      </c>
      <c r="AC30" s="14"/>
      <c r="AD30" s="14"/>
      <c r="AE30" s="14"/>
      <c r="AF30" s="29"/>
      <c r="AG30" s="29"/>
      <c r="AH30" s="29"/>
    </row>
    <row r="31" ht="52.5" customHeight="1">
      <c r="A31" s="30"/>
      <c r="B31" s="436">
        <v>8.0</v>
      </c>
      <c r="C31" s="32" t="s">
        <v>98</v>
      </c>
      <c r="D31" s="32" t="s">
        <v>99</v>
      </c>
      <c r="E31" s="46" t="s">
        <v>3087</v>
      </c>
      <c r="F31" s="41"/>
      <c r="G31" s="137" t="s">
        <v>3088</v>
      </c>
      <c r="H31" s="8"/>
      <c r="I31" s="129"/>
      <c r="J31" s="561" t="s">
        <v>3089</v>
      </c>
      <c r="K31" s="36"/>
      <c r="L31" s="36"/>
      <c r="M31" s="13"/>
      <c r="N31" s="45" t="s">
        <v>3090</v>
      </c>
      <c r="O31" s="13"/>
      <c r="P31" s="33"/>
      <c r="Q31" s="408" t="s">
        <v>3091</v>
      </c>
      <c r="S31" s="133"/>
      <c r="V31" s="134"/>
      <c r="W31" s="26"/>
      <c r="X31" s="42" t="s">
        <v>98</v>
      </c>
      <c r="Y31" s="42" t="s">
        <v>99</v>
      </c>
      <c r="Z31" s="11"/>
      <c r="AA31" s="14"/>
      <c r="AB31" s="15" t="str">
        <f>IFERROR(__xludf.DUMMYFUNCTION("join("","",filter(split($H$83,"",""),ARRAYFORMULA(ISERROR(FIND(split($H$83,"",""),CONCATENATE(E31:V31))))=TRUE))"),"СЗ,201,202,206,210,401,403,404,405,406,408,409,АЗ")</f>
        <v>СЗ,201,202,206,210,401,403,404,405,406,408,409,АЗ</v>
      </c>
      <c r="AC31" s="14"/>
      <c r="AD31" s="14"/>
      <c r="AE31" s="14"/>
      <c r="AF31" s="29"/>
      <c r="AG31" s="29"/>
      <c r="AH31" s="29"/>
    </row>
    <row r="32" ht="57.0" customHeight="1">
      <c r="A32" s="30"/>
      <c r="B32" s="436">
        <v>9.0</v>
      </c>
      <c r="C32" s="65">
        <v>44697.0</v>
      </c>
      <c r="D32" s="44" t="s">
        <v>109</v>
      </c>
      <c r="E32" s="141" t="s">
        <v>3092</v>
      </c>
      <c r="F32" s="13"/>
      <c r="G32" s="142"/>
      <c r="H32" s="64"/>
      <c r="I32" s="88"/>
      <c r="J32" s="334"/>
      <c r="K32" s="36"/>
      <c r="L32" s="36"/>
      <c r="M32" s="13"/>
      <c r="N32" s="45" t="s">
        <v>3093</v>
      </c>
      <c r="O32" s="13"/>
      <c r="P32" s="33"/>
      <c r="Q32" s="408" t="s">
        <v>3094</v>
      </c>
      <c r="R32" s="144"/>
      <c r="S32" s="92"/>
      <c r="T32" s="189"/>
      <c r="U32" s="189"/>
      <c r="V32" s="363"/>
      <c r="W32" s="26"/>
      <c r="X32" s="69">
        <v>44697.0</v>
      </c>
      <c r="Y32" s="70" t="s">
        <v>109</v>
      </c>
      <c r="Z32" s="28"/>
      <c r="AA32" s="14"/>
      <c r="AB32" s="15" t="str">
        <f>IFERROR(__xludf.DUMMYFUNCTION("join("","",filter(split($H$83,"",""),ARRAYFORMULA(ISERROR(FIND(split($H$83,"",""),CONCATENATE(E32:V32))))=TRUE))"),"СЗ,КЗ,201,202,206,210,401,402,403,404,405,406,408,409,АЗ")</f>
        <v>СЗ,КЗ,201,202,206,210,401,402,403,404,405,406,408,409,АЗ</v>
      </c>
      <c r="AC32" s="14"/>
      <c r="AD32" s="14"/>
      <c r="AE32" s="14"/>
      <c r="AF32" s="29"/>
      <c r="AG32" s="29"/>
      <c r="AH32" s="29"/>
    </row>
    <row r="33" ht="40.5" customHeight="1">
      <c r="A33" s="30"/>
      <c r="B33" s="436">
        <v>10.0</v>
      </c>
      <c r="C33" s="44" t="s">
        <v>120</v>
      </c>
      <c r="D33" s="44" t="s">
        <v>121</v>
      </c>
      <c r="E33" s="141" t="s">
        <v>3095</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customHeight="1">
      <c r="A34" s="74"/>
      <c r="B34" s="438">
        <v>11.0</v>
      </c>
      <c r="C34" s="76" t="s">
        <v>124</v>
      </c>
      <c r="D34" s="76" t="s">
        <v>125</v>
      </c>
      <c r="E34" s="141" t="s">
        <v>3096</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customHeight="1">
      <c r="A35" s="553">
        <v>44854.0</v>
      </c>
      <c r="B35" s="19">
        <v>1.0</v>
      </c>
      <c r="C35" s="20" t="s">
        <v>12</v>
      </c>
      <c r="D35" s="20" t="s">
        <v>13</v>
      </c>
      <c r="E35" s="80"/>
      <c r="F35" s="25"/>
      <c r="G35" s="156" t="s">
        <v>3097</v>
      </c>
      <c r="H35" s="117" t="s">
        <v>3098</v>
      </c>
      <c r="I35" s="25"/>
      <c r="J35" s="157" t="s">
        <v>3099</v>
      </c>
      <c r="K35" s="13"/>
      <c r="L35" s="156" t="s">
        <v>3100</v>
      </c>
      <c r="M35" s="156" t="s">
        <v>3101</v>
      </c>
      <c r="N35" s="80" t="s">
        <v>3102</v>
      </c>
      <c r="O35" s="25"/>
      <c r="P35" s="156" t="s">
        <v>3103</v>
      </c>
      <c r="Q35" s="156" t="s">
        <v>3104</v>
      </c>
      <c r="R35" s="159" t="s">
        <v>3105</v>
      </c>
      <c r="S35" s="160"/>
      <c r="T35" s="161" t="s">
        <v>3106</v>
      </c>
      <c r="U35" s="24"/>
      <c r="V35" s="22"/>
      <c r="W35" s="26"/>
      <c r="X35" s="27" t="s">
        <v>12</v>
      </c>
      <c r="Y35" s="27" t="s">
        <v>13</v>
      </c>
      <c r="Z35" s="28"/>
      <c r="AA35" s="14"/>
      <c r="AB35" s="15" t="str">
        <f>IFERROR(__xludf.DUMMYFUNCTION("join("","",filter(split($H$83,"",""),ARRAYFORMULA(ISERROR(FIND(split($H$83,"",""),CONCATENATE(E35:V35))))=TRUE))"),"СЗ,КЗ,201,206,406,410,АЗ")</f>
        <v>СЗ,КЗ,201,206,406,410,АЗ</v>
      </c>
      <c r="AC35" s="14"/>
      <c r="AD35" s="14"/>
      <c r="AE35" s="14"/>
      <c r="AF35" s="29"/>
      <c r="AG35" s="29"/>
      <c r="AH35" s="29"/>
    </row>
    <row r="36" ht="54.0" customHeight="1">
      <c r="A36" s="30"/>
      <c r="B36" s="31">
        <v>2.0</v>
      </c>
      <c r="C36" s="32" t="s">
        <v>21</v>
      </c>
      <c r="D36" s="32" t="s">
        <v>22</v>
      </c>
      <c r="E36" s="45" t="s">
        <v>3107</v>
      </c>
      <c r="F36" s="13"/>
      <c r="G36" s="44" t="s">
        <v>3108</v>
      </c>
      <c r="H36" s="40" t="s">
        <v>312</v>
      </c>
      <c r="I36" s="13"/>
      <c r="J36" s="157" t="s">
        <v>313</v>
      </c>
      <c r="K36" s="13"/>
      <c r="L36" s="44" t="s">
        <v>3109</v>
      </c>
      <c r="M36" s="44" t="s">
        <v>3110</v>
      </c>
      <c r="N36" s="45" t="s">
        <v>316</v>
      </c>
      <c r="O36" s="13"/>
      <c r="P36" s="44" t="s">
        <v>3111</v>
      </c>
      <c r="Q36" s="44" t="s">
        <v>3112</v>
      </c>
      <c r="R36" s="162" t="s">
        <v>3113</v>
      </c>
      <c r="S36" s="90"/>
      <c r="T36" s="163" t="s">
        <v>3114</v>
      </c>
      <c r="U36" s="36"/>
      <c r="V36" s="41"/>
      <c r="W36" s="26"/>
      <c r="X36" s="42" t="s">
        <v>21</v>
      </c>
      <c r="Y36" s="42" t="s">
        <v>22</v>
      </c>
      <c r="Z36" s="28"/>
      <c r="AA36" s="14"/>
      <c r="AB36" s="15" t="str">
        <f>IFERROR(__xludf.DUMMYFUNCTION("join("","",filter(split($H$83,"",""),ARRAYFORMULA(ISERROR(FIND(split($H$83,"",""),CONCATENATE(E36:V36))))=TRUE))"),"СЗ,КЗ,206,406,410,АЗ")</f>
        <v>СЗ,КЗ,206,406,410,АЗ</v>
      </c>
      <c r="AC36" s="14"/>
      <c r="AD36" s="14"/>
      <c r="AE36" s="14"/>
      <c r="AF36" s="29"/>
      <c r="AG36" s="29"/>
      <c r="AH36" s="29"/>
    </row>
    <row r="37" ht="56.25" customHeight="1">
      <c r="A37" s="30"/>
      <c r="B37" s="31">
        <v>3.0</v>
      </c>
      <c r="C37" s="32" t="s">
        <v>33</v>
      </c>
      <c r="D37" s="32" t="s">
        <v>34</v>
      </c>
      <c r="E37" s="45" t="s">
        <v>3115</v>
      </c>
      <c r="F37" s="13"/>
      <c r="G37" s="132" t="s">
        <v>3116</v>
      </c>
      <c r="H37" s="45" t="s">
        <v>3117</v>
      </c>
      <c r="I37" s="13"/>
      <c r="J37" s="45" t="s">
        <v>3118</v>
      </c>
      <c r="K37" s="13"/>
      <c r="L37" s="44" t="s">
        <v>3119</v>
      </c>
      <c r="M37" s="44" t="s">
        <v>3120</v>
      </c>
      <c r="N37" s="164" t="s">
        <v>3121</v>
      </c>
      <c r="O37" s="36"/>
      <c r="P37" s="36"/>
      <c r="Q37" s="13"/>
      <c r="R37" s="44" t="s">
        <v>3122</v>
      </c>
      <c r="S37" s="44" t="s">
        <v>3123</v>
      </c>
      <c r="T37" s="87" t="s">
        <v>3124</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customHeight="1">
      <c r="A38" s="30"/>
      <c r="B38" s="31">
        <v>4.0</v>
      </c>
      <c r="C38" s="32" t="s">
        <v>48</v>
      </c>
      <c r="D38" s="32" t="s">
        <v>49</v>
      </c>
      <c r="E38" s="45" t="s">
        <v>3125</v>
      </c>
      <c r="F38" s="13"/>
      <c r="G38" s="132" t="s">
        <v>3126</v>
      </c>
      <c r="H38" s="45" t="s">
        <v>3127</v>
      </c>
      <c r="I38" s="13"/>
      <c r="J38" s="45" t="s">
        <v>3128</v>
      </c>
      <c r="K38" s="13"/>
      <c r="L38" s="44" t="s">
        <v>3129</v>
      </c>
      <c r="M38" s="44" t="s">
        <v>3130</v>
      </c>
      <c r="N38" s="164" t="s">
        <v>3131</v>
      </c>
      <c r="O38" s="36"/>
      <c r="P38" s="36"/>
      <c r="Q38" s="13"/>
      <c r="R38" s="44" t="s">
        <v>3132</v>
      </c>
      <c r="S38" s="44" t="s">
        <v>3133</v>
      </c>
      <c r="T38" s="87" t="s">
        <v>3134</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customHeight="1">
      <c r="A39" s="30"/>
      <c r="B39" s="31">
        <v>5.0</v>
      </c>
      <c r="C39" s="32" t="s">
        <v>58</v>
      </c>
      <c r="D39" s="53">
        <v>44847.0</v>
      </c>
      <c r="E39" s="45" t="s">
        <v>3135</v>
      </c>
      <c r="F39" s="13"/>
      <c r="G39" s="44" t="s">
        <v>3136</v>
      </c>
      <c r="H39" s="45" t="s">
        <v>3137</v>
      </c>
      <c r="I39" s="13"/>
      <c r="J39" s="44" t="s">
        <v>3138</v>
      </c>
      <c r="K39" s="44" t="s">
        <v>3139</v>
      </c>
      <c r="L39" s="45" t="s">
        <v>3140</v>
      </c>
      <c r="M39" s="13"/>
      <c r="N39" s="44" t="s">
        <v>3141</v>
      </c>
      <c r="O39" s="44" t="s">
        <v>3142</v>
      </c>
      <c r="P39" s="45" t="s">
        <v>3143</v>
      </c>
      <c r="Q39" s="13"/>
      <c r="R39" s="44" t="s">
        <v>3144</v>
      </c>
      <c r="S39" s="132" t="s">
        <v>3145</v>
      </c>
      <c r="T39" s="45" t="s">
        <v>3146</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customHeight="1">
      <c r="A40" s="30"/>
      <c r="B40" s="31">
        <v>6.0</v>
      </c>
      <c r="C40" s="55" t="s">
        <v>71</v>
      </c>
      <c r="D40" s="56" t="s">
        <v>72</v>
      </c>
      <c r="E40" s="45" t="s">
        <v>3147</v>
      </c>
      <c r="F40" s="13"/>
      <c r="G40" s="44" t="s">
        <v>355</v>
      </c>
      <c r="H40" s="45" t="s">
        <v>3148</v>
      </c>
      <c r="I40" s="13"/>
      <c r="J40" s="44" t="s">
        <v>3149</v>
      </c>
      <c r="K40" s="44" t="s">
        <v>3150</v>
      </c>
      <c r="L40" s="45" t="s">
        <v>3151</v>
      </c>
      <c r="M40" s="13"/>
      <c r="N40" s="44" t="s">
        <v>3152</v>
      </c>
      <c r="O40" s="44" t="s">
        <v>3153</v>
      </c>
      <c r="P40" s="45" t="s">
        <v>3154</v>
      </c>
      <c r="Q40" s="13"/>
      <c r="R40" s="44" t="s">
        <v>3155</v>
      </c>
      <c r="S40" s="132" t="s">
        <v>3156</v>
      </c>
      <c r="T40" s="45" t="s">
        <v>3157</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customHeight="1">
      <c r="A41" s="30"/>
      <c r="B41" s="31">
        <v>7.0</v>
      </c>
      <c r="C41" s="32" t="s">
        <v>85</v>
      </c>
      <c r="D41" s="32" t="s">
        <v>86</v>
      </c>
      <c r="E41" s="45" t="s">
        <v>3158</v>
      </c>
      <c r="F41" s="13"/>
      <c r="G41" s="44" t="s">
        <v>3159</v>
      </c>
      <c r="H41" s="45" t="s">
        <v>3160</v>
      </c>
      <c r="I41" s="13"/>
      <c r="J41" s="44" t="s">
        <v>3161</v>
      </c>
      <c r="K41" s="44" t="s">
        <v>3162</v>
      </c>
      <c r="L41" s="45" t="s">
        <v>3163</v>
      </c>
      <c r="M41" s="13"/>
      <c r="N41" s="87" t="s">
        <v>3164</v>
      </c>
      <c r="O41" s="13"/>
      <c r="P41" s="45" t="s">
        <v>3165</v>
      </c>
      <c r="Q41" s="13"/>
      <c r="R41" s="44" t="s">
        <v>3166</v>
      </c>
      <c r="S41" s="44" t="s">
        <v>3167</v>
      </c>
      <c r="T41" s="165" t="s">
        <v>3168</v>
      </c>
      <c r="U41" s="36"/>
      <c r="V41" s="41"/>
      <c r="W41" s="26"/>
      <c r="X41" s="42" t="s">
        <v>85</v>
      </c>
      <c r="Y41" s="42" t="s">
        <v>86</v>
      </c>
      <c r="Z41" s="48" t="s">
        <v>97</v>
      </c>
      <c r="AA41" s="85" t="str">
        <f>AA$9</f>
        <v/>
      </c>
      <c r="AB41" s="15" t="str">
        <f>IFERROR(__xludf.DUMMYFUNCTION("join("","",filter(split($H$83,"",""),ARRAYFORMULA(ISERROR(FIND(split($H$83,"",""),CONCATENATE(E41:V41))))=TRUE))"),"СЗ,КЗ,206,210,403,406,410,АЗ")</f>
        <v>СЗ,КЗ,206,210,403,406,410,АЗ</v>
      </c>
      <c r="AC41" s="14"/>
      <c r="AD41" s="14"/>
      <c r="AE41" s="14"/>
      <c r="AF41" s="29"/>
      <c r="AG41" s="29"/>
      <c r="AH41" s="29"/>
    </row>
    <row r="42" ht="52.5" customHeight="1">
      <c r="A42" s="30"/>
      <c r="B42" s="31">
        <v>8.0</v>
      </c>
      <c r="C42" s="32" t="s">
        <v>98</v>
      </c>
      <c r="D42" s="32" t="s">
        <v>99</v>
      </c>
      <c r="E42" s="45" t="s">
        <v>3169</v>
      </c>
      <c r="F42" s="13"/>
      <c r="G42" s="44" t="s">
        <v>3170</v>
      </c>
      <c r="H42" s="45" t="s">
        <v>3171</v>
      </c>
      <c r="I42" s="13"/>
      <c r="J42" s="44" t="s">
        <v>3172</v>
      </c>
      <c r="K42" s="44" t="s">
        <v>3173</v>
      </c>
      <c r="L42" s="45" t="s">
        <v>3174</v>
      </c>
      <c r="M42" s="13"/>
      <c r="N42" s="87" t="s">
        <v>3175</v>
      </c>
      <c r="O42" s="13"/>
      <c r="P42" s="45" t="s">
        <v>3176</v>
      </c>
      <c r="Q42" s="13"/>
      <c r="R42" s="562" t="s">
        <v>3177</v>
      </c>
      <c r="S42" s="72"/>
      <c r="T42" s="165" t="s">
        <v>3178</v>
      </c>
      <c r="U42" s="36"/>
      <c r="V42" s="41"/>
      <c r="W42" s="26"/>
      <c r="X42" s="42" t="s">
        <v>98</v>
      </c>
      <c r="Y42" s="42" t="s">
        <v>99</v>
      </c>
      <c r="Z42" s="11"/>
      <c r="AA42" s="14"/>
      <c r="AB42" s="15" t="str">
        <f>IFERROR(__xludf.DUMMYFUNCTION("join("","",filter(split($H$83,"",""),ARRAYFORMULA(ISERROR(FIND(split($H$83,"",""),CONCATENATE(E42:V42))))=TRUE))"),"СЗ,КЗ,206,403,404,405,406,410,АЗ")</f>
        <v>СЗ,КЗ,206,403,404,405,406,410,АЗ</v>
      </c>
      <c r="AC42" s="14"/>
      <c r="AD42" s="14"/>
      <c r="AE42" s="14"/>
      <c r="AF42" s="29"/>
      <c r="AG42" s="29"/>
      <c r="AH42" s="29"/>
    </row>
    <row r="43" ht="40.5" customHeight="1">
      <c r="A43" s="30"/>
      <c r="B43" s="31">
        <v>9.0</v>
      </c>
      <c r="C43" s="65">
        <v>44697.0</v>
      </c>
      <c r="D43" s="44" t="s">
        <v>109</v>
      </c>
      <c r="E43" s="167" t="s">
        <v>3179</v>
      </c>
      <c r="F43" s="4"/>
      <c r="G43" s="168"/>
      <c r="H43" s="169" t="s">
        <v>3180</v>
      </c>
      <c r="I43" s="36"/>
      <c r="J43" s="13"/>
      <c r="K43" s="170"/>
      <c r="L43" s="4"/>
      <c r="M43" s="171"/>
      <c r="N43" s="45" t="s">
        <v>3181</v>
      </c>
      <c r="O43" s="13"/>
      <c r="P43" s="174" t="s">
        <v>3182</v>
      </c>
      <c r="Q43" s="172" t="s">
        <v>390</v>
      </c>
      <c r="R43" s="8"/>
      <c r="S43" s="8"/>
      <c r="T43" s="8"/>
      <c r="U43" s="8"/>
      <c r="V43" s="129"/>
      <c r="W43" s="26"/>
      <c r="X43" s="69">
        <v>44697.0</v>
      </c>
      <c r="Y43" s="70" t="s">
        <v>109</v>
      </c>
      <c r="Z43" s="28"/>
      <c r="AA43" s="14"/>
      <c r="AB43" s="15" t="str">
        <f>IFERROR(__xludf.DUMMYFUNCTION("join("","",filter(split($H$83,"",""),ARRAYFORMULA(ISERROR(FIND(split($H$83,"",""),CONCATENATE(E43:V43))))=TRUE))"),"КЗ,206,209,210,401,403,404,405,406,408,409,АЗ")</f>
        <v>КЗ,206,209,210,401,403,404,405,406,408,409,АЗ</v>
      </c>
      <c r="AC43" s="14"/>
      <c r="AD43" s="14"/>
      <c r="AE43" s="14"/>
      <c r="AF43" s="29"/>
      <c r="AG43" s="29"/>
      <c r="AH43" s="29"/>
    </row>
    <row r="44" ht="40.5" customHeight="1">
      <c r="A44" s="30"/>
      <c r="B44" s="31">
        <v>10.0</v>
      </c>
      <c r="C44" s="44" t="s">
        <v>120</v>
      </c>
      <c r="D44" s="44" t="s">
        <v>121</v>
      </c>
      <c r="E44" s="104"/>
      <c r="F44" s="72"/>
      <c r="G44" s="173"/>
      <c r="H44" s="169" t="s">
        <v>3183</v>
      </c>
      <c r="I44" s="36"/>
      <c r="J44" s="13"/>
      <c r="K44" s="104"/>
      <c r="L44" s="72"/>
      <c r="M44" s="171"/>
      <c r="N44" s="45" t="s">
        <v>3184</v>
      </c>
      <c r="O44" s="13"/>
      <c r="P44" s="173"/>
      <c r="Q44" s="104"/>
      <c r="R44" s="64"/>
      <c r="S44" s="64"/>
      <c r="T44" s="64"/>
      <c r="U44" s="64"/>
      <c r="V44" s="88"/>
      <c r="W44" s="26"/>
      <c r="X44" s="70" t="s">
        <v>120</v>
      </c>
      <c r="Y44" s="70" t="s">
        <v>121</v>
      </c>
      <c r="Z44" s="28"/>
      <c r="AA44" s="14"/>
      <c r="AB44" s="15" t="str">
        <f>IFERROR(__xludf.DUMMYFUNCTION("join("","",filter(split($H$83,"",""),ARRAYFORMULA(ISERROR(FIND(split($H$83,"",""),CONCATENATE(E44:V44))))=TRUE))"),"КЗ,201,202,206,209,210,401,403,404,405,406,408,409,410,АЗ")</f>
        <v>КЗ,201,202,206,209,210,401,403,404,405,406,408,409,410,АЗ</v>
      </c>
      <c r="AC44" s="14"/>
      <c r="AD44" s="14"/>
      <c r="AE44" s="14"/>
      <c r="AF44" s="29"/>
      <c r="AG44" s="29"/>
      <c r="AH44" s="29"/>
    </row>
    <row r="45" ht="40.5"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553">
        <v>44855.0</v>
      </c>
      <c r="B46" s="19">
        <v>1.0</v>
      </c>
      <c r="C46" s="20" t="s">
        <v>12</v>
      </c>
      <c r="D46" s="20" t="s">
        <v>13</v>
      </c>
      <c r="E46" s="156" t="s">
        <v>3185</v>
      </c>
      <c r="F46" s="156" t="s">
        <v>3186</v>
      </c>
      <c r="G46" s="80" t="s">
        <v>3187</v>
      </c>
      <c r="H46" s="25"/>
      <c r="I46" s="174" t="s">
        <v>3188</v>
      </c>
      <c r="J46" s="175" t="s">
        <v>3189</v>
      </c>
      <c r="K46" s="25"/>
      <c r="L46" s="80" t="s">
        <v>3190</v>
      </c>
      <c r="M46" s="25"/>
      <c r="N46" s="156" t="s">
        <v>3191</v>
      </c>
      <c r="O46" s="156" t="s">
        <v>3192</v>
      </c>
      <c r="P46" s="80" t="s">
        <v>3193</v>
      </c>
      <c r="Q46" s="25"/>
      <c r="R46" s="80" t="s">
        <v>3194</v>
      </c>
      <c r="S46" s="25"/>
      <c r="T46" s="80" t="s">
        <v>3195</v>
      </c>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3196</v>
      </c>
      <c r="F47" s="44" t="s">
        <v>3197</v>
      </c>
      <c r="G47" s="45" t="s">
        <v>3198</v>
      </c>
      <c r="H47" s="13"/>
      <c r="I47" s="173"/>
      <c r="J47" s="157" t="s">
        <v>3199</v>
      </c>
      <c r="K47" s="13"/>
      <c r="L47" s="80" t="s">
        <v>3200</v>
      </c>
      <c r="M47" s="25"/>
      <c r="N47" s="44" t="s">
        <v>3201</v>
      </c>
      <c r="O47" s="44" t="s">
        <v>3202</v>
      </c>
      <c r="P47" s="45" t="s">
        <v>3203</v>
      </c>
      <c r="Q47" s="13"/>
      <c r="R47" s="44" t="s">
        <v>3204</v>
      </c>
      <c r="S47" s="90" t="s">
        <v>3205</v>
      </c>
      <c r="T47" s="45" t="s">
        <v>3206</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40" t="s">
        <v>3207</v>
      </c>
      <c r="F48" s="13"/>
      <c r="G48" s="176" t="s">
        <v>3208</v>
      </c>
      <c r="H48" s="4"/>
      <c r="I48" s="90" t="s">
        <v>3209</v>
      </c>
      <c r="J48" s="44" t="s">
        <v>3210</v>
      </c>
      <c r="K48" s="44" t="s">
        <v>3211</v>
      </c>
      <c r="L48" s="44" t="s">
        <v>3212</v>
      </c>
      <c r="M48" s="44" t="s">
        <v>3213</v>
      </c>
      <c r="N48" s="164" t="s">
        <v>3214</v>
      </c>
      <c r="O48" s="36"/>
      <c r="P48" s="36"/>
      <c r="Q48" s="13"/>
      <c r="R48" s="44" t="s">
        <v>3215</v>
      </c>
      <c r="S48" s="90" t="s">
        <v>3216</v>
      </c>
      <c r="T48" s="45" t="s">
        <v>3217</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3218</v>
      </c>
      <c r="F49" s="13"/>
      <c r="G49" s="104"/>
      <c r="H49" s="72"/>
      <c r="I49" s="90" t="s">
        <v>3219</v>
      </c>
      <c r="J49" s="44" t="s">
        <v>3220</v>
      </c>
      <c r="K49" s="44" t="s">
        <v>3221</v>
      </c>
      <c r="L49" s="44" t="s">
        <v>3222</v>
      </c>
      <c r="M49" s="44" t="s">
        <v>3223</v>
      </c>
      <c r="N49" s="164" t="s">
        <v>3224</v>
      </c>
      <c r="O49" s="36"/>
      <c r="P49" s="36"/>
      <c r="Q49" s="13"/>
      <c r="R49" s="90" t="s">
        <v>3225</v>
      </c>
      <c r="S49" s="133" t="s">
        <v>3226</v>
      </c>
      <c r="T49" s="45" t="s">
        <v>3227</v>
      </c>
      <c r="U49" s="36"/>
      <c r="V49" s="41"/>
      <c r="W49" s="26"/>
      <c r="X49" s="42" t="s">
        <v>48</v>
      </c>
      <c r="Y49" s="42" t="s">
        <v>49</v>
      </c>
      <c r="Z49" s="48" t="s">
        <v>57</v>
      </c>
      <c r="AA49" s="85" t="str">
        <f>AA$6</f>
        <v/>
      </c>
      <c r="AB49" s="15" t="str">
        <f>IFERROR(__xludf.DUMMYFUNCTION("join("","",filter(split($H$83,"",""),ARRAYFORMULA(ISERROR(FIND(split($H$83,"",""),CONCATENATE(E49:V49))))=TRUE))"),"СЗ,КЗ,201,206,209,410,АЗ")</f>
        <v>СЗ,КЗ,201,206,209,410,АЗ</v>
      </c>
      <c r="AC49" s="14"/>
      <c r="AD49" s="14"/>
      <c r="AE49" s="14"/>
      <c r="AF49" s="29"/>
      <c r="AG49" s="29"/>
      <c r="AH49" s="29"/>
    </row>
    <row r="50" ht="40.5" customHeight="1">
      <c r="A50" s="30"/>
      <c r="B50" s="31">
        <v>5.0</v>
      </c>
      <c r="C50" s="32" t="s">
        <v>58</v>
      </c>
      <c r="D50" s="53">
        <v>44847.0</v>
      </c>
      <c r="E50" s="45" t="s">
        <v>3228</v>
      </c>
      <c r="F50" s="13"/>
      <c r="G50" s="44" t="s">
        <v>3229</v>
      </c>
      <c r="H50" s="44" t="s">
        <v>3230</v>
      </c>
      <c r="I50" s="44" t="s">
        <v>3231</v>
      </c>
      <c r="J50" s="45" t="s">
        <v>3232</v>
      </c>
      <c r="K50" s="13"/>
      <c r="L50" s="45" t="s">
        <v>3233</v>
      </c>
      <c r="M50" s="13"/>
      <c r="N50" s="177" t="s">
        <v>3234</v>
      </c>
      <c r="O50" s="124" t="s">
        <v>3235</v>
      </c>
      <c r="P50" s="45" t="s">
        <v>3236</v>
      </c>
      <c r="Q50" s="13"/>
      <c r="R50" s="90" t="s">
        <v>3237</v>
      </c>
      <c r="S50" s="133" t="s">
        <v>3238</v>
      </c>
      <c r="T50" s="45" t="s">
        <v>3239</v>
      </c>
      <c r="U50" s="36"/>
      <c r="V50" s="41"/>
      <c r="W50" s="26"/>
      <c r="X50" s="42" t="s">
        <v>58</v>
      </c>
      <c r="Y50" s="54">
        <v>44847.0</v>
      </c>
      <c r="Z50" s="48" t="s">
        <v>70</v>
      </c>
      <c r="AA50" s="85" t="str">
        <f>AA$7</f>
        <v/>
      </c>
      <c r="AB50" s="15" t="str">
        <f>IFERROR(__xludf.DUMMYFUNCTION("join("","",filter(split($H$83,"",""),ARRAYFORMULA(ISERROR(FIND(split($H$83,"",""),CONCATENATE(E50:V50))))=TRUE))"),"СЗ,КЗ,206,401,404,408,410")</f>
        <v>СЗ,КЗ,206,401,404,408,410</v>
      </c>
      <c r="AC50" s="14"/>
      <c r="AD50" s="14"/>
      <c r="AE50" s="14"/>
      <c r="AF50" s="29"/>
      <c r="AG50" s="29"/>
      <c r="AH50" s="29"/>
    </row>
    <row r="51" ht="48.75" customHeight="1">
      <c r="A51" s="30"/>
      <c r="B51" s="31">
        <v>6.0</v>
      </c>
      <c r="C51" s="55" t="s">
        <v>71</v>
      </c>
      <c r="D51" s="56" t="s">
        <v>72</v>
      </c>
      <c r="E51" s="45" t="s">
        <v>3240</v>
      </c>
      <c r="F51" s="13"/>
      <c r="G51" s="44" t="s">
        <v>3241</v>
      </c>
      <c r="H51" s="44" t="s">
        <v>3242</v>
      </c>
      <c r="I51" s="44" t="s">
        <v>3243</v>
      </c>
      <c r="J51" s="45" t="s">
        <v>3244</v>
      </c>
      <c r="K51" s="13"/>
      <c r="L51" s="45" t="s">
        <v>3245</v>
      </c>
      <c r="M51" s="13"/>
      <c r="N51" s="177" t="s">
        <v>3246</v>
      </c>
      <c r="O51" s="124" t="s">
        <v>3247</v>
      </c>
      <c r="P51" s="45" t="s">
        <v>3248</v>
      </c>
      <c r="Q51" s="13"/>
      <c r="R51" s="162" t="s">
        <v>3249</v>
      </c>
      <c r="S51" s="178" t="s">
        <v>3250</v>
      </c>
      <c r="T51" s="44" t="s">
        <v>3251</v>
      </c>
      <c r="U51" s="44" t="s">
        <v>3252</v>
      </c>
      <c r="V51" s="34"/>
      <c r="W51" s="179"/>
      <c r="X51" s="58" t="s">
        <v>71</v>
      </c>
      <c r="Y51" s="59" t="s">
        <v>72</v>
      </c>
      <c r="Z51" s="48" t="s">
        <v>84</v>
      </c>
      <c r="AA51" s="85"/>
      <c r="AB51" s="15" t="str">
        <f>IFERROR(__xludf.DUMMYFUNCTION("join("","",filter(split($H$83,"",""),ARRAYFORMULA(ISERROR(FIND(split($H$83,"",""),CONCATENATE(E51:V51))))=TRUE))"),"СЗ,206,408,409,410")</f>
        <v>СЗ,206,408,409,410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3253</v>
      </c>
      <c r="F52" s="13"/>
      <c r="G52" s="44" t="s">
        <v>3254</v>
      </c>
      <c r="H52" s="44" t="s">
        <v>3255</v>
      </c>
      <c r="I52" s="44" t="s">
        <v>3256</v>
      </c>
      <c r="J52" s="45" t="s">
        <v>3257</v>
      </c>
      <c r="K52" s="13"/>
      <c r="L52" s="45" t="s">
        <v>3258</v>
      </c>
      <c r="M52" s="13"/>
      <c r="N52" s="563"/>
      <c r="O52" s="177" t="s">
        <v>3259</v>
      </c>
      <c r="P52" s="124" t="s">
        <v>3260</v>
      </c>
      <c r="Q52" s="90" t="s">
        <v>3261</v>
      </c>
      <c r="R52" s="180" t="s">
        <v>3262</v>
      </c>
      <c r="S52" s="181" t="s">
        <v>3263</v>
      </c>
      <c r="T52" s="44" t="s">
        <v>2350</v>
      </c>
      <c r="U52" s="44"/>
      <c r="V52" s="34"/>
      <c r="W52" s="26"/>
      <c r="X52" s="42" t="s">
        <v>85</v>
      </c>
      <c r="Y52" s="42" t="s">
        <v>86</v>
      </c>
      <c r="Z52" s="48" t="s">
        <v>97</v>
      </c>
      <c r="AA52" s="85" t="str">
        <f>AA$9</f>
        <v/>
      </c>
      <c r="AB52" s="15" t="str">
        <f>IFERROR(__xludf.DUMMYFUNCTION("join("","",filter(split($H$83,"",""),ARRAYFORMULA(ISERROR(FIND(split($H$83,"",""),CONCATENATE(E52:V52))))=TRUE))"),"СЗ,206,408,410,АЗ")</f>
        <v>СЗ,206,408,410,АЗ</v>
      </c>
      <c r="AC52" s="14"/>
      <c r="AD52" s="14"/>
      <c r="AE52" s="14"/>
      <c r="AF52" s="29"/>
      <c r="AG52" s="29"/>
      <c r="AH52" s="29"/>
    </row>
    <row r="53" ht="51.75" customHeight="1">
      <c r="A53" s="30"/>
      <c r="B53" s="31">
        <v>8.0</v>
      </c>
      <c r="C53" s="32" t="s">
        <v>98</v>
      </c>
      <c r="D53" s="32" t="s">
        <v>99</v>
      </c>
      <c r="E53" s="44" t="s">
        <v>3264</v>
      </c>
      <c r="F53" s="44" t="s">
        <v>3265</v>
      </c>
      <c r="G53" s="416" t="s">
        <v>3266</v>
      </c>
      <c r="H53" s="86" t="s">
        <v>3267</v>
      </c>
      <c r="I53" s="13"/>
      <c r="J53" s="45" t="s">
        <v>3268</v>
      </c>
      <c r="K53" s="13"/>
      <c r="L53" s="45" t="s">
        <v>3269</v>
      </c>
      <c r="M53" s="13"/>
      <c r="N53" s="182"/>
      <c r="O53" s="177" t="s">
        <v>3270</v>
      </c>
      <c r="P53" s="124" t="s">
        <v>3271</v>
      </c>
      <c r="Q53" s="90" t="s">
        <v>3272</v>
      </c>
      <c r="R53" s="183"/>
      <c r="S53" s="181" t="s">
        <v>3273</v>
      </c>
      <c r="T53" s="144"/>
      <c r="U53" s="144"/>
      <c r="V53" s="184"/>
      <c r="W53" s="26"/>
      <c r="X53" s="42" t="s">
        <v>98</v>
      </c>
      <c r="Y53" s="42" t="s">
        <v>99</v>
      </c>
      <c r="Z53" s="11"/>
      <c r="AA53" s="14"/>
      <c r="AB53" s="15" t="str">
        <f>IFERROR(__xludf.DUMMYFUNCTION("join("","",filter(split($H$83,"",""),ARRAYFORMULA(ISERROR(FIND(split($H$83,"",""),CONCATENATE(E53:V53))))=TRUE))"),"СЗ,206,401,402,404,405,408,410,АЗ")</f>
        <v>СЗ,206,401,402,404,405,408,410,АЗ</v>
      </c>
      <c r="AC53" s="14"/>
      <c r="AD53" s="14"/>
      <c r="AE53" s="14"/>
      <c r="AF53" s="29"/>
      <c r="AG53" s="29"/>
      <c r="AH53" s="29"/>
    </row>
    <row r="54" ht="71.25" customHeight="1">
      <c r="A54" s="30"/>
      <c r="B54" s="31">
        <v>9.0</v>
      </c>
      <c r="C54" s="65">
        <v>44697.0</v>
      </c>
      <c r="D54" s="44" t="s">
        <v>109</v>
      </c>
      <c r="E54" s="187" t="s">
        <v>3274</v>
      </c>
      <c r="F54" s="8"/>
      <c r="G54" s="8"/>
      <c r="H54" s="8"/>
      <c r="I54" s="8"/>
      <c r="J54" s="8"/>
      <c r="K54" s="8"/>
      <c r="L54" s="8"/>
      <c r="M54" s="8"/>
      <c r="N54" s="86" t="s">
        <v>3275</v>
      </c>
      <c r="O54" s="13"/>
      <c r="P54" s="187" t="s">
        <v>3274</v>
      </c>
      <c r="Q54" s="8"/>
      <c r="R54" s="8"/>
      <c r="S54" s="8"/>
      <c r="T54" s="8"/>
      <c r="U54" s="8"/>
      <c r="V54" s="8"/>
      <c r="W54" s="186"/>
      <c r="X54" s="69">
        <v>44697.0</v>
      </c>
      <c r="Y54" s="70" t="s">
        <v>109</v>
      </c>
      <c r="Z54" s="28"/>
      <c r="AA54" s="14"/>
      <c r="AB54" s="15" t="str">
        <f>IFERROR(__xludf.DUMMYFUNCTION("join("","",filter(split($H$83,"",""),ARRAYFORMULA(ISERROR(FIND(split($H$83,"",""),CONCATENATE(E54:V54))))=TRUE))"),"206,401,403,404,405,408,409,410,АЗ")</f>
        <v>206,401,403,404,405,408,409,410,АЗ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553">
        <v>44856.0</v>
      </c>
      <c r="B57" s="191">
        <v>1.0</v>
      </c>
      <c r="C57" s="192" t="str">
        <f>D$1</f>
        <v/>
      </c>
      <c r="D57" s="72"/>
      <c r="E57" s="193"/>
      <c r="F57" s="193"/>
      <c r="G57" s="194" t="s">
        <v>3276</v>
      </c>
      <c r="H57" s="64"/>
      <c r="I57" s="72"/>
      <c r="J57" s="195"/>
      <c r="K57" s="64"/>
      <c r="L57" s="64"/>
      <c r="M57" s="72"/>
      <c r="N57" s="193"/>
      <c r="O57" s="193"/>
      <c r="P57" s="259"/>
      <c r="Q57" s="259"/>
      <c r="R57" s="193"/>
      <c r="S57" s="193"/>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424" t="s">
        <v>3277</v>
      </c>
      <c r="H58" s="36"/>
      <c r="I58" s="13"/>
      <c r="J58" s="15"/>
      <c r="K58" s="15"/>
      <c r="L58" s="15"/>
      <c r="M58" s="15"/>
      <c r="N58" s="15"/>
      <c r="O58" s="15"/>
      <c r="P58" s="144"/>
      <c r="Q58" s="144"/>
      <c r="R58" s="15"/>
      <c r="S58" s="15"/>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5"/>
      <c r="Q59" s="15"/>
      <c r="R59" s="15"/>
      <c r="S59" s="15"/>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5"/>
      <c r="Q60" s="15"/>
      <c r="R60" s="15"/>
      <c r="S60" s="15"/>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IFERROR(__xludf.DUMMYFUNCTION("IF(COUNTA(filter($E3:$W3,ARRAYFORMULA(ISERROR(FIND(join("","",filter(split($H$83,"",""),ARRAYFORMULA(ISERROR(FIND(split($H$83,"",""),E3)))=FALSE)),$E3:$W3))=FALSE)))&gt;1,FALSE,TRUE)"),FALSE)</f>
        <v>0</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79">
    <mergeCell ref="E35:F35"/>
    <mergeCell ref="E36:F36"/>
    <mergeCell ref="E24:F24"/>
    <mergeCell ref="E25:F25"/>
    <mergeCell ref="E26:F26"/>
    <mergeCell ref="E31:F31"/>
    <mergeCell ref="E32:F32"/>
    <mergeCell ref="E33:F33"/>
    <mergeCell ref="E34:F34"/>
    <mergeCell ref="H37:I37"/>
    <mergeCell ref="J37:K37"/>
    <mergeCell ref="G30:H30"/>
    <mergeCell ref="G31:I32"/>
    <mergeCell ref="H35:I35"/>
    <mergeCell ref="J35:K35"/>
    <mergeCell ref="H36:I36"/>
    <mergeCell ref="J36:K36"/>
    <mergeCell ref="E37:F37"/>
    <mergeCell ref="H40:I40"/>
    <mergeCell ref="H41:I41"/>
    <mergeCell ref="E38:F38"/>
    <mergeCell ref="H38:I38"/>
    <mergeCell ref="J38:K38"/>
    <mergeCell ref="E39:F39"/>
    <mergeCell ref="H39:I39"/>
    <mergeCell ref="E40:F40"/>
    <mergeCell ref="E41:F41"/>
    <mergeCell ref="K43:L44"/>
    <mergeCell ref="H44:J44"/>
    <mergeCell ref="L39:M39"/>
    <mergeCell ref="L40:M40"/>
    <mergeCell ref="L41:M41"/>
    <mergeCell ref="E42:F42"/>
    <mergeCell ref="L42:M42"/>
    <mergeCell ref="E43:F44"/>
    <mergeCell ref="G43:G44"/>
    <mergeCell ref="H42:I42"/>
    <mergeCell ref="H43:J43"/>
    <mergeCell ref="G46:H46"/>
    <mergeCell ref="I46:I47"/>
    <mergeCell ref="J46:K46"/>
    <mergeCell ref="L46:M46"/>
    <mergeCell ref="G47:H47"/>
    <mergeCell ref="J47:K47"/>
    <mergeCell ref="L47:M47"/>
    <mergeCell ref="E48:F48"/>
    <mergeCell ref="G48:H49"/>
    <mergeCell ref="E49:F49"/>
    <mergeCell ref="J50:K50"/>
    <mergeCell ref="L50:M50"/>
    <mergeCell ref="E50:F50"/>
    <mergeCell ref="E51:F51"/>
    <mergeCell ref="J51:K51"/>
    <mergeCell ref="L51:M51"/>
    <mergeCell ref="E52:F52"/>
    <mergeCell ref="J52:K52"/>
    <mergeCell ref="L52:M52"/>
    <mergeCell ref="H53:I53"/>
    <mergeCell ref="J53:K53"/>
    <mergeCell ref="L53:M53"/>
    <mergeCell ref="E54:M55"/>
    <mergeCell ref="C57:D57"/>
    <mergeCell ref="G57:I57"/>
    <mergeCell ref="G58:I58"/>
    <mergeCell ref="L15:M15"/>
    <mergeCell ref="E16:F16"/>
    <mergeCell ref="G16:I16"/>
    <mergeCell ref="J16:K16"/>
    <mergeCell ref="L16:M16"/>
    <mergeCell ref="J20:K20"/>
    <mergeCell ref="L20:M20"/>
    <mergeCell ref="E21:F22"/>
    <mergeCell ref="H21:M21"/>
    <mergeCell ref="H22:M22"/>
    <mergeCell ref="J10:K10"/>
    <mergeCell ref="L10:M10"/>
    <mergeCell ref="A13:A23"/>
    <mergeCell ref="H13:I13"/>
    <mergeCell ref="J13:K13"/>
    <mergeCell ref="L13:M13"/>
    <mergeCell ref="L14:M14"/>
    <mergeCell ref="J29:K29"/>
    <mergeCell ref="J30:K30"/>
    <mergeCell ref="J31:M31"/>
    <mergeCell ref="J32:M32"/>
    <mergeCell ref="A24:A34"/>
    <mergeCell ref="A35:A45"/>
    <mergeCell ref="A46:A56"/>
    <mergeCell ref="A57:A67"/>
    <mergeCell ref="J57:M57"/>
    <mergeCell ref="K66:L66"/>
    <mergeCell ref="K67:L67"/>
    <mergeCell ref="K68:L68"/>
    <mergeCell ref="N36:O36"/>
    <mergeCell ref="N37:Q37"/>
    <mergeCell ref="N38:Q38"/>
    <mergeCell ref="P39:Q39"/>
    <mergeCell ref="P40:Q40"/>
    <mergeCell ref="P41:Q41"/>
    <mergeCell ref="T41:V41"/>
    <mergeCell ref="N41:O41"/>
    <mergeCell ref="N42:O42"/>
    <mergeCell ref="P42:Q42"/>
    <mergeCell ref="R42:S42"/>
    <mergeCell ref="T42:V42"/>
    <mergeCell ref="P43:P44"/>
    <mergeCell ref="Q43:V44"/>
    <mergeCell ref="T47:V47"/>
    <mergeCell ref="T48:V48"/>
    <mergeCell ref="X57:Y57"/>
    <mergeCell ref="N43:O43"/>
    <mergeCell ref="N44:O44"/>
    <mergeCell ref="P46:Q46"/>
    <mergeCell ref="R46:S46"/>
    <mergeCell ref="T46:V46"/>
    <mergeCell ref="P47:Q47"/>
    <mergeCell ref="N48:Q48"/>
    <mergeCell ref="N16:O16"/>
    <mergeCell ref="P16:Q16"/>
    <mergeCell ref="T16:V16"/>
    <mergeCell ref="N17:O17"/>
    <mergeCell ref="T17:V17"/>
    <mergeCell ref="N18:O18"/>
    <mergeCell ref="T18:V18"/>
    <mergeCell ref="N19:O19"/>
    <mergeCell ref="P19:Q19"/>
    <mergeCell ref="T19:V19"/>
    <mergeCell ref="T20:V20"/>
    <mergeCell ref="P21:Q21"/>
    <mergeCell ref="R21:S21"/>
    <mergeCell ref="T21:V21"/>
    <mergeCell ref="P25:Q25"/>
    <mergeCell ref="R25:S25"/>
    <mergeCell ref="P27:Q29"/>
    <mergeCell ref="R27:S28"/>
    <mergeCell ref="N26:O26"/>
    <mergeCell ref="R26:S26"/>
    <mergeCell ref="N21:O21"/>
    <mergeCell ref="N22:O22"/>
    <mergeCell ref="P22:S22"/>
    <mergeCell ref="T22:V22"/>
    <mergeCell ref="R23:V23"/>
    <mergeCell ref="P24:S24"/>
    <mergeCell ref="T24:V26"/>
    <mergeCell ref="N24:O24"/>
    <mergeCell ref="N25:O25"/>
    <mergeCell ref="N27:O27"/>
    <mergeCell ref="N28:O28"/>
    <mergeCell ref="N29:O30"/>
    <mergeCell ref="N31:O31"/>
    <mergeCell ref="N32:O32"/>
    <mergeCell ref="N49:Q49"/>
    <mergeCell ref="T49:V49"/>
    <mergeCell ref="P50:Q50"/>
    <mergeCell ref="T50:V50"/>
    <mergeCell ref="P51:Q51"/>
    <mergeCell ref="N54:O54"/>
    <mergeCell ref="P54:V55"/>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4:I14"/>
    <mergeCell ref="J14:K14"/>
    <mergeCell ref="N14:O14"/>
    <mergeCell ref="P14:Q14"/>
    <mergeCell ref="R14:S14"/>
    <mergeCell ref="E13:F14"/>
    <mergeCell ref="E15:F15"/>
    <mergeCell ref="G15:I15"/>
    <mergeCell ref="J15:K15"/>
    <mergeCell ref="N15:O15"/>
    <mergeCell ref="P15:Q15"/>
    <mergeCell ref="P7:Q7"/>
    <mergeCell ref="R7:S7"/>
    <mergeCell ref="H8:I8"/>
    <mergeCell ref="J8:K8"/>
    <mergeCell ref="L8:M8"/>
    <mergeCell ref="N8:O8"/>
    <mergeCell ref="P8:Q8"/>
    <mergeCell ref="R8:S8"/>
    <mergeCell ref="H9:I9"/>
    <mergeCell ref="J9:K9"/>
    <mergeCell ref="L9:M9"/>
    <mergeCell ref="N9:O9"/>
    <mergeCell ref="E10:F10"/>
    <mergeCell ref="H10:I10"/>
    <mergeCell ref="Q10:V10"/>
    <mergeCell ref="T11:V11"/>
    <mergeCell ref="U13:V13"/>
    <mergeCell ref="U14:V14"/>
    <mergeCell ref="T15:V15"/>
    <mergeCell ref="E17:F17"/>
    <mergeCell ref="H17:I17"/>
    <mergeCell ref="J17:K17"/>
    <mergeCell ref="L17:M17"/>
    <mergeCell ref="E18:F18"/>
    <mergeCell ref="H18:I18"/>
    <mergeCell ref="J18:K18"/>
    <mergeCell ref="L18:M18"/>
    <mergeCell ref="E19:F19"/>
    <mergeCell ref="H19:I19"/>
    <mergeCell ref="J19:K19"/>
    <mergeCell ref="L19:M19"/>
    <mergeCell ref="E20:F20"/>
    <mergeCell ref="H20:I20"/>
    <mergeCell ref="N20:O20"/>
    <mergeCell ref="P20:Q20"/>
    <mergeCell ref="G24:I25"/>
    <mergeCell ref="J24:M25"/>
    <mergeCell ref="G26:I26"/>
    <mergeCell ref="J26:K26"/>
    <mergeCell ref="L26:M26"/>
    <mergeCell ref="J27:K27"/>
    <mergeCell ref="L27:M27"/>
    <mergeCell ref="G33:Q34"/>
    <mergeCell ref="N35:O35"/>
    <mergeCell ref="G27:H27"/>
    <mergeCell ref="G28:H28"/>
    <mergeCell ref="J28:K28"/>
    <mergeCell ref="L28:M28"/>
    <mergeCell ref="G29:H29"/>
    <mergeCell ref="L29:M29"/>
    <mergeCell ref="L30:M30"/>
    <mergeCell ref="T39:V39"/>
    <mergeCell ref="T40:V40"/>
    <mergeCell ref="T27:V27"/>
    <mergeCell ref="T28:V28"/>
    <mergeCell ref="T29:V31"/>
    <mergeCell ref="T35:V35"/>
    <mergeCell ref="T36:V36"/>
    <mergeCell ref="T37:V37"/>
    <mergeCell ref="T38:V38"/>
  </mergeCells>
  <conditionalFormatting sqref="E1:T86 U1:U31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T53 U2:U31 V32:V34 U35:U53 V50:V52 W51 K61:L68">
    <cfRule type="containsText" dxfId="2" priority="3" operator="containsText" text="Шерашова">
      <formula>NOT(ISERROR(SEARCH(("Шерашова"),(E2))))</formula>
    </cfRule>
  </conditionalFormatting>
  <conditionalFormatting sqref="E2:T53 U2:U31 V32:V34 U35:U53 V50:V52 W51 K61:L68">
    <cfRule type="containsText" dxfId="3" priority="4" operator="containsText" text="Англ">
      <formula>NOT(ISERROR(SEARCH(("Англ"),(E2))))</formula>
    </cfRule>
  </conditionalFormatting>
  <conditionalFormatting sqref="E2:T53 U2:U31 V32:V34 U35:U53 V50:V52 W51 K61:L68">
    <cfRule type="containsText" dxfId="4" priority="5" operator="containsText" text="Театр">
      <formula>NOT(ISERROR(SEARCH(("Театр"),(E2))))</formula>
    </cfRule>
  </conditionalFormatting>
  <conditionalFormatting sqref="E2:T53 U2:U31 V32:V34 U35:U53 V50:V52 W51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45 R9:S9 R11:R46 S11:S32 F15:F17 F19:F20 E24:F30 E32:E53 F32:F45 S35:S41 S43:S45 S47:S53 T47:T50 F48:F49 N48:N49 R49:R53 G50:H53 I50:I52 P50:P53 F52:F53 J52:J53 N52:N53 Q52:Q53 K53:M53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T24 N25:N26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 I29:I30 L50 J50:J51 R53">
      <formula1>IF(COUNTA(filter($E5:$W5,ARRAYFORMULA(ISERROR(FIND(join(",",filter(split($H$83,","),ARRAYFORMULA(ISERROR(FIND(split($H$83,","),G9)))=FALSE)),$E5:$W5))=FALSE)))&gt;1,FALSE,TRUE)</formula1>
    </dataValidation>
    <dataValidation type="custom" allowBlank="1" showDropDown="1" sqref="G31 Q31:Q32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9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T27">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4 E26 E29:E30 H35:H36 G37:G38 E48:E49 N52:N54">
      <formula1>IF(COUNTA(filter($E8:$W8,ARRAYFORMULA(ISERROR(FIND(join(",",filter(split($H$83,","),ARRAYFORMULA(ISERROR(FIND(split($H$83,","),E7)))=FALSE)),$E8:$W8))=FALSE)))&gt;1,FALSE,TRUE)</formula1>
    </dataValidation>
    <dataValidation type="custom" allowBlank="1" showDropDown="1" sqref="N2 R2 T2 G2:G3 J2:J3 L4 P2:P4 G5:H6 K5:M6 T5:T6 L7:L8 P7:P8 T7:U8 G7:G9 Q9:R9 H10 J9:J10 N9:N10 Q10 W2:W10 E12:W12 E13 H13:H14 L13:L14 E17:E18 G15:G18 S17:S18 H19 G20:H20 J15:J20 L17:L20 G21 R19:R21 T21 G22:H22 G23:R23 J24 P25 R25 P26:Q26 E27:F28 I27:I28 T28:T29 F29:G30 P30:Q30 W13:W31 J31:J32 R33:R34 T32:W34 G35:G36 L35:M36 P35:Q36 H37:H38 J37:J38 L37:N38 E37:E40 G39:G40 J39:K40 N39:P40 R37:S40 R41:T41 J41:L42 T42 E43 G41:H43 K43 Q43 H44 M43:N44 W35:W44 E45:W45 I46 F46:G47 L46:L47 N46:P47 G48 L48:M49 L51 N50:O51 I50:I52 G53:H53 O52:P53 E54 P54 N55:O55 W46:W55 E56:W56 J57 N57:O57 E57:G58 J58:O58 R57:W58 E59: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R7:R8">
      <formula1>IF(COUNTA(filter($E52:$W52,ARRAYFORMULA(ISERROR(FIND(join(",",filter(split($H$83,","),ARRAYFORMULA(ISERROR(FIND(split($H$83,","),R7)))=FALSE)),$E52:$W52))=FALSE)))&gt;1,FALSE,TRUE)</formula1>
    </dataValidation>
    <dataValidation type="custom" allowBlank="1" showDropDown="1" sqref="P43">
      <formula1>IF(COUNTA(filter($E40:$W40,ARRAYFORMULA(ISERROR(FIND(join(",",filter(split($H$83,","),ARRAYFORMULA(ISERROR(FIND(split($H$83,","),P43)))=FALSE)),$E40:$W40))=FALSE)))&gt;1,FALSE,TRUE)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P32">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P27 R27 R29:S29">
      <formula1>IF(COUNTA(filter($E7:$W7,ARRAYFORMULA(ISERROR(FIND(join(",",filter(split($H$83,","),ARRAYFORMULA(ISERROR(FIND(split($H$83,","),E4)))=FALSE)),$E7:$W7))=FALSE)))&gt;1,FALSE,TRUE)</formula1>
    </dataValidation>
    <dataValidation type="custom" allowBlank="1" showDropDown="1" sqref="S30 S32 R47:R48 T51:V52">
      <formula1>IF(COUNTA(filter($E29:$W29,ARRAYFORMULA(ISERROR(FIND(join(",",filter(split($H$83,","),ARRAYFORMULA(ISERROR(FIND(split($H$83,","),R30)))=FALSE)),$E29:$W29))=FALSE)))&gt;1,FALSE,TRUE)</formula1>
    </dataValidation>
    <dataValidation type="custom" allowBlank="1" showDropDown="1" sqref="P13:P1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553">
        <v>44879.0</v>
      </c>
      <c r="B2" s="19">
        <v>1.0</v>
      </c>
      <c r="C2" s="20" t="s">
        <v>12</v>
      </c>
      <c r="D2" s="20" t="s">
        <v>13</v>
      </c>
      <c r="E2" s="21" t="s">
        <v>3278</v>
      </c>
      <c r="F2" s="24"/>
      <c r="G2" s="24"/>
      <c r="H2" s="24"/>
      <c r="I2" s="22"/>
      <c r="J2" s="21" t="s">
        <v>3279</v>
      </c>
      <c r="K2" s="24"/>
      <c r="L2" s="24"/>
      <c r="M2" s="24"/>
      <c r="N2" s="24"/>
      <c r="O2" s="24"/>
      <c r="P2" s="24"/>
      <c r="Q2" s="24"/>
      <c r="R2" s="24"/>
      <c r="S2" s="24"/>
      <c r="T2" s="24"/>
      <c r="U2" s="24"/>
      <c r="V2" s="25"/>
      <c r="W2" s="26"/>
      <c r="X2" s="27" t="s">
        <v>12</v>
      </c>
      <c r="Y2" s="27" t="s">
        <v>13</v>
      </c>
      <c r="Z2" s="28"/>
      <c r="AA2" s="14"/>
      <c r="AB2" s="15"/>
      <c r="AC2" s="14"/>
      <c r="AD2" s="14"/>
      <c r="AE2" s="14"/>
      <c r="AF2" s="29"/>
      <c r="AG2" s="29"/>
      <c r="AH2" s="29"/>
    </row>
    <row r="3" ht="40.5" hidden="1" customHeight="1">
      <c r="A3" s="30"/>
      <c r="B3" s="31">
        <v>2.0</v>
      </c>
      <c r="C3" s="32" t="s">
        <v>21</v>
      </c>
      <c r="D3" s="32" t="s">
        <v>22</v>
      </c>
      <c r="E3" s="33" t="s">
        <v>3280</v>
      </c>
      <c r="F3" s="34" t="s">
        <v>3281</v>
      </c>
      <c r="G3" s="35" t="s">
        <v>25</v>
      </c>
      <c r="H3" s="36"/>
      <c r="I3" s="13"/>
      <c r="J3" s="37" t="s">
        <v>3282</v>
      </c>
      <c r="K3" s="13"/>
      <c r="L3" s="38" t="s">
        <v>3283</v>
      </c>
      <c r="M3" s="13"/>
      <c r="N3" s="37" t="s">
        <v>3284</v>
      </c>
      <c r="O3" s="13"/>
      <c r="P3" s="37" t="s">
        <v>3285</v>
      </c>
      <c r="Q3" s="13"/>
      <c r="R3" s="39" t="s">
        <v>3286</v>
      </c>
      <c r="S3" s="40" t="s">
        <v>3287</v>
      </c>
      <c r="T3" s="37" t="s">
        <v>3288</v>
      </c>
      <c r="U3" s="36"/>
      <c r="V3" s="41"/>
      <c r="W3" s="26"/>
      <c r="X3" s="42" t="s">
        <v>21</v>
      </c>
      <c r="Y3" s="42" t="s">
        <v>22</v>
      </c>
      <c r="Z3" s="28"/>
      <c r="AA3" s="14"/>
      <c r="AB3" s="15" t="str">
        <f>IFERROR(__xludf.DUMMYFUNCTION("join("","",filter(split($H$83,"",""),ARRAYFORMULA(ISERROR(FIND(split($H$83,"",""),CONCATENATE(E3:V3))))=TRUE))"),"201,206,405,406,409,410,АЗ")</f>
        <v>201,206,405,406,409,410,АЗ</v>
      </c>
      <c r="AC3" s="14"/>
      <c r="AD3" s="14"/>
      <c r="AE3" s="14"/>
      <c r="AF3" s="29"/>
      <c r="AG3" s="29"/>
      <c r="AH3" s="29"/>
    </row>
    <row r="4" ht="40.5" hidden="1" customHeight="1">
      <c r="A4" s="30"/>
      <c r="B4" s="31">
        <v>3.0</v>
      </c>
      <c r="C4" s="32" t="s">
        <v>33</v>
      </c>
      <c r="D4" s="32" t="s">
        <v>34</v>
      </c>
      <c r="E4" s="33" t="s">
        <v>3289</v>
      </c>
      <c r="F4" s="126" t="s">
        <v>3290</v>
      </c>
      <c r="G4" s="43" t="s">
        <v>3291</v>
      </c>
      <c r="H4" s="44" t="s">
        <v>3292</v>
      </c>
      <c r="I4" s="45" t="s">
        <v>3293</v>
      </c>
      <c r="J4" s="46" t="s">
        <v>3294</v>
      </c>
      <c r="K4" s="13"/>
      <c r="L4" s="45" t="s">
        <v>3295</v>
      </c>
      <c r="M4" s="13"/>
      <c r="N4" s="37" t="s">
        <v>3296</v>
      </c>
      <c r="O4" s="13"/>
      <c r="P4" s="37" t="s">
        <v>3297</v>
      </c>
      <c r="Q4" s="13"/>
      <c r="R4" s="39" t="s">
        <v>3298</v>
      </c>
      <c r="S4" s="40" t="s">
        <v>3299</v>
      </c>
      <c r="T4" s="37" t="s">
        <v>3300</v>
      </c>
      <c r="U4" s="36"/>
      <c r="V4" s="41"/>
      <c r="W4" s="26"/>
      <c r="X4" s="42" t="s">
        <v>33</v>
      </c>
      <c r="Y4" s="42" t="s">
        <v>34</v>
      </c>
      <c r="Z4" s="48" t="s">
        <v>47</v>
      </c>
      <c r="AA4" s="14"/>
      <c r="AB4" s="15" t="str">
        <f>IFERROR(__xludf.DUMMYFUNCTION("join("","",filter(split($H$83,"",""),ARRAYFORMULA(ISERROR(FIND(split($H$83,"",""),CONCATENATE(E4:V4))))=TRUE))"),"КЗ,201,206,404,406,АЗ")</f>
        <v>КЗ,201,206,404,406,АЗ</v>
      </c>
      <c r="AC4" s="14"/>
      <c r="AD4" s="14"/>
      <c r="AE4" s="14"/>
      <c r="AF4" s="29"/>
      <c r="AG4" s="29"/>
      <c r="AH4" s="29"/>
    </row>
    <row r="5" ht="40.5" hidden="1" customHeight="1">
      <c r="A5" s="30"/>
      <c r="B5" s="31">
        <v>4.0</v>
      </c>
      <c r="C5" s="32" t="s">
        <v>48</v>
      </c>
      <c r="D5" s="32" t="s">
        <v>49</v>
      </c>
      <c r="E5" s="33" t="s">
        <v>3301</v>
      </c>
      <c r="F5" s="126" t="s">
        <v>3302</v>
      </c>
      <c r="G5" s="43" t="s">
        <v>3303</v>
      </c>
      <c r="H5" s="45" t="s">
        <v>3304</v>
      </c>
      <c r="I5" s="13"/>
      <c r="J5" s="33" t="s">
        <v>3305</v>
      </c>
      <c r="K5" s="44" t="s">
        <v>3306</v>
      </c>
      <c r="L5" s="44" t="s">
        <v>3307</v>
      </c>
      <c r="M5" s="45" t="s">
        <v>3308</v>
      </c>
      <c r="N5" s="37" t="s">
        <v>3309</v>
      </c>
      <c r="O5" s="13"/>
      <c r="P5" s="37" t="s">
        <v>3310</v>
      </c>
      <c r="Q5" s="13"/>
      <c r="R5" s="51" t="s">
        <v>3311</v>
      </c>
      <c r="S5" s="13"/>
      <c r="T5" s="52" t="s">
        <v>3312</v>
      </c>
      <c r="U5" s="36"/>
      <c r="V5" s="41"/>
      <c r="W5" s="26"/>
      <c r="X5" s="42" t="s">
        <v>48</v>
      </c>
      <c r="Y5" s="42" t="s">
        <v>49</v>
      </c>
      <c r="Z5" s="48" t="s">
        <v>57</v>
      </c>
      <c r="AA5" s="14"/>
      <c r="AB5" s="15" t="str">
        <f>IFERROR(__xludf.DUMMYFUNCTION("join("","",filter(split($H$83,"",""),ARRAYFORMULA(ISERROR(FIND(split($H$83,"",""),CONCATENATE(E5:V5))))=TRUE))"),"СЗ,КЗ,206,406,408,409")</f>
        <v>СЗ,КЗ,206,406,408,409</v>
      </c>
      <c r="AC5" s="14"/>
      <c r="AD5" s="14"/>
      <c r="AE5" s="14"/>
      <c r="AF5" s="29"/>
      <c r="AG5" s="29"/>
      <c r="AH5" s="29"/>
    </row>
    <row r="6" ht="40.5" hidden="1" customHeight="1">
      <c r="A6" s="30"/>
      <c r="B6" s="31">
        <v>5.0</v>
      </c>
      <c r="C6" s="32" t="s">
        <v>58</v>
      </c>
      <c r="D6" s="53">
        <v>44847.0</v>
      </c>
      <c r="E6" s="316" t="s">
        <v>3313</v>
      </c>
      <c r="F6" s="34" t="s">
        <v>3314</v>
      </c>
      <c r="G6" s="43" t="s">
        <v>3315</v>
      </c>
      <c r="H6" s="45" t="s">
        <v>3316</v>
      </c>
      <c r="I6" s="13"/>
      <c r="J6" s="33" t="s">
        <v>3317</v>
      </c>
      <c r="K6" s="44" t="s">
        <v>3318</v>
      </c>
      <c r="L6" s="44" t="s">
        <v>3319</v>
      </c>
      <c r="M6" s="45" t="s">
        <v>3320</v>
      </c>
      <c r="N6" s="37" t="s">
        <v>3321</v>
      </c>
      <c r="O6" s="13"/>
      <c r="P6" s="37" t="s">
        <v>3322</v>
      </c>
      <c r="Q6" s="13"/>
      <c r="R6" s="51" t="s">
        <v>3323</v>
      </c>
      <c r="S6" s="13"/>
      <c r="T6" s="52" t="s">
        <v>3324</v>
      </c>
      <c r="U6" s="36"/>
      <c r="V6" s="41"/>
      <c r="W6" s="26"/>
      <c r="X6" s="42" t="s">
        <v>58</v>
      </c>
      <c r="Y6" s="54">
        <v>44847.0</v>
      </c>
      <c r="Z6" s="48" t="s">
        <v>70</v>
      </c>
      <c r="AA6" s="14"/>
      <c r="AB6" s="15" t="str">
        <f>IFERROR(__xludf.DUMMYFUNCTION("join("","",filter(split($H$83,"",""),ARRAYFORMULA(ISERROR(FIND(split($H$83,"",""),CONCATENATE(E6:V6))))=TRUE))"),"СЗ,КЗ,206,406,408,409")</f>
        <v>СЗ,КЗ,206,406,408,409</v>
      </c>
      <c r="AC6" s="14"/>
      <c r="AD6" s="14"/>
      <c r="AE6" s="14"/>
      <c r="AF6" s="29"/>
      <c r="AG6" s="29"/>
      <c r="AH6" s="29"/>
    </row>
    <row r="7" ht="42.0" hidden="1" customHeight="1">
      <c r="A7" s="30"/>
      <c r="B7" s="31">
        <v>6.0</v>
      </c>
      <c r="C7" s="55" t="s">
        <v>71</v>
      </c>
      <c r="D7" s="56" t="s">
        <v>72</v>
      </c>
      <c r="E7" s="316" t="s">
        <v>3325</v>
      </c>
      <c r="F7" s="34" t="s">
        <v>3326</v>
      </c>
      <c r="G7" s="43" t="s">
        <v>3327</v>
      </c>
      <c r="H7" s="45" t="s">
        <v>3328</v>
      </c>
      <c r="I7" s="13"/>
      <c r="J7" s="37" t="s">
        <v>3329</v>
      </c>
      <c r="K7" s="13"/>
      <c r="L7" s="45" t="s">
        <v>3330</v>
      </c>
      <c r="M7" s="13"/>
      <c r="N7" s="37" t="s">
        <v>3331</v>
      </c>
      <c r="O7" s="13"/>
      <c r="P7" s="37" t="s">
        <v>3332</v>
      </c>
      <c r="Q7" s="13"/>
      <c r="R7" s="57" t="s">
        <v>3333</v>
      </c>
      <c r="T7" s="33" t="s">
        <v>3334</v>
      </c>
      <c r="U7" s="45" t="s">
        <v>3335</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t="42.0" hidden="1" customHeight="1">
      <c r="A8" s="30"/>
      <c r="B8" s="31">
        <v>7.0</v>
      </c>
      <c r="C8" s="32" t="s">
        <v>85</v>
      </c>
      <c r="D8" s="32" t="s">
        <v>86</v>
      </c>
      <c r="E8" s="318" t="s">
        <v>3336</v>
      </c>
      <c r="F8" s="319" t="s">
        <v>3337</v>
      </c>
      <c r="G8" s="43" t="s">
        <v>3338</v>
      </c>
      <c r="H8" s="45" t="s">
        <v>3339</v>
      </c>
      <c r="I8" s="13"/>
      <c r="J8" s="37" t="s">
        <v>3340</v>
      </c>
      <c r="K8" s="13"/>
      <c r="L8" s="45" t="s">
        <v>3341</v>
      </c>
      <c r="M8" s="13"/>
      <c r="N8" s="37" t="s">
        <v>3342</v>
      </c>
      <c r="O8" s="13"/>
      <c r="P8" s="37" t="s">
        <v>3343</v>
      </c>
      <c r="Q8" s="13"/>
      <c r="R8" s="37" t="s">
        <v>3344</v>
      </c>
      <c r="S8" s="13"/>
      <c r="T8" s="43" t="s">
        <v>3345</v>
      </c>
      <c r="U8" s="45" t="s">
        <v>3346</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hidden="1" customHeight="1">
      <c r="A9" s="30"/>
      <c r="B9" s="31">
        <v>8.0</v>
      </c>
      <c r="C9" s="32" t="s">
        <v>98</v>
      </c>
      <c r="D9" s="32" t="s">
        <v>99</v>
      </c>
      <c r="E9" s="320" t="s">
        <v>3347</v>
      </c>
      <c r="F9" s="276" t="s">
        <v>3348</v>
      </c>
      <c r="G9" s="43" t="s">
        <v>3349</v>
      </c>
      <c r="H9" s="45" t="s">
        <v>3350</v>
      </c>
      <c r="I9" s="13"/>
      <c r="J9" s="37" t="s">
        <v>3351</v>
      </c>
      <c r="K9" s="13"/>
      <c r="L9" s="45" t="s">
        <v>3352</v>
      </c>
      <c r="M9" s="13"/>
      <c r="N9" s="61" t="s">
        <v>3353</v>
      </c>
      <c r="O9" s="13"/>
      <c r="P9" s="62" t="s">
        <v>3354</v>
      </c>
      <c r="Q9" s="45" t="s">
        <v>3355</v>
      </c>
      <c r="R9" s="63" t="s">
        <v>108</v>
      </c>
      <c r="S9" s="64"/>
      <c r="T9" s="64"/>
      <c r="U9" s="64"/>
      <c r="V9" s="64"/>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40.5" hidden="1" customHeight="1">
      <c r="A10" s="30"/>
      <c r="B10" s="31">
        <v>9.0</v>
      </c>
      <c r="C10" s="65">
        <v>44697.0</v>
      </c>
      <c r="D10" s="44" t="s">
        <v>109</v>
      </c>
      <c r="E10" s="66" t="s">
        <v>3356</v>
      </c>
      <c r="F10" s="67"/>
      <c r="G10" s="43" t="s">
        <v>3357</v>
      </c>
      <c r="H10" s="45" t="s">
        <v>3358</v>
      </c>
      <c r="I10" s="13"/>
      <c r="J10" s="37" t="s">
        <v>3359</v>
      </c>
      <c r="K10" s="13"/>
      <c r="L10" s="45" t="s">
        <v>3360</v>
      </c>
      <c r="M10" s="13"/>
      <c r="N10" s="61" t="s">
        <v>3361</v>
      </c>
      <c r="O10" s="13"/>
      <c r="P10" s="62" t="s">
        <v>3362</v>
      </c>
      <c r="Q10" s="68" t="s">
        <v>3363</v>
      </c>
      <c r="R10" s="37" t="s">
        <v>3364</v>
      </c>
      <c r="S10" s="68" t="s">
        <v>3365</v>
      </c>
      <c r="T10" s="36"/>
      <c r="U10" s="36"/>
      <c r="V10" s="41"/>
      <c r="W10" s="26"/>
      <c r="X10" s="69">
        <v>44697.0</v>
      </c>
      <c r="Y10" s="70" t="s">
        <v>109</v>
      </c>
      <c r="Z10" s="28"/>
      <c r="AA10" s="14"/>
      <c r="AB10" s="15" t="str">
        <f>IFERROR(__xludf.DUMMYFUNCTION("join("","",filter(split($H$83,"",""),ARRAYFORMULA(ISERROR(FIND(split($H$83,"",""),CONCATENATE(E10:V10))))=TRUE))"),"КЗ,206,210,403,404,405,406,408,409,АЗ")</f>
        <v>КЗ,206,210,403,404,405,406,408,409,АЗ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3366</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553">
        <v>44880.0</v>
      </c>
      <c r="B13" s="19">
        <v>1.0</v>
      </c>
      <c r="C13" s="20" t="s">
        <v>12</v>
      </c>
      <c r="D13" s="20" t="s">
        <v>13</v>
      </c>
      <c r="E13" s="564" t="s">
        <v>3367</v>
      </c>
      <c r="F13" s="25"/>
      <c r="G13" s="81" t="s">
        <v>3368</v>
      </c>
      <c r="H13" s="80" t="s">
        <v>3369</v>
      </c>
      <c r="I13" s="22"/>
      <c r="J13" s="23" t="s">
        <v>3370</v>
      </c>
      <c r="K13" s="25"/>
      <c r="L13" s="80" t="s">
        <v>3371</v>
      </c>
      <c r="M13" s="25"/>
      <c r="N13" s="82" t="s">
        <v>3372</v>
      </c>
      <c r="O13" s="25"/>
      <c r="P13" s="21" t="s">
        <v>3373</v>
      </c>
      <c r="Q13" s="22"/>
      <c r="R13" s="23" t="s">
        <v>3374</v>
      </c>
      <c r="S13" s="22"/>
      <c r="T13" s="84" t="s">
        <v>3375</v>
      </c>
      <c r="U13" s="80" t="s">
        <v>3376</v>
      </c>
      <c r="V13" s="22"/>
      <c r="W13" s="26"/>
      <c r="X13" s="27" t="s">
        <v>12</v>
      </c>
      <c r="Y13" s="27" t="s">
        <v>13</v>
      </c>
      <c r="Z13" s="28"/>
      <c r="AA13" s="85"/>
      <c r="AB13" s="15" t="str">
        <f>IFERROR(__xludf.DUMMYFUNCTION("join("","",filter(split($H$83,"",""),ARRAYFORMULA(ISERROR(FIND(split($H$83,"",""),CONCATENATE(E13:V13))))=TRUE))"),"СЗ,202,206,403,410,АЗ")</f>
        <v>СЗ,202,206,403,410,АЗ</v>
      </c>
      <c r="AC13" s="14"/>
      <c r="AD13" s="14"/>
      <c r="AE13" s="14"/>
      <c r="AF13" s="29"/>
      <c r="AG13" s="29"/>
      <c r="AH13" s="29"/>
    </row>
    <row r="14" ht="40.5" hidden="1" customHeight="1">
      <c r="A14" s="30"/>
      <c r="B14" s="31">
        <v>2.0</v>
      </c>
      <c r="C14" s="32" t="s">
        <v>21</v>
      </c>
      <c r="D14" s="32" t="s">
        <v>22</v>
      </c>
      <c r="E14" s="45" t="s">
        <v>3377</v>
      </c>
      <c r="F14" s="13"/>
      <c r="G14" s="46" t="s">
        <v>3378</v>
      </c>
      <c r="H14" s="86" t="s">
        <v>3379</v>
      </c>
      <c r="I14" s="41"/>
      <c r="J14" s="35" t="s">
        <v>3380</v>
      </c>
      <c r="K14" s="13"/>
      <c r="L14" s="45" t="s">
        <v>3381</v>
      </c>
      <c r="M14" s="13"/>
      <c r="N14" s="87" t="s">
        <v>3382</v>
      </c>
      <c r="O14" s="13"/>
      <c r="P14" s="37" t="s">
        <v>3383</v>
      </c>
      <c r="Q14" s="41"/>
      <c r="R14" s="35" t="s">
        <v>3384</v>
      </c>
      <c r="S14" s="41"/>
      <c r="T14" s="43" t="s">
        <v>3385</v>
      </c>
      <c r="U14" s="45" t="s">
        <v>3386</v>
      </c>
      <c r="V14" s="41"/>
      <c r="W14" s="26"/>
      <c r="X14" s="42" t="s">
        <v>21</v>
      </c>
      <c r="Y14" s="42" t="s">
        <v>22</v>
      </c>
      <c r="Z14" s="28"/>
      <c r="AA14" s="85"/>
      <c r="AB14" s="15" t="str">
        <f>IFERROR(__xludf.DUMMYFUNCTION("join("","",filter(split($H$83,"",""),ARRAYFORMULA(ISERROR(FIND(split($H$83,"",""),CONCATENATE(E14:V14))))=TRUE))"),"СЗ,202,206,403,406,410,АЗ")</f>
        <v>СЗ,202,206,403,406,410,АЗ</v>
      </c>
      <c r="AC14" s="14"/>
      <c r="AD14" s="14"/>
      <c r="AE14" s="14"/>
      <c r="AF14" s="29"/>
      <c r="AG14" s="29"/>
      <c r="AH14" s="29"/>
    </row>
    <row r="15" ht="40.5" hidden="1" customHeight="1">
      <c r="A15" s="30"/>
      <c r="B15" s="31">
        <v>3.0</v>
      </c>
      <c r="C15" s="32" t="s">
        <v>33</v>
      </c>
      <c r="D15" s="32" t="s">
        <v>34</v>
      </c>
      <c r="E15" s="40" t="s">
        <v>3387</v>
      </c>
      <c r="F15" s="13"/>
      <c r="G15" s="37" t="s">
        <v>3388</v>
      </c>
      <c r="H15" s="36"/>
      <c r="I15" s="41"/>
      <c r="J15" s="35" t="s">
        <v>3389</v>
      </c>
      <c r="K15" s="13"/>
      <c r="L15" s="45" t="s">
        <v>3390</v>
      </c>
      <c r="M15" s="13"/>
      <c r="N15" s="89" t="s">
        <v>3391</v>
      </c>
      <c r="O15" s="13"/>
      <c r="P15" s="37" t="s">
        <v>3392</v>
      </c>
      <c r="Q15" s="41"/>
      <c r="R15" s="43" t="s">
        <v>3393</v>
      </c>
      <c r="S15" s="34" t="s">
        <v>3394</v>
      </c>
      <c r="T15" s="91" t="s">
        <v>3395</v>
      </c>
      <c r="U15" s="36"/>
      <c r="V15" s="41"/>
      <c r="W15" s="26"/>
      <c r="X15" s="42" t="s">
        <v>33</v>
      </c>
      <c r="Y15" s="42" t="s">
        <v>34</v>
      </c>
      <c r="Z15" s="48" t="s">
        <v>47</v>
      </c>
      <c r="AA15" s="85" t="str">
        <f>AA$5</f>
        <v/>
      </c>
      <c r="AB15" s="15" t="str">
        <f>IFERROR(__xludf.DUMMYFUNCTION("join("","",filter(split($H$83,"",""),ARRAYFORMULA(ISERROR(FIND(split($H$83,"",""),CONCATENATE(E15:V15))))=TRUE))"),"КЗ,201,206,403,406,408,410,АЗ")</f>
        <v>КЗ,201,206,403,406,408,410,АЗ</v>
      </c>
      <c r="AC15" s="14"/>
      <c r="AD15" s="14"/>
      <c r="AE15" s="14"/>
      <c r="AF15" s="29"/>
      <c r="AG15" s="29"/>
      <c r="AH15" s="29"/>
    </row>
    <row r="16" ht="40.5" hidden="1" customHeight="1">
      <c r="A16" s="30"/>
      <c r="B16" s="31">
        <v>4.0</v>
      </c>
      <c r="C16" s="32" t="s">
        <v>48</v>
      </c>
      <c r="D16" s="32" t="s">
        <v>49</v>
      </c>
      <c r="E16" s="40" t="s">
        <v>3396</v>
      </c>
      <c r="F16" s="13"/>
      <c r="G16" s="37" t="s">
        <v>3397</v>
      </c>
      <c r="H16" s="36"/>
      <c r="I16" s="41"/>
      <c r="J16" s="35" t="s">
        <v>3398</v>
      </c>
      <c r="K16" s="13"/>
      <c r="L16" s="45" t="s">
        <v>3399</v>
      </c>
      <c r="M16" s="13"/>
      <c r="N16" s="89" t="s">
        <v>3400</v>
      </c>
      <c r="O16" s="13"/>
      <c r="P16" s="37" t="s">
        <v>160</v>
      </c>
      <c r="Q16" s="41"/>
      <c r="R16" s="43" t="s">
        <v>3401</v>
      </c>
      <c r="S16" s="34" t="s">
        <v>3402</v>
      </c>
      <c r="T16" s="91" t="s">
        <v>3403</v>
      </c>
      <c r="U16" s="36"/>
      <c r="V16" s="41"/>
      <c r="W16" s="26"/>
      <c r="X16" s="42" t="s">
        <v>48</v>
      </c>
      <c r="Y16" s="42" t="s">
        <v>49</v>
      </c>
      <c r="Z16" s="48" t="s">
        <v>57</v>
      </c>
      <c r="AA16" s="85" t="str">
        <f>AA$6</f>
        <v/>
      </c>
      <c r="AB16" s="15" t="str">
        <f>IFERROR(__xludf.DUMMYFUNCTION("join("","",filter(split($H$83,"",""),ARRAYFORMULA(ISERROR(FIND(split($H$83,"",""),CONCATENATE(E16:V16))))=TRUE))"),"КЗ,201,206,403,406,408,410,АЗ")</f>
        <v>КЗ,201,206,403,406,408,410,АЗ</v>
      </c>
      <c r="AC16" s="14"/>
      <c r="AD16" s="14"/>
      <c r="AE16" s="14"/>
      <c r="AF16" s="29"/>
      <c r="AG16" s="29"/>
      <c r="AH16" s="29"/>
    </row>
    <row r="17" ht="40.5" hidden="1" customHeight="1">
      <c r="A17" s="30"/>
      <c r="B17" s="31">
        <v>5.0</v>
      </c>
      <c r="C17" s="32" t="s">
        <v>58</v>
      </c>
      <c r="D17" s="53">
        <v>44847.0</v>
      </c>
      <c r="E17" s="45" t="s">
        <v>3404</v>
      </c>
      <c r="F17" s="13"/>
      <c r="G17" s="33" t="s">
        <v>3405</v>
      </c>
      <c r="H17" s="45" t="s">
        <v>3406</v>
      </c>
      <c r="I17" s="41"/>
      <c r="J17" s="35" t="s">
        <v>3407</v>
      </c>
      <c r="K17" s="13"/>
      <c r="L17" s="40" t="s">
        <v>3408</v>
      </c>
      <c r="M17" s="13"/>
      <c r="N17" s="45" t="s">
        <v>3409</v>
      </c>
      <c r="O17" s="13"/>
      <c r="P17" s="33" t="s">
        <v>3410</v>
      </c>
      <c r="Q17" s="34" t="s">
        <v>3411</v>
      </c>
      <c r="R17" s="326" t="s">
        <v>3412</v>
      </c>
      <c r="S17" s="92" t="s">
        <v>3413</v>
      </c>
      <c r="T17" s="93" t="s">
        <v>3414</v>
      </c>
      <c r="U17" s="36"/>
      <c r="V17" s="41"/>
      <c r="W17" s="26"/>
      <c r="X17" s="42" t="s">
        <v>58</v>
      </c>
      <c r="Y17" s="54">
        <v>44847.0</v>
      </c>
      <c r="Z17" s="48" t="s">
        <v>70</v>
      </c>
      <c r="AA17" s="85" t="str">
        <f>AA$7</f>
        <v/>
      </c>
      <c r="AB17" s="15" t="str">
        <f>IFERROR(__xludf.DUMMYFUNCTION("join("","",filter(split($H$83,"",""),ARRAYFORMULA(ISERROR(FIND(split($H$83,"",""),CONCATENATE(E17:V17))))=TRUE))"),"СЗ,206,403,408,410,АЗ")</f>
        <v>СЗ,206,403,408,410,АЗ</v>
      </c>
      <c r="AC17" s="14"/>
      <c r="AD17" s="14"/>
      <c r="AE17" s="14"/>
      <c r="AF17" s="29"/>
      <c r="AG17" s="29"/>
      <c r="AH17" s="29"/>
    </row>
    <row r="18" ht="40.5" hidden="1" customHeight="1">
      <c r="A18" s="30"/>
      <c r="B18" s="31">
        <v>6.0</v>
      </c>
      <c r="C18" s="55" t="s">
        <v>71</v>
      </c>
      <c r="D18" s="56" t="s">
        <v>72</v>
      </c>
      <c r="E18" s="45" t="s">
        <v>3415</v>
      </c>
      <c r="F18" s="13"/>
      <c r="G18" s="33" t="s">
        <v>3416</v>
      </c>
      <c r="H18" s="45" t="s">
        <v>3417</v>
      </c>
      <c r="I18" s="41"/>
      <c r="J18" s="35" t="s">
        <v>3418</v>
      </c>
      <c r="K18" s="13"/>
      <c r="L18" s="40" t="s">
        <v>3419</v>
      </c>
      <c r="M18" s="13"/>
      <c r="N18" s="45" t="s">
        <v>3420</v>
      </c>
      <c r="O18" s="13"/>
      <c r="P18" s="33" t="s">
        <v>3421</v>
      </c>
      <c r="Q18" s="34" t="s">
        <v>3422</v>
      </c>
      <c r="R18" s="326" t="s">
        <v>3423</v>
      </c>
      <c r="S18" s="92" t="s">
        <v>3424</v>
      </c>
      <c r="T18" s="93" t="s">
        <v>3425</v>
      </c>
      <c r="U18" s="36"/>
      <c r="V18" s="41"/>
      <c r="W18" s="26"/>
      <c r="X18" s="58" t="s">
        <v>71</v>
      </c>
      <c r="Y18" s="59" t="s">
        <v>72</v>
      </c>
      <c r="Z18" s="48" t="s">
        <v>84</v>
      </c>
      <c r="AA18" s="85" t="str">
        <f>AA$8</f>
        <v/>
      </c>
      <c r="AB18" s="15" t="str">
        <f>IFERROR(__xludf.DUMMYFUNCTION("join("","",filter(split($H$83,"",""),ARRAYFORMULA(ISERROR(FIND(split($H$83,"",""),CONCATENATE(E18:V18))))=TRUE))"),"СЗ,206,403,408,410,АЗ")</f>
        <v>СЗ,206,403,408,410,АЗ</v>
      </c>
      <c r="AC18" s="14"/>
      <c r="AD18" s="14"/>
      <c r="AE18" s="14"/>
      <c r="AF18" s="29"/>
      <c r="AG18" s="29"/>
      <c r="AH18" s="29"/>
    </row>
    <row r="19" ht="40.5" hidden="1" customHeight="1">
      <c r="A19" s="30"/>
      <c r="B19" s="31">
        <v>7.0</v>
      </c>
      <c r="C19" s="32" t="s">
        <v>85</v>
      </c>
      <c r="D19" s="32" t="s">
        <v>86</v>
      </c>
      <c r="E19" s="94" t="s">
        <v>3426</v>
      </c>
      <c r="F19" s="13"/>
      <c r="G19" s="33" t="s">
        <v>3427</v>
      </c>
      <c r="H19" s="45" t="s">
        <v>3428</v>
      </c>
      <c r="I19" s="41"/>
      <c r="J19" s="95" t="s">
        <v>3429</v>
      </c>
      <c r="K19" s="13"/>
      <c r="L19" s="45" t="s">
        <v>3430</v>
      </c>
      <c r="M19" s="13"/>
      <c r="N19" s="45" t="s">
        <v>3431</v>
      </c>
      <c r="O19" s="13"/>
      <c r="P19" s="37" t="s">
        <v>3432</v>
      </c>
      <c r="Q19" s="41"/>
      <c r="R19" s="96" t="s">
        <v>3433</v>
      </c>
      <c r="S19" s="97" t="s">
        <v>3434</v>
      </c>
      <c r="T19" s="93" t="s">
        <v>3435</v>
      </c>
      <c r="U19" s="36"/>
      <c r="V19" s="41"/>
      <c r="W19" s="26"/>
      <c r="X19" s="42" t="s">
        <v>85</v>
      </c>
      <c r="Y19" s="42" t="s">
        <v>86</v>
      </c>
      <c r="Z19" s="48" t="s">
        <v>97</v>
      </c>
      <c r="AA19" s="85" t="str">
        <f>AA$9</f>
        <v/>
      </c>
      <c r="AB19" s="15" t="str">
        <f>IFERROR(__xludf.DUMMYFUNCTION("join("","",filter(split($H$83,"",""),ARRAYFORMULA(ISERROR(FIND(split($H$83,"",""),CONCATENATE(E19:V19))))=TRUE))"),"СЗ,206,403,404,405,410,АЗ")</f>
        <v>СЗ,206,403,404,405,410,АЗ</v>
      </c>
      <c r="AC19" s="14"/>
      <c r="AD19" s="14"/>
      <c r="AE19" s="14"/>
      <c r="AF19" s="29"/>
      <c r="AG19" s="29"/>
      <c r="AH19" s="29"/>
    </row>
    <row r="20" ht="40.5" hidden="1" customHeight="1">
      <c r="A20" s="30"/>
      <c r="B20" s="31">
        <v>8.0</v>
      </c>
      <c r="C20" s="32" t="s">
        <v>98</v>
      </c>
      <c r="D20" s="32" t="s">
        <v>99</v>
      </c>
      <c r="E20" s="94" t="s">
        <v>3436</v>
      </c>
      <c r="F20" s="13"/>
      <c r="G20" s="33" t="s">
        <v>3437</v>
      </c>
      <c r="H20" s="45" t="s">
        <v>3438</v>
      </c>
      <c r="I20" s="41"/>
      <c r="J20" s="95" t="s">
        <v>3439</v>
      </c>
      <c r="K20" s="13"/>
      <c r="L20" s="45" t="s">
        <v>3440</v>
      </c>
      <c r="M20" s="13"/>
      <c r="N20" s="45" t="s">
        <v>3441</v>
      </c>
      <c r="O20" s="13"/>
      <c r="P20" s="37" t="s">
        <v>3442</v>
      </c>
      <c r="Q20" s="41"/>
      <c r="R20" s="96" t="s">
        <v>3443</v>
      </c>
      <c r="S20" s="97" t="s">
        <v>3444</v>
      </c>
      <c r="T20" s="93" t="s">
        <v>3445</v>
      </c>
      <c r="U20" s="36"/>
      <c r="V20" s="41"/>
      <c r="W20" s="26"/>
      <c r="X20" s="42" t="s">
        <v>98</v>
      </c>
      <c r="Y20" s="42" t="s">
        <v>99</v>
      </c>
      <c r="Z20" s="11"/>
      <c r="AA20" s="98"/>
      <c r="AB20" s="15" t="str">
        <f>IFERROR(__xludf.DUMMYFUNCTION("join("","",filter(split($H$83,"",""),ARRAYFORMULA(ISERROR(FIND(split($H$83,"",""),CONCATENATE(E20:V20))))=TRUE))"),"СЗ,206,403,404,405,410,АЗ")</f>
        <v>СЗ,206,403,404,405,410,АЗ</v>
      </c>
      <c r="AC20" s="14"/>
      <c r="AD20" s="14"/>
      <c r="AE20" s="14"/>
      <c r="AF20" s="29"/>
      <c r="AG20" s="29"/>
      <c r="AH20" s="29"/>
    </row>
    <row r="21" ht="40.5" hidden="1" customHeight="1">
      <c r="A21" s="30"/>
      <c r="B21" s="31">
        <v>9.0</v>
      </c>
      <c r="C21" s="65">
        <v>44697.0</v>
      </c>
      <c r="D21" s="44" t="s">
        <v>109</v>
      </c>
      <c r="E21" s="99" t="s">
        <v>206</v>
      </c>
      <c r="F21" s="4"/>
      <c r="G21" s="100" t="s">
        <v>3446</v>
      </c>
      <c r="H21" s="101" t="s">
        <v>208</v>
      </c>
      <c r="I21" s="36"/>
      <c r="J21" s="36"/>
      <c r="K21" s="36"/>
      <c r="L21" s="36"/>
      <c r="M21" s="13"/>
      <c r="N21" s="45" t="s">
        <v>3447</v>
      </c>
      <c r="O21" s="13"/>
      <c r="P21" s="102" t="s">
        <v>3448</v>
      </c>
      <c r="Q21" s="41"/>
      <c r="R21" s="35" t="s">
        <v>211</v>
      </c>
      <c r="S21" s="41"/>
      <c r="T21" s="103" t="s">
        <v>3449</v>
      </c>
      <c r="U21" s="36"/>
      <c r="V21" s="41"/>
      <c r="W21" s="26"/>
      <c r="X21" s="69">
        <v>44697.0</v>
      </c>
      <c r="Y21" s="70" t="s">
        <v>109</v>
      </c>
      <c r="Z21" s="28"/>
      <c r="AA21" s="98"/>
      <c r="AB21" s="15" t="str">
        <f>IFERROR(__xludf.DUMMYFUNCTION("join("","",filter(split($H$83,"",""),ARRAYFORMULA(ISERROR(FIND(split($H$83,"",""),CONCATENATE(E21:V21))))=TRUE))"),"201,206,209,210,401,403,404,405,406,408,АЗ")</f>
        <v>201,206,209,210,401,403,404,405,406,408,АЗ</v>
      </c>
      <c r="AC21" s="14"/>
      <c r="AD21" s="14"/>
      <c r="AE21" s="14"/>
      <c r="AF21" s="29"/>
      <c r="AG21" s="29"/>
      <c r="AH21" s="29"/>
    </row>
    <row r="22" ht="40.5" hidden="1" customHeight="1">
      <c r="A22" s="30"/>
      <c r="B22" s="31">
        <v>10.0</v>
      </c>
      <c r="C22" s="44" t="s">
        <v>120</v>
      </c>
      <c r="D22" s="44" t="s">
        <v>121</v>
      </c>
      <c r="E22" s="104"/>
      <c r="F22" s="72"/>
      <c r="G22" s="105"/>
      <c r="H22" s="106" t="s">
        <v>3033</v>
      </c>
      <c r="I22" s="36"/>
      <c r="J22" s="36"/>
      <c r="K22" s="36"/>
      <c r="L22" s="36"/>
      <c r="M22" s="13"/>
      <c r="N22" s="45" t="s">
        <v>3450</v>
      </c>
      <c r="O22" s="13"/>
      <c r="P22" s="101" t="s">
        <v>215</v>
      </c>
      <c r="Q22" s="36"/>
      <c r="R22" s="36"/>
      <c r="S22" s="13"/>
      <c r="T22" s="107" t="s">
        <v>3451</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t="40.5" hidden="1" customHeight="1">
      <c r="A23" s="74"/>
      <c r="B23" s="75">
        <v>11.0</v>
      </c>
      <c r="C23" s="76" t="s">
        <v>124</v>
      </c>
      <c r="D23" s="76" t="s">
        <v>125</v>
      </c>
      <c r="E23" s="108"/>
      <c r="F23" s="109"/>
      <c r="G23" s="268"/>
      <c r="H23" s="225"/>
      <c r="I23" s="269"/>
      <c r="J23" s="113"/>
      <c r="K23" s="111"/>
      <c r="L23" s="111"/>
      <c r="M23" s="111"/>
      <c r="N23" s="111"/>
      <c r="O23" s="111"/>
      <c r="P23" s="111"/>
      <c r="Q23" s="111"/>
      <c r="R23" s="114" t="s">
        <v>3452</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58.5" hidden="1" customHeight="1">
      <c r="A24" s="553">
        <v>44881.0</v>
      </c>
      <c r="B24" s="435">
        <v>1.0</v>
      </c>
      <c r="C24" s="20" t="s">
        <v>12</v>
      </c>
      <c r="D24" s="20" t="s">
        <v>13</v>
      </c>
      <c r="E24" s="21" t="s">
        <v>3453</v>
      </c>
      <c r="F24" s="22"/>
      <c r="G24" s="322" t="s">
        <v>3454</v>
      </c>
      <c r="H24" s="36"/>
      <c r="I24" s="13"/>
      <c r="J24" s="565" t="s">
        <v>3455</v>
      </c>
      <c r="K24" s="36"/>
      <c r="L24" s="36"/>
      <c r="M24" s="41"/>
      <c r="N24" s="80" t="s">
        <v>3456</v>
      </c>
      <c r="O24" s="25"/>
      <c r="P24" s="331" t="s">
        <v>3457</v>
      </c>
      <c r="Q24" s="24"/>
      <c r="R24" s="24"/>
      <c r="S24" s="22"/>
      <c r="T24" s="121" t="s">
        <v>3458</v>
      </c>
      <c r="U24" s="24"/>
      <c r="V24" s="22"/>
      <c r="W24" s="26"/>
      <c r="X24" s="27" t="s">
        <v>12</v>
      </c>
      <c r="Y24" s="27" t="s">
        <v>13</v>
      </c>
      <c r="Z24" s="28"/>
      <c r="AA24" s="14"/>
      <c r="AB24" s="15" t="str">
        <f>IFERROR(__xludf.DUMMYFUNCTION("join("","",filter(split($H$83,"",""),ARRAYFORMULA(ISERROR(FIND(split($H$83,"",""),CONCATENATE(E24:V24))))=TRUE))"),"СЗ,КЗ,202,206,210,401,402,403,404,405,409,410,АЗ")</f>
        <v>СЗ,КЗ,202,206,210,401,402,403,404,405,409,410,АЗ</v>
      </c>
      <c r="AC24" s="14"/>
      <c r="AD24" s="14"/>
      <c r="AE24" s="14"/>
      <c r="AF24" s="29"/>
      <c r="AG24" s="29"/>
      <c r="AH24" s="29"/>
    </row>
    <row r="25" ht="40.5" hidden="1" customHeight="1">
      <c r="A25" s="30"/>
      <c r="B25" s="436">
        <v>2.0</v>
      </c>
      <c r="C25" s="32" t="s">
        <v>21</v>
      </c>
      <c r="D25" s="32" t="s">
        <v>22</v>
      </c>
      <c r="E25" s="51" t="s">
        <v>3459</v>
      </c>
      <c r="F25" s="41"/>
      <c r="G25" s="322" t="s">
        <v>3460</v>
      </c>
      <c r="H25" s="36"/>
      <c r="I25" s="13"/>
      <c r="J25" s="35" t="s">
        <v>3461</v>
      </c>
      <c r="K25" s="13"/>
      <c r="L25" s="40" t="s">
        <v>3462</v>
      </c>
      <c r="M25" s="13"/>
      <c r="N25" s="40" t="s">
        <v>3463</v>
      </c>
      <c r="O25" s="13"/>
      <c r="P25" s="37" t="s">
        <v>3464</v>
      </c>
      <c r="Q25" s="13"/>
      <c r="R25" s="122" t="s">
        <v>3465</v>
      </c>
      <c r="S25" s="41"/>
      <c r="T25" s="103" t="s">
        <v>3466</v>
      </c>
      <c r="U25" s="36"/>
      <c r="V25" s="41"/>
      <c r="W25" s="26"/>
      <c r="X25" s="42" t="s">
        <v>21</v>
      </c>
      <c r="Y25" s="42" t="s">
        <v>22</v>
      </c>
      <c r="Z25" s="28"/>
      <c r="AA25" s="14"/>
      <c r="AB25" s="15" t="str">
        <f>IFERROR(__xludf.DUMMYFUNCTION("join("","",filter(split($H$83,"",""),ARRAYFORMULA(ISERROR(FIND(split($H$83,"",""),CONCATENATE(E25:V25))))=TRUE))"),"СЗ,КЗ,202,206,209,210,403,404,405,410,АЗ")</f>
        <v>СЗ,КЗ,202,206,209,210,403,404,405,410,АЗ</v>
      </c>
      <c r="AC25" s="14"/>
      <c r="AD25" s="14"/>
      <c r="AE25" s="14"/>
      <c r="AF25" s="29"/>
      <c r="AG25" s="29"/>
      <c r="AH25" s="29"/>
    </row>
    <row r="26" ht="40.5" hidden="1" customHeight="1">
      <c r="A26" s="30"/>
      <c r="B26" s="436">
        <v>3.0</v>
      </c>
      <c r="C26" s="32" t="s">
        <v>33</v>
      </c>
      <c r="D26" s="32" t="s">
        <v>34</v>
      </c>
      <c r="E26" s="37" t="s">
        <v>3467</v>
      </c>
      <c r="F26" s="13"/>
      <c r="G26" s="51" t="s">
        <v>3468</v>
      </c>
      <c r="H26" s="36"/>
      <c r="I26" s="41"/>
      <c r="J26" s="95" t="s">
        <v>3469</v>
      </c>
      <c r="K26" s="13"/>
      <c r="L26" s="45" t="s">
        <v>3470</v>
      </c>
      <c r="M26" s="13"/>
      <c r="N26" s="40" t="s">
        <v>3471</v>
      </c>
      <c r="O26" s="13"/>
      <c r="P26" s="39" t="s">
        <v>3472</v>
      </c>
      <c r="Q26" s="124" t="s">
        <v>3473</v>
      </c>
      <c r="R26" s="89" t="s">
        <v>3474</v>
      </c>
      <c r="S26" s="41"/>
      <c r="T26" s="125" t="s">
        <v>3475</v>
      </c>
      <c r="U26" s="36"/>
      <c r="V26" s="41"/>
      <c r="W26" s="26"/>
      <c r="X26" s="42" t="s">
        <v>33</v>
      </c>
      <c r="Y26" s="42" t="s">
        <v>34</v>
      </c>
      <c r="Z26" s="48" t="s">
        <v>47</v>
      </c>
      <c r="AA26" s="85" t="str">
        <f>AA$5</f>
        <v/>
      </c>
      <c r="AB26" s="15" t="str">
        <f>IFERROR(__xludf.DUMMYFUNCTION("join("","",filter(split($H$83,"",""),ARRAYFORMULA(ISERROR(FIND(split($H$83,"",""),CONCATENATE(E26:V26))))=TRUE))"),"СЗ,КЗ,202,206,403,404,405,408,410,АЗ")</f>
        <v>СЗ,КЗ,202,206,403,404,405,408,410,АЗ</v>
      </c>
      <c r="AC26" s="14"/>
      <c r="AD26" s="14"/>
      <c r="AE26" s="14"/>
      <c r="AF26" s="29"/>
      <c r="AG26" s="29"/>
      <c r="AH26" s="29"/>
    </row>
    <row r="27" ht="54.0" hidden="1" customHeight="1">
      <c r="A27" s="30"/>
      <c r="B27" s="436">
        <v>4.0</v>
      </c>
      <c r="C27" s="32" t="s">
        <v>48</v>
      </c>
      <c r="D27" s="32" t="s">
        <v>49</v>
      </c>
      <c r="E27" s="33" t="s">
        <v>3476</v>
      </c>
      <c r="F27" s="286" t="s">
        <v>3477</v>
      </c>
      <c r="G27" s="37" t="s">
        <v>3478</v>
      </c>
      <c r="H27" s="13"/>
      <c r="I27" s="92" t="s">
        <v>3479</v>
      </c>
      <c r="J27" s="107" t="s">
        <v>3480</v>
      </c>
      <c r="K27" s="13"/>
      <c r="L27" s="45" t="s">
        <v>3481</v>
      </c>
      <c r="M27" s="13"/>
      <c r="N27" s="127" t="s">
        <v>3482</v>
      </c>
      <c r="O27" s="13"/>
      <c r="P27" s="37" t="s">
        <v>3483</v>
      </c>
      <c r="Q27" s="13"/>
      <c r="R27" s="132" t="s">
        <v>3484</v>
      </c>
      <c r="S27" s="34" t="s">
        <v>3485</v>
      </c>
      <c r="T27" s="125" t="s">
        <v>3486</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D27" s="14"/>
      <c r="AE27" s="14"/>
      <c r="AF27" s="29"/>
      <c r="AG27" s="29"/>
      <c r="AH27" s="29"/>
    </row>
    <row r="28" ht="53.25" hidden="1" customHeight="1">
      <c r="A28" s="30"/>
      <c r="B28" s="436">
        <v>5.0</v>
      </c>
      <c r="C28" s="32" t="s">
        <v>58</v>
      </c>
      <c r="D28" s="53">
        <v>44847.0</v>
      </c>
      <c r="E28" s="33" t="s">
        <v>3487</v>
      </c>
      <c r="F28" s="92" t="s">
        <v>3488</v>
      </c>
      <c r="G28" s="37" t="s">
        <v>3489</v>
      </c>
      <c r="H28" s="13"/>
      <c r="I28" s="92" t="s">
        <v>3490</v>
      </c>
      <c r="J28" s="35" t="s">
        <v>3491</v>
      </c>
      <c r="K28" s="13"/>
      <c r="L28" s="566" t="s">
        <v>3492</v>
      </c>
      <c r="M28" s="13"/>
      <c r="N28" s="89" t="s">
        <v>3493</v>
      </c>
      <c r="O28" s="13"/>
      <c r="P28" s="39" t="s">
        <v>3494</v>
      </c>
      <c r="Q28" s="124" t="s">
        <v>3495</v>
      </c>
      <c r="R28" s="132" t="s">
        <v>3496</v>
      </c>
      <c r="S28" s="34" t="s">
        <v>3497</v>
      </c>
      <c r="T28" s="128" t="s">
        <v>3498</v>
      </c>
      <c r="U28" s="8"/>
      <c r="V28" s="129"/>
      <c r="W28" s="26"/>
      <c r="X28" s="42" t="s">
        <v>58</v>
      </c>
      <c r="Y28" s="54">
        <v>44847.0</v>
      </c>
      <c r="Z28" s="48" t="s">
        <v>70</v>
      </c>
      <c r="AA28" s="85" t="str">
        <f>AA$7</f>
        <v/>
      </c>
      <c r="AB28" s="15" t="str">
        <f>IFERROR(__xludf.DUMMYFUNCTION("join("","",filter(split($H$83,"",""),ARRAYFORMULA(ISERROR(FIND(split($H$83,"",""),CONCATENATE(E28:V28))))=TRUE))"),"СЗ,206,209,403,404,405,410")</f>
        <v>СЗ,206,209,403,404,405,410</v>
      </c>
      <c r="AC28" s="14"/>
      <c r="AD28" s="14"/>
      <c r="AE28" s="14"/>
      <c r="AF28" s="29"/>
      <c r="AG28" s="29"/>
      <c r="AH28" s="29"/>
    </row>
    <row r="29" ht="40.5" hidden="1" customHeight="1">
      <c r="A29" s="30"/>
      <c r="B29" s="436">
        <v>6.0</v>
      </c>
      <c r="C29" s="55" t="s">
        <v>71</v>
      </c>
      <c r="D29" s="56" t="s">
        <v>72</v>
      </c>
      <c r="E29" s="39" t="s">
        <v>3499</v>
      </c>
      <c r="F29" s="34" t="s">
        <v>3500</v>
      </c>
      <c r="G29" s="40" t="s">
        <v>3501</v>
      </c>
      <c r="H29" s="41"/>
      <c r="I29" s="34" t="s">
        <v>3502</v>
      </c>
      <c r="J29" s="566" t="s">
        <v>3492</v>
      </c>
      <c r="K29" s="13"/>
      <c r="L29" s="89" t="s">
        <v>3503</v>
      </c>
      <c r="M29" s="13"/>
      <c r="N29" s="130" t="s">
        <v>3504</v>
      </c>
      <c r="O29" s="13"/>
      <c r="P29" s="131" t="s">
        <v>3505</v>
      </c>
      <c r="Q29" s="132" t="s">
        <v>3506</v>
      </c>
      <c r="R29" s="437"/>
      <c r="S29" s="92" t="s">
        <v>3507</v>
      </c>
      <c r="V29" s="134"/>
      <c r="W29" s="26"/>
      <c r="X29" s="58" t="s">
        <v>71</v>
      </c>
      <c r="Y29" s="59" t="s">
        <v>72</v>
      </c>
      <c r="Z29" s="48" t="s">
        <v>84</v>
      </c>
      <c r="AA29" s="85" t="str">
        <f>AA$8</f>
        <v/>
      </c>
      <c r="AB29" s="15" t="str">
        <f>IFERROR(__xludf.DUMMYFUNCTION("join("","",filter(split($H$83,"",""),ARRAYFORMULA(ISERROR(FIND(split($H$83,"",""),CONCATENATE(E29:V29))))=TRUE))"),"СЗ,КЗ,201,206,403,404,405,410,АЗ")</f>
        <v>СЗ,КЗ,201,206,403,404,405,410,АЗ</v>
      </c>
      <c r="AC29" s="14"/>
      <c r="AD29" s="14"/>
      <c r="AE29" s="14"/>
      <c r="AF29" s="29"/>
      <c r="AG29" s="29"/>
      <c r="AH29" s="29"/>
    </row>
    <row r="30" ht="40.5" hidden="1" customHeight="1">
      <c r="A30" s="30"/>
      <c r="B30" s="436">
        <v>7.0</v>
      </c>
      <c r="C30" s="32" t="s">
        <v>85</v>
      </c>
      <c r="D30" s="32" t="s">
        <v>86</v>
      </c>
      <c r="E30" s="39" t="s">
        <v>3508</v>
      </c>
      <c r="F30" s="34" t="s">
        <v>3509</v>
      </c>
      <c r="G30" s="40" t="s">
        <v>3510</v>
      </c>
      <c r="H30" s="41"/>
      <c r="I30" s="34" t="s">
        <v>3511</v>
      </c>
      <c r="J30" s="334" t="s">
        <v>3512</v>
      </c>
      <c r="K30" s="36"/>
      <c r="L30" s="36"/>
      <c r="M30" s="13"/>
      <c r="N30" s="130" t="s">
        <v>3513</v>
      </c>
      <c r="O30" s="13"/>
      <c r="P30" s="131" t="s">
        <v>3514</v>
      </c>
      <c r="Q30" s="132" t="s">
        <v>3515</v>
      </c>
      <c r="R30" s="567"/>
      <c r="S30" s="92" t="s">
        <v>3516</v>
      </c>
      <c r="V30" s="134"/>
      <c r="W30" s="26"/>
      <c r="X30" s="42" t="s">
        <v>85</v>
      </c>
      <c r="Y30" s="42" t="s">
        <v>86</v>
      </c>
      <c r="Z30" s="48" t="s">
        <v>97</v>
      </c>
      <c r="AA30" s="85" t="str">
        <f>AA$9</f>
        <v/>
      </c>
      <c r="AB30" s="15" t="str">
        <f>IFERROR(__xludf.DUMMYFUNCTION("join("","",filter(split($H$83,"",""),ARRAYFORMULA(ISERROR(FIND(split($H$83,"",""),CONCATENATE(E30:V30))))=TRUE))"),"СЗ,КЗ,201,206,403,404,405,409,410,АЗ")</f>
        <v>СЗ,КЗ,201,206,403,404,405,409,410,АЗ</v>
      </c>
      <c r="AC30" s="14"/>
      <c r="AD30" s="14"/>
      <c r="AE30" s="14"/>
      <c r="AF30" s="29"/>
      <c r="AG30" s="29"/>
      <c r="AH30" s="29"/>
    </row>
    <row r="31" ht="52.5" hidden="1" customHeight="1">
      <c r="A31" s="30"/>
      <c r="B31" s="436">
        <v>8.0</v>
      </c>
      <c r="C31" s="32" t="s">
        <v>98</v>
      </c>
      <c r="D31" s="32" t="s">
        <v>99</v>
      </c>
      <c r="E31" s="46" t="s">
        <v>3517</v>
      </c>
      <c r="F31" s="41"/>
      <c r="G31" s="137" t="s">
        <v>3518</v>
      </c>
      <c r="H31" s="8"/>
      <c r="I31" s="129"/>
      <c r="J31" s="334" t="s">
        <v>3519</v>
      </c>
      <c r="K31" s="36"/>
      <c r="L31" s="36"/>
      <c r="M31" s="13"/>
      <c r="N31" s="45" t="s">
        <v>3520</v>
      </c>
      <c r="O31" s="13"/>
      <c r="P31" s="33" t="s">
        <v>3521</v>
      </c>
      <c r="Q31" s="408" t="s">
        <v>3522</v>
      </c>
      <c r="R31" s="144"/>
      <c r="S31" s="133" t="s">
        <v>276</v>
      </c>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hidden="1" customHeight="1">
      <c r="A32" s="30"/>
      <c r="B32" s="436">
        <v>9.0</v>
      </c>
      <c r="C32" s="65">
        <v>44697.0</v>
      </c>
      <c r="D32" s="44" t="s">
        <v>109</v>
      </c>
      <c r="E32" s="141" t="s">
        <v>3523</v>
      </c>
      <c r="F32" s="13"/>
      <c r="G32" s="142"/>
      <c r="H32" s="64"/>
      <c r="I32" s="88"/>
      <c r="J32" s="334"/>
      <c r="K32" s="36"/>
      <c r="L32" s="36"/>
      <c r="M32" s="13"/>
      <c r="N32" s="45" t="s">
        <v>3524</v>
      </c>
      <c r="O32" s="13"/>
      <c r="P32" s="33" t="s">
        <v>3525</v>
      </c>
      <c r="Q32" s="408" t="s">
        <v>3526</v>
      </c>
      <c r="R32" s="144"/>
      <c r="S32" s="92"/>
      <c r="T32" s="64"/>
      <c r="U32" s="64"/>
      <c r="V32" s="88"/>
      <c r="W32" s="26"/>
      <c r="X32" s="69">
        <v>44697.0</v>
      </c>
      <c r="Y32" s="70" t="s">
        <v>109</v>
      </c>
      <c r="Z32" s="28"/>
      <c r="AA32" s="14"/>
      <c r="AB32" s="15" t="str">
        <f>IFERROR(__xludf.DUMMYFUNCTION("join("","",filter(split($H$83,"",""),ARRAYFORMULA(ISERROR(FIND(split($H$83,"",""),CONCATENATE(E32:V32))))=TRUE))"),"СЗ,КЗ,201,202,206,401,402,403,404,405,406,408,409,АЗ")</f>
        <v>СЗ,КЗ,201,202,206,401,402,403,404,405,406,408,409,АЗ</v>
      </c>
      <c r="AC32" s="14"/>
      <c r="AD32" s="14"/>
      <c r="AE32" s="14"/>
      <c r="AF32" s="29"/>
      <c r="AG32" s="29"/>
      <c r="AH32" s="29"/>
    </row>
    <row r="33" ht="40.5" hidden="1" customHeight="1">
      <c r="A33" s="30"/>
      <c r="B33" s="436">
        <v>10.0</v>
      </c>
      <c r="C33" s="44" t="s">
        <v>120</v>
      </c>
      <c r="D33" s="44" t="s">
        <v>121</v>
      </c>
      <c r="E33" s="141" t="s">
        <v>3527</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3528</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553">
        <v>44882.0</v>
      </c>
      <c r="B35" s="19">
        <v>1.0</v>
      </c>
      <c r="C35" s="20" t="s">
        <v>12</v>
      </c>
      <c r="D35" s="20" t="s">
        <v>13</v>
      </c>
      <c r="E35" s="80"/>
      <c r="F35" s="25"/>
      <c r="G35" s="156" t="s">
        <v>3529</v>
      </c>
      <c r="H35" s="117" t="s">
        <v>3530</v>
      </c>
      <c r="I35" s="25"/>
      <c r="J35" s="157" t="s">
        <v>3531</v>
      </c>
      <c r="K35" s="13"/>
      <c r="L35" s="156" t="s">
        <v>3532</v>
      </c>
      <c r="M35" s="156" t="s">
        <v>3533</v>
      </c>
      <c r="N35" s="80" t="s">
        <v>3534</v>
      </c>
      <c r="O35" s="25"/>
      <c r="P35" s="156" t="s">
        <v>3535</v>
      </c>
      <c r="Q35" s="156" t="s">
        <v>3536</v>
      </c>
      <c r="R35" s="159" t="s">
        <v>3537</v>
      </c>
      <c r="S35" s="160" t="s">
        <v>3538</v>
      </c>
      <c r="T35" s="161" t="s">
        <v>3539</v>
      </c>
      <c r="U35" s="24"/>
      <c r="V35" s="22"/>
      <c r="W35" s="26"/>
      <c r="X35" s="27" t="s">
        <v>12</v>
      </c>
      <c r="Y35" s="27" t="s">
        <v>13</v>
      </c>
      <c r="Z35" s="28"/>
      <c r="AA35" s="14"/>
      <c r="AB35" s="15" t="str">
        <f>IFERROR(__xludf.DUMMYFUNCTION("join("","",filter(split($H$83,"",""),ARRAYFORMULA(ISERROR(FIND(split($H$83,"",""),CONCATENATE(E35:V35))))=TRUE))"),"СЗ,201,206,406,410,АЗ")</f>
        <v>СЗ,201,206,406,410,АЗ</v>
      </c>
      <c r="AC35" s="14"/>
      <c r="AD35" s="14"/>
      <c r="AE35" s="14"/>
      <c r="AF35" s="29"/>
      <c r="AG35" s="29"/>
      <c r="AH35" s="29"/>
    </row>
    <row r="36" ht="54.0" hidden="1" customHeight="1">
      <c r="A36" s="30"/>
      <c r="B36" s="31">
        <v>2.0</v>
      </c>
      <c r="C36" s="32" t="s">
        <v>21</v>
      </c>
      <c r="D36" s="32" t="s">
        <v>22</v>
      </c>
      <c r="E36" s="45" t="s">
        <v>3540</v>
      </c>
      <c r="F36" s="13"/>
      <c r="G36" s="44" t="s">
        <v>3541</v>
      </c>
      <c r="H36" s="40" t="s">
        <v>312</v>
      </c>
      <c r="I36" s="13"/>
      <c r="J36" s="157" t="s">
        <v>313</v>
      </c>
      <c r="K36" s="13"/>
      <c r="L36" s="44" t="s">
        <v>3542</v>
      </c>
      <c r="M36" s="44" t="s">
        <v>3543</v>
      </c>
      <c r="N36" s="45" t="s">
        <v>316</v>
      </c>
      <c r="O36" s="13"/>
      <c r="P36" s="44" t="s">
        <v>3544</v>
      </c>
      <c r="Q36" s="44" t="s">
        <v>3545</v>
      </c>
      <c r="R36" s="162" t="s">
        <v>3546</v>
      </c>
      <c r="S36" s="90" t="s">
        <v>320</v>
      </c>
      <c r="T36" s="163" t="s">
        <v>3547</v>
      </c>
      <c r="U36" s="36"/>
      <c r="V36" s="41"/>
      <c r="W36" s="26"/>
      <c r="X36" s="42" t="s">
        <v>21</v>
      </c>
      <c r="Y36" s="42" t="s">
        <v>22</v>
      </c>
      <c r="Z36" s="28"/>
      <c r="AA36" s="14"/>
      <c r="AB36" s="15" t="str">
        <f>IFERROR(__xludf.DUMMYFUNCTION("join("","",filter(split($H$83,"",""),ARRAYFORMULA(ISERROR(FIND(split($H$83,"",""),CONCATENATE(E36:V36))))=TRUE))"),"СЗ,206,406,410,АЗ")</f>
        <v>СЗ,206,406,410,АЗ</v>
      </c>
      <c r="AC36" s="14"/>
      <c r="AD36" s="14"/>
      <c r="AE36" s="14"/>
      <c r="AF36" s="29"/>
      <c r="AG36" s="29"/>
      <c r="AH36" s="29"/>
    </row>
    <row r="37" ht="56.25" hidden="1" customHeight="1">
      <c r="A37" s="30"/>
      <c r="B37" s="31">
        <v>3.0</v>
      </c>
      <c r="C37" s="32" t="s">
        <v>33</v>
      </c>
      <c r="D37" s="32" t="s">
        <v>34</v>
      </c>
      <c r="E37" s="45" t="s">
        <v>3548</v>
      </c>
      <c r="F37" s="13"/>
      <c r="G37" s="132" t="s">
        <v>3549</v>
      </c>
      <c r="H37" s="45" t="s">
        <v>3550</v>
      </c>
      <c r="I37" s="13"/>
      <c r="J37" s="45" t="s">
        <v>3551</v>
      </c>
      <c r="K37" s="13"/>
      <c r="L37" s="44" t="s">
        <v>3552</v>
      </c>
      <c r="M37" s="44" t="s">
        <v>3553</v>
      </c>
      <c r="N37" s="164" t="s">
        <v>3554</v>
      </c>
      <c r="O37" s="36"/>
      <c r="P37" s="36"/>
      <c r="Q37" s="13"/>
      <c r="R37" s="44" t="s">
        <v>3555</v>
      </c>
      <c r="S37" s="44" t="s">
        <v>3556</v>
      </c>
      <c r="T37" s="87" t="s">
        <v>3557</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hidden="1" customHeight="1">
      <c r="A38" s="30"/>
      <c r="B38" s="31">
        <v>4.0</v>
      </c>
      <c r="C38" s="32" t="s">
        <v>48</v>
      </c>
      <c r="D38" s="32" t="s">
        <v>49</v>
      </c>
      <c r="E38" s="45" t="s">
        <v>3558</v>
      </c>
      <c r="F38" s="13"/>
      <c r="G38" s="132" t="s">
        <v>3559</v>
      </c>
      <c r="H38" s="45" t="s">
        <v>3560</v>
      </c>
      <c r="I38" s="13"/>
      <c r="J38" s="45" t="s">
        <v>3561</v>
      </c>
      <c r="K38" s="13"/>
      <c r="L38" s="44" t="s">
        <v>3562</v>
      </c>
      <c r="M38" s="44" t="s">
        <v>3563</v>
      </c>
      <c r="N38" s="164" t="s">
        <v>3564</v>
      </c>
      <c r="O38" s="36"/>
      <c r="P38" s="36"/>
      <c r="Q38" s="13"/>
      <c r="R38" s="44" t="s">
        <v>3565</v>
      </c>
      <c r="S38" s="44" t="s">
        <v>3566</v>
      </c>
      <c r="T38" s="87" t="s">
        <v>3567</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hidden="1" customHeight="1">
      <c r="A39" s="30"/>
      <c r="B39" s="31">
        <v>5.0</v>
      </c>
      <c r="C39" s="32" t="s">
        <v>58</v>
      </c>
      <c r="D39" s="53">
        <v>44847.0</v>
      </c>
      <c r="E39" s="45" t="s">
        <v>3568</v>
      </c>
      <c r="F39" s="13"/>
      <c r="G39" s="44" t="s">
        <v>3569</v>
      </c>
      <c r="H39" s="45" t="s">
        <v>3570</v>
      </c>
      <c r="I39" s="13"/>
      <c r="J39" s="44" t="s">
        <v>3571</v>
      </c>
      <c r="K39" s="44" t="s">
        <v>3572</v>
      </c>
      <c r="L39" s="45" t="s">
        <v>3573</v>
      </c>
      <c r="M39" s="13"/>
      <c r="N39" s="44" t="s">
        <v>3574</v>
      </c>
      <c r="O39" s="44" t="s">
        <v>3575</v>
      </c>
      <c r="P39" s="45" t="s">
        <v>3576</v>
      </c>
      <c r="Q39" s="13"/>
      <c r="R39" s="44" t="s">
        <v>3577</v>
      </c>
      <c r="S39" s="132" t="s">
        <v>3578</v>
      </c>
      <c r="T39" s="45" t="s">
        <v>3579</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hidden="1" customHeight="1">
      <c r="A40" s="30"/>
      <c r="B40" s="31">
        <v>6.0</v>
      </c>
      <c r="C40" s="55" t="s">
        <v>71</v>
      </c>
      <c r="D40" s="56" t="s">
        <v>72</v>
      </c>
      <c r="E40" s="45" t="s">
        <v>3580</v>
      </c>
      <c r="F40" s="13"/>
      <c r="G40" s="44" t="s">
        <v>355</v>
      </c>
      <c r="H40" s="45" t="s">
        <v>3581</v>
      </c>
      <c r="I40" s="13"/>
      <c r="J40" s="44" t="s">
        <v>3582</v>
      </c>
      <c r="K40" s="44" t="s">
        <v>3583</v>
      </c>
      <c r="L40" s="45" t="s">
        <v>3584</v>
      </c>
      <c r="M40" s="13"/>
      <c r="N40" s="44" t="s">
        <v>3585</v>
      </c>
      <c r="O40" s="44" t="s">
        <v>3586</v>
      </c>
      <c r="P40" s="45" t="s">
        <v>3587</v>
      </c>
      <c r="Q40" s="13"/>
      <c r="R40" s="44" t="s">
        <v>3588</v>
      </c>
      <c r="S40" s="132" t="s">
        <v>3589</v>
      </c>
      <c r="T40" s="45" t="s">
        <v>3590</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hidden="1" customHeight="1">
      <c r="A41" s="30"/>
      <c r="B41" s="31">
        <v>7.0</v>
      </c>
      <c r="C41" s="32" t="s">
        <v>85</v>
      </c>
      <c r="D41" s="32" t="s">
        <v>86</v>
      </c>
      <c r="E41" s="45" t="s">
        <v>3591</v>
      </c>
      <c r="F41" s="13"/>
      <c r="G41" s="44" t="s">
        <v>3592</v>
      </c>
      <c r="H41" s="45" t="s">
        <v>3593</v>
      </c>
      <c r="I41" s="13"/>
      <c r="J41" s="44" t="s">
        <v>3594</v>
      </c>
      <c r="K41" s="44" t="s">
        <v>3595</v>
      </c>
      <c r="L41" s="45" t="s">
        <v>3596</v>
      </c>
      <c r="M41" s="13"/>
      <c r="N41" s="87" t="s">
        <v>3597</v>
      </c>
      <c r="O41" s="13"/>
      <c r="P41" s="45" t="s">
        <v>3598</v>
      </c>
      <c r="Q41" s="13"/>
      <c r="R41" s="44" t="s">
        <v>3599</v>
      </c>
      <c r="S41" s="44" t="s">
        <v>3600</v>
      </c>
      <c r="T41" s="165" t="s">
        <v>3601</v>
      </c>
      <c r="U41" s="36"/>
      <c r="V41" s="41"/>
      <c r="W41" s="26"/>
      <c r="X41" s="42" t="s">
        <v>85</v>
      </c>
      <c r="Y41" s="42" t="s">
        <v>86</v>
      </c>
      <c r="Z41" s="48" t="s">
        <v>97</v>
      </c>
      <c r="AA41" s="85" t="str">
        <f>AA$9</f>
        <v/>
      </c>
      <c r="AB41" s="15" t="str">
        <f>IFERROR(__xludf.DUMMYFUNCTION("join("","",filter(split($H$83,"",""),ARRAYFORMULA(ISERROR(FIND(split($H$83,"",""),CONCATENATE(E41:V41))))=TRUE))"),"СЗ,КЗ,206,210,403,406,410,АЗ")</f>
        <v>СЗ,КЗ,206,210,403,406,410,АЗ</v>
      </c>
      <c r="AC41" s="14"/>
      <c r="AD41" s="14"/>
      <c r="AE41" s="14"/>
      <c r="AF41" s="29"/>
      <c r="AG41" s="29"/>
      <c r="AH41" s="29"/>
    </row>
    <row r="42" ht="52.5" hidden="1" customHeight="1">
      <c r="A42" s="30"/>
      <c r="B42" s="31">
        <v>8.0</v>
      </c>
      <c r="C42" s="32" t="s">
        <v>98</v>
      </c>
      <c r="D42" s="32" t="s">
        <v>99</v>
      </c>
      <c r="E42" s="45" t="s">
        <v>3602</v>
      </c>
      <c r="F42" s="13"/>
      <c r="G42" s="44" t="s">
        <v>3603</v>
      </c>
      <c r="H42" s="45" t="s">
        <v>3604</v>
      </c>
      <c r="I42" s="13"/>
      <c r="J42" s="44" t="s">
        <v>3605</v>
      </c>
      <c r="K42" s="44" t="s">
        <v>3606</v>
      </c>
      <c r="L42" s="45" t="s">
        <v>3607</v>
      </c>
      <c r="M42" s="13"/>
      <c r="N42" s="87" t="s">
        <v>3608</v>
      </c>
      <c r="O42" s="13"/>
      <c r="P42" s="45" t="s">
        <v>3609</v>
      </c>
      <c r="Q42" s="13"/>
      <c r="R42" s="166"/>
      <c r="S42" s="13"/>
      <c r="T42" s="165" t="s">
        <v>3610</v>
      </c>
      <c r="U42" s="36"/>
      <c r="V42" s="41"/>
      <c r="W42" s="26"/>
      <c r="X42" s="42" t="s">
        <v>98</v>
      </c>
      <c r="Y42" s="42" t="s">
        <v>99</v>
      </c>
      <c r="Z42" s="11"/>
      <c r="AA42" s="14"/>
      <c r="AB42" s="15" t="str">
        <f>IFERROR(__xludf.DUMMYFUNCTION("join("","",filter(split($H$83,"",""),ARRAYFORMULA(ISERROR(FIND(split($H$83,"",""),CONCATENATE(E42:V42))))=TRUE))"),"СЗ,КЗ,206,210,403,404,405,406,409,АЗ")</f>
        <v>СЗ,КЗ,206,210,403,404,405,406,409,АЗ</v>
      </c>
      <c r="AC42" s="14"/>
      <c r="AD42" s="14"/>
      <c r="AE42" s="14"/>
      <c r="AF42" s="29"/>
      <c r="AG42" s="29"/>
      <c r="AH42" s="29"/>
    </row>
    <row r="43" ht="40.5" hidden="1" customHeight="1">
      <c r="A43" s="30"/>
      <c r="B43" s="31">
        <v>9.0</v>
      </c>
      <c r="C43" s="65">
        <v>44697.0</v>
      </c>
      <c r="D43" s="44" t="s">
        <v>109</v>
      </c>
      <c r="E43" s="167" t="s">
        <v>3611</v>
      </c>
      <c r="F43" s="4"/>
      <c r="G43" s="168"/>
      <c r="H43" s="169" t="s">
        <v>3612</v>
      </c>
      <c r="I43" s="36"/>
      <c r="J43" s="13"/>
      <c r="K43" s="568"/>
      <c r="L43" s="568"/>
      <c r="M43" s="171"/>
      <c r="N43" s="45" t="s">
        <v>3613</v>
      </c>
      <c r="O43" s="13"/>
      <c r="P43" s="174"/>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IFERROR(__xludf.DUMMYFUNCTION("join("","",filter(split($H$83,"",""),ARRAYFORMULA(ISERROR(FIND(split($H$83,"",""),CONCATENATE(E43:V43))))=TRUE))"),"КЗ,202,206,209,210,401,403,404,405,406,408,409,АЗ")</f>
        <v>КЗ,202,206,209,210,401,403,404,405,406,408,409,АЗ</v>
      </c>
      <c r="AC43" s="14"/>
      <c r="AD43" s="14"/>
      <c r="AE43" s="14"/>
      <c r="AF43" s="29"/>
      <c r="AG43" s="29"/>
      <c r="AH43" s="29"/>
    </row>
    <row r="44" ht="40.5" hidden="1" customHeight="1">
      <c r="A44" s="30"/>
      <c r="B44" s="31">
        <v>10.0</v>
      </c>
      <c r="C44" s="44" t="s">
        <v>120</v>
      </c>
      <c r="D44" s="44" t="s">
        <v>121</v>
      </c>
      <c r="E44" s="104"/>
      <c r="F44" s="72"/>
      <c r="G44" s="173"/>
      <c r="H44" s="169" t="s">
        <v>3614</v>
      </c>
      <c r="I44" s="36"/>
      <c r="J44" s="13"/>
      <c r="K44" s="568"/>
      <c r="L44" s="568"/>
      <c r="M44" s="171"/>
      <c r="N44" s="45" t="s">
        <v>3615</v>
      </c>
      <c r="O44" s="13"/>
      <c r="P44" s="173"/>
      <c r="Q44" s="104"/>
      <c r="R44" s="64"/>
      <c r="S44" s="64"/>
      <c r="T44" s="64"/>
      <c r="U44" s="64"/>
      <c r="V44" s="88"/>
      <c r="W44" s="26"/>
      <c r="X44" s="70" t="s">
        <v>120</v>
      </c>
      <c r="Y44" s="70" t="s">
        <v>121</v>
      </c>
      <c r="Z44" s="28"/>
      <c r="AA44" s="14"/>
      <c r="AB44" s="15" t="str">
        <f>IFERROR(__xludf.DUMMYFUNCTION("join("","",filter(split($H$83,"",""),ARRAYFORMULA(ISERROR(FIND(split($H$83,"",""),CONCATENATE(E44:V44))))=TRUE))"),"КЗ,201,202,206,209,210,401,403,404,405,406,408,409,410,АЗ")</f>
        <v>КЗ,201,202,206,209,210,401,403,404,405,406,408,409,410,АЗ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553">
        <v>44883.0</v>
      </c>
      <c r="B46" s="19">
        <v>1.0</v>
      </c>
      <c r="C46" s="20" t="s">
        <v>12</v>
      </c>
      <c r="D46" s="20" t="s">
        <v>13</v>
      </c>
      <c r="E46" s="156" t="s">
        <v>3616</v>
      </c>
      <c r="F46" s="156" t="s">
        <v>3617</v>
      </c>
      <c r="G46" s="40" t="s">
        <v>3618</v>
      </c>
      <c r="H46" s="13"/>
      <c r="I46" s="174" t="s">
        <v>3619</v>
      </c>
      <c r="J46" s="175" t="s">
        <v>3620</v>
      </c>
      <c r="K46" s="25"/>
      <c r="L46" s="45" t="s">
        <v>3621</v>
      </c>
      <c r="M46" s="13"/>
      <c r="N46" s="156" t="s">
        <v>3622</v>
      </c>
      <c r="O46" s="156" t="s">
        <v>3623</v>
      </c>
      <c r="P46" s="80" t="s">
        <v>3624</v>
      </c>
      <c r="Q46" s="25"/>
      <c r="R46" s="80" t="s">
        <v>3625</v>
      </c>
      <c r="S46" s="25"/>
      <c r="T46" s="80" t="s">
        <v>3626</v>
      </c>
      <c r="U46" s="24"/>
      <c r="V46" s="22"/>
      <c r="W46" s="26"/>
      <c r="X46" s="27" t="s">
        <v>12</v>
      </c>
      <c r="Y46" s="27" t="s">
        <v>13</v>
      </c>
      <c r="Z46" s="28"/>
      <c r="AA46" s="14"/>
      <c r="AB46" s="15" t="str">
        <f>IFERROR(__xludf.DUMMYFUNCTION("join("","",filter(split($H$83,"",""),ARRAYFORMULA(ISERROR(FIND(split($H$83,"",""),CONCATENATE(E46:V46))))=TRUE))"),"СЗ,КЗ,202,206,402,406,410")</f>
        <v>СЗ,КЗ,202,206,402,406,410</v>
      </c>
      <c r="AC46" s="14"/>
      <c r="AD46" s="14"/>
      <c r="AE46" s="14"/>
      <c r="AF46" s="29"/>
      <c r="AG46" s="29"/>
      <c r="AH46" s="29"/>
    </row>
    <row r="47" ht="40.5" customHeight="1">
      <c r="A47" s="30"/>
      <c r="B47" s="31">
        <v>2.0</v>
      </c>
      <c r="C47" s="32" t="s">
        <v>21</v>
      </c>
      <c r="D47" s="32" t="s">
        <v>22</v>
      </c>
      <c r="E47" s="44" t="s">
        <v>3627</v>
      </c>
      <c r="F47" s="44" t="s">
        <v>3628</v>
      </c>
      <c r="G47" s="40" t="s">
        <v>3629</v>
      </c>
      <c r="H47" s="13"/>
      <c r="I47" s="173"/>
      <c r="J47" s="157" t="s">
        <v>3630</v>
      </c>
      <c r="K47" s="13"/>
      <c r="L47" s="45" t="s">
        <v>3631</v>
      </c>
      <c r="M47" s="13"/>
      <c r="N47" s="44" t="s">
        <v>3632</v>
      </c>
      <c r="O47" s="44" t="s">
        <v>3633</v>
      </c>
      <c r="P47" s="45" t="s">
        <v>3634</v>
      </c>
      <c r="Q47" s="13"/>
      <c r="R47" s="44" t="s">
        <v>3635</v>
      </c>
      <c r="S47" s="90" t="s">
        <v>3636</v>
      </c>
      <c r="T47" s="45" t="s">
        <v>3637</v>
      </c>
      <c r="U47" s="36"/>
      <c r="V47" s="41"/>
      <c r="W47" s="26"/>
      <c r="X47" s="42" t="s">
        <v>21</v>
      </c>
      <c r="Y47" s="42" t="s">
        <v>22</v>
      </c>
      <c r="Z47" s="28"/>
      <c r="AA47" s="14"/>
      <c r="AB47" s="15" t="str">
        <f>IFERROR(__xludf.DUMMYFUNCTION("join("","",filter(split($H$83,"",""),ARRAYFORMULA(ISERROR(FIND(split($H$83,"",""),CONCATENATE(E47:V47))))=TRUE))"),"СЗ,КЗ,202,206,406,410,АЗ")</f>
        <v>СЗ,КЗ,202,206,406,410,АЗ</v>
      </c>
      <c r="AC47" s="14"/>
      <c r="AD47" s="14"/>
      <c r="AE47" s="14"/>
      <c r="AF47" s="29"/>
      <c r="AG47" s="29"/>
      <c r="AH47" s="29"/>
    </row>
    <row r="48" ht="40.5" customHeight="1">
      <c r="A48" s="30"/>
      <c r="B48" s="31">
        <v>3.0</v>
      </c>
      <c r="C48" s="32" t="s">
        <v>33</v>
      </c>
      <c r="D48" s="32" t="s">
        <v>34</v>
      </c>
      <c r="E48" s="40" t="s">
        <v>3638</v>
      </c>
      <c r="F48" s="13"/>
      <c r="G48" s="176" t="s">
        <v>3639</v>
      </c>
      <c r="H48" s="8"/>
      <c r="I48" s="4"/>
      <c r="J48" s="44" t="s">
        <v>3640</v>
      </c>
      <c r="K48" s="44" t="s">
        <v>3641</v>
      </c>
      <c r="L48" s="44" t="s">
        <v>3642</v>
      </c>
      <c r="M48" s="44" t="s">
        <v>3643</v>
      </c>
      <c r="N48" s="164" t="s">
        <v>3644</v>
      </c>
      <c r="O48" s="36"/>
      <c r="P48" s="36"/>
      <c r="Q48" s="13"/>
      <c r="R48" s="44" t="s">
        <v>3645</v>
      </c>
      <c r="S48" s="90" t="s">
        <v>3646</v>
      </c>
      <c r="T48" s="45" t="s">
        <v>3647</v>
      </c>
      <c r="U48" s="36"/>
      <c r="V48" s="41"/>
      <c r="W48" s="26"/>
      <c r="X48" s="42" t="s">
        <v>33</v>
      </c>
      <c r="Y48" s="42" t="s">
        <v>34</v>
      </c>
      <c r="Z48" s="48" t="s">
        <v>47</v>
      </c>
      <c r="AA48" s="85" t="str">
        <f>AA$5</f>
        <v/>
      </c>
      <c r="AB48" s="15" t="str">
        <f>IFERROR(__xludf.DUMMYFUNCTION("join("","",filter(split($H$83,"",""),ARRAYFORMULA(ISERROR(FIND(split($H$83,"",""),CONCATENATE(E48:V48))))=TRUE))"),"СЗ,КЗ,202,206,209,409,410")</f>
        <v>СЗ,КЗ,202,206,209,409,410</v>
      </c>
      <c r="AC48" s="14"/>
      <c r="AD48" s="14"/>
      <c r="AE48" s="14"/>
      <c r="AF48" s="29"/>
      <c r="AG48" s="29"/>
      <c r="AH48" s="29"/>
    </row>
    <row r="49" ht="40.5" customHeight="1">
      <c r="A49" s="30"/>
      <c r="B49" s="31">
        <v>4.0</v>
      </c>
      <c r="C49" s="32" t="s">
        <v>48</v>
      </c>
      <c r="D49" s="32" t="s">
        <v>49</v>
      </c>
      <c r="E49" s="40" t="s">
        <v>3648</v>
      </c>
      <c r="F49" s="13"/>
      <c r="G49" s="104"/>
      <c r="H49" s="64"/>
      <c r="I49" s="72"/>
      <c r="J49" s="44" t="s">
        <v>3649</v>
      </c>
      <c r="K49" s="44" t="s">
        <v>3650</v>
      </c>
      <c r="L49" s="44" t="s">
        <v>3651</v>
      </c>
      <c r="M49" s="44" t="s">
        <v>3652</v>
      </c>
      <c r="N49" s="164" t="s">
        <v>3653</v>
      </c>
      <c r="O49" s="36"/>
      <c r="P49" s="36"/>
      <c r="Q49" s="13"/>
      <c r="R49" s="90" t="s">
        <v>3654</v>
      </c>
      <c r="S49" s="133" t="s">
        <v>3655</v>
      </c>
      <c r="T49" s="45" t="s">
        <v>3656</v>
      </c>
      <c r="U49" s="36"/>
      <c r="V49" s="41"/>
      <c r="W49" s="26"/>
      <c r="X49" s="42" t="s">
        <v>48</v>
      </c>
      <c r="Y49" s="42" t="s">
        <v>49</v>
      </c>
      <c r="Z49" s="48" t="s">
        <v>57</v>
      </c>
      <c r="AA49" s="85" t="str">
        <f>AA$6</f>
        <v/>
      </c>
      <c r="AB49" s="15" t="str">
        <f>IFERROR(__xludf.DUMMYFUNCTION("join("","",filter(split($H$83,"",""),ARRAYFORMULA(ISERROR(FIND(split($H$83,"",""),CONCATENATE(E49:V49))))=TRUE))"),"СЗ,КЗ,201,202,206,209,410,АЗ")</f>
        <v>СЗ,КЗ,201,202,206,209,410,АЗ</v>
      </c>
      <c r="AC49" s="14"/>
      <c r="AD49" s="14"/>
      <c r="AE49" s="14"/>
      <c r="AF49" s="29"/>
      <c r="AG49" s="29"/>
      <c r="AH49" s="29"/>
    </row>
    <row r="50" ht="40.5" customHeight="1">
      <c r="A50" s="30"/>
      <c r="B50" s="31">
        <v>5.0</v>
      </c>
      <c r="C50" s="32" t="s">
        <v>58</v>
      </c>
      <c r="D50" s="53">
        <v>44847.0</v>
      </c>
      <c r="E50" s="45" t="s">
        <v>3657</v>
      </c>
      <c r="F50" s="13"/>
      <c r="G50" s="44" t="s">
        <v>3658</v>
      </c>
      <c r="H50" s="44" t="s">
        <v>3659</v>
      </c>
      <c r="I50" s="44" t="s">
        <v>3660</v>
      </c>
      <c r="J50" s="45" t="s">
        <v>3661</v>
      </c>
      <c r="K50" s="13"/>
      <c r="L50" s="45" t="s">
        <v>3662</v>
      </c>
      <c r="M50" s="13"/>
      <c r="N50" s="177" t="s">
        <v>3663</v>
      </c>
      <c r="O50" s="124" t="s">
        <v>3664</v>
      </c>
      <c r="P50" s="45" t="s">
        <v>3665</v>
      </c>
      <c r="Q50" s="13"/>
      <c r="R50" s="90" t="s">
        <v>3666</v>
      </c>
      <c r="S50" s="133" t="s">
        <v>3667</v>
      </c>
      <c r="T50" s="45" t="s">
        <v>3668</v>
      </c>
      <c r="U50" s="36"/>
      <c r="V50" s="41"/>
      <c r="W50" s="26"/>
      <c r="X50" s="42" t="s">
        <v>58</v>
      </c>
      <c r="Y50" s="54">
        <v>44847.0</v>
      </c>
      <c r="Z50" s="48" t="s">
        <v>70</v>
      </c>
      <c r="AA50" s="85" t="str">
        <f>AA$7</f>
        <v/>
      </c>
      <c r="AB50" s="15" t="str">
        <f>IFERROR(__xludf.DUMMYFUNCTION("join("","",filter(split($H$83,"",""),ARRAYFORMULA(ISERROR(FIND(split($H$83,"",""),CONCATENATE(E50:V50))))=TRUE))"),"СЗ,КЗ,206,401,404,408,410")</f>
        <v>СЗ,КЗ,206,401,404,408,410</v>
      </c>
      <c r="AC50" s="14"/>
      <c r="AD50" s="14"/>
      <c r="AE50" s="14"/>
      <c r="AF50" s="29"/>
      <c r="AG50" s="29"/>
      <c r="AH50" s="29"/>
    </row>
    <row r="51" ht="48.75" customHeight="1">
      <c r="A51" s="30"/>
      <c r="B51" s="31">
        <v>6.0</v>
      </c>
      <c r="C51" s="55" t="s">
        <v>71</v>
      </c>
      <c r="D51" s="56" t="s">
        <v>72</v>
      </c>
      <c r="E51" s="167" t="s">
        <v>3669</v>
      </c>
      <c r="F51" s="4"/>
      <c r="G51" s="44" t="s">
        <v>3670</v>
      </c>
      <c r="H51" s="44" t="s">
        <v>3671</v>
      </c>
      <c r="I51" s="44" t="s">
        <v>3672</v>
      </c>
      <c r="J51" s="45" t="s">
        <v>3673</v>
      </c>
      <c r="K51" s="13"/>
      <c r="L51" s="45" t="s">
        <v>3674</v>
      </c>
      <c r="M51" s="13"/>
      <c r="N51" s="177" t="s">
        <v>3675</v>
      </c>
      <c r="O51" s="124" t="s">
        <v>3676</v>
      </c>
      <c r="P51" s="45" t="s">
        <v>3677</v>
      </c>
      <c r="Q51" s="13"/>
      <c r="R51" s="162" t="s">
        <v>3678</v>
      </c>
      <c r="S51" s="178" t="s">
        <v>3679</v>
      </c>
      <c r="T51" s="44" t="s">
        <v>3680</v>
      </c>
      <c r="U51" s="44" t="s">
        <v>3681</v>
      </c>
      <c r="V51" s="34"/>
      <c r="W51" s="179"/>
      <c r="X51" s="58" t="s">
        <v>71</v>
      </c>
      <c r="Y51" s="59" t="s">
        <v>72</v>
      </c>
      <c r="Z51" s="48" t="s">
        <v>84</v>
      </c>
      <c r="AA51" s="85"/>
      <c r="AB51" s="15" t="str">
        <f>IFERROR(__xludf.DUMMYFUNCTION("join("","",filter(split($H$83,"",""),ARRAYFORMULA(ISERROR(FIND(split($H$83,"",""),CONCATENATE(E51:V51))))=TRUE))"),"СЗ,206,408,409,410")</f>
        <v>СЗ,206,408,409,410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224"/>
      <c r="F52" s="139"/>
      <c r="G52" s="45" t="s">
        <v>3682</v>
      </c>
      <c r="H52" s="36"/>
      <c r="I52" s="13"/>
      <c r="J52" s="45" t="s">
        <v>3683</v>
      </c>
      <c r="K52" s="13"/>
      <c r="L52" s="45" t="s">
        <v>3684</v>
      </c>
      <c r="M52" s="13"/>
      <c r="N52" s="563"/>
      <c r="O52" s="177" t="s">
        <v>3685</v>
      </c>
      <c r="P52" s="124" t="s">
        <v>3686</v>
      </c>
      <c r="Q52" s="90" t="s">
        <v>3687</v>
      </c>
      <c r="R52" s="180" t="s">
        <v>3688</v>
      </c>
      <c r="S52" s="181" t="s">
        <v>3689</v>
      </c>
      <c r="T52" s="44" t="s">
        <v>2350</v>
      </c>
      <c r="U52" s="44"/>
      <c r="V52" s="34"/>
      <c r="W52" s="26"/>
      <c r="X52" s="42" t="s">
        <v>85</v>
      </c>
      <c r="Y52" s="42" t="s">
        <v>86</v>
      </c>
      <c r="Z52" s="48" t="s">
        <v>97</v>
      </c>
      <c r="AA52" s="85" t="str">
        <f>AA$9</f>
        <v/>
      </c>
      <c r="AB52" s="15" t="str">
        <f>IFERROR(__xludf.DUMMYFUNCTION("join("","",filter(split($H$83,"",""),ARRAYFORMULA(ISERROR(FIND(split($H$83,"",""),CONCATENATE(E52:V52))))=TRUE))"),"СЗ,206,403,405,406,408,410")</f>
        <v>СЗ,206,403,405,406,408,410</v>
      </c>
      <c r="AC52" s="14"/>
      <c r="AD52" s="14"/>
      <c r="AE52" s="14"/>
      <c r="AF52" s="29"/>
      <c r="AG52" s="29"/>
      <c r="AH52" s="29"/>
    </row>
    <row r="53" ht="51.75" customHeight="1">
      <c r="A53" s="30"/>
      <c r="B53" s="31">
        <v>8.0</v>
      </c>
      <c r="C53" s="32" t="s">
        <v>98</v>
      </c>
      <c r="D53" s="32" t="s">
        <v>99</v>
      </c>
      <c r="E53" s="104"/>
      <c r="F53" s="72"/>
      <c r="G53" s="416" t="s">
        <v>1913</v>
      </c>
      <c r="H53" s="86" t="s">
        <v>3690</v>
      </c>
      <c r="I53" s="13"/>
      <c r="J53" s="45" t="s">
        <v>3691</v>
      </c>
      <c r="K53" s="13"/>
      <c r="L53" s="45" t="s">
        <v>3692</v>
      </c>
      <c r="M53" s="13"/>
      <c r="N53" s="182"/>
      <c r="O53" s="177" t="s">
        <v>3693</v>
      </c>
      <c r="P53" s="124" t="s">
        <v>3694</v>
      </c>
      <c r="Q53" s="90" t="s">
        <v>3695</v>
      </c>
      <c r="R53" s="183" t="s">
        <v>3696</v>
      </c>
      <c r="S53" s="181" t="s">
        <v>3697</v>
      </c>
      <c r="T53" s="144"/>
      <c r="U53" s="144"/>
      <c r="V53" s="184"/>
      <c r="W53" s="26"/>
      <c r="X53" s="42" t="s">
        <v>98</v>
      </c>
      <c r="Y53" s="42" t="s">
        <v>99</v>
      </c>
      <c r="Z53" s="11"/>
      <c r="AA53" s="14"/>
      <c r="AB53" s="15" t="str">
        <f>IFERROR(__xludf.DUMMYFUNCTION("join("","",filter(split($H$83,"",""),ARRAYFORMULA(ISERROR(FIND(split($H$83,"",""),CONCATENATE(E53:V53))))=TRUE))"),"СЗ,201,206,401,403,404,405,406,408,410")</f>
        <v>СЗ,201,206,401,403,404,405,406,408,410</v>
      </c>
      <c r="AC53" s="14"/>
      <c r="AD53" s="14"/>
      <c r="AE53" s="14"/>
      <c r="AF53" s="29"/>
      <c r="AG53" s="29"/>
      <c r="AH53" s="29"/>
    </row>
    <row r="54" ht="71.25" customHeight="1">
      <c r="A54" s="30"/>
      <c r="B54" s="31">
        <v>9.0</v>
      </c>
      <c r="C54" s="65">
        <v>44697.0</v>
      </c>
      <c r="D54" s="44" t="s">
        <v>109</v>
      </c>
      <c r="E54" s="187" t="s">
        <v>3698</v>
      </c>
      <c r="F54" s="8"/>
      <c r="G54" s="8"/>
      <c r="H54" s="8"/>
      <c r="I54" s="8"/>
      <c r="J54" s="8"/>
      <c r="K54" s="8"/>
      <c r="L54" s="8"/>
      <c r="M54" s="8"/>
      <c r="N54" s="86" t="s">
        <v>3699</v>
      </c>
      <c r="O54" s="13"/>
      <c r="P54" s="187" t="s">
        <v>3698</v>
      </c>
      <c r="Q54" s="8"/>
      <c r="R54" s="8"/>
      <c r="S54" s="8"/>
      <c r="T54" s="8"/>
      <c r="U54" s="8"/>
      <c r="V54" s="8"/>
      <c r="W54" s="186"/>
      <c r="X54" s="69">
        <v>44697.0</v>
      </c>
      <c r="Y54" s="70" t="s">
        <v>109</v>
      </c>
      <c r="Z54" s="28"/>
      <c r="AA54" s="14"/>
      <c r="AB54" s="15" t="str">
        <f>IFERROR(__xludf.DUMMYFUNCTION("join("","",filter(split($H$83,"",""),ARRAYFORMULA(ISERROR(FIND(split($H$83,"",""),CONCATENATE(E54:V54))))=TRUE))"),"201,206,209,401,403,404,405,408,409,410,АЗ")</f>
        <v>201,206,209,401,403,404,405,408,409,410,АЗ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553">
        <v>44884.0</v>
      </c>
      <c r="B57" s="191">
        <v>1.0</v>
      </c>
      <c r="C57" s="192" t="str">
        <f>D$1</f>
        <v/>
      </c>
      <c r="D57" s="72"/>
      <c r="E57" s="569" t="s">
        <v>3700</v>
      </c>
      <c r="F57" s="72"/>
      <c r="G57" s="194" t="s">
        <v>481</v>
      </c>
      <c r="H57" s="64"/>
      <c r="I57" s="72"/>
      <c r="J57" s="195"/>
      <c r="K57" s="64"/>
      <c r="L57" s="64"/>
      <c r="M57" s="72"/>
      <c r="N57" s="193"/>
      <c r="O57" s="193"/>
      <c r="P57" s="259"/>
      <c r="Q57" s="259"/>
      <c r="R57" s="193"/>
      <c r="S57" s="193"/>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5"/>
      <c r="P58" s="144"/>
      <c r="Q58" s="144"/>
      <c r="R58" s="15"/>
      <c r="S58" s="15"/>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87" t="s">
        <v>3701</v>
      </c>
      <c r="Q59" s="8"/>
      <c r="R59" s="8"/>
      <c r="S59" s="4"/>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04"/>
      <c r="Q60" s="64"/>
      <c r="R60" s="64"/>
      <c r="S60" s="72"/>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79">
    <mergeCell ref="L7:M7"/>
    <mergeCell ref="N7:O7"/>
    <mergeCell ref="H8:I8"/>
    <mergeCell ref="J8:K8"/>
    <mergeCell ref="H21:M21"/>
    <mergeCell ref="N21:O21"/>
    <mergeCell ref="P21:Q21"/>
    <mergeCell ref="H22:M22"/>
    <mergeCell ref="N22:O22"/>
    <mergeCell ref="H6:I6"/>
    <mergeCell ref="N6:O6"/>
    <mergeCell ref="P6:Q6"/>
    <mergeCell ref="R6:S6"/>
    <mergeCell ref="H7:I7"/>
    <mergeCell ref="J7:K7"/>
    <mergeCell ref="P7:Q7"/>
    <mergeCell ref="R7:S7"/>
    <mergeCell ref="L8:M8"/>
    <mergeCell ref="N8:O8"/>
    <mergeCell ref="U8:V8"/>
    <mergeCell ref="R9:V9"/>
    <mergeCell ref="S10:V10"/>
    <mergeCell ref="T11:V11"/>
    <mergeCell ref="U13:V13"/>
    <mergeCell ref="P22:S22"/>
    <mergeCell ref="T22:V22"/>
    <mergeCell ref="J25:K25"/>
    <mergeCell ref="J26:K26"/>
    <mergeCell ref="L26:M26"/>
    <mergeCell ref="N26:O26"/>
    <mergeCell ref="R26:S26"/>
    <mergeCell ref="T26:V26"/>
    <mergeCell ref="P39:Q39"/>
    <mergeCell ref="P40:Q40"/>
    <mergeCell ref="T40:V40"/>
    <mergeCell ref="H38:I38"/>
    <mergeCell ref="J38:K38"/>
    <mergeCell ref="N38:Q38"/>
    <mergeCell ref="H39:I39"/>
    <mergeCell ref="L39:M39"/>
    <mergeCell ref="H40:I40"/>
    <mergeCell ref="L40:M40"/>
    <mergeCell ref="P25:Q25"/>
    <mergeCell ref="R25:S25"/>
    <mergeCell ref="J24:M24"/>
    <mergeCell ref="N24:O24"/>
    <mergeCell ref="P24:S24"/>
    <mergeCell ref="T24:V24"/>
    <mergeCell ref="L25:M25"/>
    <mergeCell ref="N25:O25"/>
    <mergeCell ref="T25:V25"/>
    <mergeCell ref="J27:K27"/>
    <mergeCell ref="L27:M27"/>
    <mergeCell ref="N27:O27"/>
    <mergeCell ref="P27:Q27"/>
    <mergeCell ref="T27:V27"/>
    <mergeCell ref="L28:M28"/>
    <mergeCell ref="N28:O28"/>
    <mergeCell ref="J28:K28"/>
    <mergeCell ref="J29:K29"/>
    <mergeCell ref="L29:M29"/>
    <mergeCell ref="N29:O29"/>
    <mergeCell ref="J30:M30"/>
    <mergeCell ref="N30:O30"/>
    <mergeCell ref="N31:O31"/>
    <mergeCell ref="J31:M31"/>
    <mergeCell ref="J32:M32"/>
    <mergeCell ref="N32:O32"/>
    <mergeCell ref="G33:Q34"/>
    <mergeCell ref="J35:K35"/>
    <mergeCell ref="N35:O35"/>
    <mergeCell ref="T35:V35"/>
    <mergeCell ref="T36:V36"/>
    <mergeCell ref="T37:V37"/>
    <mergeCell ref="T38:V38"/>
    <mergeCell ref="T39:V39"/>
    <mergeCell ref="H35:I35"/>
    <mergeCell ref="H36:I36"/>
    <mergeCell ref="J36:K36"/>
    <mergeCell ref="N36:O36"/>
    <mergeCell ref="H37:I37"/>
    <mergeCell ref="J37:K37"/>
    <mergeCell ref="N37:Q37"/>
    <mergeCell ref="J46:K46"/>
    <mergeCell ref="J50:K50"/>
    <mergeCell ref="L50:M50"/>
    <mergeCell ref="L46:M46"/>
    <mergeCell ref="P46:Q46"/>
    <mergeCell ref="L47:M47"/>
    <mergeCell ref="P47:Q47"/>
    <mergeCell ref="G48:I49"/>
    <mergeCell ref="N48:Q48"/>
    <mergeCell ref="N49:Q49"/>
    <mergeCell ref="P50:Q50"/>
    <mergeCell ref="G52:I52"/>
    <mergeCell ref="J52:K52"/>
    <mergeCell ref="E48:F48"/>
    <mergeCell ref="E49:F49"/>
    <mergeCell ref="E50:F50"/>
    <mergeCell ref="J51:K51"/>
    <mergeCell ref="L51:M51"/>
    <mergeCell ref="P51:Q51"/>
    <mergeCell ref="L52:M52"/>
    <mergeCell ref="E32:F32"/>
    <mergeCell ref="E33:F33"/>
    <mergeCell ref="A24:A34"/>
    <mergeCell ref="A35:A45"/>
    <mergeCell ref="A46:A56"/>
    <mergeCell ref="A57:A67"/>
    <mergeCell ref="E21:F22"/>
    <mergeCell ref="G21:G22"/>
    <mergeCell ref="E24:F24"/>
    <mergeCell ref="E25:F25"/>
    <mergeCell ref="E26:F26"/>
    <mergeCell ref="E31:F31"/>
    <mergeCell ref="E34:F34"/>
    <mergeCell ref="N42:O42"/>
    <mergeCell ref="N43:O43"/>
    <mergeCell ref="P43:P44"/>
    <mergeCell ref="N44:O44"/>
    <mergeCell ref="H41:I41"/>
    <mergeCell ref="L41:M41"/>
    <mergeCell ref="N41:O41"/>
    <mergeCell ref="P41:Q41"/>
    <mergeCell ref="H42:I42"/>
    <mergeCell ref="L42:M42"/>
    <mergeCell ref="P42:Q42"/>
    <mergeCell ref="E35:F35"/>
    <mergeCell ref="E36:F36"/>
    <mergeCell ref="E37:F37"/>
    <mergeCell ref="E38:F38"/>
    <mergeCell ref="E39:F39"/>
    <mergeCell ref="E40:F40"/>
    <mergeCell ref="E41:F41"/>
    <mergeCell ref="E57:F57"/>
    <mergeCell ref="G57:I57"/>
    <mergeCell ref="K66:L66"/>
    <mergeCell ref="K67:L67"/>
    <mergeCell ref="K68:L68"/>
    <mergeCell ref="E51:F53"/>
    <mergeCell ref="H53:I53"/>
    <mergeCell ref="J53:K53"/>
    <mergeCell ref="L53:M53"/>
    <mergeCell ref="E54:M55"/>
    <mergeCell ref="N54:O54"/>
    <mergeCell ref="C57:D57"/>
    <mergeCell ref="J57:M57"/>
    <mergeCell ref="T1:V1"/>
    <mergeCell ref="X1:Y1"/>
    <mergeCell ref="G1:I1"/>
    <mergeCell ref="E2:I2"/>
    <mergeCell ref="J2:V2"/>
    <mergeCell ref="G3:I3"/>
    <mergeCell ref="J3:K3"/>
    <mergeCell ref="L3:M3"/>
    <mergeCell ref="N3:O3"/>
    <mergeCell ref="T3:V3"/>
    <mergeCell ref="N4:O4"/>
    <mergeCell ref="P4:Q4"/>
    <mergeCell ref="T4:V4"/>
    <mergeCell ref="H5:I5"/>
    <mergeCell ref="N5:O5"/>
    <mergeCell ref="P5:Q5"/>
    <mergeCell ref="R5:S5"/>
    <mergeCell ref="T5:V5"/>
    <mergeCell ref="T6:V6"/>
    <mergeCell ref="U7:V7"/>
    <mergeCell ref="C1:D1"/>
    <mergeCell ref="E1:F1"/>
    <mergeCell ref="N1:O1"/>
    <mergeCell ref="P1:Q1"/>
    <mergeCell ref="R1:S1"/>
    <mergeCell ref="A2:A12"/>
    <mergeCell ref="P3:Q3"/>
    <mergeCell ref="J10:K10"/>
    <mergeCell ref="L10:M10"/>
    <mergeCell ref="J13:K13"/>
    <mergeCell ref="L13:M13"/>
    <mergeCell ref="N13:O13"/>
    <mergeCell ref="P13:Q13"/>
    <mergeCell ref="R13:S13"/>
    <mergeCell ref="L16:M16"/>
    <mergeCell ref="N16:O16"/>
    <mergeCell ref="J17:K17"/>
    <mergeCell ref="L17:M17"/>
    <mergeCell ref="N17:O17"/>
    <mergeCell ref="L18:M18"/>
    <mergeCell ref="N18:O18"/>
    <mergeCell ref="N20:O20"/>
    <mergeCell ref="P20:Q20"/>
    <mergeCell ref="J18:K18"/>
    <mergeCell ref="J19:K19"/>
    <mergeCell ref="L19:M19"/>
    <mergeCell ref="N19:O19"/>
    <mergeCell ref="P19:Q19"/>
    <mergeCell ref="J20:K20"/>
    <mergeCell ref="L20:M20"/>
    <mergeCell ref="J1:M1"/>
    <mergeCell ref="J4:K4"/>
    <mergeCell ref="L4:M4"/>
    <mergeCell ref="P8:Q8"/>
    <mergeCell ref="R8:S8"/>
    <mergeCell ref="H9:I9"/>
    <mergeCell ref="J9:K9"/>
    <mergeCell ref="L9:M9"/>
    <mergeCell ref="N9:O9"/>
    <mergeCell ref="N10:O10"/>
    <mergeCell ref="E11:S11"/>
    <mergeCell ref="J14:K14"/>
    <mergeCell ref="L14:M14"/>
    <mergeCell ref="N14:O14"/>
    <mergeCell ref="P14:Q14"/>
    <mergeCell ref="R14:S14"/>
    <mergeCell ref="E15:F15"/>
    <mergeCell ref="G15:I15"/>
    <mergeCell ref="J15:K15"/>
    <mergeCell ref="L15:M15"/>
    <mergeCell ref="N15:O15"/>
    <mergeCell ref="P15:Q15"/>
    <mergeCell ref="J16:K16"/>
    <mergeCell ref="P16:Q16"/>
    <mergeCell ref="R21:S21"/>
    <mergeCell ref="T21:V21"/>
    <mergeCell ref="R23:V23"/>
    <mergeCell ref="U14:V14"/>
    <mergeCell ref="T15:V15"/>
    <mergeCell ref="T16:V16"/>
    <mergeCell ref="T17:V17"/>
    <mergeCell ref="T18:V18"/>
    <mergeCell ref="T19:V19"/>
    <mergeCell ref="T20:V20"/>
    <mergeCell ref="T47:V47"/>
    <mergeCell ref="T48:V48"/>
    <mergeCell ref="T49:V49"/>
    <mergeCell ref="T50:V50"/>
    <mergeCell ref="P54:V55"/>
    <mergeCell ref="X57:Y57"/>
    <mergeCell ref="P59:S60"/>
    <mergeCell ref="T28:V32"/>
    <mergeCell ref="T41:V41"/>
    <mergeCell ref="R42:S42"/>
    <mergeCell ref="T42:V42"/>
    <mergeCell ref="Q43:V44"/>
    <mergeCell ref="R46:S46"/>
    <mergeCell ref="T46:V46"/>
    <mergeCell ref="E16:F16"/>
    <mergeCell ref="G16:I16"/>
    <mergeCell ref="E17:F17"/>
    <mergeCell ref="H17:I17"/>
    <mergeCell ref="E18:F18"/>
    <mergeCell ref="H18:I18"/>
    <mergeCell ref="E19:F19"/>
    <mergeCell ref="H19:I19"/>
    <mergeCell ref="E20:F20"/>
    <mergeCell ref="H20:I20"/>
    <mergeCell ref="G24:I24"/>
    <mergeCell ref="G25:I25"/>
    <mergeCell ref="G26:I26"/>
    <mergeCell ref="G27:H27"/>
    <mergeCell ref="G28:H28"/>
    <mergeCell ref="G29:H29"/>
    <mergeCell ref="G30:H30"/>
    <mergeCell ref="G31:I32"/>
    <mergeCell ref="E10:F10"/>
    <mergeCell ref="H10:I10"/>
    <mergeCell ref="A13:A23"/>
    <mergeCell ref="E13:F13"/>
    <mergeCell ref="H13:I13"/>
    <mergeCell ref="E14:F14"/>
    <mergeCell ref="H14:I14"/>
    <mergeCell ref="G47:H47"/>
    <mergeCell ref="J47:K47"/>
    <mergeCell ref="E42:F42"/>
    <mergeCell ref="E43:F44"/>
    <mergeCell ref="G43:G44"/>
    <mergeCell ref="H43:J43"/>
    <mergeCell ref="H44:J44"/>
    <mergeCell ref="G46:H46"/>
    <mergeCell ref="I46:I47"/>
  </mergeCells>
  <conditionalFormatting sqref="E1:T86 U1:U31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T53 U2:U31 V32:V34 U35:U53 V50:V52 W51 P59 K61:L68">
    <cfRule type="containsText" dxfId="2" priority="3" operator="containsText" text="Шерашова">
      <formula>NOT(ISERROR(SEARCH(("Шерашова"),(E2))))</formula>
    </cfRule>
  </conditionalFormatting>
  <conditionalFormatting sqref="E2:T53 U2:U31 V32:V34 U35:U53 V50:V52 W51 P59 K61:L68">
    <cfRule type="containsText" dxfId="3" priority="4" operator="containsText" text="Англ">
      <formula>NOT(ISERROR(SEARCH(("Англ"),(E2))))</formula>
    </cfRule>
  </conditionalFormatting>
  <conditionalFormatting sqref="E2:T53 U2:U31 V32:V34 U35:U53 V50:V52 W51 P59 K61:L68">
    <cfRule type="containsText" dxfId="4" priority="5" operator="containsText" text="Театр">
      <formula>NOT(ISERROR(SEARCH(("Театр"),(E2))))</formula>
    </cfRule>
  </conditionalFormatting>
  <conditionalFormatting sqref="E2:T53 U2:U31 V32:V34 U35:U53 V50:V52 W51 P59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G47 H2:I45 J2:K49 L2:M47 N2:Q45 R2:S6 T2:V8 S10:S32 T10:V45 R11:R46 F15:F17 F19:F20 E24:F30 E32:E53 F32:F45 S35:S41 S43:S45 S47:S53 T47:T50 F48:F49 N48:N49 R49:R53 G50:H53 I50:I52 P50:P53 F52:F53 J52:J53 N52:N53 Q52:Q53 K53:M53 P59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2 K66">
      <formula1>IF(COUNTA(filter($E1:$W1,ARRAYFORMULA(ISERROR(FIND(join(",",filter(split($H$83,","),ARRAYFORMULA(ISERROR(FIND(split($H$83,","),K39)))=FALSE)),$E1:$W1))=FALSE)))&gt;1,FALSE,TRUE)</formula1>
    </dataValidation>
    <dataValidation type="custom" allowBlank="1" showDropDown="1" sqref="T17:T18 J24">
      <formula1>IF(COUNTA(filter($E25:$W25,ARRAYFORMULA(ISERROR(FIND(join(",",filter(split($H$83,","),ARRAYFORMULA(ISERROR(FIND(split($H$83,","),J17)))=FALSE)),$E25:$W25))=FALSE)))&gt;1,FALSE,TRUE)</formula1>
    </dataValidation>
    <dataValidation type="custom" allowBlank="1" showDropDown="1" sqref="H50:H51">
      <formula1>IF(COUNTA(filter($E1:$W1,ARRAYFORMULA(ISERROR(FIND(join(",",filter(split($H$83,","),ARRAYFORMULA(ISERROR(FIND(split($H$83,","),H50)))=FALSE)),$E1:$W1))=FALSE)))&gt;1,FALSE,TRUE)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Q31:Q32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R29:R30">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9:N30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46:E47 J48:J49 G50:G52">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4:G25 F28 R27:S28 E29:E30 H35:H36 G37:G38 G46:G47 E48:E49 N52:N54">
      <formula1>IF(COUNTA(filter($E8:$W8,ARRAYFORMULA(ISERROR(FIND(join(",",filter(split($H$83,","),ARRAYFORMULA(ISERROR(FIND(split($H$83,","),E7)))=FALSE)),$E8:$W8))=FALSE)))&gt;1,FALSE,TRUE)</formula1>
    </dataValidation>
    <dataValidation type="custom" allowBlank="1" showDropDown="1" sqref="G3 J2:J3 L4 P3:P4 G5:H6 K5:M6 T5:T6 L7:L8 P7:P8 T7:U8 G7:G9 H10 J9:J10 N9:N10 Q9:Q10 S10 W2:W10 E12:W12 E13:E14 H13:H14 L13:L14 E17:E18 G15:G18 S17:S18 H19:H20 J15:J20 L17:L20 G21 R19:R21 T21 H22 G23:R23 P25 R25 E26 Q26 E27:F27 P27 E28 I27:I28 Q28 T28 F29:G30 P29:Q30 J30:J32 W13:W32 R33:R34 T33:W34 G35:G36 L35:M36 P35:Q36 H37:H38 J37:J38 L37:N38 E37:E40 G39:G40 N39:P40 R37:S40 R41:T41 J39:K42 T42 E43 G41:H43 Q43 H44 K43:N44 W35:W44 E45:W45 I46 F46:F47 L46:L47 N46:P47 G48 L48:M49 I50:I51 L51 N50:O51 G53:H53 O52:P53 E54 P54 N55:O55 W46:W55 E56:W56 E57 G57 J57 N57:O57 R57:W58 E58:O60 T59: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P43 P59">
      <formula1>IF(COUNTA(filter($E40:$W40,ARRAYFORMULA(ISERROR(FIND(join(",",filter(split($H$83,","),ARRAYFORMULA(ISERROR(FIND(split($H$83,","),P43)))=FALSE)),$E40:$W40))=FALSE)))&gt;1,FALSE,TRUE)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P32">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S29:S30 S32 R47:R48 T51:V52">
      <formula1>IF(COUNTA(filter($E25:$W25,ARRAYFORMULA(ISERROR(FIND(join(",",filter(split($H$83,","),ARRAYFORMULA(ISERROR(FIND(split($H$83,","),P26)))=FALSE)),$E25:$W25))=FALSE)))&gt;1,FALSE,TRUE)</formula1>
    </dataValidation>
    <dataValidation type="custom" allowBlank="1" showDropDown="1" sqref="P13:P16 G27:G28 L26:L28 J28:J29 N31:N32 E35:E36 J35:J36 N35:N36 T39:T40 E41:E42 P41:P42 R46 T47:T48 K48:K49 E50:E51 P50:P51">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429" t="s">
        <v>2859</v>
      </c>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553">
        <v>44872.0</v>
      </c>
      <c r="B2" s="19">
        <v>1.0</v>
      </c>
      <c r="C2" s="20" t="s">
        <v>12</v>
      </c>
      <c r="D2" s="20" t="s">
        <v>13</v>
      </c>
      <c r="E2" s="21" t="s">
        <v>3702</v>
      </c>
      <c r="F2" s="22"/>
      <c r="G2" s="23" t="s">
        <v>3703</v>
      </c>
      <c r="H2" s="24"/>
      <c r="I2" s="25"/>
      <c r="J2" s="21" t="s">
        <v>3704</v>
      </c>
      <c r="K2" s="24"/>
      <c r="L2" s="24"/>
      <c r="M2" s="25"/>
      <c r="N2" s="21" t="s">
        <v>3705</v>
      </c>
      <c r="O2" s="25"/>
      <c r="P2" s="21" t="s">
        <v>3706</v>
      </c>
      <c r="Q2" s="25"/>
      <c r="R2" s="21" t="s">
        <v>3707</v>
      </c>
      <c r="S2" s="25"/>
      <c r="T2" s="21" t="s">
        <v>3708</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3709</v>
      </c>
      <c r="F3" s="34" t="s">
        <v>64</v>
      </c>
      <c r="G3" s="35" t="s">
        <v>25</v>
      </c>
      <c r="H3" s="36"/>
      <c r="I3" s="13"/>
      <c r="J3" s="37" t="s">
        <v>3710</v>
      </c>
      <c r="K3" s="13"/>
      <c r="L3" s="38" t="s">
        <v>3711</v>
      </c>
      <c r="M3" s="13"/>
      <c r="N3" s="37" t="s">
        <v>3712</v>
      </c>
      <c r="O3" s="13"/>
      <c r="P3" s="37" t="s">
        <v>3713</v>
      </c>
      <c r="Q3" s="13"/>
      <c r="R3" s="39" t="s">
        <v>3714</v>
      </c>
      <c r="S3" s="40" t="s">
        <v>3715</v>
      </c>
      <c r="T3" s="37" t="s">
        <v>3716</v>
      </c>
      <c r="U3" s="36"/>
      <c r="V3" s="41"/>
      <c r="W3" s="26"/>
      <c r="X3" s="42" t="s">
        <v>21</v>
      </c>
      <c r="Y3" s="42" t="s">
        <v>22</v>
      </c>
      <c r="Z3" s="28"/>
      <c r="AA3" s="14"/>
      <c r="AB3" s="15" t="str">
        <f>IFERROR(__xludf.DUMMYFUNCTION("join("","",filter(split($H$83,"",""),ARRAYFORMULA(ISERROR(FIND(split($H$83,"",""),CONCATENATE(E3:V3))))=TRUE))"),"201,206,404,405,406,410,АЗ")</f>
        <v>201,206,404,405,406,410,АЗ</v>
      </c>
      <c r="AC3" s="14"/>
      <c r="AD3" s="14"/>
      <c r="AE3" s="14"/>
      <c r="AF3" s="29"/>
      <c r="AG3" s="29"/>
      <c r="AH3" s="29"/>
    </row>
    <row r="4" ht="40.5" hidden="1" customHeight="1">
      <c r="A4" s="30"/>
      <c r="B4" s="31">
        <v>3.0</v>
      </c>
      <c r="C4" s="32" t="s">
        <v>33</v>
      </c>
      <c r="D4" s="32" t="s">
        <v>34</v>
      </c>
      <c r="E4" s="33" t="s">
        <v>3717</v>
      </c>
      <c r="F4" s="319" t="s">
        <v>3718</v>
      </c>
      <c r="G4" s="43" t="s">
        <v>3719</v>
      </c>
      <c r="H4" s="44" t="s">
        <v>64</v>
      </c>
      <c r="I4" s="45" t="s">
        <v>3720</v>
      </c>
      <c r="J4" s="46" t="s">
        <v>3721</v>
      </c>
      <c r="K4" s="13"/>
      <c r="L4" s="45" t="s">
        <v>3722</v>
      </c>
      <c r="M4" s="13"/>
      <c r="N4" s="37" t="s">
        <v>3723</v>
      </c>
      <c r="O4" s="13"/>
      <c r="P4" s="37" t="s">
        <v>3724</v>
      </c>
      <c r="Q4" s="13"/>
      <c r="R4" s="39" t="s">
        <v>3725</v>
      </c>
      <c r="S4" s="40" t="s">
        <v>3726</v>
      </c>
      <c r="T4" s="37" t="s">
        <v>3727</v>
      </c>
      <c r="U4" s="36"/>
      <c r="V4" s="41"/>
      <c r="W4" s="26"/>
      <c r="X4" s="42" t="s">
        <v>33</v>
      </c>
      <c r="Y4" s="42" t="s">
        <v>34</v>
      </c>
      <c r="Z4" s="48" t="s">
        <v>47</v>
      </c>
      <c r="AA4" s="14"/>
      <c r="AB4" s="15" t="str">
        <f>IFERROR(__xludf.DUMMYFUNCTION("join("","",filter(split($H$83,"",""),ARRAYFORMULA(ISERROR(FIND(split($H$83,"",""),CONCATENATE(E4:V4))))=TRUE))"),"КЗ,201,206,404,406,АЗ")</f>
        <v>КЗ,201,206,404,406,АЗ</v>
      </c>
      <c r="AC4" s="14"/>
      <c r="AD4" s="14"/>
      <c r="AE4" s="14"/>
      <c r="AF4" s="29"/>
      <c r="AG4" s="29"/>
      <c r="AH4" s="29"/>
    </row>
    <row r="5" ht="40.5" hidden="1" customHeight="1">
      <c r="A5" s="30"/>
      <c r="B5" s="31">
        <v>4.0</v>
      </c>
      <c r="C5" s="32" t="s">
        <v>48</v>
      </c>
      <c r="D5" s="32" t="s">
        <v>49</v>
      </c>
      <c r="E5" s="33" t="s">
        <v>3728</v>
      </c>
      <c r="F5" s="319" t="s">
        <v>3729</v>
      </c>
      <c r="G5" s="43" t="s">
        <v>3730</v>
      </c>
      <c r="H5" s="45" t="s">
        <v>3731</v>
      </c>
      <c r="I5" s="13"/>
      <c r="J5" s="33" t="s">
        <v>3732</v>
      </c>
      <c r="K5" s="44" t="s">
        <v>3733</v>
      </c>
      <c r="L5" s="44" t="s">
        <v>3734</v>
      </c>
      <c r="M5" s="45" t="s">
        <v>3735</v>
      </c>
      <c r="N5" s="37" t="s">
        <v>3736</v>
      </c>
      <c r="O5" s="13"/>
      <c r="P5" s="37" t="s">
        <v>3737</v>
      </c>
      <c r="Q5" s="13"/>
      <c r="R5" s="51" t="s">
        <v>3738</v>
      </c>
      <c r="S5" s="13"/>
      <c r="T5" s="52" t="s">
        <v>3739</v>
      </c>
      <c r="U5" s="36"/>
      <c r="V5" s="41"/>
      <c r="W5" s="26"/>
      <c r="X5" s="42" t="s">
        <v>48</v>
      </c>
      <c r="Y5" s="42" t="s">
        <v>49</v>
      </c>
      <c r="Z5" s="48" t="s">
        <v>57</v>
      </c>
      <c r="AA5" s="14"/>
      <c r="AB5" s="15" t="str">
        <f>IFERROR(__xludf.DUMMYFUNCTION("join("","",filter(split($H$83,"",""),ARRAYFORMULA(ISERROR(FIND(split($H$83,"",""),CONCATENATE(E5:V5))))=TRUE))"),"СЗ,КЗ,206,401,406,408")</f>
        <v>СЗ,КЗ,206,401,406,408</v>
      </c>
      <c r="AC5" s="14"/>
      <c r="AD5" s="14"/>
      <c r="AE5" s="14"/>
      <c r="AF5" s="29"/>
      <c r="AG5" s="29"/>
      <c r="AH5" s="29"/>
    </row>
    <row r="6" ht="40.5" hidden="1" customHeight="1">
      <c r="A6" s="30"/>
      <c r="B6" s="31">
        <v>5.0</v>
      </c>
      <c r="C6" s="32" t="s">
        <v>58</v>
      </c>
      <c r="D6" s="53">
        <v>44847.0</v>
      </c>
      <c r="E6" s="319" t="s">
        <v>3740</v>
      </c>
      <c r="F6" s="34" t="s">
        <v>3741</v>
      </c>
      <c r="G6" s="43" t="s">
        <v>3742</v>
      </c>
      <c r="H6" s="45" t="s">
        <v>3743</v>
      </c>
      <c r="I6" s="13"/>
      <c r="J6" s="33" t="s">
        <v>3744</v>
      </c>
      <c r="K6" s="44" t="s">
        <v>64</v>
      </c>
      <c r="L6" s="44" t="s">
        <v>3745</v>
      </c>
      <c r="M6" s="45" t="s">
        <v>3746</v>
      </c>
      <c r="N6" s="37" t="s">
        <v>3747</v>
      </c>
      <c r="O6" s="13"/>
      <c r="P6" s="37" t="s">
        <v>3748</v>
      </c>
      <c r="Q6" s="13"/>
      <c r="R6" s="51" t="s">
        <v>3749</v>
      </c>
      <c r="S6" s="13"/>
      <c r="T6" s="52" t="s">
        <v>3750</v>
      </c>
      <c r="U6" s="36"/>
      <c r="V6" s="41"/>
      <c r="W6" s="26"/>
      <c r="X6" s="42" t="s">
        <v>58</v>
      </c>
      <c r="Y6" s="54">
        <v>44847.0</v>
      </c>
      <c r="Z6" s="48" t="s">
        <v>70</v>
      </c>
      <c r="AA6" s="14"/>
      <c r="AB6" s="15" t="str">
        <f>IFERROR(__xludf.DUMMYFUNCTION("join("","",filter(split($H$83,"",""),ARRAYFORMULA(ISERROR(FIND(split($H$83,"",""),CONCATENATE(E6:V6))))=TRUE))"),"СЗ,КЗ,206,401,406,408")</f>
        <v>СЗ,КЗ,206,401,406,408</v>
      </c>
      <c r="AC6" s="14"/>
      <c r="AD6" s="14"/>
      <c r="AE6" s="14"/>
      <c r="AF6" s="29"/>
      <c r="AG6" s="29"/>
      <c r="AH6" s="29"/>
    </row>
    <row r="7" ht="42.0" hidden="1" customHeight="1">
      <c r="A7" s="30"/>
      <c r="B7" s="31">
        <v>6.0</v>
      </c>
      <c r="C7" s="55" t="s">
        <v>71</v>
      </c>
      <c r="D7" s="56" t="s">
        <v>72</v>
      </c>
      <c r="E7" s="319" t="s">
        <v>3729</v>
      </c>
      <c r="F7" s="34" t="s">
        <v>3751</v>
      </c>
      <c r="G7" s="43" t="s">
        <v>3752</v>
      </c>
      <c r="H7" s="35" t="s">
        <v>3753</v>
      </c>
      <c r="I7" s="13"/>
      <c r="J7" s="37" t="s">
        <v>3754</v>
      </c>
      <c r="K7" s="13"/>
      <c r="L7" s="45" t="s">
        <v>3755</v>
      </c>
      <c r="M7" s="13"/>
      <c r="N7" s="37" t="s">
        <v>3756</v>
      </c>
      <c r="O7" s="13"/>
      <c r="P7" s="37" t="s">
        <v>3757</v>
      </c>
      <c r="Q7" s="13"/>
      <c r="R7" s="57" t="s">
        <v>3758</v>
      </c>
      <c r="T7" s="33" t="s">
        <v>3759</v>
      </c>
      <c r="U7" s="45" t="s">
        <v>3760</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t="42.0" hidden="1" customHeight="1">
      <c r="A8" s="30"/>
      <c r="B8" s="31">
        <v>7.0</v>
      </c>
      <c r="C8" s="32" t="s">
        <v>85</v>
      </c>
      <c r="D8" s="32" t="s">
        <v>86</v>
      </c>
      <c r="E8" s="388" t="s">
        <v>3761</v>
      </c>
      <c r="F8" s="129"/>
      <c r="G8" s="43" t="s">
        <v>3762</v>
      </c>
      <c r="H8" s="35" t="s">
        <v>3763</v>
      </c>
      <c r="I8" s="13"/>
      <c r="J8" s="37" t="s">
        <v>3764</v>
      </c>
      <c r="K8" s="13"/>
      <c r="L8" s="45" t="s">
        <v>3765</v>
      </c>
      <c r="M8" s="13"/>
      <c r="N8" s="37" t="s">
        <v>3766</v>
      </c>
      <c r="O8" s="13"/>
      <c r="P8" s="37" t="s">
        <v>3767</v>
      </c>
      <c r="Q8" s="13"/>
      <c r="R8" s="37" t="s">
        <v>3768</v>
      </c>
      <c r="S8" s="13"/>
      <c r="T8" s="33" t="s">
        <v>3769</v>
      </c>
      <c r="U8" s="45" t="s">
        <v>3770</v>
      </c>
      <c r="V8" s="41"/>
      <c r="W8" s="26"/>
      <c r="X8" s="42" t="s">
        <v>85</v>
      </c>
      <c r="Y8" s="42" t="s">
        <v>86</v>
      </c>
      <c r="Z8" s="48" t="s">
        <v>97</v>
      </c>
      <c r="AA8" s="14"/>
      <c r="AB8" s="15" t="str">
        <f>IFERROR(__xludf.DUMMYFUNCTION("join("","",filter(split($H$83,"",""),ARRAYFORMULA(ISERROR(FIND(split($H$83,"",""),CONCATENATE(E8:V8))))=TRUE))"),"КЗ,202,206,403,406,409,410,АЗ")</f>
        <v>КЗ,202,206,403,406,409,410,АЗ</v>
      </c>
      <c r="AC8" s="14"/>
      <c r="AD8" s="14"/>
      <c r="AE8" s="14"/>
      <c r="AF8" s="29"/>
      <c r="AG8" s="29"/>
      <c r="AH8" s="29"/>
    </row>
    <row r="9" ht="40.5" hidden="1" customHeight="1">
      <c r="A9" s="30"/>
      <c r="B9" s="31">
        <v>8.0</v>
      </c>
      <c r="C9" s="32" t="s">
        <v>98</v>
      </c>
      <c r="D9" s="32" t="s">
        <v>99</v>
      </c>
      <c r="E9" s="142"/>
      <c r="F9" s="88"/>
      <c r="G9" s="43" t="s">
        <v>3771</v>
      </c>
      <c r="H9" s="45" t="s">
        <v>3772</v>
      </c>
      <c r="I9" s="13"/>
      <c r="J9" s="37" t="s">
        <v>3773</v>
      </c>
      <c r="K9" s="13"/>
      <c r="L9" s="45" t="s">
        <v>3774</v>
      </c>
      <c r="M9" s="13"/>
      <c r="N9" s="61" t="s">
        <v>3775</v>
      </c>
      <c r="O9" s="13"/>
      <c r="P9" s="62" t="s">
        <v>3776</v>
      </c>
      <c r="Q9" s="45" t="s">
        <v>3777</v>
      </c>
      <c r="R9" s="570" t="s">
        <v>3778</v>
      </c>
      <c r="S9" s="36"/>
      <c r="T9" s="36"/>
      <c r="U9" s="36"/>
      <c r="V9" s="41"/>
      <c r="W9" s="26"/>
      <c r="X9" s="42" t="s">
        <v>98</v>
      </c>
      <c r="Y9" s="42" t="s">
        <v>99</v>
      </c>
      <c r="Z9" s="11"/>
      <c r="AA9" s="14"/>
      <c r="AB9" s="15" t="str">
        <f>IFERROR(__xludf.DUMMYFUNCTION("join("","",filter(split($H$83,"",""),ARRAYFORMULA(ISERROR(FIND(split($H$83,"",""),CONCATENATE(E9:V9))))=TRUE))"),"КЗ,206,210,403,405,406,408,409,410,АЗ")</f>
        <v>КЗ,206,210,403,405,406,408,409,410,АЗ</v>
      </c>
      <c r="AC9" s="14"/>
      <c r="AD9" s="14"/>
      <c r="AE9" s="14"/>
      <c r="AF9" s="29"/>
      <c r="AG9" s="29"/>
      <c r="AH9" s="29"/>
    </row>
    <row r="10" ht="40.5" hidden="1" customHeight="1">
      <c r="A10" s="30"/>
      <c r="B10" s="31">
        <v>9.0</v>
      </c>
      <c r="C10" s="65">
        <v>44697.0</v>
      </c>
      <c r="D10" s="44" t="s">
        <v>109</v>
      </c>
      <c r="E10" s="66" t="s">
        <v>3779</v>
      </c>
      <c r="F10" s="67"/>
      <c r="G10" s="43" t="s">
        <v>3780</v>
      </c>
      <c r="H10" s="45" t="s">
        <v>3781</v>
      </c>
      <c r="I10" s="13"/>
      <c r="J10" s="37" t="s">
        <v>3782</v>
      </c>
      <c r="K10" s="13"/>
      <c r="L10" s="45" t="s">
        <v>3783</v>
      </c>
      <c r="M10" s="13"/>
      <c r="N10" s="61" t="s">
        <v>3784</v>
      </c>
      <c r="O10" s="13"/>
      <c r="P10" s="62" t="s">
        <v>3785</v>
      </c>
      <c r="Q10" s="45"/>
      <c r="R10" s="36"/>
      <c r="S10" s="36"/>
      <c r="T10" s="36"/>
      <c r="U10" s="36"/>
      <c r="V10" s="41"/>
      <c r="W10" s="26"/>
      <c r="X10" s="69">
        <v>44697.0</v>
      </c>
      <c r="Y10" s="70" t="s">
        <v>109</v>
      </c>
      <c r="Z10" s="28"/>
      <c r="AA10" s="14"/>
      <c r="AB10" s="15" t="str">
        <f>IFERROR(__xludf.DUMMYFUNCTION("join("","",filter(split($H$83,"",""),ARRAYFORMULA(ISERROR(FIND(split($H$83,"",""),CONCATENATE(E10:V10))))=TRUE))"),"КЗ,206,210,403,404,405,406,408,409,АЗ")</f>
        <v>КЗ,206,210,403,404,405,406,408,409,АЗ</v>
      </c>
      <c r="AC10" s="14"/>
      <c r="AD10" s="14"/>
      <c r="AE10" s="14"/>
      <c r="AF10" s="29"/>
      <c r="AG10" s="29"/>
      <c r="AH10" s="29"/>
    </row>
    <row r="11" ht="49.5" hidden="1" customHeight="1">
      <c r="A11" s="30"/>
      <c r="B11" s="31">
        <v>10.0</v>
      </c>
      <c r="C11" s="44" t="s">
        <v>120</v>
      </c>
      <c r="D11" s="44" t="s">
        <v>121</v>
      </c>
      <c r="E11" s="71" t="s">
        <v>3786</v>
      </c>
      <c r="F11" s="64"/>
      <c r="G11" s="64"/>
      <c r="H11" s="64"/>
      <c r="I11" s="64"/>
      <c r="J11" s="64"/>
      <c r="K11" s="64"/>
      <c r="L11" s="64"/>
      <c r="M11" s="64"/>
      <c r="N11" s="64"/>
      <c r="O11" s="64"/>
      <c r="P11" s="64"/>
      <c r="Q11" s="64"/>
      <c r="R11" s="64"/>
      <c r="S11" s="72"/>
      <c r="T11" s="73" t="s">
        <v>3787</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18">
        <v>44873.0</v>
      </c>
      <c r="B13" s="19">
        <v>1.0</v>
      </c>
      <c r="C13" s="20" t="s">
        <v>12</v>
      </c>
      <c r="D13" s="20" t="s">
        <v>13</v>
      </c>
      <c r="E13" s="80" t="s">
        <v>3788</v>
      </c>
      <c r="F13" s="25"/>
      <c r="G13" s="81" t="s">
        <v>3789</v>
      </c>
      <c r="H13" s="80" t="s">
        <v>3790</v>
      </c>
      <c r="I13" s="22"/>
      <c r="J13" s="23" t="s">
        <v>3791</v>
      </c>
      <c r="K13" s="25"/>
      <c r="L13" s="80" t="s">
        <v>3792</v>
      </c>
      <c r="M13" s="25"/>
      <c r="N13" s="82" t="s">
        <v>3793</v>
      </c>
      <c r="O13" s="25"/>
      <c r="P13" s="21" t="s">
        <v>3794</v>
      </c>
      <c r="Q13" s="22"/>
      <c r="R13" s="23" t="s">
        <v>3795</v>
      </c>
      <c r="S13" s="22"/>
      <c r="T13" s="84" t="s">
        <v>3796</v>
      </c>
      <c r="U13" s="80" t="s">
        <v>3797</v>
      </c>
      <c r="V13" s="22"/>
      <c r="W13" s="26"/>
      <c r="X13" s="27" t="s">
        <v>12</v>
      </c>
      <c r="Y13" s="27" t="s">
        <v>13</v>
      </c>
      <c r="Z13" s="28"/>
      <c r="AA13" s="85"/>
      <c r="AB13" s="15" t="str">
        <f>IFERROR(__xludf.DUMMYFUNCTION("join("","",filter(split($H$83,"",""),ARRAYFORMULA(ISERROR(FIND(split($H$83,"",""),CONCATENATE(E13:V13))))=TRUE))"),"СЗ,КЗ,202,206,403,409,410,АЗ")</f>
        <v>СЗ,КЗ,202,206,403,409,410,АЗ</v>
      </c>
      <c r="AC13" s="14"/>
      <c r="AD13" s="14"/>
      <c r="AE13" s="14"/>
      <c r="AF13" s="29"/>
      <c r="AG13" s="29"/>
      <c r="AH13" s="29"/>
    </row>
    <row r="14" ht="40.5" hidden="1" customHeight="1">
      <c r="A14" s="30"/>
      <c r="B14" s="31">
        <v>2.0</v>
      </c>
      <c r="C14" s="32" t="s">
        <v>21</v>
      </c>
      <c r="D14" s="32" t="s">
        <v>22</v>
      </c>
      <c r="E14" s="45" t="s">
        <v>3798</v>
      </c>
      <c r="F14" s="13"/>
      <c r="G14" s="46" t="s">
        <v>3799</v>
      </c>
      <c r="H14" s="86" t="s">
        <v>3800</v>
      </c>
      <c r="I14" s="41"/>
      <c r="J14" s="35" t="s">
        <v>3801</v>
      </c>
      <c r="K14" s="13"/>
      <c r="L14" s="45" t="s">
        <v>3802</v>
      </c>
      <c r="M14" s="13"/>
      <c r="N14" s="87" t="s">
        <v>3803</v>
      </c>
      <c r="O14" s="13"/>
      <c r="P14" s="37" t="s">
        <v>3804</v>
      </c>
      <c r="Q14" s="41"/>
      <c r="R14" s="35" t="s">
        <v>3805</v>
      </c>
      <c r="S14" s="41"/>
      <c r="T14" s="43" t="s">
        <v>3806</v>
      </c>
      <c r="U14" s="45" t="s">
        <v>3807</v>
      </c>
      <c r="V14" s="41"/>
      <c r="W14" s="26"/>
      <c r="X14" s="42" t="s">
        <v>21</v>
      </c>
      <c r="Y14" s="42" t="s">
        <v>22</v>
      </c>
      <c r="Z14" s="28"/>
      <c r="AA14" s="85"/>
      <c r="AB14" s="15" t="str">
        <f>IFERROR(__xludf.DUMMYFUNCTION("join("","",filter(split($H$83,"",""),ARRAYFORMULA(ISERROR(FIND(split($H$83,"",""),CONCATENATE(E14:V14))))=TRUE))"),"СЗ,КЗ,202,206,403,409,410,АЗ")</f>
        <v>СЗ,КЗ,202,206,403,409,410,АЗ</v>
      </c>
      <c r="AC14" s="14"/>
      <c r="AD14" s="14"/>
      <c r="AE14" s="14"/>
      <c r="AF14" s="29"/>
      <c r="AG14" s="29"/>
      <c r="AH14" s="29"/>
    </row>
    <row r="15" ht="40.5" hidden="1" customHeight="1">
      <c r="A15" s="30"/>
      <c r="B15" s="31">
        <v>3.0</v>
      </c>
      <c r="C15" s="32" t="s">
        <v>33</v>
      </c>
      <c r="D15" s="32" t="s">
        <v>34</v>
      </c>
      <c r="E15" s="40" t="s">
        <v>3808</v>
      </c>
      <c r="F15" s="13"/>
      <c r="G15" s="37" t="s">
        <v>3809</v>
      </c>
      <c r="H15" s="36"/>
      <c r="I15" s="41"/>
      <c r="J15" s="35" t="s">
        <v>3810</v>
      </c>
      <c r="K15" s="13"/>
      <c r="L15" s="45" t="s">
        <v>3811</v>
      </c>
      <c r="M15" s="13"/>
      <c r="N15" s="89" t="s">
        <v>3812</v>
      </c>
      <c r="O15" s="13"/>
      <c r="P15" s="37" t="s">
        <v>3813</v>
      </c>
      <c r="Q15" s="41"/>
      <c r="R15" s="43" t="s">
        <v>3814</v>
      </c>
      <c r="S15" s="34" t="s">
        <v>3815</v>
      </c>
      <c r="T15" s="91" t="s">
        <v>3816</v>
      </c>
      <c r="U15" s="36"/>
      <c r="V15" s="41"/>
      <c r="W15" s="26"/>
      <c r="X15" s="42" t="s">
        <v>33</v>
      </c>
      <c r="Y15" s="42" t="s">
        <v>34</v>
      </c>
      <c r="Z15" s="48" t="s">
        <v>47</v>
      </c>
      <c r="AA15" s="85" t="str">
        <f>AA$5</f>
        <v/>
      </c>
      <c r="AB15" s="15" t="str">
        <f>IFERROR(__xludf.DUMMYFUNCTION("join("","",filter(split($H$83,"",""),ARRAYFORMULA(ISERROR(FIND(split($H$83,"",""),CONCATENATE(E15:V15))))=TRUE))"),"КЗ,201,202,206,210,403,408,409,410,АЗ")</f>
        <v>КЗ,201,202,206,210,403,408,409,410,АЗ</v>
      </c>
      <c r="AC15" s="14"/>
      <c r="AD15" s="14"/>
      <c r="AE15" s="14"/>
      <c r="AF15" s="29"/>
      <c r="AG15" s="29"/>
      <c r="AH15" s="29"/>
    </row>
    <row r="16" ht="40.5" hidden="1" customHeight="1">
      <c r="A16" s="30"/>
      <c r="B16" s="31">
        <v>4.0</v>
      </c>
      <c r="C16" s="32" t="s">
        <v>48</v>
      </c>
      <c r="D16" s="32" t="s">
        <v>49</v>
      </c>
      <c r="E16" s="40" t="s">
        <v>3817</v>
      </c>
      <c r="F16" s="13"/>
      <c r="G16" s="37" t="s">
        <v>3818</v>
      </c>
      <c r="H16" s="36"/>
      <c r="I16" s="41"/>
      <c r="J16" s="35" t="s">
        <v>3819</v>
      </c>
      <c r="K16" s="13"/>
      <c r="L16" s="45" t="s">
        <v>3820</v>
      </c>
      <c r="M16" s="13"/>
      <c r="N16" s="89" t="s">
        <v>3821</v>
      </c>
      <c r="O16" s="13"/>
      <c r="P16" s="37" t="s">
        <v>3822</v>
      </c>
      <c r="Q16" s="41"/>
      <c r="R16" s="43" t="s">
        <v>3823</v>
      </c>
      <c r="S16" s="34" t="s">
        <v>3824</v>
      </c>
      <c r="T16" s="91" t="s">
        <v>3825</v>
      </c>
      <c r="U16" s="36"/>
      <c r="V16" s="41"/>
      <c r="W16" s="26"/>
      <c r="X16" s="42" t="s">
        <v>48</v>
      </c>
      <c r="Y16" s="42" t="s">
        <v>49</v>
      </c>
      <c r="Z16" s="48" t="s">
        <v>57</v>
      </c>
      <c r="AA16" s="85" t="str">
        <f>AA$6</f>
        <v/>
      </c>
      <c r="AB16" s="15" t="str">
        <f>IFERROR(__xludf.DUMMYFUNCTION("join("","",filter(split($H$83,"",""),ARRAYFORMULA(ISERROR(FIND(split($H$83,"",""),CONCATENATE(E16:V16))))=TRUE))"),"КЗ,201,202,206,210,403,408,409,410,АЗ")</f>
        <v>КЗ,201,202,206,210,403,408,409,410,АЗ</v>
      </c>
      <c r="AC16" s="14"/>
      <c r="AD16" s="14"/>
      <c r="AE16" s="14"/>
      <c r="AF16" s="29"/>
      <c r="AG16" s="29"/>
      <c r="AH16" s="29"/>
    </row>
    <row r="17" ht="40.5" hidden="1" customHeight="1">
      <c r="A17" s="30"/>
      <c r="B17" s="31">
        <v>5.0</v>
      </c>
      <c r="C17" s="32" t="s">
        <v>58</v>
      </c>
      <c r="D17" s="53">
        <v>44847.0</v>
      </c>
      <c r="E17" s="45" t="s">
        <v>3826</v>
      </c>
      <c r="F17" s="13"/>
      <c r="G17" s="33" t="s">
        <v>3827</v>
      </c>
      <c r="H17" s="45" t="s">
        <v>3828</v>
      </c>
      <c r="I17" s="41"/>
      <c r="J17" s="35" t="s">
        <v>3829</v>
      </c>
      <c r="K17" s="13"/>
      <c r="L17" s="40" t="s">
        <v>3830</v>
      </c>
      <c r="M17" s="13"/>
      <c r="N17" s="45" t="s">
        <v>3831</v>
      </c>
      <c r="O17" s="13"/>
      <c r="P17" s="33" t="s">
        <v>3832</v>
      </c>
      <c r="Q17" s="34" t="s">
        <v>3833</v>
      </c>
      <c r="R17" s="326" t="s">
        <v>3834</v>
      </c>
      <c r="S17" s="92" t="s">
        <v>3835</v>
      </c>
      <c r="T17" s="565" t="s">
        <v>3836</v>
      </c>
      <c r="U17" s="36"/>
      <c r="V17" s="41"/>
      <c r="W17" s="26"/>
      <c r="X17" s="42" t="s">
        <v>58</v>
      </c>
      <c r="Y17" s="54">
        <v>44847.0</v>
      </c>
      <c r="Z17" s="48" t="s">
        <v>70</v>
      </c>
      <c r="AA17" s="85" t="str">
        <f>AA$7</f>
        <v/>
      </c>
      <c r="AB17" s="15" t="str">
        <f>IFERROR(__xludf.DUMMYFUNCTION("join("","",filter(split($H$83,"",""),ARRAYFORMULA(ISERROR(FIND(split($H$83,"",""),CONCATENATE(E17:V17))))=TRUE))"),"СЗ,202,206,209,403,408,410,АЗ")</f>
        <v>СЗ,202,206,209,403,408,410,АЗ</v>
      </c>
      <c r="AC17" s="14"/>
      <c r="AD17" s="14"/>
      <c r="AE17" s="14"/>
      <c r="AF17" s="29"/>
      <c r="AG17" s="29"/>
      <c r="AH17" s="29"/>
    </row>
    <row r="18" ht="40.5" hidden="1" customHeight="1">
      <c r="A18" s="30"/>
      <c r="B18" s="31">
        <v>6.0</v>
      </c>
      <c r="C18" s="55" t="s">
        <v>71</v>
      </c>
      <c r="D18" s="56" t="s">
        <v>72</v>
      </c>
      <c r="E18" s="45" t="s">
        <v>3837</v>
      </c>
      <c r="F18" s="13"/>
      <c r="G18" s="33" t="s">
        <v>3838</v>
      </c>
      <c r="H18" s="45" t="s">
        <v>3839</v>
      </c>
      <c r="I18" s="41"/>
      <c r="J18" s="35" t="s">
        <v>3840</v>
      </c>
      <c r="K18" s="13"/>
      <c r="L18" s="40" t="s">
        <v>3841</v>
      </c>
      <c r="M18" s="13"/>
      <c r="N18" s="45" t="s">
        <v>3842</v>
      </c>
      <c r="O18" s="13"/>
      <c r="P18" s="33" t="s">
        <v>3843</v>
      </c>
      <c r="Q18" s="34" t="s">
        <v>3844</v>
      </c>
      <c r="R18" s="326" t="s">
        <v>3845</v>
      </c>
      <c r="S18" s="92" t="s">
        <v>3846</v>
      </c>
      <c r="T18" s="93" t="s">
        <v>3847</v>
      </c>
      <c r="U18" s="36"/>
      <c r="V18" s="41"/>
      <c r="W18" s="26"/>
      <c r="X18" s="58" t="s">
        <v>71</v>
      </c>
      <c r="Y18" s="59" t="s">
        <v>72</v>
      </c>
      <c r="Z18" s="48" t="s">
        <v>84</v>
      </c>
      <c r="AA18" s="85" t="str">
        <f>AA$8</f>
        <v/>
      </c>
      <c r="AB18" s="15" t="str">
        <f>IFERROR(__xludf.DUMMYFUNCTION("join("","",filter(split($H$83,"",""),ARRAYFORMULA(ISERROR(FIND(split($H$83,"",""),CONCATENATE(E18:V18))))=TRUE))"),"СЗ,202,206,209,403,408,410,АЗ")</f>
        <v>СЗ,202,206,209,403,408,410,АЗ</v>
      </c>
      <c r="AC18" s="14"/>
      <c r="AD18" s="14"/>
      <c r="AE18" s="14"/>
      <c r="AF18" s="29"/>
      <c r="AG18" s="29"/>
      <c r="AH18" s="29"/>
    </row>
    <row r="19" ht="40.5" hidden="1" customHeight="1">
      <c r="A19" s="30"/>
      <c r="B19" s="31">
        <v>7.0</v>
      </c>
      <c r="C19" s="32" t="s">
        <v>85</v>
      </c>
      <c r="D19" s="32" t="s">
        <v>86</v>
      </c>
      <c r="E19" s="94" t="s">
        <v>3848</v>
      </c>
      <c r="F19" s="13"/>
      <c r="G19" s="33" t="s">
        <v>3849</v>
      </c>
      <c r="H19" s="45" t="s">
        <v>3850</v>
      </c>
      <c r="I19" s="41"/>
      <c r="J19" s="95" t="s">
        <v>3851</v>
      </c>
      <c r="K19" s="13"/>
      <c r="L19" s="45" t="s">
        <v>3852</v>
      </c>
      <c r="M19" s="13"/>
      <c r="N19" s="45" t="s">
        <v>3853</v>
      </c>
      <c r="O19" s="13"/>
      <c r="P19" s="37" t="s">
        <v>3854</v>
      </c>
      <c r="Q19" s="41"/>
      <c r="R19" s="96" t="s">
        <v>3855</v>
      </c>
      <c r="S19" s="97" t="s">
        <v>3856</v>
      </c>
      <c r="T19" s="93" t="s">
        <v>3857</v>
      </c>
      <c r="U19" s="36"/>
      <c r="V19" s="41"/>
      <c r="W19" s="26"/>
      <c r="X19" s="42" t="s">
        <v>85</v>
      </c>
      <c r="Y19" s="42" t="s">
        <v>86</v>
      </c>
      <c r="Z19" s="48" t="s">
        <v>97</v>
      </c>
      <c r="AA19" s="85" t="str">
        <f>AA$9</f>
        <v/>
      </c>
      <c r="AB19" s="15" t="str">
        <f>IFERROR(__xludf.DUMMYFUNCTION("join("","",filter(split($H$83,"",""),ARRAYFORMULA(ISERROR(FIND(split($H$83,"",""),CONCATENATE(E19:V19))))=TRUE))"),"СЗ,202,206,209,403,404,405,410,АЗ")</f>
        <v>СЗ,202,206,209,403,404,405,410,АЗ</v>
      </c>
      <c r="AC19" s="14"/>
      <c r="AD19" s="14"/>
      <c r="AE19" s="14"/>
      <c r="AF19" s="29"/>
      <c r="AG19" s="29"/>
      <c r="AH19" s="29"/>
    </row>
    <row r="20" ht="40.5" hidden="1" customHeight="1">
      <c r="A20" s="30"/>
      <c r="B20" s="31">
        <v>8.0</v>
      </c>
      <c r="C20" s="32" t="s">
        <v>98</v>
      </c>
      <c r="D20" s="32" t="s">
        <v>99</v>
      </c>
      <c r="E20" s="94" t="s">
        <v>3858</v>
      </c>
      <c r="F20" s="13"/>
      <c r="G20" s="33" t="s">
        <v>3859</v>
      </c>
      <c r="H20" s="45" t="s">
        <v>3860</v>
      </c>
      <c r="I20" s="41"/>
      <c r="J20" s="95" t="s">
        <v>3861</v>
      </c>
      <c r="K20" s="13"/>
      <c r="L20" s="45" t="s">
        <v>3862</v>
      </c>
      <c r="M20" s="13"/>
      <c r="N20" s="45" t="s">
        <v>3863</v>
      </c>
      <c r="O20" s="13"/>
      <c r="P20" s="37" t="s">
        <v>3864</v>
      </c>
      <c r="Q20" s="41"/>
      <c r="R20" s="96" t="s">
        <v>3865</v>
      </c>
      <c r="S20" s="97" t="s">
        <v>3866</v>
      </c>
      <c r="T20" s="93" t="s">
        <v>3867</v>
      </c>
      <c r="U20" s="36"/>
      <c r="V20" s="41"/>
      <c r="W20" s="26"/>
      <c r="X20" s="42" t="s">
        <v>98</v>
      </c>
      <c r="Y20" s="42" t="s">
        <v>99</v>
      </c>
      <c r="Z20" s="11"/>
      <c r="AA20" s="98"/>
      <c r="AB20" s="15" t="str">
        <f>IFERROR(__xludf.DUMMYFUNCTION("join("","",filter(split($H$83,"",""),ARRAYFORMULA(ISERROR(FIND(split($H$83,"",""),CONCATENATE(E20:V20))))=TRUE))"),"СЗ,202,206,209,403,404,405,410,АЗ")</f>
        <v>СЗ,202,206,209,403,404,405,410,АЗ</v>
      </c>
      <c r="AC20" s="14"/>
      <c r="AD20" s="14"/>
      <c r="AE20" s="14"/>
      <c r="AF20" s="29"/>
      <c r="AG20" s="29"/>
      <c r="AH20" s="29"/>
    </row>
    <row r="21" ht="40.5" hidden="1" customHeight="1">
      <c r="A21" s="30"/>
      <c r="B21" s="31">
        <v>9.0</v>
      </c>
      <c r="C21" s="65">
        <v>44697.0</v>
      </c>
      <c r="D21" s="44" t="s">
        <v>109</v>
      </c>
      <c r="E21" s="99" t="s">
        <v>206</v>
      </c>
      <c r="F21" s="4"/>
      <c r="G21" s="437" t="s">
        <v>3868</v>
      </c>
      <c r="H21" s="101" t="s">
        <v>208</v>
      </c>
      <c r="I21" s="36"/>
      <c r="J21" s="36"/>
      <c r="K21" s="36"/>
      <c r="L21" s="36"/>
      <c r="M21" s="13"/>
      <c r="N21" s="45" t="s">
        <v>3869</v>
      </c>
      <c r="O21" s="13"/>
      <c r="P21" s="102" t="s">
        <v>3870</v>
      </c>
      <c r="Q21" s="41"/>
      <c r="R21" s="35" t="s">
        <v>211</v>
      </c>
      <c r="S21" s="41"/>
      <c r="T21" s="103" t="s">
        <v>3871</v>
      </c>
      <c r="U21" s="36"/>
      <c r="V21" s="41"/>
      <c r="W21" s="26"/>
      <c r="X21" s="69">
        <v>44697.0</v>
      </c>
      <c r="Y21" s="70" t="s">
        <v>109</v>
      </c>
      <c r="Z21" s="28"/>
      <c r="AA21" s="98"/>
      <c r="AB21" s="15" t="str">
        <f>IFERROR(__xludf.DUMMYFUNCTION("join("","",filter(split($H$83,"",""),ARRAYFORMULA(ISERROR(FIND(split($H$83,"",""),CONCATENATE(E21:V21))))=TRUE))"),"201,206,209,210,401,403,404,405,406,408,АЗ")</f>
        <v>201,206,209,210,401,403,404,405,406,408,АЗ</v>
      </c>
      <c r="AC21" s="14"/>
      <c r="AD21" s="14"/>
      <c r="AE21" s="14"/>
      <c r="AF21" s="29"/>
      <c r="AG21" s="29"/>
      <c r="AH21" s="29"/>
    </row>
    <row r="22" ht="40.5" hidden="1" customHeight="1">
      <c r="A22" s="30"/>
      <c r="B22" s="31">
        <v>10.0</v>
      </c>
      <c r="C22" s="44" t="s">
        <v>120</v>
      </c>
      <c r="D22" s="44" t="s">
        <v>121</v>
      </c>
      <c r="E22" s="104"/>
      <c r="F22" s="72"/>
      <c r="G22" s="173"/>
      <c r="H22" s="106" t="s">
        <v>3033</v>
      </c>
      <c r="I22" s="36"/>
      <c r="J22" s="36"/>
      <c r="K22" s="36"/>
      <c r="L22" s="36"/>
      <c r="M22" s="13"/>
      <c r="N22" s="45" t="s">
        <v>3872</v>
      </c>
      <c r="O22" s="13"/>
      <c r="P22" s="101" t="s">
        <v>215</v>
      </c>
      <c r="Q22" s="36"/>
      <c r="R22" s="36"/>
      <c r="S22" s="13"/>
      <c r="T22" s="107" t="s">
        <v>3873</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3874</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hidden="1" customHeight="1">
      <c r="A24" s="18">
        <v>44874.0</v>
      </c>
      <c r="B24" s="435">
        <v>1.0</v>
      </c>
      <c r="C24" s="20" t="s">
        <v>12</v>
      </c>
      <c r="D24" s="20" t="s">
        <v>13</v>
      </c>
      <c r="E24" s="21" t="s">
        <v>3875</v>
      </c>
      <c r="F24" s="22"/>
      <c r="G24" s="116" t="s">
        <v>3876</v>
      </c>
      <c r="H24" s="117" t="s">
        <v>3877</v>
      </c>
      <c r="I24" s="22"/>
      <c r="J24" s="118" t="s">
        <v>221</v>
      </c>
      <c r="K24" s="24"/>
      <c r="L24" s="24"/>
      <c r="M24" s="25"/>
      <c r="N24" s="80" t="s">
        <v>3878</v>
      </c>
      <c r="O24" s="25"/>
      <c r="P24" s="331" t="s">
        <v>3879</v>
      </c>
      <c r="Q24" s="24"/>
      <c r="R24" s="24"/>
      <c r="S24" s="22"/>
      <c r="T24" s="121" t="s">
        <v>3880</v>
      </c>
      <c r="U24" s="24"/>
      <c r="V24" s="22"/>
      <c r="W24" s="26"/>
      <c r="X24" s="27" t="s">
        <v>12</v>
      </c>
      <c r="Y24" s="27" t="s">
        <v>13</v>
      </c>
      <c r="Z24" s="28"/>
      <c r="AA24" s="14"/>
      <c r="AB24" s="15" t="str">
        <f>IFERROR(__xludf.DUMMYFUNCTION("join("","",filter(split($H$83,"",""),ARRAYFORMULA(ISERROR(FIND(split($H$83,"",""),CONCATENATE(E24:V24))))=TRUE))"),"СЗ,КЗ,206,210,401,402,403,404,405,406,409,410")</f>
        <v>СЗ,КЗ,206,210,401,402,403,404,405,406,409,410</v>
      </c>
      <c r="AC24" s="14"/>
      <c r="AD24" s="14"/>
      <c r="AE24" s="14"/>
      <c r="AF24" s="29"/>
      <c r="AG24" s="29"/>
      <c r="AH24" s="29"/>
    </row>
    <row r="25" ht="40.5" hidden="1" customHeight="1">
      <c r="A25" s="30"/>
      <c r="B25" s="436">
        <v>2.0</v>
      </c>
      <c r="C25" s="32" t="s">
        <v>21</v>
      </c>
      <c r="D25" s="32" t="s">
        <v>22</v>
      </c>
      <c r="E25" s="51" t="s">
        <v>3881</v>
      </c>
      <c r="F25" s="41"/>
      <c r="G25" s="39" t="s">
        <v>3882</v>
      </c>
      <c r="H25" s="89" t="s">
        <v>3883</v>
      </c>
      <c r="I25" s="41"/>
      <c r="J25" s="35" t="s">
        <v>3884</v>
      </c>
      <c r="K25" s="13"/>
      <c r="L25" s="40" t="s">
        <v>3885</v>
      </c>
      <c r="M25" s="13"/>
      <c r="N25" s="40" t="s">
        <v>3886</v>
      </c>
      <c r="O25" s="13"/>
      <c r="P25" s="37" t="s">
        <v>3887</v>
      </c>
      <c r="Q25" s="13"/>
      <c r="R25" s="122" t="s">
        <v>3888</v>
      </c>
      <c r="S25" s="41"/>
      <c r="T25" s="103" t="s">
        <v>3889</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hidden="1" customHeight="1">
      <c r="A26" s="30"/>
      <c r="B26" s="436">
        <v>3.0</v>
      </c>
      <c r="C26" s="32" t="s">
        <v>33</v>
      </c>
      <c r="D26" s="32" t="s">
        <v>34</v>
      </c>
      <c r="E26" s="37" t="s">
        <v>3890</v>
      </c>
      <c r="F26" s="41"/>
      <c r="G26" s="51" t="s">
        <v>3891</v>
      </c>
      <c r="H26" s="36"/>
      <c r="I26" s="41"/>
      <c r="J26" s="95" t="s">
        <v>3892</v>
      </c>
      <c r="K26" s="13"/>
      <c r="L26" s="123" t="s">
        <v>3893</v>
      </c>
      <c r="M26" s="41"/>
      <c r="N26" s="40" t="s">
        <v>3894</v>
      </c>
      <c r="O26" s="13"/>
      <c r="P26" s="39" t="s">
        <v>3895</v>
      </c>
      <c r="Q26" s="124" t="s">
        <v>3896</v>
      </c>
      <c r="R26" s="89" t="s">
        <v>3897</v>
      </c>
      <c r="S26" s="41"/>
      <c r="T26" s="125" t="s">
        <v>3898</v>
      </c>
      <c r="U26" s="36"/>
      <c r="V26" s="41"/>
      <c r="W26" s="26"/>
      <c r="X26" s="42" t="s">
        <v>33</v>
      </c>
      <c r="Y26" s="42" t="s">
        <v>34</v>
      </c>
      <c r="Z26" s="48" t="s">
        <v>47</v>
      </c>
      <c r="AA26" s="85" t="str">
        <f>AA$5</f>
        <v/>
      </c>
      <c r="AB26" s="15" t="str">
        <f>IFERROR(__xludf.DUMMYFUNCTION("join("","",filter(split($H$83,"",""),ARRAYFORMULA(ISERROR(FIND(split($H$83,"",""),CONCATENATE(E26:V26))))=TRUE))"),"СЗ,КЗ,206,210,403,404,405,408,410,АЗ")</f>
        <v>СЗ,КЗ,206,210,403,404,405,408,410,АЗ</v>
      </c>
      <c r="AC26" s="14"/>
      <c r="AD26" s="14"/>
      <c r="AE26" s="14"/>
      <c r="AF26" s="29"/>
      <c r="AG26" s="29"/>
      <c r="AH26" s="29"/>
    </row>
    <row r="27" ht="54.0" hidden="1" customHeight="1">
      <c r="A27" s="30"/>
      <c r="B27" s="436">
        <v>4.0</v>
      </c>
      <c r="C27" s="32" t="s">
        <v>48</v>
      </c>
      <c r="D27" s="32" t="s">
        <v>49</v>
      </c>
      <c r="E27" s="33" t="s">
        <v>3899</v>
      </c>
      <c r="F27" s="286" t="s">
        <v>3900</v>
      </c>
      <c r="G27" s="37" t="s">
        <v>3901</v>
      </c>
      <c r="H27" s="13"/>
      <c r="I27" s="92" t="s">
        <v>3902</v>
      </c>
      <c r="J27" s="107" t="s">
        <v>3903</v>
      </c>
      <c r="K27" s="13"/>
      <c r="L27" s="45" t="s">
        <v>3904</v>
      </c>
      <c r="M27" s="13"/>
      <c r="N27" s="127" t="s">
        <v>3905</v>
      </c>
      <c r="O27" s="13"/>
      <c r="P27" s="37" t="s">
        <v>3906</v>
      </c>
      <c r="Q27" s="13"/>
      <c r="R27" s="132" t="s">
        <v>3907</v>
      </c>
      <c r="S27" s="34" t="s">
        <v>3908</v>
      </c>
      <c r="T27" s="125" t="s">
        <v>3909</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D27" s="14"/>
      <c r="AE27" s="14"/>
      <c r="AF27" s="29"/>
      <c r="AG27" s="29"/>
      <c r="AH27" s="29"/>
    </row>
    <row r="28" ht="53.25" hidden="1" customHeight="1">
      <c r="A28" s="30"/>
      <c r="B28" s="436">
        <v>5.0</v>
      </c>
      <c r="C28" s="32" t="s">
        <v>58</v>
      </c>
      <c r="D28" s="53">
        <v>44847.0</v>
      </c>
      <c r="E28" s="33" t="s">
        <v>3910</v>
      </c>
      <c r="F28" s="92" t="s">
        <v>3911</v>
      </c>
      <c r="G28" s="37" t="s">
        <v>3912</v>
      </c>
      <c r="H28" s="13"/>
      <c r="I28" s="92" t="s">
        <v>3913</v>
      </c>
      <c r="J28" s="123" t="s">
        <v>3914</v>
      </c>
      <c r="K28" s="41"/>
      <c r="L28" s="45" t="s">
        <v>3915</v>
      </c>
      <c r="M28" s="13"/>
      <c r="N28" s="89" t="s">
        <v>3916</v>
      </c>
      <c r="O28" s="13"/>
      <c r="P28" s="39" t="s">
        <v>3917</v>
      </c>
      <c r="Q28" s="124" t="s">
        <v>3918</v>
      </c>
      <c r="R28" s="132" t="s">
        <v>3919</v>
      </c>
      <c r="S28" s="34" t="s">
        <v>3920</v>
      </c>
      <c r="T28" s="128" t="s">
        <v>3921</v>
      </c>
      <c r="U28" s="8"/>
      <c r="V28" s="129"/>
      <c r="W28" s="26"/>
      <c r="X28" s="42" t="s">
        <v>58</v>
      </c>
      <c r="Y28" s="54">
        <v>44847.0</v>
      </c>
      <c r="Z28" s="48" t="s">
        <v>70</v>
      </c>
      <c r="AA28" s="85" t="str">
        <f>AA$7</f>
        <v/>
      </c>
      <c r="AB28" s="15" t="str">
        <f>IFERROR(__xludf.DUMMYFUNCTION("join("","",filter(split($H$83,"",""),ARRAYFORMULA(ISERROR(FIND(split($H$83,"",""),CONCATENATE(E28:V28))))=TRUE))"),"СЗ,206,209,403,404,405,410")</f>
        <v>СЗ,206,209,403,404,405,410</v>
      </c>
      <c r="AC28" s="14"/>
      <c r="AD28" s="14"/>
      <c r="AE28" s="14"/>
      <c r="AF28" s="29"/>
      <c r="AG28" s="29"/>
      <c r="AH28" s="29"/>
    </row>
    <row r="29" ht="40.5" hidden="1" customHeight="1">
      <c r="A29" s="30"/>
      <c r="B29" s="436">
        <v>6.0</v>
      </c>
      <c r="C29" s="55" t="s">
        <v>71</v>
      </c>
      <c r="D29" s="56" t="s">
        <v>72</v>
      </c>
      <c r="E29" s="39" t="s">
        <v>3922</v>
      </c>
      <c r="F29" s="34" t="s">
        <v>3923</v>
      </c>
      <c r="G29" s="40" t="s">
        <v>3924</v>
      </c>
      <c r="H29" s="41"/>
      <c r="I29" s="34" t="s">
        <v>3925</v>
      </c>
      <c r="J29" s="123" t="s">
        <v>3926</v>
      </c>
      <c r="K29" s="41"/>
      <c r="L29" s="89" t="s">
        <v>3927</v>
      </c>
      <c r="M29" s="13"/>
      <c r="N29" s="130" t="s">
        <v>3928</v>
      </c>
      <c r="O29" s="13"/>
      <c r="P29" s="131" t="s">
        <v>3929</v>
      </c>
      <c r="Q29" s="132" t="s">
        <v>3930</v>
      </c>
      <c r="R29" s="437" t="s">
        <v>3931</v>
      </c>
      <c r="S29" s="92" t="s">
        <v>3932</v>
      </c>
      <c r="V29" s="134"/>
      <c r="W29" s="26"/>
      <c r="X29" s="58" t="s">
        <v>71</v>
      </c>
      <c r="Y29" s="59" t="s">
        <v>72</v>
      </c>
      <c r="Z29" s="48" t="s">
        <v>84</v>
      </c>
      <c r="AA29" s="85" t="str">
        <f>AA$8</f>
        <v/>
      </c>
      <c r="AB29" s="15" t="str">
        <f>IFERROR(__xludf.DUMMYFUNCTION("join("","",filter(split($H$83,"",""),ARRAYFORMULA(ISERROR(FIND(split($H$83,"",""),CONCATENATE(E29:V29))))=TRUE))"),"СЗ,КЗ,201,206,403,404,410,АЗ")</f>
        <v>СЗ,КЗ,201,206,403,404,410,АЗ</v>
      </c>
      <c r="AC29" s="14"/>
      <c r="AD29" s="14"/>
      <c r="AE29" s="14"/>
      <c r="AF29" s="29"/>
      <c r="AG29" s="29"/>
      <c r="AH29" s="29"/>
    </row>
    <row r="30" ht="40.5" hidden="1" customHeight="1">
      <c r="A30" s="30"/>
      <c r="B30" s="436">
        <v>7.0</v>
      </c>
      <c r="C30" s="32" t="s">
        <v>85</v>
      </c>
      <c r="D30" s="32" t="s">
        <v>86</v>
      </c>
      <c r="E30" s="39" t="s">
        <v>3933</v>
      </c>
      <c r="F30" s="34" t="s">
        <v>3934</v>
      </c>
      <c r="G30" s="40" t="s">
        <v>3935</v>
      </c>
      <c r="H30" s="41"/>
      <c r="I30" s="34" t="s">
        <v>3936</v>
      </c>
      <c r="J30" s="35" t="s">
        <v>3937</v>
      </c>
      <c r="K30" s="13"/>
      <c r="L30" s="123" t="s">
        <v>3938</v>
      </c>
      <c r="M30" s="41"/>
      <c r="N30" s="130" t="s">
        <v>3939</v>
      </c>
      <c r="O30" s="13"/>
      <c r="P30" s="131" t="s">
        <v>3940</v>
      </c>
      <c r="Q30" s="132" t="s">
        <v>3941</v>
      </c>
      <c r="R30" s="173"/>
      <c r="S30" s="92" t="s">
        <v>3942</v>
      </c>
      <c r="V30" s="134"/>
      <c r="W30" s="26"/>
      <c r="X30" s="42" t="s">
        <v>85</v>
      </c>
      <c r="Y30" s="42" t="s">
        <v>86</v>
      </c>
      <c r="Z30" s="48" t="s">
        <v>97</v>
      </c>
      <c r="AA30" s="85" t="str">
        <f>AA$9</f>
        <v/>
      </c>
      <c r="AB30" s="15" t="str">
        <f>IFERROR(__xludf.DUMMYFUNCTION("join("","",filter(split($H$83,"",""),ARRAYFORMULA(ISERROR(FIND(split($H$83,"",""),CONCATENATE(E30:V30))))=TRUE))"),"СЗ,КЗ,206,403,404,405,409,410,АЗ")</f>
        <v>СЗ,КЗ,206,403,404,405,409,410,АЗ</v>
      </c>
      <c r="AC30" s="14"/>
      <c r="AD30" s="14"/>
      <c r="AE30" s="14"/>
      <c r="AF30" s="29"/>
      <c r="AG30" s="29"/>
      <c r="AH30" s="29"/>
    </row>
    <row r="31" ht="52.5" hidden="1" customHeight="1">
      <c r="A31" s="30"/>
      <c r="B31" s="436">
        <v>8.0</v>
      </c>
      <c r="C31" s="32" t="s">
        <v>98</v>
      </c>
      <c r="D31" s="32" t="s">
        <v>99</v>
      </c>
      <c r="E31" s="46" t="s">
        <v>3943</v>
      </c>
      <c r="F31" s="41"/>
      <c r="G31" s="137" t="s">
        <v>3944</v>
      </c>
      <c r="H31" s="8"/>
      <c r="I31" s="129"/>
      <c r="J31" s="334" t="s">
        <v>3945</v>
      </c>
      <c r="K31" s="36"/>
      <c r="L31" s="36"/>
      <c r="M31" s="13"/>
      <c r="N31" s="45" t="s">
        <v>3946</v>
      </c>
      <c r="O31" s="13"/>
      <c r="P31" s="33" t="s">
        <v>3947</v>
      </c>
      <c r="Q31" s="408" t="s">
        <v>3948</v>
      </c>
      <c r="R31" s="144"/>
      <c r="S31" s="133" t="s">
        <v>276</v>
      </c>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hidden="1" customHeight="1">
      <c r="A32" s="30"/>
      <c r="B32" s="436">
        <v>9.0</v>
      </c>
      <c r="C32" s="65">
        <v>44697.0</v>
      </c>
      <c r="D32" s="44" t="s">
        <v>109</v>
      </c>
      <c r="E32" s="141" t="s">
        <v>3949</v>
      </c>
      <c r="F32" s="13"/>
      <c r="G32" s="142"/>
      <c r="H32" s="64"/>
      <c r="I32" s="88"/>
      <c r="J32" s="334" t="s">
        <v>3950</v>
      </c>
      <c r="K32" s="36"/>
      <c r="L32" s="36"/>
      <c r="M32" s="13"/>
      <c r="N32" s="45" t="s">
        <v>3951</v>
      </c>
      <c r="O32" s="13"/>
      <c r="P32" s="33" t="s">
        <v>3952</v>
      </c>
      <c r="Q32" s="408" t="s">
        <v>3953</v>
      </c>
      <c r="R32" s="144"/>
      <c r="S32" s="92"/>
      <c r="T32" s="64"/>
      <c r="U32" s="64"/>
      <c r="V32" s="88"/>
      <c r="W32" s="26"/>
      <c r="X32" s="69">
        <v>44697.0</v>
      </c>
      <c r="Y32" s="70" t="s">
        <v>109</v>
      </c>
      <c r="Z32" s="28"/>
      <c r="AA32" s="14"/>
      <c r="AB32" s="15" t="str">
        <f>IFERROR(__xludf.DUMMYFUNCTION("join("","",filter(split($H$83,"",""),ARRAYFORMULA(ISERROR(FIND(split($H$83,"",""),CONCATENATE(E32:V32))))=TRUE))"),"СЗ,КЗ,201,206,401,402,403,404,405,406,408,409,АЗ")</f>
        <v>СЗ,КЗ,201,206,401,402,403,404,405,406,408,409,АЗ</v>
      </c>
      <c r="AC32" s="14"/>
      <c r="AD32" s="14"/>
      <c r="AE32" s="14"/>
      <c r="AF32" s="29"/>
      <c r="AG32" s="29"/>
      <c r="AH32" s="29"/>
    </row>
    <row r="33" ht="40.5" hidden="1" customHeight="1">
      <c r="A33" s="30"/>
      <c r="B33" s="436">
        <v>10.0</v>
      </c>
      <c r="C33" s="44" t="s">
        <v>120</v>
      </c>
      <c r="D33" s="44" t="s">
        <v>121</v>
      </c>
      <c r="E33" s="141" t="s">
        <v>3954</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3955</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18">
        <v>44875.0</v>
      </c>
      <c r="B35" s="19">
        <v>1.0</v>
      </c>
      <c r="C35" s="20" t="s">
        <v>12</v>
      </c>
      <c r="D35" s="20" t="s">
        <v>13</v>
      </c>
      <c r="E35" s="80"/>
      <c r="F35" s="25"/>
      <c r="G35" s="80" t="s">
        <v>3956</v>
      </c>
      <c r="H35" s="24"/>
      <c r="I35" s="25"/>
      <c r="J35" s="157" t="s">
        <v>3957</v>
      </c>
      <c r="K35" s="13"/>
      <c r="L35" s="156" t="s">
        <v>3958</v>
      </c>
      <c r="M35" s="156" t="s">
        <v>3959</v>
      </c>
      <c r="N35" s="80" t="s">
        <v>3960</v>
      </c>
      <c r="O35" s="25"/>
      <c r="P35" s="156" t="s">
        <v>3961</v>
      </c>
      <c r="Q35" s="156" t="s">
        <v>3962</v>
      </c>
      <c r="R35" s="159" t="s">
        <v>3963</v>
      </c>
      <c r="S35" s="160" t="s">
        <v>3964</v>
      </c>
      <c r="T35" s="161" t="s">
        <v>3965</v>
      </c>
      <c r="U35" s="24"/>
      <c r="V35" s="22"/>
      <c r="W35" s="26"/>
      <c r="X35" s="27" t="s">
        <v>12</v>
      </c>
      <c r="Y35" s="27" t="s">
        <v>13</v>
      </c>
      <c r="Z35" s="28"/>
      <c r="AA35" s="14"/>
      <c r="AB35" s="15" t="str">
        <f>IFERROR(__xludf.DUMMYFUNCTION("join("","",filter(split($H$83,"",""),ARRAYFORMULA(ISERROR(FIND(split($H$83,"",""),CONCATENATE(E35:V35))))=TRUE))"),"СЗ,201,206,402,403,406,410,АЗ")</f>
        <v>СЗ,201,206,402,403,406,410,АЗ</v>
      </c>
      <c r="AC35" s="14"/>
      <c r="AD35" s="14"/>
      <c r="AE35" s="14"/>
      <c r="AF35" s="29"/>
      <c r="AG35" s="29"/>
      <c r="AH35" s="29"/>
    </row>
    <row r="36" ht="54.0" hidden="1" customHeight="1">
      <c r="A36" s="30"/>
      <c r="B36" s="31">
        <v>2.0</v>
      </c>
      <c r="C36" s="32" t="s">
        <v>21</v>
      </c>
      <c r="D36" s="32" t="s">
        <v>22</v>
      </c>
      <c r="E36" s="45" t="s">
        <v>3966</v>
      </c>
      <c r="F36" s="13"/>
      <c r="G36" s="45" t="s">
        <v>3967</v>
      </c>
      <c r="H36" s="36"/>
      <c r="I36" s="13"/>
      <c r="J36" s="157" t="s">
        <v>313</v>
      </c>
      <c r="K36" s="13"/>
      <c r="L36" s="44" t="s">
        <v>3968</v>
      </c>
      <c r="M36" s="44" t="s">
        <v>3969</v>
      </c>
      <c r="N36" s="45" t="s">
        <v>316</v>
      </c>
      <c r="O36" s="13"/>
      <c r="P36" s="44" t="s">
        <v>3970</v>
      </c>
      <c r="Q36" s="44" t="s">
        <v>3971</v>
      </c>
      <c r="R36" s="571" t="s">
        <v>3972</v>
      </c>
      <c r="S36" s="90" t="s">
        <v>320</v>
      </c>
      <c r="T36" s="163" t="s">
        <v>3973</v>
      </c>
      <c r="U36" s="36"/>
      <c r="V36" s="41"/>
      <c r="W36" s="26"/>
      <c r="X36" s="42" t="s">
        <v>21</v>
      </c>
      <c r="Y36" s="42" t="s">
        <v>22</v>
      </c>
      <c r="Z36" s="28"/>
      <c r="AA36" s="14"/>
      <c r="AB36" s="15" t="str">
        <f>IFERROR(__xludf.DUMMYFUNCTION("join("","",filter(split($H$83,"",""),ARRAYFORMULA(ISERROR(FIND(split($H$83,"",""),CONCATENATE(E36:V36))))=TRUE))"),"СЗ,206,403,406,410,АЗ")</f>
        <v>СЗ,206,403,406,410,АЗ</v>
      </c>
      <c r="AC36" s="14"/>
      <c r="AD36" s="14"/>
      <c r="AE36" s="14"/>
      <c r="AF36" s="29"/>
      <c r="AG36" s="29"/>
      <c r="AH36" s="29"/>
    </row>
    <row r="37" ht="56.25" hidden="1" customHeight="1">
      <c r="A37" s="30"/>
      <c r="B37" s="31">
        <v>3.0</v>
      </c>
      <c r="C37" s="32" t="s">
        <v>33</v>
      </c>
      <c r="D37" s="32" t="s">
        <v>34</v>
      </c>
      <c r="E37" s="45" t="s">
        <v>3974</v>
      </c>
      <c r="F37" s="13"/>
      <c r="G37" s="132" t="s">
        <v>3975</v>
      </c>
      <c r="H37" s="45" t="s">
        <v>3976</v>
      </c>
      <c r="I37" s="13"/>
      <c r="J37" s="45" t="s">
        <v>3977</v>
      </c>
      <c r="K37" s="13"/>
      <c r="L37" s="44" t="s">
        <v>3978</v>
      </c>
      <c r="M37" s="44" t="s">
        <v>3979</v>
      </c>
      <c r="N37" s="572" t="s">
        <v>3980</v>
      </c>
      <c r="O37" s="13"/>
      <c r="P37" s="572" t="s">
        <v>3981</v>
      </c>
      <c r="Q37" s="13"/>
      <c r="R37" s="44" t="s">
        <v>3982</v>
      </c>
      <c r="S37" s="44" t="s">
        <v>3983</v>
      </c>
      <c r="T37" s="87" t="s">
        <v>3984</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hidden="1" customHeight="1">
      <c r="A38" s="30"/>
      <c r="B38" s="31">
        <v>4.0</v>
      </c>
      <c r="C38" s="32" t="s">
        <v>48</v>
      </c>
      <c r="D38" s="32" t="s">
        <v>49</v>
      </c>
      <c r="E38" s="45" t="s">
        <v>3985</v>
      </c>
      <c r="F38" s="13"/>
      <c r="G38" s="132" t="s">
        <v>937</v>
      </c>
      <c r="H38" s="40" t="s">
        <v>3986</v>
      </c>
      <c r="I38" s="13"/>
      <c r="J38" s="45" t="s">
        <v>3987</v>
      </c>
      <c r="K38" s="13"/>
      <c r="L38" s="44" t="s">
        <v>3988</v>
      </c>
      <c r="M38" s="44" t="s">
        <v>3989</v>
      </c>
      <c r="N38" s="164" t="s">
        <v>3990</v>
      </c>
      <c r="O38" s="36"/>
      <c r="P38" s="36"/>
      <c r="Q38" s="13"/>
      <c r="R38" s="44" t="s">
        <v>3991</v>
      </c>
      <c r="S38" s="44" t="s">
        <v>3992</v>
      </c>
      <c r="T38" s="87" t="s">
        <v>3993</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hidden="1" customHeight="1">
      <c r="A39" s="30"/>
      <c r="B39" s="31">
        <v>5.0</v>
      </c>
      <c r="C39" s="32" t="s">
        <v>58</v>
      </c>
      <c r="D39" s="53">
        <v>44847.0</v>
      </c>
      <c r="E39" s="45" t="s">
        <v>3994</v>
      </c>
      <c r="F39" s="13"/>
      <c r="G39" s="44" t="s">
        <v>3995</v>
      </c>
      <c r="H39" s="45" t="s">
        <v>3996</v>
      </c>
      <c r="I39" s="13"/>
      <c r="J39" s="44" t="s">
        <v>3997</v>
      </c>
      <c r="K39" s="44" t="s">
        <v>3998</v>
      </c>
      <c r="L39" s="45" t="s">
        <v>3999</v>
      </c>
      <c r="M39" s="13"/>
      <c r="N39" s="44" t="s">
        <v>4000</v>
      </c>
      <c r="O39" s="44" t="s">
        <v>4001</v>
      </c>
      <c r="P39" s="45" t="s">
        <v>4002</v>
      </c>
      <c r="Q39" s="13"/>
      <c r="R39" s="44" t="s">
        <v>4003</v>
      </c>
      <c r="S39" s="132" t="s">
        <v>4004</v>
      </c>
      <c r="T39" s="45" t="s">
        <v>4005</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hidden="1" customHeight="1">
      <c r="A40" s="30"/>
      <c r="B40" s="31">
        <v>6.0</v>
      </c>
      <c r="C40" s="55" t="s">
        <v>71</v>
      </c>
      <c r="D40" s="56" t="s">
        <v>72</v>
      </c>
      <c r="E40" s="45" t="s">
        <v>4006</v>
      </c>
      <c r="F40" s="13"/>
      <c r="G40" s="44" t="s">
        <v>355</v>
      </c>
      <c r="H40" s="45" t="s">
        <v>4007</v>
      </c>
      <c r="I40" s="13"/>
      <c r="J40" s="44" t="s">
        <v>4008</v>
      </c>
      <c r="K40" s="44" t="s">
        <v>4009</v>
      </c>
      <c r="L40" s="45" t="s">
        <v>4010</v>
      </c>
      <c r="M40" s="13"/>
      <c r="N40" s="44" t="s">
        <v>4011</v>
      </c>
      <c r="O40" s="44" t="s">
        <v>4012</v>
      </c>
      <c r="P40" s="45" t="s">
        <v>4013</v>
      </c>
      <c r="Q40" s="13"/>
      <c r="R40" s="44" t="s">
        <v>4014</v>
      </c>
      <c r="S40" s="132" t="s">
        <v>4015</v>
      </c>
      <c r="T40" s="45" t="s">
        <v>4016</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hidden="1" customHeight="1">
      <c r="A41" s="30"/>
      <c r="B41" s="31">
        <v>7.0</v>
      </c>
      <c r="C41" s="32" t="s">
        <v>85</v>
      </c>
      <c r="D41" s="32" t="s">
        <v>86</v>
      </c>
      <c r="E41" s="45" t="s">
        <v>4017</v>
      </c>
      <c r="F41" s="13"/>
      <c r="G41" s="44" t="s">
        <v>4018</v>
      </c>
      <c r="H41" s="45" t="s">
        <v>4019</v>
      </c>
      <c r="I41" s="13"/>
      <c r="J41" s="44" t="s">
        <v>4020</v>
      </c>
      <c r="K41" s="44" t="s">
        <v>4021</v>
      </c>
      <c r="L41" s="45" t="s">
        <v>4022</v>
      </c>
      <c r="M41" s="13"/>
      <c r="N41" s="87" t="s">
        <v>4023</v>
      </c>
      <c r="O41" s="13"/>
      <c r="P41" s="45" t="s">
        <v>4024</v>
      </c>
      <c r="Q41" s="13"/>
      <c r="R41" s="44" t="s">
        <v>4025</v>
      </c>
      <c r="S41" s="44" t="s">
        <v>4026</v>
      </c>
      <c r="T41" s="165" t="s">
        <v>4027</v>
      </c>
      <c r="U41" s="36"/>
      <c r="V41" s="41"/>
      <c r="W41" s="26"/>
      <c r="X41" s="42" t="s">
        <v>85</v>
      </c>
      <c r="Y41" s="42" t="s">
        <v>86</v>
      </c>
      <c r="Z41" s="48" t="s">
        <v>97</v>
      </c>
      <c r="AA41" s="85" t="str">
        <f>AA$9</f>
        <v/>
      </c>
      <c r="AB41" s="15" t="str">
        <f>IFERROR(__xludf.DUMMYFUNCTION("join("","",filter(split($H$83,"",""),ARRAYFORMULA(ISERROR(FIND(split($H$83,"",""),CONCATENATE(E41:V41))))=TRUE))"),"СЗ,КЗ,206,210,403,406,410,АЗ")</f>
        <v>СЗ,КЗ,206,210,403,406,410,АЗ</v>
      </c>
      <c r="AC41" s="14"/>
      <c r="AD41" s="14"/>
      <c r="AE41" s="14"/>
      <c r="AF41" s="29"/>
      <c r="AG41" s="29"/>
      <c r="AH41" s="29"/>
    </row>
    <row r="42" ht="52.5" hidden="1" customHeight="1">
      <c r="A42" s="30"/>
      <c r="B42" s="31">
        <v>8.0</v>
      </c>
      <c r="C42" s="32" t="s">
        <v>98</v>
      </c>
      <c r="D42" s="32" t="s">
        <v>99</v>
      </c>
      <c r="E42" s="45" t="s">
        <v>4028</v>
      </c>
      <c r="F42" s="13"/>
      <c r="G42" s="44" t="s">
        <v>4029</v>
      </c>
      <c r="H42" s="45" t="s">
        <v>4030</v>
      </c>
      <c r="I42" s="13"/>
      <c r="J42" s="44" t="s">
        <v>4031</v>
      </c>
      <c r="K42" s="44" t="s">
        <v>4032</v>
      </c>
      <c r="L42" s="45" t="s">
        <v>4033</v>
      </c>
      <c r="M42" s="13"/>
      <c r="N42" s="87" t="s">
        <v>4034</v>
      </c>
      <c r="O42" s="13"/>
      <c r="P42" s="45" t="s">
        <v>4035</v>
      </c>
      <c r="Q42" s="13"/>
      <c r="R42" s="572" t="s">
        <v>4036</v>
      </c>
      <c r="S42" s="13"/>
      <c r="T42" s="165" t="s">
        <v>4037</v>
      </c>
      <c r="U42" s="36"/>
      <c r="V42" s="41"/>
      <c r="W42" s="26"/>
      <c r="X42" s="42" t="s">
        <v>98</v>
      </c>
      <c r="Y42" s="42" t="s">
        <v>99</v>
      </c>
      <c r="Z42" s="11"/>
      <c r="AA42" s="14"/>
      <c r="AB42" s="15" t="str">
        <f>IFERROR(__xludf.DUMMYFUNCTION("join("","",filter(split($H$83,"",""),ARRAYFORMULA(ISERROR(FIND(split($H$83,"",""),CONCATENATE(E42:V42))))=TRUE))"),"СЗ,КЗ,206,403,404,405,406,410,АЗ")</f>
        <v>СЗ,КЗ,206,403,404,405,406,410,АЗ</v>
      </c>
      <c r="AC42" s="14"/>
      <c r="AD42" s="14"/>
      <c r="AE42" s="14"/>
      <c r="AF42" s="29"/>
      <c r="AG42" s="29"/>
      <c r="AH42" s="29"/>
    </row>
    <row r="43" ht="40.5" hidden="1" customHeight="1">
      <c r="A43" s="30"/>
      <c r="B43" s="31">
        <v>9.0</v>
      </c>
      <c r="C43" s="65">
        <v>44697.0</v>
      </c>
      <c r="D43" s="44" t="s">
        <v>109</v>
      </c>
      <c r="E43" s="167" t="s">
        <v>4038</v>
      </c>
      <c r="F43" s="4"/>
      <c r="G43" s="168"/>
      <c r="H43" s="169" t="s">
        <v>4039</v>
      </c>
      <c r="I43" s="36"/>
      <c r="J43" s="13"/>
      <c r="K43" s="170"/>
      <c r="L43" s="4"/>
      <c r="M43" s="171"/>
      <c r="N43" s="45" t="s">
        <v>4040</v>
      </c>
      <c r="O43" s="13"/>
      <c r="P43" s="174" t="s">
        <v>4041</v>
      </c>
      <c r="Q43" s="172" t="s">
        <v>390</v>
      </c>
      <c r="R43" s="8"/>
      <c r="S43" s="8"/>
      <c r="T43" s="8"/>
      <c r="U43" s="8"/>
      <c r="V43" s="129"/>
      <c r="W43" s="26"/>
      <c r="X43" s="69">
        <v>44697.0</v>
      </c>
      <c r="Y43" s="70" t="s">
        <v>109</v>
      </c>
      <c r="Z43" s="28"/>
      <c r="AA43" s="14"/>
      <c r="AB43" s="15" t="str">
        <f>IFERROR(__xludf.DUMMYFUNCTION("join("","",filter(split($H$83,"",""),ARRAYFORMULA(ISERROR(FIND(split($H$83,"",""),CONCATENATE(E43:V43))))=TRUE))"),"КЗ,206,209,210,401,403,404,405,406,408,409,АЗ")</f>
        <v>КЗ,206,209,210,401,403,404,405,406,408,409,АЗ</v>
      </c>
      <c r="AC43" s="14"/>
      <c r="AD43" s="14"/>
      <c r="AE43" s="14"/>
      <c r="AF43" s="29"/>
      <c r="AG43" s="29"/>
      <c r="AH43" s="29"/>
    </row>
    <row r="44" ht="40.5" hidden="1" customHeight="1">
      <c r="A44" s="30"/>
      <c r="B44" s="31">
        <v>10.0</v>
      </c>
      <c r="C44" s="44" t="s">
        <v>120</v>
      </c>
      <c r="D44" s="44" t="s">
        <v>121</v>
      </c>
      <c r="E44" s="104"/>
      <c r="F44" s="72"/>
      <c r="G44" s="173"/>
      <c r="H44" s="169" t="s">
        <v>4042</v>
      </c>
      <c r="I44" s="36"/>
      <c r="J44" s="13"/>
      <c r="K44" s="104"/>
      <c r="L44" s="72"/>
      <c r="M44" s="171"/>
      <c r="N44" s="45" t="s">
        <v>4043</v>
      </c>
      <c r="O44" s="13"/>
      <c r="P44" s="173"/>
      <c r="Q44" s="104"/>
      <c r="R44" s="64"/>
      <c r="S44" s="64"/>
      <c r="T44" s="64"/>
      <c r="U44" s="64"/>
      <c r="V44" s="88"/>
      <c r="W44" s="26"/>
      <c r="X44" s="70" t="s">
        <v>120</v>
      </c>
      <c r="Y44" s="70" t="s">
        <v>121</v>
      </c>
      <c r="Z44" s="28"/>
      <c r="AA44" s="14"/>
      <c r="AB44" s="15" t="str">
        <f>IFERROR(__xludf.DUMMYFUNCTION("join("","",filter(split($H$83,"",""),ARRAYFORMULA(ISERROR(FIND(split($H$83,"",""),CONCATENATE(E44:V44))))=TRUE))"),"КЗ,201,202,206,209,210,401,403,404,405,406,408,409,410,АЗ")</f>
        <v>КЗ,201,202,206,209,210,401,403,404,405,406,408,409,410,АЗ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18">
        <v>44876.0</v>
      </c>
      <c r="B46" s="19">
        <v>1.0</v>
      </c>
      <c r="C46" s="20" t="s">
        <v>12</v>
      </c>
      <c r="D46" s="20" t="s">
        <v>13</v>
      </c>
      <c r="E46" s="156" t="s">
        <v>4044</v>
      </c>
      <c r="F46" s="156" t="s">
        <v>4045</v>
      </c>
      <c r="G46" s="80" t="s">
        <v>4046</v>
      </c>
      <c r="H46" s="25"/>
      <c r="I46" s="174" t="s">
        <v>4047</v>
      </c>
      <c r="J46" s="175" t="s">
        <v>4048</v>
      </c>
      <c r="K46" s="25"/>
      <c r="L46" s="80" t="s">
        <v>4049</v>
      </c>
      <c r="M46" s="25"/>
      <c r="N46" s="156" t="s">
        <v>4050</v>
      </c>
      <c r="O46" s="156" t="s">
        <v>4051</v>
      </c>
      <c r="P46" s="80" t="s">
        <v>4052</v>
      </c>
      <c r="Q46" s="25"/>
      <c r="R46" s="80" t="s">
        <v>4053</v>
      </c>
      <c r="S46" s="25"/>
      <c r="T46" s="80" t="s">
        <v>4054</v>
      </c>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4055</v>
      </c>
      <c r="F47" s="44" t="s">
        <v>4056</v>
      </c>
      <c r="G47" s="45" t="s">
        <v>4057</v>
      </c>
      <c r="H47" s="13"/>
      <c r="I47" s="173"/>
      <c r="J47" s="157" t="s">
        <v>4058</v>
      </c>
      <c r="K47" s="13"/>
      <c r="L47" s="80" t="s">
        <v>4059</v>
      </c>
      <c r="M47" s="25"/>
      <c r="N47" s="44" t="s">
        <v>4060</v>
      </c>
      <c r="O47" s="44" t="s">
        <v>4061</v>
      </c>
      <c r="P47" s="45" t="s">
        <v>4062</v>
      </c>
      <c r="Q47" s="13"/>
      <c r="R47" s="44" t="s">
        <v>4063</v>
      </c>
      <c r="S47" s="90" t="s">
        <v>4064</v>
      </c>
      <c r="T47" s="45" t="s">
        <v>4065</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40" t="s">
        <v>4066</v>
      </c>
      <c r="F48" s="13"/>
      <c r="G48" s="176" t="s">
        <v>4067</v>
      </c>
      <c r="H48" s="4"/>
      <c r="I48" s="90" t="s">
        <v>4068</v>
      </c>
      <c r="J48" s="44" t="s">
        <v>4069</v>
      </c>
      <c r="K48" s="44" t="s">
        <v>4070</v>
      </c>
      <c r="L48" s="44" t="s">
        <v>4071</v>
      </c>
      <c r="M48" s="44" t="s">
        <v>4072</v>
      </c>
      <c r="N48" s="164" t="s">
        <v>4073</v>
      </c>
      <c r="O48" s="36"/>
      <c r="P48" s="36"/>
      <c r="Q48" s="13"/>
      <c r="R48" s="44" t="s">
        <v>4074</v>
      </c>
      <c r="S48" s="90" t="s">
        <v>4075</v>
      </c>
      <c r="T48" s="45" t="s">
        <v>4076</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4077</v>
      </c>
      <c r="F49" s="13"/>
      <c r="G49" s="104"/>
      <c r="H49" s="72"/>
      <c r="I49" s="90" t="s">
        <v>4078</v>
      </c>
      <c r="J49" s="44" t="s">
        <v>4079</v>
      </c>
      <c r="K49" s="44" t="s">
        <v>4080</v>
      </c>
      <c r="L49" s="44" t="s">
        <v>4081</v>
      </c>
      <c r="M49" s="44" t="s">
        <v>4082</v>
      </c>
      <c r="N49" s="164" t="s">
        <v>4083</v>
      </c>
      <c r="O49" s="36"/>
      <c r="P49" s="36"/>
      <c r="Q49" s="13"/>
      <c r="R49" s="441" t="s">
        <v>4084</v>
      </c>
      <c r="S49" s="133" t="s">
        <v>4085</v>
      </c>
      <c r="T49" s="45" t="s">
        <v>4086</v>
      </c>
      <c r="U49" s="36"/>
      <c r="V49" s="41"/>
      <c r="W49" s="26"/>
      <c r="X49" s="42" t="s">
        <v>48</v>
      </c>
      <c r="Y49" s="42" t="s">
        <v>49</v>
      </c>
      <c r="Z49" s="48" t="s">
        <v>57</v>
      </c>
      <c r="AA49" s="85" t="str">
        <f>AA$6</f>
        <v/>
      </c>
      <c r="AB49" s="15" t="str">
        <f>IFERROR(__xludf.DUMMYFUNCTION("join("","",filter(split($H$83,"",""),ARRAYFORMULA(ISERROR(FIND(split($H$83,"",""),CONCATENATE(E49:V49))))=TRUE))"),"СЗ,КЗ,201,206,209,410,АЗ")</f>
        <v>СЗ,КЗ,201,206,209,410,АЗ</v>
      </c>
      <c r="AC49" s="14"/>
      <c r="AD49" s="14"/>
      <c r="AE49" s="14"/>
      <c r="AF49" s="29"/>
      <c r="AG49" s="29"/>
      <c r="AH49" s="29"/>
    </row>
    <row r="50" ht="40.5" customHeight="1">
      <c r="A50" s="30"/>
      <c r="B50" s="31">
        <v>5.0</v>
      </c>
      <c r="C50" s="32" t="s">
        <v>58</v>
      </c>
      <c r="D50" s="53">
        <v>44847.0</v>
      </c>
      <c r="E50" s="45" t="s">
        <v>4087</v>
      </c>
      <c r="F50" s="13"/>
      <c r="G50" s="44" t="s">
        <v>4088</v>
      </c>
      <c r="H50" s="44" t="s">
        <v>4089</v>
      </c>
      <c r="I50" s="44" t="s">
        <v>4090</v>
      </c>
      <c r="J50" s="45" t="s">
        <v>4091</v>
      </c>
      <c r="K50" s="13"/>
      <c r="L50" s="45" t="s">
        <v>4092</v>
      </c>
      <c r="M50" s="13"/>
      <c r="N50" s="177"/>
      <c r="O50" s="124" t="s">
        <v>4093</v>
      </c>
      <c r="P50" s="45" t="s">
        <v>4094</v>
      </c>
      <c r="Q50" s="13"/>
      <c r="R50" s="441" t="s">
        <v>4095</v>
      </c>
      <c r="S50" s="133" t="s">
        <v>4096</v>
      </c>
      <c r="T50" s="45" t="s">
        <v>4097</v>
      </c>
      <c r="U50" s="36"/>
      <c r="V50" s="41"/>
      <c r="W50" s="26"/>
      <c r="X50" s="42" t="s">
        <v>58</v>
      </c>
      <c r="Y50" s="54">
        <v>44847.0</v>
      </c>
      <c r="Z50" s="48" t="s">
        <v>70</v>
      </c>
      <c r="AA50" s="85" t="str">
        <f>AA$7</f>
        <v/>
      </c>
      <c r="AB50" s="15" t="str">
        <f>IFERROR(__xludf.DUMMYFUNCTION("join("","",filter(split($H$83,"",""),ARRAYFORMULA(ISERROR(FIND(split($H$83,"",""),CONCATENATE(E50:V50))))=TRUE))"),"СЗ,КЗ,206,401,404,408,410")</f>
        <v>СЗ,КЗ,206,401,404,408,410</v>
      </c>
      <c r="AC50" s="14"/>
      <c r="AD50" s="14"/>
      <c r="AE50" s="14"/>
      <c r="AF50" s="29"/>
      <c r="AG50" s="29"/>
      <c r="AH50" s="29"/>
    </row>
    <row r="51" ht="48.75" customHeight="1">
      <c r="A51" s="30"/>
      <c r="B51" s="31">
        <v>6.0</v>
      </c>
      <c r="C51" s="55" t="s">
        <v>71</v>
      </c>
      <c r="D51" s="56" t="s">
        <v>72</v>
      </c>
      <c r="E51" s="45" t="s">
        <v>4098</v>
      </c>
      <c r="F51" s="13"/>
      <c r="G51" s="44" t="s">
        <v>4099</v>
      </c>
      <c r="H51" s="44" t="s">
        <v>4100</v>
      </c>
      <c r="I51" s="44" t="s">
        <v>4101</v>
      </c>
      <c r="J51" s="45" t="s">
        <v>4102</v>
      </c>
      <c r="K51" s="13"/>
      <c r="L51" s="45" t="s">
        <v>4103</v>
      </c>
      <c r="M51" s="13"/>
      <c r="N51" s="177"/>
      <c r="O51" s="124" t="s">
        <v>4104</v>
      </c>
      <c r="P51" s="45" t="s">
        <v>4105</v>
      </c>
      <c r="Q51" s="13"/>
      <c r="R51" s="162" t="s">
        <v>4106</v>
      </c>
      <c r="S51" s="178" t="s">
        <v>4107</v>
      </c>
      <c r="T51" s="44" t="s">
        <v>4108</v>
      </c>
      <c r="U51" s="44" t="s">
        <v>4109</v>
      </c>
      <c r="V51" s="34"/>
      <c r="W51" s="179"/>
      <c r="X51" s="58" t="s">
        <v>71</v>
      </c>
      <c r="Y51" s="59" t="s">
        <v>72</v>
      </c>
      <c r="Z51" s="48" t="s">
        <v>84</v>
      </c>
      <c r="AA51" s="85"/>
      <c r="AB51" s="15" t="str">
        <f>IFERROR(__xludf.DUMMYFUNCTION("join("","",filter(split($H$83,"",""),ARRAYFORMULA(ISERROR(FIND(split($H$83,"",""),CONCATENATE(E51:V51))))=TRUE))"),"СЗ,206,402,408,409,410")</f>
        <v>СЗ,206,402,408,409,410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4110</v>
      </c>
      <c r="F52" s="13"/>
      <c r="G52" s="44" t="s">
        <v>4111</v>
      </c>
      <c r="H52" s="44" t="s">
        <v>4112</v>
      </c>
      <c r="I52" s="44" t="s">
        <v>4113</v>
      </c>
      <c r="J52" s="45" t="s">
        <v>4114</v>
      </c>
      <c r="K52" s="13"/>
      <c r="L52" s="45" t="s">
        <v>4115</v>
      </c>
      <c r="M52" s="13"/>
      <c r="N52" s="177"/>
      <c r="O52" s="177"/>
      <c r="P52" s="124" t="s">
        <v>4116</v>
      </c>
      <c r="Q52" s="441" t="s">
        <v>4117</v>
      </c>
      <c r="R52" s="180" t="s">
        <v>4118</v>
      </c>
      <c r="S52" s="181" t="s">
        <v>4119</v>
      </c>
      <c r="T52" s="44" t="s">
        <v>4120</v>
      </c>
      <c r="U52" s="44"/>
      <c r="V52" s="34"/>
      <c r="W52" s="26"/>
      <c r="X52" s="42" t="s">
        <v>85</v>
      </c>
      <c r="Y52" s="42" t="s">
        <v>86</v>
      </c>
      <c r="Z52" s="48" t="s">
        <v>97</v>
      </c>
      <c r="AA52" s="85" t="str">
        <f>AA$9</f>
        <v/>
      </c>
      <c r="AB52" s="15" t="str">
        <f>IFERROR(__xludf.DUMMYFUNCTION("join("","",filter(split($H$83,"",""),ARRAYFORMULA(ISERROR(FIND(split($H$83,"",""),CONCATENATE(E52:V52))))=TRUE))"),"СЗ,КЗ,206,402,406,408,410")</f>
        <v>СЗ,КЗ,206,402,406,408,410</v>
      </c>
      <c r="AC52" s="14"/>
      <c r="AD52" s="14"/>
      <c r="AE52" s="14"/>
      <c r="AF52" s="29"/>
      <c r="AG52" s="29"/>
      <c r="AH52" s="29"/>
    </row>
    <row r="53" ht="51.75" customHeight="1">
      <c r="A53" s="30"/>
      <c r="B53" s="31">
        <v>8.0</v>
      </c>
      <c r="C53" s="32" t="s">
        <v>98</v>
      </c>
      <c r="D53" s="32" t="s">
        <v>99</v>
      </c>
      <c r="E53" s="44" t="s">
        <v>4121</v>
      </c>
      <c r="F53" s="44" t="s">
        <v>4122</v>
      </c>
      <c r="G53" s="177"/>
      <c r="H53" s="86" t="s">
        <v>4123</v>
      </c>
      <c r="I53" s="13"/>
      <c r="L53" s="45"/>
      <c r="M53" s="13"/>
      <c r="N53" s="182"/>
      <c r="O53" s="177"/>
      <c r="P53" s="124" t="s">
        <v>4124</v>
      </c>
      <c r="Q53" s="441" t="s">
        <v>4125</v>
      </c>
      <c r="R53" s="183"/>
      <c r="S53" s="181" t="s">
        <v>4126</v>
      </c>
      <c r="T53" s="144"/>
      <c r="U53" s="144"/>
      <c r="V53" s="184"/>
      <c r="W53" s="26"/>
      <c r="X53" s="42" t="s">
        <v>98</v>
      </c>
      <c r="Y53" s="42" t="s">
        <v>99</v>
      </c>
      <c r="Z53" s="11"/>
      <c r="AA53" s="14"/>
      <c r="AB53" s="15" t="str">
        <f>IFERROR(__xludf.DUMMYFUNCTION("join("","",filter(split($H$83,"",""),ARRAYFORMULA(ISERROR(FIND(split($H$83,"",""),CONCATENATE(E53:V53))))=TRUE))"),"СЗ,КЗ,201,206,209,401,402,404,405,408,410")</f>
        <v>СЗ,КЗ,201,206,209,401,402,404,405,408,410</v>
      </c>
      <c r="AC53" s="14"/>
      <c r="AD53" s="14"/>
      <c r="AE53" s="14"/>
      <c r="AF53" s="29"/>
      <c r="AG53" s="29"/>
      <c r="AH53" s="29"/>
    </row>
    <row r="54" ht="71.25" customHeight="1">
      <c r="A54" s="30"/>
      <c r="B54" s="31">
        <v>9.0</v>
      </c>
      <c r="C54" s="65">
        <v>44697.0</v>
      </c>
      <c r="D54" s="44" t="s">
        <v>109</v>
      </c>
      <c r="E54" s="187" t="s">
        <v>4127</v>
      </c>
      <c r="F54" s="8"/>
      <c r="G54" s="8"/>
      <c r="H54" s="8"/>
      <c r="I54" s="8"/>
      <c r="J54" s="8"/>
      <c r="K54" s="8"/>
      <c r="L54" s="8"/>
      <c r="M54" s="8"/>
      <c r="N54" s="163"/>
      <c r="O54" s="13"/>
      <c r="P54" s="187" t="s">
        <v>4127</v>
      </c>
      <c r="Q54" s="8"/>
      <c r="R54" s="8"/>
      <c r="S54" s="8"/>
      <c r="T54" s="8"/>
      <c r="U54" s="8"/>
      <c r="V54" s="8"/>
      <c r="W54" s="186"/>
      <c r="X54" s="69">
        <v>44697.0</v>
      </c>
      <c r="Y54" s="70" t="s">
        <v>109</v>
      </c>
      <c r="Z54" s="28"/>
      <c r="AA54" s="14"/>
      <c r="AB54" s="15" t="str">
        <f>IFERROR(__xludf.DUMMYFUNCTION("join("","",filter(split($H$83,"",""),ARRAYFORMULA(ISERROR(FIND(split($H$83,"",""),CONCATENATE(E54:V54))))=TRUE))"),"КЗ,206,210,401,402,403,404,405,406,408,409,410,АЗ")</f>
        <v>КЗ,206,210,401,402,403,404,405,406,408,409,410,АЗ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553">
        <v>44877.0</v>
      </c>
      <c r="B57" s="191">
        <v>1.0</v>
      </c>
      <c r="C57" s="192" t="str">
        <f>D$1</f>
        <v/>
      </c>
      <c r="D57" s="72"/>
      <c r="E57" s="193"/>
      <c r="F57" s="193"/>
      <c r="G57" s="194" t="s">
        <v>3276</v>
      </c>
      <c r="H57" s="64"/>
      <c r="I57" s="72"/>
      <c r="J57" s="195"/>
      <c r="K57" s="64"/>
      <c r="L57" s="64"/>
      <c r="M57" s="72"/>
      <c r="N57" s="193"/>
      <c r="O57" s="193"/>
      <c r="P57" s="259"/>
      <c r="Q57" s="259"/>
      <c r="R57" s="193"/>
      <c r="S57" s="193"/>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424"/>
      <c r="H58" s="36"/>
      <c r="I58" s="13"/>
      <c r="J58" s="15"/>
      <c r="K58" s="15"/>
      <c r="L58" s="15"/>
      <c r="M58" s="15"/>
      <c r="N58" s="15"/>
      <c r="O58" s="15"/>
      <c r="P58" s="144"/>
      <c r="Q58" s="144"/>
      <c r="R58" s="15"/>
      <c r="S58" s="15"/>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87" t="s">
        <v>4128</v>
      </c>
      <c r="Q59" s="8"/>
      <c r="R59" s="8"/>
      <c r="S59" s="4"/>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04"/>
      <c r="Q60" s="64"/>
      <c r="R60" s="64"/>
      <c r="S60" s="72"/>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88">
    <mergeCell ref="N14:O14"/>
    <mergeCell ref="P14:Q14"/>
    <mergeCell ref="R14:S14"/>
    <mergeCell ref="E15:F15"/>
    <mergeCell ref="G15:I15"/>
    <mergeCell ref="J15:K15"/>
    <mergeCell ref="L15:M15"/>
    <mergeCell ref="N15:O15"/>
    <mergeCell ref="P15:Q15"/>
    <mergeCell ref="E16:F16"/>
    <mergeCell ref="G16:I16"/>
    <mergeCell ref="J16:K16"/>
    <mergeCell ref="L16:M16"/>
    <mergeCell ref="N16:O16"/>
    <mergeCell ref="P16:Q16"/>
    <mergeCell ref="E17:F17"/>
    <mergeCell ref="H17:I17"/>
    <mergeCell ref="T22:V22"/>
    <mergeCell ref="R23:V23"/>
    <mergeCell ref="T24:V24"/>
    <mergeCell ref="T25:V25"/>
    <mergeCell ref="T26:V26"/>
    <mergeCell ref="T27:V27"/>
    <mergeCell ref="J17:K17"/>
    <mergeCell ref="L17:M17"/>
    <mergeCell ref="T17:V17"/>
    <mergeCell ref="T18:V18"/>
    <mergeCell ref="T19:V19"/>
    <mergeCell ref="T20:V20"/>
    <mergeCell ref="T21:V21"/>
    <mergeCell ref="C1:D1"/>
    <mergeCell ref="E13:F13"/>
    <mergeCell ref="H21:M21"/>
    <mergeCell ref="N21:O21"/>
    <mergeCell ref="P21:Q21"/>
    <mergeCell ref="R21:S21"/>
    <mergeCell ref="J1:M1"/>
    <mergeCell ref="N1:O1"/>
    <mergeCell ref="P1:Q1"/>
    <mergeCell ref="R1:S1"/>
    <mergeCell ref="A2:A12"/>
    <mergeCell ref="R2:S2"/>
    <mergeCell ref="A13:A23"/>
    <mergeCell ref="P22:S22"/>
    <mergeCell ref="H22:M22"/>
    <mergeCell ref="N22:O22"/>
    <mergeCell ref="H24:I24"/>
    <mergeCell ref="J24:M24"/>
    <mergeCell ref="N24:O24"/>
    <mergeCell ref="P24:S24"/>
    <mergeCell ref="H25:I25"/>
    <mergeCell ref="R25:S25"/>
    <mergeCell ref="G27:H27"/>
    <mergeCell ref="G28:H28"/>
    <mergeCell ref="J28:K28"/>
    <mergeCell ref="L28:M28"/>
    <mergeCell ref="N28:O28"/>
    <mergeCell ref="E32:F32"/>
    <mergeCell ref="E33:F33"/>
    <mergeCell ref="G33:Q34"/>
    <mergeCell ref="E34:F34"/>
    <mergeCell ref="G35:I35"/>
    <mergeCell ref="J35:K35"/>
    <mergeCell ref="N35:O35"/>
    <mergeCell ref="T35:V35"/>
    <mergeCell ref="J36:K36"/>
    <mergeCell ref="N36:O36"/>
    <mergeCell ref="T36:V36"/>
    <mergeCell ref="G36:I36"/>
    <mergeCell ref="H37:I37"/>
    <mergeCell ref="J37:K37"/>
    <mergeCell ref="N37:O37"/>
    <mergeCell ref="P37:Q37"/>
    <mergeCell ref="T37:V37"/>
    <mergeCell ref="H38:I38"/>
    <mergeCell ref="T38:V38"/>
    <mergeCell ref="J25:K25"/>
    <mergeCell ref="L25:M25"/>
    <mergeCell ref="G26:I26"/>
    <mergeCell ref="J26:K26"/>
    <mergeCell ref="L26:M26"/>
    <mergeCell ref="J27:K27"/>
    <mergeCell ref="L27:M27"/>
    <mergeCell ref="N29:O29"/>
    <mergeCell ref="R29:R30"/>
    <mergeCell ref="N30:O30"/>
    <mergeCell ref="J31:M31"/>
    <mergeCell ref="J32:M32"/>
    <mergeCell ref="N31:O31"/>
    <mergeCell ref="N32:O32"/>
    <mergeCell ref="N25:O25"/>
    <mergeCell ref="P25:Q25"/>
    <mergeCell ref="N26:O26"/>
    <mergeCell ref="R26:S26"/>
    <mergeCell ref="N27:O27"/>
    <mergeCell ref="P27:Q27"/>
    <mergeCell ref="T28:V32"/>
    <mergeCell ref="G29:H29"/>
    <mergeCell ref="J29:K29"/>
    <mergeCell ref="L29:M29"/>
    <mergeCell ref="G30:H30"/>
    <mergeCell ref="J30:K30"/>
    <mergeCell ref="L30:M30"/>
    <mergeCell ref="G31:I32"/>
    <mergeCell ref="H40:I40"/>
    <mergeCell ref="H41:I41"/>
    <mergeCell ref="L41:M41"/>
    <mergeCell ref="N41:O41"/>
    <mergeCell ref="P41:Q41"/>
    <mergeCell ref="T41:V41"/>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U13:V13"/>
    <mergeCell ref="U14:V14"/>
    <mergeCell ref="T15:V15"/>
    <mergeCell ref="T16:V16"/>
    <mergeCell ref="L7:M7"/>
    <mergeCell ref="N7:O7"/>
    <mergeCell ref="U7:V7"/>
    <mergeCell ref="U8:V8"/>
    <mergeCell ref="R9:V9"/>
    <mergeCell ref="Q10:V10"/>
    <mergeCell ref="T11:V11"/>
    <mergeCell ref="G1:I1"/>
    <mergeCell ref="G3:I3"/>
    <mergeCell ref="P7:Q7"/>
    <mergeCell ref="R7:S7"/>
    <mergeCell ref="E8:F9"/>
    <mergeCell ref="H8:I8"/>
    <mergeCell ref="H9:I9"/>
    <mergeCell ref="J8:K8"/>
    <mergeCell ref="L8:M8"/>
    <mergeCell ref="N8:O8"/>
    <mergeCell ref="P8:Q8"/>
    <mergeCell ref="E10:F10"/>
    <mergeCell ref="H10:I10"/>
    <mergeCell ref="J10:K10"/>
    <mergeCell ref="L10:M10"/>
    <mergeCell ref="R8:S8"/>
    <mergeCell ref="J9:K9"/>
    <mergeCell ref="L9:M9"/>
    <mergeCell ref="N9:O9"/>
    <mergeCell ref="N10:O10"/>
    <mergeCell ref="E11:S11"/>
    <mergeCell ref="H13:I13"/>
    <mergeCell ref="J13:K13"/>
    <mergeCell ref="L13:M13"/>
    <mergeCell ref="N13:O13"/>
    <mergeCell ref="P13:Q13"/>
    <mergeCell ref="R13:S13"/>
    <mergeCell ref="E14:F14"/>
    <mergeCell ref="H14:I14"/>
    <mergeCell ref="J14:K14"/>
    <mergeCell ref="L14:M14"/>
    <mergeCell ref="N17:O17"/>
    <mergeCell ref="E18:F18"/>
    <mergeCell ref="H18:I18"/>
    <mergeCell ref="J18:K18"/>
    <mergeCell ref="L18:M18"/>
    <mergeCell ref="N18:O18"/>
    <mergeCell ref="E19:F19"/>
    <mergeCell ref="H19:I19"/>
    <mergeCell ref="J19:K19"/>
    <mergeCell ref="L19:M19"/>
    <mergeCell ref="N19:O19"/>
    <mergeCell ref="P19:Q19"/>
    <mergeCell ref="E20:F20"/>
    <mergeCell ref="H20:I20"/>
    <mergeCell ref="J20:K20"/>
    <mergeCell ref="L20:M20"/>
    <mergeCell ref="N20:O20"/>
    <mergeCell ref="P20:Q20"/>
    <mergeCell ref="E31:F31"/>
    <mergeCell ref="E35:F35"/>
    <mergeCell ref="E36:F36"/>
    <mergeCell ref="E37:F37"/>
    <mergeCell ref="E38:F38"/>
    <mergeCell ref="E39:F39"/>
    <mergeCell ref="E40:F40"/>
    <mergeCell ref="E41:F41"/>
    <mergeCell ref="A35:A45"/>
    <mergeCell ref="A46:A56"/>
    <mergeCell ref="A57:A67"/>
    <mergeCell ref="E21:F22"/>
    <mergeCell ref="G21:G22"/>
    <mergeCell ref="A24:A34"/>
    <mergeCell ref="E24:F24"/>
    <mergeCell ref="E25:F25"/>
    <mergeCell ref="E26:F26"/>
    <mergeCell ref="G43:G44"/>
    <mergeCell ref="E49:F49"/>
    <mergeCell ref="E50:F50"/>
    <mergeCell ref="E51:F51"/>
    <mergeCell ref="E52:F52"/>
    <mergeCell ref="H53:I53"/>
    <mergeCell ref="C57:D57"/>
    <mergeCell ref="G57:I57"/>
    <mergeCell ref="G58:I58"/>
    <mergeCell ref="E42:F42"/>
    <mergeCell ref="E43:F44"/>
    <mergeCell ref="G46:H46"/>
    <mergeCell ref="I46:I47"/>
    <mergeCell ref="G47:H47"/>
    <mergeCell ref="E48:F48"/>
    <mergeCell ref="G48:H49"/>
    <mergeCell ref="L47:M47"/>
    <mergeCell ref="P47:Q47"/>
    <mergeCell ref="T47:V47"/>
    <mergeCell ref="N48:Q48"/>
    <mergeCell ref="T48:V48"/>
    <mergeCell ref="N49:Q49"/>
    <mergeCell ref="P50:Q50"/>
    <mergeCell ref="P51:Q51"/>
    <mergeCell ref="L53:M53"/>
    <mergeCell ref="E54:M55"/>
    <mergeCell ref="N54:O54"/>
    <mergeCell ref="P54:V55"/>
    <mergeCell ref="X57:Y57"/>
    <mergeCell ref="P59:S60"/>
    <mergeCell ref="J57:M57"/>
    <mergeCell ref="K66:L66"/>
    <mergeCell ref="K67:L67"/>
    <mergeCell ref="K68:L68"/>
    <mergeCell ref="J47:K47"/>
    <mergeCell ref="J50:K50"/>
    <mergeCell ref="L50:M50"/>
    <mergeCell ref="J51:K51"/>
    <mergeCell ref="L51:M51"/>
    <mergeCell ref="J52:K52"/>
    <mergeCell ref="L52:M52"/>
    <mergeCell ref="P39:Q39"/>
    <mergeCell ref="P40:Q40"/>
    <mergeCell ref="J38:K38"/>
    <mergeCell ref="N38:Q38"/>
    <mergeCell ref="H39:I39"/>
    <mergeCell ref="L39:M39"/>
    <mergeCell ref="T39:V39"/>
    <mergeCell ref="L40:M40"/>
    <mergeCell ref="T40:V40"/>
    <mergeCell ref="N42:O42"/>
    <mergeCell ref="N43:O43"/>
    <mergeCell ref="P43:P44"/>
    <mergeCell ref="Q43:V44"/>
    <mergeCell ref="H42:I42"/>
    <mergeCell ref="L42:M42"/>
    <mergeCell ref="P42:Q42"/>
    <mergeCell ref="R42:S42"/>
    <mergeCell ref="T42:V42"/>
    <mergeCell ref="H43:J43"/>
    <mergeCell ref="K43:L44"/>
    <mergeCell ref="H44:J44"/>
    <mergeCell ref="N44:O44"/>
    <mergeCell ref="J46:K46"/>
    <mergeCell ref="L46:M46"/>
    <mergeCell ref="P46:Q46"/>
    <mergeCell ref="R46:S46"/>
    <mergeCell ref="T46:V46"/>
    <mergeCell ref="T49:V49"/>
    <mergeCell ref="T50:V50"/>
  </mergeCells>
  <conditionalFormatting sqref="E1:T86 U1:U31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T53 U2:U31 V32:V34 U35:U53 V50:V52 W51 P59:P60 K61:L68">
    <cfRule type="containsText" dxfId="2" priority="3" operator="containsText" text="Шерашова">
      <formula>NOT(ISERROR(SEARCH(("Шерашова"),(E2))))</formula>
    </cfRule>
  </conditionalFormatting>
  <conditionalFormatting sqref="E2:T53 U2:U31 V32:V34 U35:U53 V50:V52 W51 P59:P60 K61:L68">
    <cfRule type="containsText" dxfId="3" priority="4" operator="containsText" text="Англ">
      <formula>NOT(ISERROR(SEARCH(("Англ"),(E2))))</formula>
    </cfRule>
  </conditionalFormatting>
  <conditionalFormatting sqref="E2:T53 U2:U31 V32:V34 U35:U53 V50:V52 W51 P59:P60 K61:L68">
    <cfRule type="containsText" dxfId="4" priority="5" operator="containsText" text="Театр">
      <formula>NOT(ISERROR(SEARCH(("Театр"),(E2))))</formula>
    </cfRule>
  </conditionalFormatting>
  <conditionalFormatting sqref="E2:T53 U2:U31 V32:V34 U35:U53 V50:V52 W51 P59:P60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45 R9:S9 R11:R46 S11:S32 F15:F17 F19:F20 E24:F30 E32:E53 F32:F45 S35:S41 S43:S45 S47:S53 T47:T50 F48:F49 N48:N49 R49:R53 G50:H53 I50:I52 P50:P53 F52:F53 J52:K53 N52:N53 Q52:Q53 L53:M53 P59:P60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Q31:Q32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9:N30 L52:L53">
      <formula1>IF(COUNTA(filter($E7:$W7,ARRAYFORMULA(ISERROR(FIND(join(",",filter(split($H$83,","),ARRAYFORMULA(ISERROR(FIND(split($H$83,","),L9)))=FALSE)),$E7:$W7))=FALSE)))&gt;1,FALSE,TRUE)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E24 G24:H24 G25 E26 F28 R27:S28 E29:E30 G37 G38:H38 E48:E49 N52:N54">
      <formula1>IF(COUNTA(filter($E25:$W25,ARRAYFORMULA(ISERROR(FIND(join(",",filter(split($H$83,","),ARRAYFORMULA(ISERROR(FIND(split($H$83,","),E24)))=FALSE)),$E25:$W25))=FALSE)))&gt;1,FALSE,TRUE)</formula1>
    </dataValidation>
    <dataValidation type="custom" allowBlank="1" showDropDown="1" sqref="N2 R2 T2 G2:G3 J2:J3 L4 P2:P4 K5:M6 T5:T6 G5:H8 L7:L8 P7:P8 T7:U8 G9 Q9:R9 H10 J9:J10 N9:N10 Q10 W2:W10 E12:W12 E13:E14 H13:H14 L13:L14 E17:E18 G15:G18 S17:S18 H19:H20 J15:J20 L17:L20 G21 R19:R21 T21 H22 G23:R23 J24 P25 R25 Q26 E27:F27 P27 E28 I27:I28 Q28 T28 F29:G30 P29:Q30 J31:J32 W13:W32 R33:R34 T33:W34 G35:G36 L35:M36 P35:Q36 H37 P37 J37:J38 L37:N38 E37:E40 G39:G40 J39:K40 N39:P40 R37:S40 R41:T41 J41:L42 T42 E43 G41:H43 K43 Q43 H44 M43:N44 W35:W44 E45:W45 I46 F46:G47 L46:L47 N46:P47 G48 L48:M49 L51 N50:O51 I50:I52 G53:H53 O52:P53 E54 P54 N55:O55 W46:W55 E56:W56 J57 N57:O57 E57:G58 J58:O58 R57:W58 E59:O60 T59: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R8">
      <formula1>IF(COUNTA(filter($E53:$W53,ARRAYFORMULA(ISERROR(FIND(join(",",filter(split($H$83,","),ARRAYFORMULA(ISERROR(FIND(split($H$83,","),R8)))=FALSE)),$E53:$W53))=FALSE)))&gt;1,FALSE,TRUE)</formula1>
    </dataValidation>
    <dataValidation type="custom" allowBlank="1" showDropDown="1" sqref="P43 P59">
      <formula1>IF(COUNTA(filter($E40:$W40,ARRAYFORMULA(ISERROR(FIND(join(",",filter(split($H$83,","),ARRAYFORMULA(ISERROR(FIND(split($H$83,","),P43)))=FALSE)),$E40:$W40))=FALSE)))&gt;1,FALSE,TRUE)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P32">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E5 F6:F7 L25">
      <formula1>IF(COUNTA(filter($E7:$W7,ARRAYFORMULA(ISERROR(FIND(join(",",filter(split($H$83,","),ARRAYFORMULA(ISERROR(FIND(split($H$83,","),E4)))=FALSE)),$E7:$W7))=FALSE)))&gt;1,FALSE,TRUE)</formula1>
    </dataValidation>
    <dataValidation type="custom" allowBlank="1" showDropDown="1" sqref="P26 P28 S29:S30 S32 R47:R48 J52 T51:V52">
      <formula1>IF(COUNTA(filter($E25:$W25,ARRAYFORMULA(ISERROR(FIND(join(",",filter(split($H$83,","),ARRAYFORMULA(ISERROR(FIND(split($H$83,","),J26)))=FALSE)),$E25:$W25))=FALSE)))&gt;1,FALSE,TRUE)</formula1>
    </dataValidation>
    <dataValidation type="custom" allowBlank="1" showDropDown="1" sqref="P13:P1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customHeight="1">
      <c r="A2" s="553">
        <v>44844.0</v>
      </c>
      <c r="B2" s="19">
        <v>1.0</v>
      </c>
      <c r="C2" s="20" t="s">
        <v>12</v>
      </c>
      <c r="D2" s="20" t="s">
        <v>13</v>
      </c>
      <c r="E2" s="21" t="s">
        <v>4129</v>
      </c>
      <c r="F2" s="22"/>
      <c r="G2" s="23" t="s">
        <v>4130</v>
      </c>
      <c r="H2" s="24"/>
      <c r="I2" s="25"/>
      <c r="J2" s="21" t="s">
        <v>4131</v>
      </c>
      <c r="K2" s="24"/>
      <c r="L2" s="24"/>
      <c r="M2" s="25"/>
      <c r="N2" s="21" t="s">
        <v>4132</v>
      </c>
      <c r="O2" s="25"/>
      <c r="P2" s="21" t="s">
        <v>4133</v>
      </c>
      <c r="Q2" s="25"/>
      <c r="R2" s="21" t="s">
        <v>4134</v>
      </c>
      <c r="S2" s="25"/>
      <c r="T2" s="21" t="s">
        <v>4135</v>
      </c>
      <c r="U2" s="24"/>
      <c r="V2" s="22"/>
      <c r="W2" s="26"/>
      <c r="X2" s="27" t="s">
        <v>12</v>
      </c>
      <c r="Y2" s="27" t="s">
        <v>13</v>
      </c>
      <c r="Z2" s="28"/>
      <c r="AA2" s="14"/>
      <c r="AB2" s="15"/>
      <c r="AC2" s="14"/>
      <c r="AD2" s="14"/>
      <c r="AE2" s="14"/>
      <c r="AF2" s="29"/>
      <c r="AG2" s="29"/>
      <c r="AH2" s="29"/>
    </row>
    <row r="3" ht="40.5" customHeight="1">
      <c r="A3" s="30"/>
      <c r="B3" s="31">
        <v>2.0</v>
      </c>
      <c r="C3" s="32" t="s">
        <v>21</v>
      </c>
      <c r="D3" s="32" t="s">
        <v>22</v>
      </c>
      <c r="E3" s="33" t="s">
        <v>4136</v>
      </c>
      <c r="F3" s="34" t="s">
        <v>4137</v>
      </c>
      <c r="G3" s="35" t="s">
        <v>25</v>
      </c>
      <c r="H3" s="36"/>
      <c r="I3" s="13"/>
      <c r="J3" s="37" t="s">
        <v>4138</v>
      </c>
      <c r="K3" s="13"/>
      <c r="L3" s="38" t="s">
        <v>4139</v>
      </c>
      <c r="M3" s="13"/>
      <c r="N3" s="37" t="s">
        <v>4140</v>
      </c>
      <c r="O3" s="13"/>
      <c r="P3" s="37" t="s">
        <v>4141</v>
      </c>
      <c r="Q3" s="13"/>
      <c r="R3" s="39" t="s">
        <v>4142</v>
      </c>
      <c r="S3" s="40" t="s">
        <v>4143</v>
      </c>
      <c r="T3" s="37" t="s">
        <v>4144</v>
      </c>
      <c r="U3" s="36"/>
      <c r="V3" s="41"/>
      <c r="W3" s="26"/>
      <c r="X3" s="42" t="s">
        <v>21</v>
      </c>
      <c r="Y3" s="42" t="s">
        <v>22</v>
      </c>
      <c r="Z3" s="28"/>
      <c r="AA3" s="14"/>
      <c r="AB3" s="15" t="str">
        <f>IFERROR(__xludf.DUMMYFUNCTION("join("","",filter(split($H$83,"",""),ARRAYFORMULA(ISERROR(FIND(split($H$83,"",""),CONCATENATE(E3:V3))))=TRUE))"),"201,206,405,406,409,410,АЗ")</f>
        <v>201,206,405,406,409,410,АЗ</v>
      </c>
      <c r="AC3" s="14"/>
      <c r="AD3" s="14"/>
      <c r="AE3" s="14"/>
      <c r="AF3" s="29"/>
      <c r="AG3" s="29"/>
      <c r="AH3" s="29"/>
    </row>
    <row r="4" ht="40.5" customHeight="1">
      <c r="A4" s="30"/>
      <c r="B4" s="31">
        <v>3.0</v>
      </c>
      <c r="C4" s="32" t="s">
        <v>33</v>
      </c>
      <c r="D4" s="32" t="s">
        <v>34</v>
      </c>
      <c r="E4" s="33" t="s">
        <v>4145</v>
      </c>
      <c r="F4" s="126" t="s">
        <v>4146</v>
      </c>
      <c r="G4" s="43" t="s">
        <v>4147</v>
      </c>
      <c r="H4" s="44" t="s">
        <v>499</v>
      </c>
      <c r="I4" s="45" t="s">
        <v>4148</v>
      </c>
      <c r="J4" s="46" t="s">
        <v>4149</v>
      </c>
      <c r="K4" s="13"/>
      <c r="L4" s="45" t="s">
        <v>4150</v>
      </c>
      <c r="M4" s="13"/>
      <c r="N4" s="37" t="s">
        <v>4151</v>
      </c>
      <c r="O4" s="13"/>
      <c r="P4" s="37" t="s">
        <v>4152</v>
      </c>
      <c r="Q4" s="13"/>
      <c r="R4" s="39" t="s">
        <v>4153</v>
      </c>
      <c r="S4" s="40" t="s">
        <v>4154</v>
      </c>
      <c r="T4" s="37" t="s">
        <v>4155</v>
      </c>
      <c r="U4" s="36"/>
      <c r="V4" s="41"/>
      <c r="W4" s="26"/>
      <c r="X4" s="42" t="s">
        <v>33</v>
      </c>
      <c r="Y4" s="42" t="s">
        <v>34</v>
      </c>
      <c r="Z4" s="48" t="s">
        <v>47</v>
      </c>
      <c r="AA4" s="14"/>
      <c r="AB4" s="15" t="str">
        <f>IFERROR(__xludf.DUMMYFUNCTION("join("","",filter(split($H$83,"",""),ARRAYFORMULA(ISERROR(FIND(split($H$83,"",""),CONCATENATE(E4:V4))))=TRUE))"),"КЗ,201,206,404,406,409,АЗ")</f>
        <v>КЗ,201,206,404,406,409,АЗ</v>
      </c>
      <c r="AC4" s="14"/>
      <c r="AD4" s="14"/>
      <c r="AE4" s="14"/>
      <c r="AF4" s="29"/>
      <c r="AG4" s="29"/>
      <c r="AH4" s="29"/>
    </row>
    <row r="5" ht="40.5" customHeight="1">
      <c r="A5" s="30"/>
      <c r="B5" s="31">
        <v>4.0</v>
      </c>
      <c r="C5" s="32" t="s">
        <v>48</v>
      </c>
      <c r="D5" s="32" t="s">
        <v>49</v>
      </c>
      <c r="E5" s="33" t="s">
        <v>4156</v>
      </c>
      <c r="F5" s="126" t="s">
        <v>4157</v>
      </c>
      <c r="G5" s="43" t="s">
        <v>4158</v>
      </c>
      <c r="H5" s="45" t="s">
        <v>1096</v>
      </c>
      <c r="I5" s="13"/>
      <c r="J5" s="33" t="s">
        <v>4159</v>
      </c>
      <c r="K5" s="44" t="s">
        <v>4160</v>
      </c>
      <c r="L5" s="44" t="s">
        <v>4161</v>
      </c>
      <c r="M5" s="45" t="s">
        <v>4162</v>
      </c>
      <c r="N5" s="37" t="s">
        <v>4163</v>
      </c>
      <c r="O5" s="13"/>
      <c r="P5" s="37" t="s">
        <v>4164</v>
      </c>
      <c r="Q5" s="13"/>
      <c r="R5" s="51" t="s">
        <v>4165</v>
      </c>
      <c r="S5" s="13"/>
      <c r="T5" s="52" t="s">
        <v>4166</v>
      </c>
      <c r="U5" s="36"/>
      <c r="V5" s="41"/>
      <c r="W5" s="26"/>
      <c r="X5" s="42" t="s">
        <v>48</v>
      </c>
      <c r="Y5" s="42" t="s">
        <v>49</v>
      </c>
      <c r="Z5" s="48" t="s">
        <v>57</v>
      </c>
      <c r="AA5" s="14"/>
      <c r="AB5" s="15" t="str">
        <f>IFERROR(__xludf.DUMMYFUNCTION("join("","",filter(split($H$83,"",""),ARRAYFORMULA(ISERROR(FIND(split($H$83,"",""),CONCATENATE(E5:V5))))=TRUE))"),"СЗ,КЗ,206,210,406,409")</f>
        <v>СЗ,КЗ,206,210,406,409</v>
      </c>
      <c r="AC5" s="14"/>
      <c r="AD5" s="14"/>
      <c r="AE5" s="14"/>
      <c r="AF5" s="29"/>
      <c r="AG5" s="29"/>
      <c r="AH5" s="29"/>
    </row>
    <row r="6" ht="40.5" customHeight="1">
      <c r="A6" s="30"/>
      <c r="B6" s="31">
        <v>5.0</v>
      </c>
      <c r="C6" s="32" t="s">
        <v>58</v>
      </c>
      <c r="D6" s="53">
        <v>44847.0</v>
      </c>
      <c r="E6" s="316" t="s">
        <v>4167</v>
      </c>
      <c r="F6" s="34" t="s">
        <v>4168</v>
      </c>
      <c r="G6" s="43" t="s">
        <v>4169</v>
      </c>
      <c r="H6" s="45" t="s">
        <v>1096</v>
      </c>
      <c r="I6" s="13"/>
      <c r="J6" s="33" t="s">
        <v>4170</v>
      </c>
      <c r="K6" s="44" t="s">
        <v>4171</v>
      </c>
      <c r="L6" s="44" t="s">
        <v>4172</v>
      </c>
      <c r="M6" s="45" t="s">
        <v>4173</v>
      </c>
      <c r="N6" s="37" t="s">
        <v>4174</v>
      </c>
      <c r="O6" s="13"/>
      <c r="P6" s="37" t="s">
        <v>4175</v>
      </c>
      <c r="Q6" s="13"/>
      <c r="R6" s="51" t="s">
        <v>4176</v>
      </c>
      <c r="S6" s="13"/>
      <c r="T6" s="52" t="s">
        <v>4177</v>
      </c>
      <c r="U6" s="36"/>
      <c r="V6" s="41"/>
      <c r="W6" s="26"/>
      <c r="X6" s="42" t="s">
        <v>58</v>
      </c>
      <c r="Y6" s="54">
        <v>44847.0</v>
      </c>
      <c r="Z6" s="48" t="s">
        <v>70</v>
      </c>
      <c r="AA6" s="14"/>
      <c r="AB6" s="15" t="str">
        <f>IFERROR(__xludf.DUMMYFUNCTION("join("","",filter(split($H$83,"",""),ARRAYFORMULA(ISERROR(FIND(split($H$83,"",""),CONCATENATE(E6:V6))))=TRUE))"),"СЗ,КЗ,206,210,406,409")</f>
        <v>СЗ,КЗ,206,210,406,409</v>
      </c>
      <c r="AC6" s="14"/>
      <c r="AD6" s="14"/>
      <c r="AE6" s="14"/>
      <c r="AF6" s="29"/>
      <c r="AG6" s="29"/>
      <c r="AH6" s="29"/>
    </row>
    <row r="7" ht="42.0" customHeight="1">
      <c r="A7" s="30"/>
      <c r="B7" s="31">
        <v>6.0</v>
      </c>
      <c r="C7" s="55" t="s">
        <v>71</v>
      </c>
      <c r="D7" s="56" t="s">
        <v>72</v>
      </c>
      <c r="E7" s="316" t="s">
        <v>4178</v>
      </c>
      <c r="F7" s="34" t="s">
        <v>4179</v>
      </c>
      <c r="G7" s="43" t="s">
        <v>1096</v>
      </c>
      <c r="H7" s="45" t="s">
        <v>4180</v>
      </c>
      <c r="I7" s="13"/>
      <c r="J7" s="37" t="s">
        <v>4181</v>
      </c>
      <c r="K7" s="13"/>
      <c r="L7" s="45" t="s">
        <v>4182</v>
      </c>
      <c r="M7" s="13"/>
      <c r="N7" s="37" t="s">
        <v>4183</v>
      </c>
      <c r="O7" s="13"/>
      <c r="P7" s="37" t="s">
        <v>4184</v>
      </c>
      <c r="Q7" s="13"/>
      <c r="R7" s="37" t="s">
        <v>4185</v>
      </c>
      <c r="S7" s="13"/>
      <c r="T7" s="33" t="s">
        <v>4186</v>
      </c>
      <c r="U7" s="45" t="s">
        <v>4187</v>
      </c>
      <c r="V7" s="41"/>
      <c r="W7" s="26"/>
      <c r="X7" s="58" t="s">
        <v>71</v>
      </c>
      <c r="Y7" s="59" t="s">
        <v>72</v>
      </c>
      <c r="Z7" s="48" t="s">
        <v>84</v>
      </c>
      <c r="AA7" s="14"/>
      <c r="AB7" s="15" t="str">
        <f>IFERROR(__xludf.DUMMYFUNCTION("join("","",filter(split($H$83,"",""),ARRAYFORMULA(ISERROR(FIND(split($H$83,"",""),CONCATENATE(E7:V7))))=TRUE))"),"КЗ,206,210,403,406,409,АЗ")</f>
        <v>КЗ,206,210,403,406,409,АЗ</v>
      </c>
      <c r="AC7" s="14"/>
      <c r="AD7" s="14"/>
      <c r="AE7" s="14"/>
      <c r="AF7" s="29"/>
      <c r="AG7" s="29"/>
      <c r="AH7" s="29"/>
    </row>
    <row r="8" ht="42.0" customHeight="1">
      <c r="A8" s="30"/>
      <c r="B8" s="31">
        <v>7.0</v>
      </c>
      <c r="C8" s="32" t="s">
        <v>85</v>
      </c>
      <c r="D8" s="32" t="s">
        <v>86</v>
      </c>
      <c r="E8" s="318" t="s">
        <v>4188</v>
      </c>
      <c r="F8" s="319" t="s">
        <v>4189</v>
      </c>
      <c r="G8" s="43" t="s">
        <v>1096</v>
      </c>
      <c r="H8" s="45" t="s">
        <v>4190</v>
      </c>
      <c r="I8" s="13"/>
      <c r="J8" s="37" t="s">
        <v>4191</v>
      </c>
      <c r="K8" s="13"/>
      <c r="L8" s="45" t="s">
        <v>4192</v>
      </c>
      <c r="M8" s="13"/>
      <c r="N8" s="37" t="s">
        <v>4193</v>
      </c>
      <c r="O8" s="13"/>
      <c r="P8" s="37" t="s">
        <v>4194</v>
      </c>
      <c r="Q8" s="13"/>
      <c r="R8" s="37" t="s">
        <v>4195</v>
      </c>
      <c r="S8" s="13"/>
      <c r="T8" s="33" t="s">
        <v>4196</v>
      </c>
      <c r="U8" s="45" t="s">
        <v>4197</v>
      </c>
      <c r="V8" s="41"/>
      <c r="W8" s="26"/>
      <c r="X8" s="42" t="s">
        <v>85</v>
      </c>
      <c r="Y8" s="42" t="s">
        <v>86</v>
      </c>
      <c r="Z8" s="48" t="s">
        <v>97</v>
      </c>
      <c r="AA8" s="14"/>
      <c r="AB8" s="15" t="str">
        <f>IFERROR(__xludf.DUMMYFUNCTION("join("","",filter(split($H$83,"",""),ARRAYFORMULA(ISERROR(FIND(split($H$83,"",""),CONCATENATE(E8:V8))))=TRUE))"),"КЗ,202,206,210,406,409,410")</f>
        <v>КЗ,202,206,210,406,409,410</v>
      </c>
      <c r="AC8" s="14"/>
      <c r="AD8" s="14"/>
      <c r="AE8" s="14"/>
      <c r="AF8" s="29"/>
      <c r="AG8" s="29"/>
      <c r="AH8" s="29"/>
    </row>
    <row r="9" ht="40.5" customHeight="1">
      <c r="A9" s="30"/>
      <c r="B9" s="31">
        <v>8.0</v>
      </c>
      <c r="C9" s="32" t="s">
        <v>98</v>
      </c>
      <c r="D9" s="32" t="s">
        <v>99</v>
      </c>
      <c r="E9" s="320" t="s">
        <v>4198</v>
      </c>
      <c r="F9" s="276" t="s">
        <v>4199</v>
      </c>
      <c r="G9" s="43" t="s">
        <v>4200</v>
      </c>
      <c r="H9" s="45" t="s">
        <v>4201</v>
      </c>
      <c r="I9" s="13"/>
      <c r="J9" s="37" t="s">
        <v>4202</v>
      </c>
      <c r="K9" s="13"/>
      <c r="L9" s="45" t="s">
        <v>4203</v>
      </c>
      <c r="M9" s="13"/>
      <c r="N9" s="61" t="s">
        <v>4204</v>
      </c>
      <c r="O9" s="13"/>
      <c r="P9" s="321" t="s">
        <v>4205</v>
      </c>
      <c r="Q9" s="45" t="s">
        <v>4206</v>
      </c>
      <c r="R9" s="322" t="s">
        <v>4207</v>
      </c>
      <c r="S9" s="36"/>
      <c r="T9" s="36"/>
      <c r="U9" s="36"/>
      <c r="V9" s="41"/>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40.5" customHeight="1">
      <c r="A10" s="30"/>
      <c r="B10" s="31">
        <v>9.0</v>
      </c>
      <c r="C10" s="65">
        <v>44697.0</v>
      </c>
      <c r="D10" s="44" t="s">
        <v>109</v>
      </c>
      <c r="E10" s="66" t="s">
        <v>4208</v>
      </c>
      <c r="F10" s="67"/>
      <c r="G10" s="43" t="s">
        <v>4209</v>
      </c>
      <c r="H10" s="45" t="s">
        <v>4210</v>
      </c>
      <c r="I10" s="13"/>
      <c r="J10" s="37" t="s">
        <v>4211</v>
      </c>
      <c r="K10" s="13"/>
      <c r="L10" s="45" t="s">
        <v>4212</v>
      </c>
      <c r="M10" s="13"/>
      <c r="N10" s="61" t="s">
        <v>4213</v>
      </c>
      <c r="O10" s="13"/>
      <c r="P10" s="321" t="s">
        <v>4214</v>
      </c>
      <c r="Q10" s="68" t="s">
        <v>4215</v>
      </c>
      <c r="R10" s="36"/>
      <c r="S10" s="36"/>
      <c r="T10" s="36"/>
      <c r="U10" s="36"/>
      <c r="V10" s="41"/>
      <c r="W10" s="26"/>
      <c r="X10" s="69">
        <v>44697.0</v>
      </c>
      <c r="Y10" s="70" t="s">
        <v>109</v>
      </c>
      <c r="Z10" s="28"/>
      <c r="AA10" s="14"/>
      <c r="AB10" s="15" t="str">
        <f>IFERROR(__xludf.DUMMYFUNCTION("join("","",filter(split($H$83,"",""),ARRAYFORMULA(ISERROR(FIND(split($H$83,"",""),CONCATENATE(E10:V10))))=TRUE))"),"КЗ,206,210,403,404,405,406,408,409,АЗ")</f>
        <v>КЗ,206,210,403,404,405,406,408,409,АЗ</v>
      </c>
      <c r="AC10" s="14"/>
      <c r="AD10" s="14"/>
      <c r="AE10" s="14"/>
      <c r="AF10" s="29"/>
      <c r="AG10" s="29"/>
      <c r="AH10" s="29"/>
    </row>
    <row r="11" ht="49.5" customHeight="1">
      <c r="A11" s="30"/>
      <c r="B11" s="31">
        <v>10.0</v>
      </c>
      <c r="C11" s="44" t="s">
        <v>120</v>
      </c>
      <c r="D11" s="44" t="s">
        <v>121</v>
      </c>
      <c r="E11" s="71" t="s">
        <v>122</v>
      </c>
      <c r="F11" s="64"/>
      <c r="G11" s="64"/>
      <c r="H11" s="64"/>
      <c r="I11" s="64"/>
      <c r="J11" s="64"/>
      <c r="K11" s="64"/>
      <c r="L11" s="64"/>
      <c r="M11" s="64"/>
      <c r="N11" s="64"/>
      <c r="O11" s="64"/>
      <c r="P11" s="64"/>
      <c r="Q11" s="64"/>
      <c r="R11" s="64"/>
      <c r="S11" s="183"/>
      <c r="T11" s="73" t="s">
        <v>4216</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customHeight="1">
      <c r="A13" s="553">
        <v>44845.0</v>
      </c>
      <c r="B13" s="19">
        <v>1.0</v>
      </c>
      <c r="C13" s="20" t="s">
        <v>12</v>
      </c>
      <c r="D13" s="20" t="s">
        <v>13</v>
      </c>
      <c r="E13" s="80" t="s">
        <v>4217</v>
      </c>
      <c r="F13" s="25"/>
      <c r="G13" s="81" t="s">
        <v>4218</v>
      </c>
      <c r="H13" s="80" t="s">
        <v>4219</v>
      </c>
      <c r="I13" s="22"/>
      <c r="J13" s="23" t="s">
        <v>4220</v>
      </c>
      <c r="K13" s="25"/>
      <c r="L13" s="80" t="s">
        <v>4221</v>
      </c>
      <c r="M13" s="25"/>
      <c r="N13" s="82" t="s">
        <v>4222</v>
      </c>
      <c r="O13" s="25"/>
      <c r="P13" s="21" t="s">
        <v>4223</v>
      </c>
      <c r="Q13" s="22"/>
      <c r="R13" s="23" t="s">
        <v>4224</v>
      </c>
      <c r="S13" s="22"/>
      <c r="T13" s="84" t="s">
        <v>4225</v>
      </c>
      <c r="U13" s="80" t="s">
        <v>4226</v>
      </c>
      <c r="V13" s="22"/>
      <c r="W13" s="26"/>
      <c r="X13" s="27" t="s">
        <v>12</v>
      </c>
      <c r="Y13" s="27" t="s">
        <v>13</v>
      </c>
      <c r="Z13" s="28"/>
      <c r="AA13" s="85"/>
      <c r="AB13" s="15" t="str">
        <f>IFERROR(__xludf.DUMMYFUNCTION("join("","",filter(split($H$83,"",""),ARRAYFORMULA(ISERROR(FIND(split($H$83,"",""),CONCATENATE(E13:V13))))=TRUE))"),"СЗ,202,206,403,406,409,410,АЗ")</f>
        <v>СЗ,202,206,403,406,409,410,АЗ</v>
      </c>
      <c r="AC13" s="14"/>
      <c r="AD13" s="14"/>
      <c r="AE13" s="14"/>
      <c r="AF13" s="29"/>
      <c r="AG13" s="29"/>
      <c r="AH13" s="29"/>
    </row>
    <row r="14" ht="40.5" customHeight="1">
      <c r="A14" s="30"/>
      <c r="B14" s="31">
        <v>2.0</v>
      </c>
      <c r="C14" s="32" t="s">
        <v>21</v>
      </c>
      <c r="D14" s="32" t="s">
        <v>22</v>
      </c>
      <c r="E14" s="45" t="s">
        <v>4227</v>
      </c>
      <c r="F14" s="13"/>
      <c r="G14" s="46" t="s">
        <v>4228</v>
      </c>
      <c r="H14" s="86" t="s">
        <v>4229</v>
      </c>
      <c r="I14" s="41"/>
      <c r="J14" s="35" t="s">
        <v>4230</v>
      </c>
      <c r="K14" s="13"/>
      <c r="L14" s="45" t="s">
        <v>4231</v>
      </c>
      <c r="M14" s="13"/>
      <c r="N14" s="87" t="s">
        <v>4232</v>
      </c>
      <c r="O14" s="13"/>
      <c r="P14" s="573" t="s">
        <v>4233</v>
      </c>
      <c r="Q14" s="41"/>
      <c r="R14" s="35" t="s">
        <v>4234</v>
      </c>
      <c r="S14" s="41"/>
      <c r="T14" s="43" t="s">
        <v>4235</v>
      </c>
      <c r="U14" s="45" t="s">
        <v>4236</v>
      </c>
      <c r="V14" s="41"/>
      <c r="W14" s="26"/>
      <c r="X14" s="42" t="s">
        <v>21</v>
      </c>
      <c r="Y14" s="42" t="s">
        <v>22</v>
      </c>
      <c r="Z14" s="28"/>
      <c r="AA14" s="85"/>
      <c r="AB14" s="15" t="str">
        <f>IFERROR(__xludf.DUMMYFUNCTION("join("","",filter(split($H$83,"",""),ARRAYFORMULA(ISERROR(FIND(split($H$83,"",""),CONCATENATE(E14:V14))))=TRUE))"),"СЗ,202,206,403,406,409,410,АЗ")</f>
        <v>СЗ,202,206,403,406,409,410,АЗ</v>
      </c>
      <c r="AC14" s="14"/>
      <c r="AD14" s="14"/>
      <c r="AE14" s="14"/>
      <c r="AF14" s="29"/>
      <c r="AG14" s="29"/>
      <c r="AH14" s="29"/>
    </row>
    <row r="15" ht="40.5" customHeight="1">
      <c r="A15" s="30"/>
      <c r="B15" s="31">
        <v>3.0</v>
      </c>
      <c r="C15" s="32" t="s">
        <v>33</v>
      </c>
      <c r="D15" s="32" t="s">
        <v>34</v>
      </c>
      <c r="E15" s="40" t="s">
        <v>4237</v>
      </c>
      <c r="F15" s="13"/>
      <c r="G15" s="37" t="s">
        <v>4238</v>
      </c>
      <c r="H15" s="36"/>
      <c r="I15" s="41"/>
      <c r="J15" s="35" t="s">
        <v>4239</v>
      </c>
      <c r="K15" s="13"/>
      <c r="L15" s="45" t="s">
        <v>4240</v>
      </c>
      <c r="M15" s="13"/>
      <c r="N15" s="89" t="s">
        <v>4241</v>
      </c>
      <c r="O15" s="13"/>
      <c r="P15" s="37" t="s">
        <v>4242</v>
      </c>
      <c r="Q15" s="41"/>
      <c r="R15" s="43" t="s">
        <v>4243</v>
      </c>
      <c r="S15" s="34" t="s">
        <v>4244</v>
      </c>
      <c r="T15" s="91" t="s">
        <v>4245</v>
      </c>
      <c r="U15" s="36"/>
      <c r="V15" s="41"/>
      <c r="W15" s="26"/>
      <c r="X15" s="42" t="s">
        <v>33</v>
      </c>
      <c r="Y15" s="42" t="s">
        <v>34</v>
      </c>
      <c r="Z15" s="48" t="s">
        <v>47</v>
      </c>
      <c r="AA15" s="85" t="str">
        <f>AA$5</f>
        <v/>
      </c>
      <c r="AB15" s="15" t="str">
        <f>IFERROR(__xludf.DUMMYFUNCTION("join("","",filter(split($H$83,"",""),ARRAYFORMULA(ISERROR(FIND(split($H$83,"",""),CONCATENATE(E15:V15))))=TRUE))"),"201,202,206,210,403,406,408,409,410,АЗ")</f>
        <v>201,202,206,210,403,406,408,409,410,АЗ</v>
      </c>
      <c r="AC15" s="14"/>
      <c r="AD15" s="14"/>
      <c r="AE15" s="14"/>
      <c r="AF15" s="29"/>
      <c r="AG15" s="29"/>
      <c r="AH15" s="29"/>
    </row>
    <row r="16" ht="40.5" customHeight="1">
      <c r="A16" s="30"/>
      <c r="B16" s="31">
        <v>4.0</v>
      </c>
      <c r="C16" s="32" t="s">
        <v>48</v>
      </c>
      <c r="D16" s="32" t="s">
        <v>49</v>
      </c>
      <c r="E16" s="40" t="s">
        <v>4246</v>
      </c>
      <c r="F16" s="13"/>
      <c r="G16" s="37" t="s">
        <v>4247</v>
      </c>
      <c r="H16" s="36"/>
      <c r="I16" s="41"/>
      <c r="J16" s="35" t="s">
        <v>4248</v>
      </c>
      <c r="K16" s="13"/>
      <c r="L16" s="45" t="s">
        <v>4249</v>
      </c>
      <c r="M16" s="13"/>
      <c r="N16" s="89" t="s">
        <v>4250</v>
      </c>
      <c r="O16" s="13"/>
      <c r="P16" s="37" t="s">
        <v>4251</v>
      </c>
      <c r="Q16" s="41"/>
      <c r="R16" s="43" t="s">
        <v>4252</v>
      </c>
      <c r="S16" s="34" t="s">
        <v>4253</v>
      </c>
      <c r="T16" s="91" t="s">
        <v>4254</v>
      </c>
      <c r="U16" s="36"/>
      <c r="V16" s="41"/>
      <c r="W16" s="26"/>
      <c r="X16" s="42" t="s">
        <v>48</v>
      </c>
      <c r="Y16" s="42" t="s">
        <v>49</v>
      </c>
      <c r="Z16" s="48" t="s">
        <v>57</v>
      </c>
      <c r="AA16" s="85" t="str">
        <f>AA$6</f>
        <v/>
      </c>
      <c r="AB16" s="15" t="str">
        <f>IFERROR(__xludf.DUMMYFUNCTION("join("","",filter(split($H$83,"",""),ARRAYFORMULA(ISERROR(FIND(split($H$83,"",""),CONCATENATE(E16:V16))))=TRUE))"),"201,202,206,210,403,406,408,409,410,АЗ")</f>
        <v>201,202,206,210,403,406,408,409,410,АЗ</v>
      </c>
      <c r="AC16" s="14"/>
      <c r="AD16" s="14"/>
      <c r="AE16" s="14"/>
      <c r="AF16" s="29"/>
      <c r="AG16" s="29"/>
      <c r="AH16" s="29"/>
    </row>
    <row r="17" ht="40.5" customHeight="1">
      <c r="A17" s="30"/>
      <c r="B17" s="31">
        <v>5.0</v>
      </c>
      <c r="C17" s="32" t="s">
        <v>58</v>
      </c>
      <c r="D17" s="53">
        <v>44847.0</v>
      </c>
      <c r="E17" s="45" t="s">
        <v>4255</v>
      </c>
      <c r="F17" s="13"/>
      <c r="G17" s="33" t="s">
        <v>4256</v>
      </c>
      <c r="H17" s="45" t="s">
        <v>4257</v>
      </c>
      <c r="I17" s="41"/>
      <c r="J17" s="35" t="s">
        <v>4258</v>
      </c>
      <c r="K17" s="13"/>
      <c r="L17" s="40" t="s">
        <v>4259</v>
      </c>
      <c r="M17" s="13"/>
      <c r="N17" s="45" t="s">
        <v>4260</v>
      </c>
      <c r="O17" s="13"/>
      <c r="P17" s="33" t="s">
        <v>4261</v>
      </c>
      <c r="Q17" s="34" t="s">
        <v>4262</v>
      </c>
      <c r="R17" s="326" t="s">
        <v>4263</v>
      </c>
      <c r="S17" s="92" t="s">
        <v>4264</v>
      </c>
      <c r="T17" s="93" t="s">
        <v>4265</v>
      </c>
      <c r="U17" s="36"/>
      <c r="V17" s="41"/>
      <c r="W17" s="26"/>
      <c r="X17" s="42" t="s">
        <v>58</v>
      </c>
      <c r="Y17" s="54">
        <v>44847.0</v>
      </c>
      <c r="Z17" s="48" t="s">
        <v>70</v>
      </c>
      <c r="AA17" s="85" t="str">
        <f>AA$7</f>
        <v/>
      </c>
      <c r="AB17" s="15" t="str">
        <f>IFERROR(__xludf.DUMMYFUNCTION("join("","",filter(split($H$83,"",""),ARRAYFORMULA(ISERROR(FIND(split($H$83,"",""),CONCATENATE(E17:V17))))=TRUE))"),"СЗ,202,206,209,403,408,410,АЗ")</f>
        <v>СЗ,202,206,209,403,408,410,АЗ</v>
      </c>
      <c r="AC17" s="14"/>
      <c r="AD17" s="14"/>
      <c r="AE17" s="14"/>
      <c r="AF17" s="29"/>
      <c r="AG17" s="29"/>
      <c r="AH17" s="29"/>
    </row>
    <row r="18" ht="40.5" customHeight="1">
      <c r="A18" s="30"/>
      <c r="B18" s="31">
        <v>6.0</v>
      </c>
      <c r="C18" s="55" t="s">
        <v>71</v>
      </c>
      <c r="D18" s="56" t="s">
        <v>72</v>
      </c>
      <c r="E18" s="45" t="s">
        <v>4266</v>
      </c>
      <c r="F18" s="13"/>
      <c r="G18" s="33" t="s">
        <v>4267</v>
      </c>
      <c r="H18" s="45" t="s">
        <v>4268</v>
      </c>
      <c r="I18" s="41"/>
      <c r="J18" s="35" t="s">
        <v>4269</v>
      </c>
      <c r="K18" s="13"/>
      <c r="L18" s="40" t="s">
        <v>4270</v>
      </c>
      <c r="M18" s="13"/>
      <c r="N18" s="45" t="s">
        <v>4271</v>
      </c>
      <c r="O18" s="13"/>
      <c r="P18" s="33" t="s">
        <v>4272</v>
      </c>
      <c r="Q18" s="34" t="s">
        <v>4273</v>
      </c>
      <c r="R18" s="326" t="s">
        <v>4274</v>
      </c>
      <c r="S18" s="92" t="s">
        <v>4275</v>
      </c>
      <c r="T18" s="93" t="s">
        <v>4276</v>
      </c>
      <c r="U18" s="36"/>
      <c r="V18" s="41"/>
      <c r="W18" s="26"/>
      <c r="X18" s="58" t="s">
        <v>71</v>
      </c>
      <c r="Y18" s="59" t="s">
        <v>72</v>
      </c>
      <c r="Z18" s="48" t="s">
        <v>84</v>
      </c>
      <c r="AA18" s="85" t="str">
        <f>AA$8</f>
        <v/>
      </c>
      <c r="AB18" s="15" t="str">
        <f>IFERROR(__xludf.DUMMYFUNCTION("join("","",filter(split($H$83,"",""),ARRAYFORMULA(ISERROR(FIND(split($H$83,"",""),CONCATENATE(E18:V18))))=TRUE))"),"СЗ,202,206,209,403,408,410,АЗ")</f>
        <v>СЗ,202,206,209,403,408,410,АЗ</v>
      </c>
      <c r="AC18" s="14"/>
      <c r="AD18" s="14"/>
      <c r="AE18" s="14"/>
      <c r="AF18" s="29"/>
      <c r="AG18" s="29"/>
      <c r="AH18" s="29"/>
    </row>
    <row r="19" ht="40.5" customHeight="1">
      <c r="A19" s="30"/>
      <c r="B19" s="31">
        <v>7.0</v>
      </c>
      <c r="C19" s="32" t="s">
        <v>85</v>
      </c>
      <c r="D19" s="32" t="s">
        <v>86</v>
      </c>
      <c r="E19" s="94" t="s">
        <v>4277</v>
      </c>
      <c r="F19" s="13"/>
      <c r="G19" s="33" t="s">
        <v>4278</v>
      </c>
      <c r="H19" s="45" t="s">
        <v>4279</v>
      </c>
      <c r="I19" s="41"/>
      <c r="J19" s="95" t="s">
        <v>4280</v>
      </c>
      <c r="K19" s="13"/>
      <c r="L19" s="45" t="s">
        <v>4281</v>
      </c>
      <c r="M19" s="13"/>
      <c r="N19" s="45" t="s">
        <v>4282</v>
      </c>
      <c r="O19" s="13"/>
      <c r="P19" s="37" t="s">
        <v>4283</v>
      </c>
      <c r="Q19" s="41"/>
      <c r="R19" s="96" t="s">
        <v>4284</v>
      </c>
      <c r="S19" s="97" t="s">
        <v>4285</v>
      </c>
      <c r="T19" s="93" t="s">
        <v>4286</v>
      </c>
      <c r="U19" s="36"/>
      <c r="V19" s="41"/>
      <c r="W19" s="26"/>
      <c r="X19" s="42" t="s">
        <v>85</v>
      </c>
      <c r="Y19" s="42" t="s">
        <v>86</v>
      </c>
      <c r="Z19" s="48" t="s">
        <v>97</v>
      </c>
      <c r="AA19" s="85" t="str">
        <f>AA$9</f>
        <v/>
      </c>
      <c r="AB19" s="15" t="str">
        <f>IFERROR(__xludf.DUMMYFUNCTION("join("","",filter(split($H$83,"",""),ARRAYFORMULA(ISERROR(FIND(split($H$83,"",""),CONCATENATE(E19:V19))))=TRUE))"),"СЗ,202,206,209,403,404,405,410,АЗ")</f>
        <v>СЗ,202,206,209,403,404,405,410,АЗ</v>
      </c>
      <c r="AC19" s="14"/>
      <c r="AD19" s="14"/>
      <c r="AE19" s="14"/>
      <c r="AF19" s="29"/>
      <c r="AG19" s="29"/>
      <c r="AH19" s="29"/>
    </row>
    <row r="20" ht="40.5" customHeight="1">
      <c r="A20" s="30"/>
      <c r="B20" s="31">
        <v>8.0</v>
      </c>
      <c r="C20" s="32" t="s">
        <v>98</v>
      </c>
      <c r="D20" s="32" t="s">
        <v>99</v>
      </c>
      <c r="E20" s="94" t="s">
        <v>4287</v>
      </c>
      <c r="F20" s="13"/>
      <c r="G20" s="33" t="s">
        <v>4288</v>
      </c>
      <c r="H20" s="45" t="s">
        <v>4289</v>
      </c>
      <c r="I20" s="41"/>
      <c r="J20" s="95" t="s">
        <v>4290</v>
      </c>
      <c r="K20" s="13"/>
      <c r="L20" s="45" t="s">
        <v>4291</v>
      </c>
      <c r="M20" s="13"/>
      <c r="N20" s="45" t="s">
        <v>4292</v>
      </c>
      <c r="O20" s="13"/>
      <c r="P20" s="37" t="s">
        <v>4293</v>
      </c>
      <c r="Q20" s="41"/>
      <c r="R20" s="96" t="s">
        <v>4294</v>
      </c>
      <c r="S20" s="97" t="s">
        <v>4295</v>
      </c>
      <c r="T20" s="93" t="s">
        <v>4296</v>
      </c>
      <c r="U20" s="36"/>
      <c r="V20" s="41"/>
      <c r="W20" s="26"/>
      <c r="X20" s="42" t="s">
        <v>98</v>
      </c>
      <c r="Y20" s="42" t="s">
        <v>99</v>
      </c>
      <c r="Z20" s="11"/>
      <c r="AA20" s="98"/>
      <c r="AB20" s="15" t="str">
        <f>IFERROR(__xludf.DUMMYFUNCTION("join("","",filter(split($H$83,"",""),ARRAYFORMULA(ISERROR(FIND(split($H$83,"",""),CONCATENATE(E20:V20))))=TRUE))"),"СЗ,202,206,209,403,404,405,410,АЗ")</f>
        <v>СЗ,202,206,209,403,404,405,410,АЗ</v>
      </c>
      <c r="AC20" s="14"/>
      <c r="AD20" s="14"/>
      <c r="AE20" s="14"/>
      <c r="AF20" s="29"/>
      <c r="AG20" s="29"/>
      <c r="AH20" s="29"/>
    </row>
    <row r="21" ht="40.5" customHeight="1">
      <c r="A21" s="30"/>
      <c r="B21" s="31">
        <v>9.0</v>
      </c>
      <c r="C21" s="65">
        <v>44697.0</v>
      </c>
      <c r="D21" s="44" t="s">
        <v>109</v>
      </c>
      <c r="E21" s="99" t="s">
        <v>206</v>
      </c>
      <c r="F21" s="4"/>
      <c r="G21" s="328" t="s">
        <v>4297</v>
      </c>
      <c r="H21" s="101" t="s">
        <v>208</v>
      </c>
      <c r="I21" s="36"/>
      <c r="J21" s="36"/>
      <c r="K21" s="36"/>
      <c r="L21" s="36"/>
      <c r="M21" s="13"/>
      <c r="N21" s="45" t="s">
        <v>4298</v>
      </c>
      <c r="O21" s="13"/>
      <c r="P21" s="102" t="s">
        <v>4299</v>
      </c>
      <c r="Q21" s="41"/>
      <c r="R21" s="35" t="s">
        <v>211</v>
      </c>
      <c r="S21" s="41"/>
      <c r="T21" s="103" t="s">
        <v>4300</v>
      </c>
      <c r="U21" s="36"/>
      <c r="V21" s="41"/>
      <c r="W21" s="26"/>
      <c r="X21" s="69">
        <v>44697.0</v>
      </c>
      <c r="Y21" s="70" t="s">
        <v>109</v>
      </c>
      <c r="Z21" s="28"/>
      <c r="AA21" s="98"/>
      <c r="AB21" s="15" t="str">
        <f>IFERROR(__xludf.DUMMYFUNCTION("join("","",filter(split($H$83,"",""),ARRAYFORMULA(ISERROR(FIND(split($H$83,"",""),CONCATENATE(E21:V21))))=TRUE))"),"201,206,209,210,401,403,404,405,406,408,АЗ")</f>
        <v>201,206,209,210,401,403,404,405,406,408,АЗ</v>
      </c>
      <c r="AC21" s="14"/>
      <c r="AD21" s="14"/>
      <c r="AE21" s="14"/>
      <c r="AF21" s="29"/>
      <c r="AG21" s="29"/>
      <c r="AH21" s="29"/>
    </row>
    <row r="22" ht="40.5" customHeight="1">
      <c r="A22" s="30"/>
      <c r="B22" s="31">
        <v>10.0</v>
      </c>
      <c r="C22" s="44" t="s">
        <v>120</v>
      </c>
      <c r="D22" s="44" t="s">
        <v>121</v>
      </c>
      <c r="E22" s="104"/>
      <c r="F22" s="72"/>
      <c r="G22" s="328" t="s">
        <v>4301</v>
      </c>
      <c r="H22" s="106" t="s">
        <v>3033</v>
      </c>
      <c r="I22" s="36"/>
      <c r="J22" s="36"/>
      <c r="K22" s="36"/>
      <c r="L22" s="36"/>
      <c r="M22" s="13"/>
      <c r="N22" s="45" t="s">
        <v>4302</v>
      </c>
      <c r="O22" s="13"/>
      <c r="P22" s="101" t="s">
        <v>215</v>
      </c>
      <c r="Q22" s="36"/>
      <c r="R22" s="36"/>
      <c r="S22" s="13"/>
      <c r="T22" s="107" t="s">
        <v>4303</v>
      </c>
      <c r="U22" s="36"/>
      <c r="V22" s="41"/>
      <c r="W22" s="26"/>
      <c r="X22" s="70" t="s">
        <v>120</v>
      </c>
      <c r="Y22" s="70" t="s">
        <v>121</v>
      </c>
      <c r="Z22" s="28"/>
      <c r="AA22" s="98"/>
      <c r="AB22" s="15" t="str">
        <f>IFERROR(__xludf.DUMMYFUNCTION("join("","",filter(split($H$83,"",""),ARRAYFORMULA(ISERROR(FIND(split($H$83,"",""),CONCATENATE(E22:V22))))=TRUE))"),"201,206,209,210,401,403,404,405,406,408,409,АЗ")</f>
        <v>201,206,209,210,401,403,404,405,406,408,409,АЗ</v>
      </c>
      <c r="AC22" s="14"/>
      <c r="AD22" s="14"/>
      <c r="AE22" s="14"/>
      <c r="AF22" s="29"/>
      <c r="AG22" s="29"/>
      <c r="AH22" s="29"/>
    </row>
    <row r="23" ht="40.5" customHeight="1">
      <c r="A23" s="74"/>
      <c r="B23" s="75">
        <v>11.0</v>
      </c>
      <c r="C23" s="76" t="s">
        <v>124</v>
      </c>
      <c r="D23" s="76" t="s">
        <v>125</v>
      </c>
      <c r="E23" s="108"/>
      <c r="F23" s="109"/>
      <c r="G23" s="110"/>
      <c r="H23" s="111"/>
      <c r="I23" s="112"/>
      <c r="J23" s="113"/>
      <c r="K23" s="111"/>
      <c r="L23" s="111"/>
      <c r="M23" s="111"/>
      <c r="N23" s="111"/>
      <c r="O23" s="111"/>
      <c r="P23" s="111"/>
      <c r="Q23" s="111"/>
      <c r="R23" s="114" t="s">
        <v>4304</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customHeight="1">
      <c r="A24" s="553">
        <v>44846.0</v>
      </c>
      <c r="B24" s="435">
        <v>1.0</v>
      </c>
      <c r="C24" s="20" t="s">
        <v>12</v>
      </c>
      <c r="D24" s="20" t="s">
        <v>13</v>
      </c>
      <c r="E24" s="21" t="s">
        <v>4305</v>
      </c>
      <c r="F24" s="22"/>
      <c r="G24" s="116" t="s">
        <v>4306</v>
      </c>
      <c r="H24" s="117" t="s">
        <v>4307</v>
      </c>
      <c r="I24" s="22"/>
      <c r="J24" s="118" t="s">
        <v>221</v>
      </c>
      <c r="K24" s="24"/>
      <c r="L24" s="24"/>
      <c r="M24" s="25"/>
      <c r="N24" s="80" t="s">
        <v>4308</v>
      </c>
      <c r="O24" s="25"/>
      <c r="P24" s="331" t="s">
        <v>4309</v>
      </c>
      <c r="Q24" s="24"/>
      <c r="R24" s="24"/>
      <c r="S24" s="22"/>
      <c r="T24" s="573" t="s">
        <v>4310</v>
      </c>
      <c r="U24" s="36"/>
      <c r="V24" s="41"/>
      <c r="W24" s="26"/>
      <c r="X24" s="27" t="s">
        <v>12</v>
      </c>
      <c r="Y24" s="27" t="s">
        <v>13</v>
      </c>
      <c r="Z24" s="28"/>
      <c r="AA24" s="14"/>
      <c r="AB24" s="15" t="str">
        <f>IFERROR(__xludf.DUMMYFUNCTION("join("","",filter(split($H$83,"",""),ARRAYFORMULA(ISERROR(FIND(split($H$83,"",""),CONCATENATE(E24:V24))))=TRUE))"),"СЗ,206,210,401,402,403,404,405,406,409,410,АЗ")</f>
        <v>СЗ,206,210,401,402,403,404,405,406,409,410,АЗ</v>
      </c>
      <c r="AC24" s="14"/>
      <c r="AD24" s="14"/>
      <c r="AE24" s="14"/>
      <c r="AF24" s="29"/>
      <c r="AG24" s="29"/>
      <c r="AH24" s="29"/>
    </row>
    <row r="25" ht="40.5" customHeight="1">
      <c r="A25" s="30"/>
      <c r="B25" s="436">
        <v>2.0</v>
      </c>
      <c r="C25" s="32" t="s">
        <v>21</v>
      </c>
      <c r="D25" s="32" t="s">
        <v>22</v>
      </c>
      <c r="E25" s="51" t="s">
        <v>4311</v>
      </c>
      <c r="F25" s="41"/>
      <c r="G25" s="39" t="s">
        <v>4312</v>
      </c>
      <c r="H25" s="89" t="s">
        <v>4313</v>
      </c>
      <c r="I25" s="41"/>
      <c r="J25" s="35" t="s">
        <v>4314</v>
      </c>
      <c r="K25" s="13"/>
      <c r="L25" s="40" t="s">
        <v>4315</v>
      </c>
      <c r="M25" s="13"/>
      <c r="N25" s="40" t="s">
        <v>4316</v>
      </c>
      <c r="O25" s="13"/>
      <c r="P25" s="37" t="s">
        <v>4317</v>
      </c>
      <c r="Q25" s="13"/>
      <c r="R25" s="122" t="s">
        <v>4318</v>
      </c>
      <c r="S25" s="41"/>
      <c r="T25" s="103" t="s">
        <v>4319</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customHeight="1">
      <c r="A26" s="30"/>
      <c r="B26" s="436">
        <v>3.0</v>
      </c>
      <c r="C26" s="32" t="s">
        <v>33</v>
      </c>
      <c r="D26" s="32" t="s">
        <v>34</v>
      </c>
      <c r="E26" s="573" t="s">
        <v>4320</v>
      </c>
      <c r="F26" s="41"/>
      <c r="G26" s="51" t="s">
        <v>4321</v>
      </c>
      <c r="H26" s="36"/>
      <c r="I26" s="41"/>
      <c r="J26" s="95" t="s">
        <v>4322</v>
      </c>
      <c r="K26" s="13"/>
      <c r="L26" s="123" t="s">
        <v>4323</v>
      </c>
      <c r="M26" s="41"/>
      <c r="N26" s="40" t="s">
        <v>4324</v>
      </c>
      <c r="O26" s="13"/>
      <c r="P26" s="39" t="s">
        <v>4325</v>
      </c>
      <c r="Q26" s="124" t="s">
        <v>576</v>
      </c>
      <c r="R26" s="89" t="s">
        <v>4326</v>
      </c>
      <c r="S26" s="41"/>
      <c r="T26" s="125" t="s">
        <v>4327</v>
      </c>
      <c r="U26" s="36"/>
      <c r="V26" s="41"/>
      <c r="W26" s="26"/>
      <c r="X26" s="42" t="s">
        <v>33</v>
      </c>
      <c r="Y26" s="42" t="s">
        <v>34</v>
      </c>
      <c r="Z26" s="48" t="s">
        <v>47</v>
      </c>
      <c r="AA26" s="85" t="str">
        <f>AA$5</f>
        <v/>
      </c>
      <c r="AB26" s="15" t="str">
        <f>IFERROR(__xludf.DUMMYFUNCTION("join("","",filter(split($H$83,"",""),ARRAYFORMULA(ISERROR(FIND(split($H$83,"",""),CONCATENATE(E26:V26))))=TRUE))"),"СЗ,КЗ,206,210,402,403,404,405,408,410,АЗ")</f>
        <v>СЗ,КЗ,206,210,402,403,404,405,408,410,АЗ</v>
      </c>
      <c r="AC26" s="14"/>
      <c r="AD26" s="14"/>
      <c r="AE26" s="14"/>
      <c r="AF26" s="29"/>
      <c r="AG26" s="29"/>
      <c r="AH26" s="29"/>
    </row>
    <row r="27" ht="54.0" customHeight="1">
      <c r="A27" s="30"/>
      <c r="B27" s="436">
        <v>4.0</v>
      </c>
      <c r="C27" s="32" t="s">
        <v>48</v>
      </c>
      <c r="D27" s="32" t="s">
        <v>49</v>
      </c>
      <c r="E27" s="33" t="s">
        <v>4328</v>
      </c>
      <c r="F27" s="286" t="s">
        <v>4329</v>
      </c>
      <c r="G27" s="37" t="s">
        <v>4330</v>
      </c>
      <c r="H27" s="13"/>
      <c r="I27" s="92" t="s">
        <v>4331</v>
      </c>
      <c r="J27" s="107" t="s">
        <v>4332</v>
      </c>
      <c r="K27" s="13"/>
      <c r="L27" s="45" t="s">
        <v>4333</v>
      </c>
      <c r="M27" s="13"/>
      <c r="N27" s="127" t="s">
        <v>4334</v>
      </c>
      <c r="O27" s="13"/>
      <c r="P27" s="37" t="s">
        <v>4335</v>
      </c>
      <c r="Q27" s="13"/>
      <c r="R27" s="132" t="s">
        <v>4336</v>
      </c>
      <c r="S27" s="34" t="s">
        <v>4337</v>
      </c>
      <c r="T27" s="125" t="s">
        <v>4338</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D27" s="14"/>
      <c r="AE27" s="14"/>
      <c r="AF27" s="29"/>
      <c r="AG27" s="29"/>
      <c r="AH27" s="29"/>
    </row>
    <row r="28" ht="53.25" customHeight="1">
      <c r="A28" s="30"/>
      <c r="B28" s="436">
        <v>5.0</v>
      </c>
      <c r="C28" s="32" t="s">
        <v>58</v>
      </c>
      <c r="D28" s="53">
        <v>44847.0</v>
      </c>
      <c r="E28" s="33" t="s">
        <v>4339</v>
      </c>
      <c r="F28" s="92" t="s">
        <v>4340</v>
      </c>
      <c r="G28" s="37" t="s">
        <v>4341</v>
      </c>
      <c r="H28" s="13"/>
      <c r="I28" s="92" t="s">
        <v>4342</v>
      </c>
      <c r="J28" s="123" t="s">
        <v>4343</v>
      </c>
      <c r="K28" s="41"/>
      <c r="L28" s="45" t="s">
        <v>4344</v>
      </c>
      <c r="M28" s="13"/>
      <c r="N28" s="89" t="s">
        <v>4345</v>
      </c>
      <c r="O28" s="13"/>
      <c r="P28" s="39" t="s">
        <v>4346</v>
      </c>
      <c r="Q28" s="124" t="s">
        <v>4347</v>
      </c>
      <c r="R28" s="132" t="s">
        <v>4348</v>
      </c>
      <c r="S28" s="34" t="s">
        <v>4349</v>
      </c>
      <c r="T28" s="128" t="s">
        <v>4350</v>
      </c>
      <c r="U28" s="8"/>
      <c r="V28" s="129"/>
      <c r="W28" s="26"/>
      <c r="X28" s="42" t="s">
        <v>58</v>
      </c>
      <c r="Y28" s="54">
        <v>44847.0</v>
      </c>
      <c r="Z28" s="48" t="s">
        <v>70</v>
      </c>
      <c r="AA28" s="85" t="str">
        <f>AA$7</f>
        <v/>
      </c>
      <c r="AB28" s="15" t="str">
        <f>IFERROR(__xludf.DUMMYFUNCTION("join("","",filter(split($H$83,"",""),ARRAYFORMULA(ISERROR(FIND(split($H$83,"",""),CONCATENATE(E28:V28))))=TRUE))"),"СЗ,206,209,403,404,405,410")</f>
        <v>СЗ,206,209,403,404,405,410</v>
      </c>
      <c r="AC28" s="14"/>
      <c r="AD28" s="14"/>
      <c r="AE28" s="14"/>
      <c r="AF28" s="29"/>
      <c r="AG28" s="29"/>
      <c r="AH28" s="29"/>
    </row>
    <row r="29" ht="40.5" customHeight="1">
      <c r="A29" s="30"/>
      <c r="B29" s="436">
        <v>6.0</v>
      </c>
      <c r="C29" s="55" t="s">
        <v>71</v>
      </c>
      <c r="D29" s="56" t="s">
        <v>72</v>
      </c>
      <c r="E29" s="39" t="s">
        <v>4351</v>
      </c>
      <c r="F29" s="34" t="s">
        <v>4352</v>
      </c>
      <c r="G29" s="40" t="s">
        <v>4353</v>
      </c>
      <c r="H29" s="41"/>
      <c r="I29" s="34" t="s">
        <v>4354</v>
      </c>
      <c r="J29" s="123" t="s">
        <v>4355</v>
      </c>
      <c r="K29" s="41"/>
      <c r="L29" s="89" t="s">
        <v>4356</v>
      </c>
      <c r="M29" s="13"/>
      <c r="N29" s="130" t="s">
        <v>4357</v>
      </c>
      <c r="O29" s="13"/>
      <c r="P29" s="131" t="s">
        <v>4358</v>
      </c>
      <c r="Q29" s="132" t="s">
        <v>4359</v>
      </c>
      <c r="R29" s="437" t="s">
        <v>4360</v>
      </c>
      <c r="S29" s="92" t="s">
        <v>4361</v>
      </c>
      <c r="V29" s="134"/>
      <c r="W29" s="26"/>
      <c r="X29" s="58" t="s">
        <v>71</v>
      </c>
      <c r="Y29" s="59" t="s">
        <v>72</v>
      </c>
      <c r="Z29" s="48" t="s">
        <v>84</v>
      </c>
      <c r="AA29" s="85" t="str">
        <f>AA$8</f>
        <v/>
      </c>
      <c r="AB29" s="15" t="str">
        <f>IFERROR(__xludf.DUMMYFUNCTION("join("","",filter(split($H$83,"",""),ARRAYFORMULA(ISERROR(FIND(split($H$83,"",""),CONCATENATE(E29:V29))))=TRUE))"),"СЗ,КЗ,201,206,403,404,410,АЗ")</f>
        <v>СЗ,КЗ,201,206,403,404,410,АЗ</v>
      </c>
      <c r="AC29" s="14"/>
      <c r="AD29" s="14"/>
      <c r="AE29" s="14"/>
      <c r="AF29" s="29"/>
      <c r="AG29" s="29"/>
      <c r="AH29" s="29"/>
    </row>
    <row r="30" ht="40.5" customHeight="1">
      <c r="A30" s="30"/>
      <c r="B30" s="436">
        <v>7.0</v>
      </c>
      <c r="C30" s="32" t="s">
        <v>85</v>
      </c>
      <c r="D30" s="32" t="s">
        <v>86</v>
      </c>
      <c r="E30" s="39" t="s">
        <v>4362</v>
      </c>
      <c r="F30" s="34" t="s">
        <v>4363</v>
      </c>
      <c r="G30" s="40" t="s">
        <v>4364</v>
      </c>
      <c r="H30" s="41"/>
      <c r="I30" s="34" t="s">
        <v>4365</v>
      </c>
      <c r="J30" s="35" t="s">
        <v>4366</v>
      </c>
      <c r="K30" s="13"/>
      <c r="L30" s="123" t="s">
        <v>4367</v>
      </c>
      <c r="M30" s="41"/>
      <c r="N30" s="130" t="s">
        <v>4368</v>
      </c>
      <c r="O30" s="13"/>
      <c r="P30" s="131" t="s">
        <v>4369</v>
      </c>
      <c r="Q30" s="132" t="s">
        <v>4370</v>
      </c>
      <c r="R30" s="173"/>
      <c r="S30" s="92" t="s">
        <v>4371</v>
      </c>
      <c r="V30" s="134"/>
      <c r="W30" s="26"/>
      <c r="X30" s="42" t="s">
        <v>85</v>
      </c>
      <c r="Y30" s="42" t="s">
        <v>86</v>
      </c>
      <c r="Z30" s="48" t="s">
        <v>97</v>
      </c>
      <c r="AA30" s="85" t="str">
        <f>AA$9</f>
        <v/>
      </c>
      <c r="AB30" s="15" t="str">
        <f>IFERROR(__xludf.DUMMYFUNCTION("join("","",filter(split($H$83,"",""),ARRAYFORMULA(ISERROR(FIND(split($H$83,"",""),CONCATENATE(E30:V30))))=TRUE))"),"СЗ,КЗ,206,403,404,405,409,410,АЗ")</f>
        <v>СЗ,КЗ,206,403,404,405,409,410,АЗ</v>
      </c>
      <c r="AC30" s="14"/>
      <c r="AD30" s="14"/>
      <c r="AE30" s="14"/>
      <c r="AF30" s="29"/>
      <c r="AG30" s="29"/>
      <c r="AH30" s="29"/>
    </row>
    <row r="31" ht="52.5" customHeight="1">
      <c r="A31" s="30"/>
      <c r="B31" s="436">
        <v>8.0</v>
      </c>
      <c r="C31" s="32" t="s">
        <v>98</v>
      </c>
      <c r="D31" s="32" t="s">
        <v>99</v>
      </c>
      <c r="E31" s="46" t="s">
        <v>4372</v>
      </c>
      <c r="F31" s="41"/>
      <c r="G31" s="137" t="s">
        <v>4373</v>
      </c>
      <c r="H31" s="8"/>
      <c r="I31" s="129"/>
      <c r="J31" s="334" t="s">
        <v>4374</v>
      </c>
      <c r="K31" s="36"/>
      <c r="L31" s="36"/>
      <c r="M31" s="13"/>
      <c r="N31" s="573" t="s">
        <v>4375</v>
      </c>
      <c r="O31" s="41"/>
      <c r="P31" s="33" t="s">
        <v>4376</v>
      </c>
      <c r="Q31" s="408" t="s">
        <v>4377</v>
      </c>
      <c r="R31" s="144"/>
      <c r="S31" s="133" t="s">
        <v>276</v>
      </c>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customHeight="1">
      <c r="A32" s="30"/>
      <c r="B32" s="436">
        <v>9.0</v>
      </c>
      <c r="C32" s="65">
        <v>44697.0</v>
      </c>
      <c r="D32" s="44" t="s">
        <v>109</v>
      </c>
      <c r="E32" s="141" t="s">
        <v>4378</v>
      </c>
      <c r="F32" s="13"/>
      <c r="G32" s="142"/>
      <c r="H32" s="64"/>
      <c r="I32" s="88"/>
      <c r="J32" s="334" t="s">
        <v>4379</v>
      </c>
      <c r="K32" s="36"/>
      <c r="L32" s="36"/>
      <c r="M32" s="13"/>
      <c r="N32" s="45" t="s">
        <v>4380</v>
      </c>
      <c r="O32" s="13"/>
      <c r="P32" s="33" t="s">
        <v>4381</v>
      </c>
      <c r="Q32" s="408" t="s">
        <v>4382</v>
      </c>
      <c r="R32" s="144"/>
      <c r="S32" s="92"/>
      <c r="T32" s="64"/>
      <c r="U32" s="64"/>
      <c r="V32" s="88"/>
      <c r="W32" s="26"/>
      <c r="X32" s="69">
        <v>44697.0</v>
      </c>
      <c r="Y32" s="70" t="s">
        <v>109</v>
      </c>
      <c r="Z32" s="28"/>
      <c r="AA32" s="14"/>
      <c r="AB32" s="15" t="str">
        <f>IFERROR(__xludf.DUMMYFUNCTION("join("","",filter(split($H$83,"",""),ARRAYFORMULA(ISERROR(FIND(split($H$83,"",""),CONCATENATE(E32:V32))))=TRUE))"),"СЗ,КЗ,201,206,401,402,403,404,405,406,408,409,АЗ")</f>
        <v>СЗ,КЗ,201,206,401,402,403,404,405,406,408,409,АЗ</v>
      </c>
      <c r="AC32" s="14"/>
      <c r="AD32" s="14"/>
      <c r="AE32" s="14"/>
      <c r="AF32" s="29"/>
      <c r="AG32" s="29"/>
      <c r="AH32" s="29"/>
    </row>
    <row r="33" ht="40.5" customHeight="1">
      <c r="A33" s="30"/>
      <c r="B33" s="436">
        <v>10.0</v>
      </c>
      <c r="C33" s="44" t="s">
        <v>120</v>
      </c>
      <c r="D33" s="44" t="s">
        <v>121</v>
      </c>
      <c r="E33" s="141" t="s">
        <v>4383</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customHeight="1">
      <c r="A34" s="74"/>
      <c r="B34" s="438">
        <v>11.0</v>
      </c>
      <c r="C34" s="76" t="s">
        <v>124</v>
      </c>
      <c r="D34" s="76" t="s">
        <v>125</v>
      </c>
      <c r="E34" s="141" t="s">
        <v>4384</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customHeight="1">
      <c r="A35" s="553">
        <v>44847.0</v>
      </c>
      <c r="B35" s="19">
        <v>1.0</v>
      </c>
      <c r="C35" s="20" t="s">
        <v>12</v>
      </c>
      <c r="D35" s="20" t="s">
        <v>13</v>
      </c>
      <c r="E35" s="80"/>
      <c r="F35" s="25"/>
      <c r="G35" s="156" t="s">
        <v>4385</v>
      </c>
      <c r="H35" s="117" t="s">
        <v>4386</v>
      </c>
      <c r="I35" s="25"/>
      <c r="J35" s="157" t="s">
        <v>4387</v>
      </c>
      <c r="K35" s="13"/>
      <c r="L35" s="156" t="s">
        <v>4388</v>
      </c>
      <c r="M35" s="156" t="s">
        <v>4389</v>
      </c>
      <c r="N35" s="80" t="s">
        <v>4390</v>
      </c>
      <c r="O35" s="25"/>
      <c r="P35" s="156" t="s">
        <v>4391</v>
      </c>
      <c r="Q35" s="156" t="s">
        <v>4392</v>
      </c>
      <c r="R35" s="159" t="s">
        <v>4393</v>
      </c>
      <c r="S35" s="160"/>
      <c r="T35" s="161" t="s">
        <v>4394</v>
      </c>
      <c r="U35" s="24"/>
      <c r="V35" s="22"/>
      <c r="W35" s="26"/>
      <c r="X35" s="27" t="s">
        <v>12</v>
      </c>
      <c r="Y35" s="27" t="s">
        <v>13</v>
      </c>
      <c r="Z35" s="28"/>
      <c r="AA35" s="14"/>
      <c r="AB35" s="15" t="str">
        <f>IFERROR(__xludf.DUMMYFUNCTION("join("","",filter(split($H$83,"",""),ARRAYFORMULA(ISERROR(FIND(split($H$83,"",""),CONCATENATE(E35:V35))))=TRUE))"),"СЗ,КЗ,201,206,406,410,АЗ")</f>
        <v>СЗ,КЗ,201,206,406,410,АЗ</v>
      </c>
      <c r="AC35" s="14"/>
      <c r="AD35" s="14"/>
      <c r="AE35" s="14"/>
      <c r="AF35" s="29"/>
      <c r="AG35" s="29"/>
      <c r="AH35" s="29"/>
    </row>
    <row r="36" ht="54.0" customHeight="1">
      <c r="A36" s="30"/>
      <c r="B36" s="31">
        <v>2.0</v>
      </c>
      <c r="C36" s="32" t="s">
        <v>21</v>
      </c>
      <c r="D36" s="32" t="s">
        <v>22</v>
      </c>
      <c r="E36" s="45" t="s">
        <v>4395</v>
      </c>
      <c r="F36" s="13"/>
      <c r="G36" s="44" t="s">
        <v>4396</v>
      </c>
      <c r="H36" s="40" t="s">
        <v>312</v>
      </c>
      <c r="I36" s="13"/>
      <c r="J36" s="157" t="s">
        <v>313</v>
      </c>
      <c r="K36" s="13"/>
      <c r="L36" s="44" t="s">
        <v>4397</v>
      </c>
      <c r="M36" s="44" t="s">
        <v>4398</v>
      </c>
      <c r="N36" s="45" t="s">
        <v>316</v>
      </c>
      <c r="O36" s="13"/>
      <c r="P36" s="44" t="s">
        <v>4399</v>
      </c>
      <c r="Q36" s="44" t="s">
        <v>4400</v>
      </c>
      <c r="R36" s="162" t="s">
        <v>4401</v>
      </c>
      <c r="S36" s="90"/>
      <c r="T36" s="163" t="s">
        <v>4402</v>
      </c>
      <c r="U36" s="36"/>
      <c r="V36" s="41"/>
      <c r="W36" s="26"/>
      <c r="X36" s="42" t="s">
        <v>21</v>
      </c>
      <c r="Y36" s="42" t="s">
        <v>22</v>
      </c>
      <c r="Z36" s="28"/>
      <c r="AA36" s="14"/>
      <c r="AB36" s="15" t="str">
        <f>IFERROR(__xludf.DUMMYFUNCTION("join("","",filter(split($H$83,"",""),ARRAYFORMULA(ISERROR(FIND(split($H$83,"",""),CONCATENATE(E36:V36))))=TRUE))"),"СЗ,КЗ,206,406,410,АЗ")</f>
        <v>СЗ,КЗ,206,406,410,АЗ</v>
      </c>
      <c r="AC36" s="14"/>
      <c r="AD36" s="14"/>
      <c r="AE36" s="14"/>
      <c r="AF36" s="29"/>
      <c r="AG36" s="29"/>
      <c r="AH36" s="29"/>
    </row>
    <row r="37" ht="56.25" customHeight="1">
      <c r="A37" s="30"/>
      <c r="B37" s="31">
        <v>3.0</v>
      </c>
      <c r="C37" s="32" t="s">
        <v>33</v>
      </c>
      <c r="D37" s="32" t="s">
        <v>34</v>
      </c>
      <c r="E37" s="45" t="s">
        <v>4403</v>
      </c>
      <c r="F37" s="13"/>
      <c r="G37" s="132" t="s">
        <v>4404</v>
      </c>
      <c r="H37" s="45" t="s">
        <v>4405</v>
      </c>
      <c r="I37" s="13"/>
      <c r="J37" s="45" t="s">
        <v>4406</v>
      </c>
      <c r="K37" s="13"/>
      <c r="L37" s="44" t="s">
        <v>4407</v>
      </c>
      <c r="M37" s="44" t="s">
        <v>4408</v>
      </c>
      <c r="N37" s="574" t="s">
        <v>4409</v>
      </c>
      <c r="O37" s="36"/>
      <c r="P37" s="36"/>
      <c r="Q37" s="13"/>
      <c r="R37" s="44" t="s">
        <v>4410</v>
      </c>
      <c r="S37" s="44" t="s">
        <v>4411</v>
      </c>
      <c r="T37" s="87" t="s">
        <v>4412</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customHeight="1">
      <c r="A38" s="30"/>
      <c r="B38" s="31">
        <v>4.0</v>
      </c>
      <c r="C38" s="32" t="s">
        <v>48</v>
      </c>
      <c r="D38" s="32" t="s">
        <v>49</v>
      </c>
      <c r="E38" s="45" t="s">
        <v>4413</v>
      </c>
      <c r="F38" s="13"/>
      <c r="G38" s="132" t="s">
        <v>4414</v>
      </c>
      <c r="H38" s="45" t="s">
        <v>4415</v>
      </c>
      <c r="I38" s="13"/>
      <c r="J38" s="45" t="s">
        <v>4416</v>
      </c>
      <c r="K38" s="13"/>
      <c r="L38" s="44" t="s">
        <v>4417</v>
      </c>
      <c r="M38" s="44" t="s">
        <v>4418</v>
      </c>
      <c r="N38" s="574" t="s">
        <v>4419</v>
      </c>
      <c r="O38" s="36"/>
      <c r="P38" s="36"/>
      <c r="Q38" s="13"/>
      <c r="R38" s="44" t="s">
        <v>4420</v>
      </c>
      <c r="S38" s="44" t="s">
        <v>4421</v>
      </c>
      <c r="T38" s="87" t="s">
        <v>4422</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customHeight="1">
      <c r="A39" s="30"/>
      <c r="B39" s="31">
        <v>5.0</v>
      </c>
      <c r="C39" s="32" t="s">
        <v>58</v>
      </c>
      <c r="D39" s="53">
        <v>44847.0</v>
      </c>
      <c r="E39" s="45" t="s">
        <v>4423</v>
      </c>
      <c r="F39" s="13"/>
      <c r="G39" s="44" t="s">
        <v>4424</v>
      </c>
      <c r="H39" s="45" t="s">
        <v>4425</v>
      </c>
      <c r="I39" s="13"/>
      <c r="J39" s="44" t="s">
        <v>4426</v>
      </c>
      <c r="K39" s="44" t="s">
        <v>4427</v>
      </c>
      <c r="L39" s="45" t="s">
        <v>4428</v>
      </c>
      <c r="M39" s="13"/>
      <c r="N39" s="44" t="s">
        <v>4429</v>
      </c>
      <c r="O39" s="44" t="s">
        <v>4430</v>
      </c>
      <c r="P39" s="45" t="s">
        <v>4431</v>
      </c>
      <c r="Q39" s="13"/>
      <c r="R39" s="44" t="s">
        <v>4432</v>
      </c>
      <c r="S39" s="132" t="s">
        <v>4433</v>
      </c>
      <c r="T39" s="45" t="s">
        <v>4434</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customHeight="1">
      <c r="A40" s="30"/>
      <c r="B40" s="31">
        <v>6.0</v>
      </c>
      <c r="C40" s="55" t="s">
        <v>71</v>
      </c>
      <c r="D40" s="56" t="s">
        <v>72</v>
      </c>
      <c r="E40" s="45" t="s">
        <v>4435</v>
      </c>
      <c r="F40" s="13"/>
      <c r="G40" s="44" t="s">
        <v>355</v>
      </c>
      <c r="H40" s="45" t="s">
        <v>4436</v>
      </c>
      <c r="I40" s="13"/>
      <c r="J40" s="44" t="s">
        <v>4437</v>
      </c>
      <c r="K40" s="44" t="s">
        <v>4438</v>
      </c>
      <c r="L40" s="45" t="s">
        <v>4439</v>
      </c>
      <c r="M40" s="13"/>
      <c r="N40" s="44" t="s">
        <v>4440</v>
      </c>
      <c r="O40" s="44" t="s">
        <v>4441</v>
      </c>
      <c r="P40" s="45" t="s">
        <v>4442</v>
      </c>
      <c r="Q40" s="13"/>
      <c r="R40" s="44" t="s">
        <v>4443</v>
      </c>
      <c r="S40" s="132" t="s">
        <v>4444</v>
      </c>
      <c r="T40" s="45" t="s">
        <v>4445</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customHeight="1">
      <c r="A41" s="30"/>
      <c r="B41" s="31">
        <v>7.0</v>
      </c>
      <c r="C41" s="32" t="s">
        <v>85</v>
      </c>
      <c r="D41" s="32" t="s">
        <v>86</v>
      </c>
      <c r="E41" s="45" t="s">
        <v>4446</v>
      </c>
      <c r="F41" s="13"/>
      <c r="G41" s="44" t="s">
        <v>4447</v>
      </c>
      <c r="H41" s="45" t="s">
        <v>4448</v>
      </c>
      <c r="I41" s="13"/>
      <c r="J41" s="44" t="s">
        <v>4449</v>
      </c>
      <c r="K41" s="44" t="s">
        <v>4450</v>
      </c>
      <c r="L41" s="45" t="s">
        <v>4451</v>
      </c>
      <c r="M41" s="13"/>
      <c r="N41" s="87" t="s">
        <v>4452</v>
      </c>
      <c r="O41" s="13"/>
      <c r="P41" s="45" t="s">
        <v>4453</v>
      </c>
      <c r="Q41" s="13"/>
      <c r="R41" s="44" t="s">
        <v>4454</v>
      </c>
      <c r="S41" s="44" t="s">
        <v>4455</v>
      </c>
      <c r="T41" s="165" t="s">
        <v>4456</v>
      </c>
      <c r="U41" s="36"/>
      <c r="V41" s="41"/>
      <c r="W41" s="26"/>
      <c r="X41" s="42" t="s">
        <v>85</v>
      </c>
      <c r="Y41" s="42" t="s">
        <v>86</v>
      </c>
      <c r="Z41" s="48" t="s">
        <v>97</v>
      </c>
      <c r="AA41" s="85" t="str">
        <f>AA$9</f>
        <v/>
      </c>
      <c r="AB41" s="15" t="str">
        <f>IFERROR(__xludf.DUMMYFUNCTION("join("","",filter(split($H$83,"",""),ARRAYFORMULA(ISERROR(FIND(split($H$83,"",""),CONCATENATE(E41:V41))))=TRUE))"),"СЗ,КЗ,206,210,403,406,410,АЗ")</f>
        <v>СЗ,КЗ,206,210,403,406,410,АЗ</v>
      </c>
      <c r="AC41" s="14"/>
      <c r="AD41" s="14"/>
      <c r="AE41" s="14"/>
      <c r="AF41" s="29"/>
      <c r="AG41" s="29"/>
      <c r="AH41" s="29"/>
    </row>
    <row r="42" ht="52.5" customHeight="1">
      <c r="A42" s="30"/>
      <c r="B42" s="31">
        <v>8.0</v>
      </c>
      <c r="C42" s="32" t="s">
        <v>98</v>
      </c>
      <c r="D42" s="32" t="s">
        <v>99</v>
      </c>
      <c r="E42" s="45" t="s">
        <v>4457</v>
      </c>
      <c r="F42" s="13"/>
      <c r="G42" s="44" t="s">
        <v>4458</v>
      </c>
      <c r="H42" s="45" t="s">
        <v>4459</v>
      </c>
      <c r="I42" s="13"/>
      <c r="J42" s="44" t="s">
        <v>4460</v>
      </c>
      <c r="K42" s="44" t="s">
        <v>4461</v>
      </c>
      <c r="L42" s="45" t="s">
        <v>4462</v>
      </c>
      <c r="M42" s="13"/>
      <c r="N42" s="87" t="s">
        <v>4463</v>
      </c>
      <c r="O42" s="13"/>
      <c r="P42" s="45" t="s">
        <v>4464</v>
      </c>
      <c r="Q42" s="13"/>
      <c r="R42" s="166"/>
      <c r="S42" s="13"/>
      <c r="T42" s="165" t="s">
        <v>4465</v>
      </c>
      <c r="U42" s="36"/>
      <c r="V42" s="41"/>
      <c r="W42" s="26"/>
      <c r="X42" s="42" t="s">
        <v>98</v>
      </c>
      <c r="Y42" s="42" t="s">
        <v>99</v>
      </c>
      <c r="Z42" s="11"/>
      <c r="AA42" s="14"/>
      <c r="AB42" s="15" t="str">
        <f>IFERROR(__xludf.DUMMYFUNCTION("join("","",filter(split($H$83,"",""),ARRAYFORMULA(ISERROR(FIND(split($H$83,"",""),CONCATENATE(E42:V42))))=TRUE))"),"СЗ,КЗ,206,210,403,404,405,406,410,АЗ")</f>
        <v>СЗ,КЗ,206,210,403,404,405,406,410,АЗ</v>
      </c>
      <c r="AC42" s="14"/>
      <c r="AD42" s="14"/>
      <c r="AE42" s="14"/>
      <c r="AF42" s="29"/>
      <c r="AG42" s="29"/>
      <c r="AH42" s="29"/>
    </row>
    <row r="43" ht="40.5" customHeight="1">
      <c r="A43" s="30"/>
      <c r="B43" s="31">
        <v>9.0</v>
      </c>
      <c r="C43" s="65">
        <v>44697.0</v>
      </c>
      <c r="D43" s="44" t="s">
        <v>109</v>
      </c>
      <c r="E43" s="167" t="s">
        <v>4466</v>
      </c>
      <c r="F43" s="4"/>
      <c r="G43" s="168"/>
      <c r="H43" s="169" t="s">
        <v>4467</v>
      </c>
      <c r="I43" s="36"/>
      <c r="J43" s="13"/>
      <c r="K43" s="170"/>
      <c r="L43" s="4"/>
      <c r="M43" s="171"/>
      <c r="N43" s="45" t="s">
        <v>4468</v>
      </c>
      <c r="O43" s="13"/>
      <c r="P43" s="174" t="s">
        <v>4469</v>
      </c>
      <c r="Q43" s="172" t="s">
        <v>390</v>
      </c>
      <c r="R43" s="8"/>
      <c r="S43" s="8"/>
      <c r="T43" s="8"/>
      <c r="U43" s="8"/>
      <c r="V43" s="129"/>
      <c r="W43" s="26"/>
      <c r="X43" s="69">
        <v>44697.0</v>
      </c>
      <c r="Y43" s="70" t="s">
        <v>109</v>
      </c>
      <c r="Z43" s="28"/>
      <c r="AA43" s="14"/>
      <c r="AB43" s="15" t="str">
        <f>IFERROR(__xludf.DUMMYFUNCTION("join("","",filter(split($H$83,"",""),ARRAYFORMULA(ISERROR(FIND(split($H$83,"",""),CONCATENATE(E43:V43))))=TRUE))"),"КЗ,206,209,210,401,403,404,405,406,408,409,АЗ")</f>
        <v>КЗ,206,209,210,401,403,404,405,406,408,409,АЗ</v>
      </c>
      <c r="AC43" s="14"/>
      <c r="AD43" s="14"/>
      <c r="AE43" s="14"/>
      <c r="AF43" s="29"/>
      <c r="AG43" s="29"/>
      <c r="AH43" s="29"/>
    </row>
    <row r="44" ht="40.5" customHeight="1">
      <c r="A44" s="30"/>
      <c r="B44" s="31">
        <v>10.0</v>
      </c>
      <c r="C44" s="44" t="s">
        <v>120</v>
      </c>
      <c r="D44" s="44" t="s">
        <v>121</v>
      </c>
      <c r="E44" s="104"/>
      <c r="F44" s="72"/>
      <c r="G44" s="173"/>
      <c r="H44" s="169" t="s">
        <v>4470</v>
      </c>
      <c r="I44" s="36"/>
      <c r="J44" s="13"/>
      <c r="K44" s="104"/>
      <c r="L44" s="72"/>
      <c r="M44" s="171"/>
      <c r="N44" s="45" t="s">
        <v>4471</v>
      </c>
      <c r="O44" s="13"/>
      <c r="P44" s="173"/>
      <c r="Q44" s="104"/>
      <c r="R44" s="64"/>
      <c r="S44" s="64"/>
      <c r="T44" s="64"/>
      <c r="U44" s="64"/>
      <c r="V44" s="88"/>
      <c r="W44" s="26"/>
      <c r="X44" s="70" t="s">
        <v>120</v>
      </c>
      <c r="Y44" s="70" t="s">
        <v>121</v>
      </c>
      <c r="Z44" s="28"/>
      <c r="AA44" s="14"/>
      <c r="AB44" s="15" t="str">
        <f>IFERROR(__xludf.DUMMYFUNCTION("join("","",filter(split($H$83,"",""),ARRAYFORMULA(ISERROR(FIND(split($H$83,"",""),CONCATENATE(E44:V44))))=TRUE))"),"КЗ,201,202,206,209,210,401,403,404,405,406,408,409,410,АЗ")</f>
        <v>КЗ,201,202,206,209,210,401,403,404,405,406,408,409,410,АЗ</v>
      </c>
      <c r="AC44" s="14"/>
      <c r="AD44" s="14"/>
      <c r="AE44" s="14"/>
      <c r="AF44" s="29"/>
      <c r="AG44" s="29"/>
      <c r="AH44" s="29"/>
    </row>
    <row r="45" ht="40.5"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553">
        <v>44848.0</v>
      </c>
      <c r="B46" s="19">
        <v>1.0</v>
      </c>
      <c r="C46" s="20" t="s">
        <v>12</v>
      </c>
      <c r="D46" s="20" t="s">
        <v>13</v>
      </c>
      <c r="E46" s="156" t="s">
        <v>4472</v>
      </c>
      <c r="F46" s="156" t="s">
        <v>4473</v>
      </c>
      <c r="G46" s="80" t="s">
        <v>4474</v>
      </c>
      <c r="H46" s="25"/>
      <c r="I46" s="174" t="s">
        <v>4475</v>
      </c>
      <c r="J46" s="175" t="s">
        <v>4476</v>
      </c>
      <c r="K46" s="25"/>
      <c r="L46" s="439" t="s">
        <v>4477</v>
      </c>
      <c r="M46" s="25"/>
      <c r="N46" s="156" t="s">
        <v>4478</v>
      </c>
      <c r="O46" s="156" t="s">
        <v>4479</v>
      </c>
      <c r="P46" s="80" t="s">
        <v>4480</v>
      </c>
      <c r="Q46" s="25"/>
      <c r="R46" s="80" t="s">
        <v>4481</v>
      </c>
      <c r="S46" s="25"/>
      <c r="T46" s="80" t="s">
        <v>4482</v>
      </c>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4483</v>
      </c>
      <c r="F47" s="44" t="s">
        <v>4484</v>
      </c>
      <c r="G47" s="45" t="s">
        <v>4485</v>
      </c>
      <c r="H47" s="13"/>
      <c r="I47" s="173"/>
      <c r="J47" s="157" t="s">
        <v>4486</v>
      </c>
      <c r="K47" s="13"/>
      <c r="L47" s="439" t="s">
        <v>4487</v>
      </c>
      <c r="M47" s="25"/>
      <c r="N47" s="44" t="s">
        <v>4488</v>
      </c>
      <c r="O47" s="44" t="s">
        <v>4489</v>
      </c>
      <c r="P47" s="45" t="s">
        <v>4490</v>
      </c>
      <c r="Q47" s="13"/>
      <c r="R47" s="44" t="s">
        <v>4491</v>
      </c>
      <c r="S47" s="90" t="s">
        <v>4492</v>
      </c>
      <c r="T47" s="45" t="s">
        <v>4493</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575" t="s">
        <v>4494</v>
      </c>
      <c r="F48" s="13"/>
      <c r="G48" s="176" t="s">
        <v>4495</v>
      </c>
      <c r="H48" s="4"/>
      <c r="I48" s="90" t="s">
        <v>4496</v>
      </c>
      <c r="J48" s="44" t="s">
        <v>4497</v>
      </c>
      <c r="K48" s="44" t="s">
        <v>4498</v>
      </c>
      <c r="L48" s="44" t="s">
        <v>4499</v>
      </c>
      <c r="M48" s="44" t="s">
        <v>4500</v>
      </c>
      <c r="N48" s="164" t="s">
        <v>4501</v>
      </c>
      <c r="O48" s="36"/>
      <c r="P48" s="36"/>
      <c r="Q48" s="13"/>
      <c r="R48" s="44" t="s">
        <v>4502</v>
      </c>
      <c r="S48" s="90" t="s">
        <v>4503</v>
      </c>
      <c r="T48" s="45" t="s">
        <v>4504</v>
      </c>
      <c r="U48" s="36"/>
      <c r="V48" s="41"/>
      <c r="W48" s="26"/>
      <c r="X48" s="42" t="s">
        <v>33</v>
      </c>
      <c r="Y48" s="42" t="s">
        <v>34</v>
      </c>
      <c r="Z48" s="48" t="s">
        <v>47</v>
      </c>
      <c r="AA48" s="85" t="str">
        <f>AA$5</f>
        <v/>
      </c>
      <c r="AB48" s="15" t="str">
        <f>IFERROR(__xludf.DUMMYFUNCTION("join("","",filter(split($H$83,"",""),ARRAYFORMULA(ISERROR(FIND(split($H$83,"",""),CONCATENATE(E48:V48))))=TRUE))"),"СЗ,КЗ,206,209,408,409,410")</f>
        <v>СЗ,КЗ,206,209,408,409,410</v>
      </c>
      <c r="AC48" s="14"/>
      <c r="AD48" s="14"/>
      <c r="AE48" s="14"/>
      <c r="AF48" s="29"/>
      <c r="AG48" s="29"/>
      <c r="AH48" s="29"/>
    </row>
    <row r="49" ht="40.5" customHeight="1">
      <c r="A49" s="30"/>
      <c r="B49" s="31">
        <v>4.0</v>
      </c>
      <c r="C49" s="32" t="s">
        <v>48</v>
      </c>
      <c r="D49" s="32" t="s">
        <v>49</v>
      </c>
      <c r="E49" s="40" t="s">
        <v>4505</v>
      </c>
      <c r="F49" s="13"/>
      <c r="G49" s="104"/>
      <c r="H49" s="72"/>
      <c r="I49" s="90" t="s">
        <v>4506</v>
      </c>
      <c r="J49" s="44" t="s">
        <v>4507</v>
      </c>
      <c r="K49" s="44" t="s">
        <v>4508</v>
      </c>
      <c r="L49" s="44" t="s">
        <v>4509</v>
      </c>
      <c r="M49" s="44" t="s">
        <v>4510</v>
      </c>
      <c r="N49" s="164" t="s">
        <v>4511</v>
      </c>
      <c r="O49" s="36"/>
      <c r="P49" s="36"/>
      <c r="Q49" s="13"/>
      <c r="R49" s="90" t="s">
        <v>4512</v>
      </c>
      <c r="S49" s="133" t="s">
        <v>4513</v>
      </c>
      <c r="T49" s="45" t="s">
        <v>4514</v>
      </c>
      <c r="U49" s="36"/>
      <c r="V49" s="41"/>
      <c r="W49" s="26"/>
      <c r="X49" s="42" t="s">
        <v>48</v>
      </c>
      <c r="Y49" s="42" t="s">
        <v>49</v>
      </c>
      <c r="Z49" s="48" t="s">
        <v>57</v>
      </c>
      <c r="AA49" s="85" t="str">
        <f>AA$6</f>
        <v/>
      </c>
      <c r="AB49" s="15" t="str">
        <f>IFERROR(__xludf.DUMMYFUNCTION("join("","",filter(split($H$83,"",""),ARRAYFORMULA(ISERROR(FIND(split($H$83,"",""),CONCATENATE(E49:V49))))=TRUE))"),"СЗ,КЗ,206,209,408,410,АЗ")</f>
        <v>СЗ,КЗ,206,209,408,410,АЗ</v>
      </c>
      <c r="AC49" s="14"/>
      <c r="AD49" s="14"/>
      <c r="AE49" s="14"/>
      <c r="AF49" s="29"/>
      <c r="AG49" s="29"/>
      <c r="AH49" s="29"/>
    </row>
    <row r="50" ht="40.5" customHeight="1">
      <c r="A50" s="30"/>
      <c r="B50" s="31">
        <v>5.0</v>
      </c>
      <c r="C50" s="32" t="s">
        <v>58</v>
      </c>
      <c r="D50" s="53">
        <v>44847.0</v>
      </c>
      <c r="E50" s="45" t="s">
        <v>4515</v>
      </c>
      <c r="F50" s="13"/>
      <c r="G50" s="44" t="s">
        <v>4516</v>
      </c>
      <c r="H50" s="44" t="s">
        <v>4517</v>
      </c>
      <c r="I50" s="44" t="s">
        <v>4518</v>
      </c>
      <c r="J50" s="45" t="s">
        <v>4519</v>
      </c>
      <c r="K50" s="13"/>
      <c r="L50" s="45" t="s">
        <v>4520</v>
      </c>
      <c r="M50" s="13"/>
      <c r="N50" s="177" t="s">
        <v>4521</v>
      </c>
      <c r="O50" s="124" t="s">
        <v>4522</v>
      </c>
      <c r="P50" s="45" t="s">
        <v>4523</v>
      </c>
      <c r="Q50" s="13"/>
      <c r="R50" s="90" t="s">
        <v>4524</v>
      </c>
      <c r="S50" s="133" t="s">
        <v>4525</v>
      </c>
      <c r="T50" s="45" t="s">
        <v>4526</v>
      </c>
      <c r="U50" s="36"/>
      <c r="V50" s="41"/>
      <c r="W50" s="26"/>
      <c r="X50" s="42" t="s">
        <v>58</v>
      </c>
      <c r="Y50" s="54">
        <v>44847.0</v>
      </c>
      <c r="Z50" s="48" t="s">
        <v>70</v>
      </c>
      <c r="AA50" s="85" t="str">
        <f>AA$7</f>
        <v/>
      </c>
      <c r="AB50" s="15" t="str">
        <f>IFERROR(__xludf.DUMMYFUNCTION("join("","",filter(split($H$83,"",""),ARRAYFORMULA(ISERROR(FIND(split($H$83,"",""),CONCATENATE(E50:V50))))=TRUE))"),"СЗ,КЗ,206,401,404,408,410")</f>
        <v>СЗ,КЗ,206,401,404,408,410</v>
      </c>
      <c r="AC50" s="14"/>
      <c r="AD50" s="14"/>
      <c r="AE50" s="14"/>
      <c r="AF50" s="29"/>
      <c r="AG50" s="29"/>
      <c r="AH50" s="29"/>
    </row>
    <row r="51" ht="48.75" customHeight="1">
      <c r="A51" s="30"/>
      <c r="B51" s="31">
        <v>6.0</v>
      </c>
      <c r="C51" s="55" t="s">
        <v>71</v>
      </c>
      <c r="D51" s="56" t="s">
        <v>72</v>
      </c>
      <c r="E51" s="45" t="s">
        <v>4527</v>
      </c>
      <c r="F51" s="13"/>
      <c r="G51" s="44" t="s">
        <v>4528</v>
      </c>
      <c r="H51" s="44" t="s">
        <v>4529</v>
      </c>
      <c r="I51" s="44" t="s">
        <v>4530</v>
      </c>
      <c r="J51" s="45" t="s">
        <v>4531</v>
      </c>
      <c r="K51" s="13"/>
      <c r="L51" s="45" t="s">
        <v>4532</v>
      </c>
      <c r="M51" s="13"/>
      <c r="N51" s="177" t="s">
        <v>4533</v>
      </c>
      <c r="O51" s="124" t="s">
        <v>4534</v>
      </c>
      <c r="P51" s="45" t="s">
        <v>4535</v>
      </c>
      <c r="Q51" s="13"/>
      <c r="R51" s="162" t="s">
        <v>4536</v>
      </c>
      <c r="S51" s="178" t="s">
        <v>4537</v>
      </c>
      <c r="T51" s="44" t="s">
        <v>4538</v>
      </c>
      <c r="U51" s="44" t="s">
        <v>4539</v>
      </c>
      <c r="V51" s="34"/>
      <c r="W51" s="179"/>
      <c r="X51" s="58" t="s">
        <v>71</v>
      </c>
      <c r="Y51" s="59" t="s">
        <v>72</v>
      </c>
      <c r="Z51" s="48" t="s">
        <v>84</v>
      </c>
      <c r="AA51" s="85"/>
      <c r="AB51" s="15" t="str">
        <f>IFERROR(__xludf.DUMMYFUNCTION("join("","",filter(split($H$83,"",""),ARRAYFORMULA(ISERROR(FIND(split($H$83,"",""),CONCATENATE(E51:V51))))=TRUE))"),"СЗ,206,408,409,410")</f>
        <v>СЗ,206,408,409,410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4540</v>
      </c>
      <c r="F52" s="13"/>
      <c r="G52" s="44" t="s">
        <v>4541</v>
      </c>
      <c r="H52" s="44" t="s">
        <v>4542</v>
      </c>
      <c r="I52" s="44" t="s">
        <v>4543</v>
      </c>
      <c r="J52" s="45" t="s">
        <v>4544</v>
      </c>
      <c r="K52" s="13"/>
      <c r="L52" s="45" t="s">
        <v>4545</v>
      </c>
      <c r="M52" s="13"/>
      <c r="N52" s="563"/>
      <c r="O52" s="177" t="s">
        <v>4546</v>
      </c>
      <c r="P52" s="124" t="s">
        <v>4547</v>
      </c>
      <c r="Q52" s="132" t="s">
        <v>4548</v>
      </c>
      <c r="R52" s="180" t="s">
        <v>4549</v>
      </c>
      <c r="S52" s="181" t="s">
        <v>4550</v>
      </c>
      <c r="T52" s="44" t="s">
        <v>2350</v>
      </c>
      <c r="U52" s="44"/>
      <c r="V52" s="34"/>
      <c r="W52" s="26"/>
      <c r="X52" s="42" t="s">
        <v>85</v>
      </c>
      <c r="Y52" s="42" t="s">
        <v>86</v>
      </c>
      <c r="Z52" s="48" t="s">
        <v>97</v>
      </c>
      <c r="AA52" s="85" t="str">
        <f>AA$9</f>
        <v/>
      </c>
      <c r="AB52" s="15" t="str">
        <f>IFERROR(__xludf.DUMMYFUNCTION("join("","",filter(split($H$83,"",""),ARRAYFORMULA(ISERROR(FIND(split($H$83,"",""),CONCATENATE(E52:V52))))=TRUE))"),"СЗ,206,408,410")</f>
        <v>СЗ,206,408,410</v>
      </c>
      <c r="AC52" s="14"/>
      <c r="AD52" s="14"/>
      <c r="AE52" s="14"/>
      <c r="AF52" s="29"/>
      <c r="AG52" s="29"/>
      <c r="AH52" s="29"/>
    </row>
    <row r="53" ht="51.75" customHeight="1">
      <c r="A53" s="30"/>
      <c r="B53" s="31">
        <v>8.0</v>
      </c>
      <c r="C53" s="32" t="s">
        <v>98</v>
      </c>
      <c r="D53" s="32" t="s">
        <v>99</v>
      </c>
      <c r="E53" s="44" t="s">
        <v>4551</v>
      </c>
      <c r="F53" s="44" t="s">
        <v>4552</v>
      </c>
      <c r="G53" s="416" t="s">
        <v>1913</v>
      </c>
      <c r="H53" s="86" t="s">
        <v>4553</v>
      </c>
      <c r="I53" s="13"/>
      <c r="J53" s="45" t="s">
        <v>4554</v>
      </c>
      <c r="K53" s="13"/>
      <c r="L53" s="45" t="s">
        <v>4555</v>
      </c>
      <c r="M53" s="13"/>
      <c r="N53" s="182"/>
      <c r="O53" s="177" t="s">
        <v>4556</v>
      </c>
      <c r="P53" s="124" t="s">
        <v>4557</v>
      </c>
      <c r="Q53" s="132" t="s">
        <v>4558</v>
      </c>
      <c r="R53" s="183" t="s">
        <v>4559</v>
      </c>
      <c r="S53" s="181" t="s">
        <v>4560</v>
      </c>
      <c r="T53" s="144"/>
      <c r="U53" s="144"/>
      <c r="V53" s="184"/>
      <c r="W53" s="26"/>
      <c r="X53" s="42" t="s">
        <v>98</v>
      </c>
      <c r="Y53" s="42" t="s">
        <v>99</v>
      </c>
      <c r="Z53" s="11"/>
      <c r="AA53" s="14"/>
      <c r="AB53" s="15" t="str">
        <f>IFERROR(__xludf.DUMMYFUNCTION("join("","",filter(split($H$83,"",""),ARRAYFORMULA(ISERROR(FIND(split($H$83,"",""),CONCATENATE(E53:V53))))=TRUE))"),"СЗ,201,206,401,404,405,408,410")</f>
        <v>СЗ,201,206,401,404,405,408,410</v>
      </c>
      <c r="AC53" s="14"/>
      <c r="AD53" s="14"/>
      <c r="AE53" s="14"/>
      <c r="AF53" s="29"/>
      <c r="AG53" s="29"/>
      <c r="AH53" s="29"/>
    </row>
    <row r="54" ht="71.25" customHeight="1">
      <c r="A54" s="30"/>
      <c r="B54" s="31">
        <v>9.0</v>
      </c>
      <c r="C54" s="65">
        <v>44697.0</v>
      </c>
      <c r="D54" s="44" t="s">
        <v>109</v>
      </c>
      <c r="E54" s="187" t="s">
        <v>3274</v>
      </c>
      <c r="F54" s="8"/>
      <c r="G54" s="8"/>
      <c r="H54" s="8"/>
      <c r="I54" s="8"/>
      <c r="J54" s="8"/>
      <c r="K54" s="8"/>
      <c r="L54" s="8"/>
      <c r="M54" s="8"/>
      <c r="N54" s="182"/>
      <c r="O54" s="189"/>
      <c r="P54" s="187" t="s">
        <v>3274</v>
      </c>
      <c r="Q54" s="8"/>
      <c r="R54" s="8"/>
      <c r="S54" s="8"/>
      <c r="T54" s="8"/>
      <c r="U54" s="8"/>
      <c r="V54" s="8"/>
      <c r="W54" s="186"/>
      <c r="X54" s="69">
        <v>44697.0</v>
      </c>
      <c r="Y54" s="70" t="s">
        <v>109</v>
      </c>
      <c r="Z54" s="28"/>
      <c r="AA54" s="14"/>
      <c r="AB54" s="15" t="str">
        <f>IFERROR(__xludf.DUMMYFUNCTION("join("","",filter(split($H$83,"",""),ARRAYFORMULA(ISERROR(FIND(split($H$83,"",""),CONCATENATE(E54:V54))))=TRUE))"),"206,210,401,403,404,405,408,409,410,АЗ")</f>
        <v>206,210,401,403,404,405,408,409,410,АЗ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553">
        <v>44849.0</v>
      </c>
      <c r="B57" s="191">
        <v>1.0</v>
      </c>
      <c r="C57" s="192" t="str">
        <f>D$1</f>
        <v/>
      </c>
      <c r="D57" s="72"/>
      <c r="E57" s="193"/>
      <c r="F57" s="193"/>
      <c r="G57" s="194" t="s">
        <v>4561</v>
      </c>
      <c r="H57" s="64"/>
      <c r="I57" s="72"/>
      <c r="J57" s="195"/>
      <c r="K57" s="64"/>
      <c r="L57" s="64"/>
      <c r="M57" s="72"/>
      <c r="N57" s="193"/>
      <c r="O57" s="193"/>
      <c r="P57" s="259"/>
      <c r="Q57" s="259"/>
      <c r="R57" s="193"/>
      <c r="S57" s="193"/>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48" t="s">
        <v>4562</v>
      </c>
      <c r="H58" s="15"/>
      <c r="I58" s="15"/>
      <c r="J58" s="15"/>
      <c r="K58" s="15"/>
      <c r="L58" s="15"/>
      <c r="M58" s="15"/>
      <c r="N58" s="15"/>
      <c r="O58" s="15"/>
      <c r="P58" s="144"/>
      <c r="Q58" s="144"/>
      <c r="R58" s="15"/>
      <c r="S58" s="15"/>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5"/>
      <c r="K59" s="36"/>
      <c r="L59" s="36"/>
      <c r="M59" s="13"/>
      <c r="N59" s="15"/>
      <c r="O59" s="15"/>
      <c r="P59" s="15"/>
      <c r="Q59" s="15"/>
      <c r="R59" s="15"/>
      <c r="S59" s="15"/>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5"/>
      <c r="K60" s="36"/>
      <c r="L60" s="36"/>
      <c r="M60" s="13"/>
      <c r="N60" s="15"/>
      <c r="O60" s="15"/>
      <c r="P60" s="15"/>
      <c r="Q60" s="15"/>
      <c r="R60" s="15"/>
      <c r="S60" s="15"/>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67"/>
      <c r="J61" s="186"/>
      <c r="K61" s="156"/>
      <c r="L61" s="156"/>
      <c r="M61" s="15"/>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576"/>
      <c r="J62" s="577"/>
      <c r="K62" s="44"/>
      <c r="L62" s="44"/>
      <c r="M62" s="15"/>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576"/>
      <c r="J63" s="577"/>
      <c r="K63" s="44"/>
      <c r="L63" s="44"/>
      <c r="M63" s="15"/>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576"/>
      <c r="J64" s="577"/>
      <c r="K64" s="44"/>
      <c r="L64" s="44"/>
      <c r="M64" s="15"/>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95"/>
      <c r="J65" s="190"/>
      <c r="K65" s="45"/>
      <c r="L65" s="13"/>
      <c r="M65" s="15"/>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86">
    <mergeCell ref="G27:H27"/>
    <mergeCell ref="G28:H28"/>
    <mergeCell ref="G29:H29"/>
    <mergeCell ref="G30:H30"/>
    <mergeCell ref="E31:F31"/>
    <mergeCell ref="G31:I32"/>
    <mergeCell ref="E32:F32"/>
    <mergeCell ref="G33:Q34"/>
    <mergeCell ref="E34:F34"/>
    <mergeCell ref="E20:F20"/>
    <mergeCell ref="H20:I20"/>
    <mergeCell ref="A24:A34"/>
    <mergeCell ref="E24:F24"/>
    <mergeCell ref="H24:I24"/>
    <mergeCell ref="E25:F25"/>
    <mergeCell ref="H25:I25"/>
    <mergeCell ref="E33:F33"/>
    <mergeCell ref="E19:F19"/>
    <mergeCell ref="H19:I19"/>
    <mergeCell ref="J19:K19"/>
    <mergeCell ref="L19:M19"/>
    <mergeCell ref="J20:K20"/>
    <mergeCell ref="L20:M20"/>
    <mergeCell ref="E21:F22"/>
    <mergeCell ref="H21:M21"/>
    <mergeCell ref="H22:M22"/>
    <mergeCell ref="J10:K10"/>
    <mergeCell ref="L10:M10"/>
    <mergeCell ref="A13:A23"/>
    <mergeCell ref="E13:F13"/>
    <mergeCell ref="J13:K13"/>
    <mergeCell ref="L13:M13"/>
    <mergeCell ref="E14:F14"/>
    <mergeCell ref="E26:F26"/>
    <mergeCell ref="G26:I26"/>
    <mergeCell ref="J26:K26"/>
    <mergeCell ref="L26:M26"/>
    <mergeCell ref="J24:M24"/>
    <mergeCell ref="J25:K25"/>
    <mergeCell ref="L25:M25"/>
    <mergeCell ref="J27:K27"/>
    <mergeCell ref="L27:M27"/>
    <mergeCell ref="J28:K28"/>
    <mergeCell ref="L28:M28"/>
    <mergeCell ref="E35:F35"/>
    <mergeCell ref="H35:I35"/>
    <mergeCell ref="J35:K35"/>
    <mergeCell ref="E36:F36"/>
    <mergeCell ref="H36:I36"/>
    <mergeCell ref="J36:K36"/>
    <mergeCell ref="E37:F37"/>
    <mergeCell ref="H37:I37"/>
    <mergeCell ref="J37:K37"/>
    <mergeCell ref="E38:F38"/>
    <mergeCell ref="H38:I38"/>
    <mergeCell ref="J38:K38"/>
    <mergeCell ref="E39:F39"/>
    <mergeCell ref="H39:I39"/>
    <mergeCell ref="L39:M39"/>
    <mergeCell ref="E40:F40"/>
    <mergeCell ref="H40:I40"/>
    <mergeCell ref="L40:M40"/>
    <mergeCell ref="E41:F41"/>
    <mergeCell ref="H41:I41"/>
    <mergeCell ref="J47:K47"/>
    <mergeCell ref="J50:K50"/>
    <mergeCell ref="J51:K51"/>
    <mergeCell ref="J52:K52"/>
    <mergeCell ref="H53:I53"/>
    <mergeCell ref="J53:K53"/>
    <mergeCell ref="L50:M50"/>
    <mergeCell ref="L51:M51"/>
    <mergeCell ref="L52:M52"/>
    <mergeCell ref="L53:M53"/>
    <mergeCell ref="E54:M55"/>
    <mergeCell ref="C57:D57"/>
    <mergeCell ref="G57:I57"/>
    <mergeCell ref="L41:M41"/>
    <mergeCell ref="E42:F42"/>
    <mergeCell ref="H42:I42"/>
    <mergeCell ref="L42:M42"/>
    <mergeCell ref="H43:J43"/>
    <mergeCell ref="K43:L44"/>
    <mergeCell ref="H44:J44"/>
    <mergeCell ref="J29:K29"/>
    <mergeCell ref="L29:M29"/>
    <mergeCell ref="J30:K30"/>
    <mergeCell ref="L30:M30"/>
    <mergeCell ref="J31:M31"/>
    <mergeCell ref="J32:M32"/>
    <mergeCell ref="A35:A45"/>
    <mergeCell ref="G46:H46"/>
    <mergeCell ref="I46:I47"/>
    <mergeCell ref="J46:K46"/>
    <mergeCell ref="L46:M46"/>
    <mergeCell ref="G47:H47"/>
    <mergeCell ref="L47:M47"/>
    <mergeCell ref="G48:H49"/>
    <mergeCell ref="A46:A56"/>
    <mergeCell ref="A57:A67"/>
    <mergeCell ref="E43:F44"/>
    <mergeCell ref="G43:G44"/>
    <mergeCell ref="E48:F48"/>
    <mergeCell ref="E49:F49"/>
    <mergeCell ref="E50:F50"/>
    <mergeCell ref="E51:F51"/>
    <mergeCell ref="E52:F52"/>
    <mergeCell ref="J57:M57"/>
    <mergeCell ref="J59:M59"/>
    <mergeCell ref="J60:M60"/>
    <mergeCell ref="K65:L65"/>
    <mergeCell ref="K66:L66"/>
    <mergeCell ref="K67:L67"/>
    <mergeCell ref="K68:L68"/>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R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P15:Q15"/>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P7:Q7"/>
    <mergeCell ref="R7:S7"/>
    <mergeCell ref="H8:I8"/>
    <mergeCell ref="J8:K8"/>
    <mergeCell ref="L8:M8"/>
    <mergeCell ref="N8:O8"/>
    <mergeCell ref="P8:Q8"/>
    <mergeCell ref="R8:S8"/>
    <mergeCell ref="H9:I9"/>
    <mergeCell ref="J9:K9"/>
    <mergeCell ref="L9:M9"/>
    <mergeCell ref="N9:O9"/>
    <mergeCell ref="E10:F10"/>
    <mergeCell ref="H10:I10"/>
    <mergeCell ref="Q10:V10"/>
    <mergeCell ref="T11:V11"/>
    <mergeCell ref="U13:V13"/>
    <mergeCell ref="U14:V14"/>
    <mergeCell ref="T15:V15"/>
    <mergeCell ref="N30:O30"/>
    <mergeCell ref="N31:O31"/>
    <mergeCell ref="N35:O35"/>
    <mergeCell ref="N36:O36"/>
    <mergeCell ref="N37:Q37"/>
    <mergeCell ref="N38:Q38"/>
    <mergeCell ref="P39:Q39"/>
    <mergeCell ref="P43:P44"/>
    <mergeCell ref="P46:Q46"/>
    <mergeCell ref="P47:Q47"/>
    <mergeCell ref="N48:Q48"/>
    <mergeCell ref="N49:Q49"/>
    <mergeCell ref="P50:Q50"/>
    <mergeCell ref="P51:Q51"/>
    <mergeCell ref="P40:Q40"/>
    <mergeCell ref="N41:O41"/>
    <mergeCell ref="P41:Q41"/>
    <mergeCell ref="N42:O42"/>
    <mergeCell ref="P42:Q42"/>
    <mergeCell ref="N43:O43"/>
    <mergeCell ref="N44:O44"/>
    <mergeCell ref="T48:V48"/>
    <mergeCell ref="T49:V49"/>
    <mergeCell ref="T50:V50"/>
    <mergeCell ref="P54:V55"/>
    <mergeCell ref="X57:Y57"/>
    <mergeCell ref="T41:V41"/>
    <mergeCell ref="R42:S42"/>
    <mergeCell ref="T42:V42"/>
    <mergeCell ref="Q43:V44"/>
    <mergeCell ref="R46:S46"/>
    <mergeCell ref="T46:V46"/>
    <mergeCell ref="T47:V47"/>
    <mergeCell ref="N16:O16"/>
    <mergeCell ref="P16:Q16"/>
    <mergeCell ref="T16:V16"/>
    <mergeCell ref="N17:O17"/>
    <mergeCell ref="T17:V17"/>
    <mergeCell ref="N18:O18"/>
    <mergeCell ref="T18:V18"/>
    <mergeCell ref="N19:O19"/>
    <mergeCell ref="P19:Q19"/>
    <mergeCell ref="T19:V19"/>
    <mergeCell ref="N20:O20"/>
    <mergeCell ref="P20:Q20"/>
    <mergeCell ref="T20:V20"/>
    <mergeCell ref="N21:O21"/>
    <mergeCell ref="T21:V21"/>
    <mergeCell ref="P24:S24"/>
    <mergeCell ref="T24:V24"/>
    <mergeCell ref="P21:Q21"/>
    <mergeCell ref="R21:S21"/>
    <mergeCell ref="N22:O22"/>
    <mergeCell ref="P22:S22"/>
    <mergeCell ref="T22:V22"/>
    <mergeCell ref="R23:V23"/>
    <mergeCell ref="N24:O24"/>
    <mergeCell ref="N25:O25"/>
    <mergeCell ref="P25:Q25"/>
    <mergeCell ref="R25:S25"/>
    <mergeCell ref="T25:V25"/>
    <mergeCell ref="N26:O26"/>
    <mergeCell ref="R26:S26"/>
    <mergeCell ref="T26:V26"/>
    <mergeCell ref="N27:O27"/>
    <mergeCell ref="P27:Q27"/>
    <mergeCell ref="T27:V27"/>
    <mergeCell ref="N28:O28"/>
    <mergeCell ref="N29:O29"/>
    <mergeCell ref="R29:R30"/>
    <mergeCell ref="N32:O32"/>
    <mergeCell ref="T28:V32"/>
    <mergeCell ref="T35:V35"/>
    <mergeCell ref="T36:V36"/>
    <mergeCell ref="T37:V37"/>
    <mergeCell ref="T38:V38"/>
    <mergeCell ref="T39:V39"/>
    <mergeCell ref="T40:V40"/>
  </mergeCells>
  <conditionalFormatting sqref="E1:T86 U1:U31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M53 N2:N54 O2:T53 U2:U31 V32:V34 U35:U53 V50:V52 W51 K61:L68">
    <cfRule type="containsText" dxfId="2" priority="3" operator="containsText" text="Шерашова">
      <formula>NOT(ISERROR(SEARCH(("Шерашова"),(E2))))</formula>
    </cfRule>
  </conditionalFormatting>
  <conditionalFormatting sqref="E2:M53 N2:N54 O2:T53 U2:U31 V32:V34 U35:U53 V50:V52 W51 K61:L68">
    <cfRule type="containsText" dxfId="3" priority="4" operator="containsText" text="Англ">
      <formula>NOT(ISERROR(SEARCH(("Англ"),(E2))))</formula>
    </cfRule>
  </conditionalFormatting>
  <conditionalFormatting sqref="E2:M53 N2:N54 O2:T53 U2:U31 V32:V34 U35:U53 V50:V52 W51 K61:L68">
    <cfRule type="containsText" dxfId="4" priority="5" operator="containsText" text="Театр">
      <formula>NOT(ISERROR(SEARCH(("Театр"),(E2))))</formula>
    </cfRule>
  </conditionalFormatting>
  <conditionalFormatting sqref="E2:M53 N2:N54 O2:T53 U2:U31 V32:V34 U35:U53 V50:V52 W51 K61:L68">
    <cfRule type="containsText" dxfId="5" priority="6" operator="containsText" text="Колечкин">
      <formula>NOT(ISERROR(SEARCH(("Колечкин"),(E2))))</formula>
    </cfRule>
  </conditionalFormatting>
  <conditionalFormatting sqref="E2:W72">
    <cfRule type="containsText" dxfId="0" priority="7" operator="containsText" text="Репнев">
      <formula>NOT(ISERROR(SEARCH(("Репнев"),(E2))))</formula>
    </cfRule>
  </conditionalFormatting>
  <conditionalFormatting sqref="E2:G65 H2:H68 I2:J65 K2:L68 M2:W65">
    <cfRule type="containsText" dxfId="6" priority="8" operator="containsText" text="Рогацкина">
      <formula>NOT(ISERROR(SEARCH(("Рогацкина"),(E2))))</formula>
    </cfRule>
  </conditionalFormatting>
  <conditionalFormatting sqref="E2:G67 H2:H68 I2:J67 K2:L68 M2:W67">
    <cfRule type="containsText" dxfId="7" priority="9" operator="containsText" text="Белоусова">
      <formula>NOT(ISERROR(SEARCH(("Белоусова"),(E2))))</formula>
    </cfRule>
  </conditionalFormatting>
  <conditionalFormatting sqref="E2:G60 H2:H68 I2:J60 K2:L68 M2:W60">
    <cfRule type="containsText" dxfId="8" priority="10" operator="containsText" text="Караванова">
      <formula>NOT(ISERROR(SEARCH(("Караванова"),(E2))))</formula>
    </cfRule>
  </conditionalFormatting>
  <conditionalFormatting sqref="E2:G63 H2:H68 I2:J63 K2:L68 M2:W63">
    <cfRule type="containsText" dxfId="9" priority="11" operator="containsText" text="Дронзик">
      <formula>NOT(ISERROR(SEARCH(("Дронзик"),(E2))))</formula>
    </cfRule>
  </conditionalFormatting>
  <conditionalFormatting sqref="E2:G64 H2:H68 I2:J64 K2:L68 M2:W64">
    <cfRule type="containsText" dxfId="10" priority="12" operator="containsText" text="Старунова">
      <formula>NOT(ISERROR(SEARCH(("Старунова"),(E2))))</formula>
    </cfRule>
  </conditionalFormatting>
  <conditionalFormatting sqref="E2:G62 H2:H68 I2:J62 K2:L68 M2:W62">
    <cfRule type="containsText" dxfId="11" priority="13" operator="containsText" text="Харитонов">
      <formula>NOT(ISERROR(SEARCH(("Харитонов"),(E2))))</formula>
    </cfRule>
  </conditionalFormatting>
  <conditionalFormatting sqref="E2:G67 H2:H68 I2:J67 K2:L68 M2:W67">
    <cfRule type="containsText" dxfId="12" priority="14" operator="containsText" text="Хуснутдинов">
      <formula>NOT(ISERROR(SEARCH(("Хуснутдинов"),(E2))))</formula>
    </cfRule>
  </conditionalFormatting>
  <conditionalFormatting sqref="E2:G66 H2:H68 I2:J66 K2:L68 M2:W66">
    <cfRule type="containsText" dxfId="13" priority="15" operator="containsText" text="Решетников">
      <formula>NOT(ISERROR(SEARCH(("Решетников"),(E2))))</formula>
    </cfRule>
  </conditionalFormatting>
  <conditionalFormatting sqref="E2:W69">
    <cfRule type="containsText" dxfId="14" priority="16" operator="containsText" text="Заводов">
      <formula>NOT(ISERROR(SEARCH(("Заводов"),(E2))))</formula>
    </cfRule>
  </conditionalFormatting>
  <conditionalFormatting sqref="E1:G66 H1:H68 I1:J66 K1:L68 M1:W66">
    <cfRule type="containsText" dxfId="15" priority="17" operator="containsText" text="Абрамов">
      <formula>NOT(ISERROR(SEARCH(("Абрамов"),(E1))))</formula>
    </cfRule>
  </conditionalFormatting>
  <conditionalFormatting sqref="E2:G67 H2:H68 I2:J67 K2:L68 M2:W67">
    <cfRule type="containsText" dxfId="16" priority="18" operator="containsText" text="Климов">
      <formula>NOT(ISERROR(SEARCH(("Климов"),(E2))))</formula>
    </cfRule>
  </conditionalFormatting>
  <conditionalFormatting sqref="E2:G61 H2:H68 I2:J61 K2:L68 M2:W61">
    <cfRule type="containsText" dxfId="17" priority="19" operator="containsText" text="Клейменов">
      <formula>NOT(ISERROR(SEARCH(("Клейменов"),(E2))))</formula>
    </cfRule>
  </conditionalFormatting>
  <conditionalFormatting sqref="E2:W68">
    <cfRule type="containsText" dxfId="18" priority="20" operator="containsText" text="Попович">
      <formula>NOT(ISERROR(SEARCH(("Попович"),(E2))))</formula>
    </cfRule>
  </conditionalFormatting>
  <conditionalFormatting sqref="E2:W68">
    <cfRule type="containsText" dxfId="19" priority="21" operator="containsText" text="Исмаилов">
      <formula>NOT(ISERROR(SEARCH(("Исмаилов"),(E2))))</formula>
    </cfRule>
  </conditionalFormatting>
  <conditionalFormatting sqref="E2:E20 F2:F12 G2:I45 J2:K49 L2:Q45 R2:S6 T2:V45 R9:S9 R11:R46 S11:S32 F15:F17 F19:F20 E24:F30 E32:E53 F32:F45 S35:S41 S43:S45 S47:S53 T47:T50 F48:F49 N48:N49 R49:R53 G50:H53 I50:I52 P50:P53 F52:F53 J52:J53 N52:N54 Q52:Q53 K53:M53 K61:L68">
    <cfRule type="containsText" dxfId="20" priority="22" operator="containsText" text="Ларченко">
      <formula>NOT(ISERROR(SEARCH(("Ларченко"),(E2))))</formula>
    </cfRule>
  </conditionalFormatting>
  <conditionalFormatting sqref="E2:G65 H2:H68 I2:J65 K2:L68 M2:W65">
    <cfRule type="containsText" dxfId="21" priority="23" operator="containsText" text="Краснова">
      <formula>NOT(ISERROR(SEARCH(("Краснова"),(E2))))</formula>
    </cfRule>
  </conditionalFormatting>
  <conditionalFormatting sqref="E2:G65 H2:H68 I2:J65 K2:L68 M2:W65">
    <cfRule type="containsText" dxfId="22" priority="24" operator="containsText" text="Белоус">
      <formula>NOT(ISERROR(SEARCH(("Белоус"),(E2))))</formula>
    </cfRule>
  </conditionalFormatting>
  <conditionalFormatting sqref="E2:G65 H2:H68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5: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5: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Q31:Q32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9:N30 J52:J53 L52:L53 Q52:Q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4:H24 G25 F28 R27:S28 E29:E30 H35:H36 G37:G38 E48:E49 N52:N54">
      <formula1>IF(COUNTA(filter($E8:$W8,ARRAYFORMULA(ISERROR(FIND(join(",",filter(split($H$83,","),ARRAYFORMULA(ISERROR(FIND(split($H$83,","),E7)))=FALSE)),$E8:$W8))=FALSE)))&gt;1,FALSE,TRUE)</formula1>
    </dataValidation>
    <dataValidation type="custom" allowBlank="1" showDropDown="1" sqref="N2 R2 T2 G2:G3 J2:J3 L4 P2:P4 G5:H6 K5:M6 T5:T6 L7:L8 P7:P8 T7:U8 G7:G9 Q9:R9 H10 J9:J10 N9:N10 Q10 W2:W10 E12:W12 E13:E14 H13:H14 L13:L14 E17:E18 G15:G18 S17:S18 H19:H20 J15:J20 L17:L20 G21 R19:R21 T21 G22:H22 G23:R23 J24 P25 R25 Q26 E27:F27 P27 E28 I27:I28 Q28 T28 F29:G30 P29:Q30 J31:J32 W13:W32 R33:R34 T33:W34 G35:G36 L35:M36 P35:Q36 H37:H38 J37:J38 L37:N38 E37:E40 G39:G40 J39:K40 N39:P40 R37:S40 R41:T41 J41:L42 T42 E43 G41:H43 K43 Q43 H44 M43:N44 W35:W44 E45:W45 I46 F46:G47 L46:L47 N46:P47 G48 L48:M49 L51 N50:O51 I50:I52 G53:H53 E54 O52:P54 N55:O55 W46:W55 E56:W56 E57:G57 J57 N57:O57 E58:O58 R57:W58 E59:J60 N59:W60 E61:W64 E65:J65 M65:W65 H66:H68 K67:K68">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R7:R8">
      <formula1>IF(COUNTA(filter($E52:$W52,ARRAYFORMULA(ISERROR(FIND(join(",",filter(split($H$83,","),ARRAYFORMULA(ISERROR(FIND(split($H$83,","),R7)))=FALSE)),$E52:$W52))=FALSE)))&gt;1,FALSE,TRUE)</formula1>
    </dataValidation>
    <dataValidation type="custom" allowBlank="1" showDropDown="1" sqref="P43">
      <formula1>IF(COUNTA(filter($E40:$W40,ARRAYFORMULA(ISERROR(FIND(join(",",filter(split($H$83,","),ARRAYFORMULA(ISERROR(FIND(split($H$83,","),P43)))=FALSE)),$E40:$W40))=FALSE)))&gt;1,FALSE,TRUE)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P32">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S29:S30 S32 R47:R48 T51:V52">
      <formula1>IF(COUNTA(filter($E25:$W25,ARRAYFORMULA(ISERROR(FIND(join(",",filter(split($H$83,","),ARRAYFORMULA(ISERROR(FIND(split($H$83,","),P26)))=FALSE)),$E25:$W25))=FALSE)))&gt;1,FALSE,TRUE)</formula1>
    </dataValidation>
    <dataValidation type="custom" allowBlank="1" showDropDown="1" sqref="P13:P16 T24 E2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578">
        <v>44886.0</v>
      </c>
      <c r="B2" s="19">
        <v>1.0</v>
      </c>
      <c r="C2" s="20" t="s">
        <v>12</v>
      </c>
      <c r="D2" s="20" t="s">
        <v>13</v>
      </c>
      <c r="E2" s="21" t="s">
        <v>4563</v>
      </c>
      <c r="F2" s="24"/>
      <c r="G2" s="24"/>
      <c r="H2" s="24"/>
      <c r="I2" s="22"/>
      <c r="J2" s="21" t="s">
        <v>4564</v>
      </c>
      <c r="K2" s="24"/>
      <c r="L2" s="24"/>
      <c r="M2" s="25"/>
      <c r="N2" s="21" t="s">
        <v>4565</v>
      </c>
      <c r="O2" s="25"/>
      <c r="P2" s="579" t="s">
        <v>4566</v>
      </c>
      <c r="Q2" s="24"/>
      <c r="R2" s="24"/>
      <c r="S2" s="24"/>
      <c r="T2" s="24"/>
      <c r="U2" s="24"/>
      <c r="V2" s="25"/>
      <c r="W2" s="26"/>
      <c r="X2" s="27" t="s">
        <v>12</v>
      </c>
      <c r="Y2" s="27" t="s">
        <v>13</v>
      </c>
      <c r="Z2" s="28"/>
      <c r="AA2" s="14"/>
      <c r="AB2" s="15"/>
      <c r="AC2" s="14"/>
      <c r="AD2" s="14"/>
      <c r="AE2" s="14"/>
      <c r="AF2" s="29"/>
      <c r="AG2" s="29"/>
      <c r="AH2" s="29"/>
    </row>
    <row r="3" ht="40.5" hidden="1" customHeight="1">
      <c r="A3" s="30"/>
      <c r="B3" s="31">
        <v>2.0</v>
      </c>
      <c r="C3" s="32" t="s">
        <v>21</v>
      </c>
      <c r="D3" s="32" t="s">
        <v>22</v>
      </c>
      <c r="E3" s="33" t="s">
        <v>4567</v>
      </c>
      <c r="F3" s="34" t="s">
        <v>4568</v>
      </c>
      <c r="G3" s="35" t="s">
        <v>25</v>
      </c>
      <c r="H3" s="36"/>
      <c r="I3" s="13"/>
      <c r="J3" s="37" t="s">
        <v>4569</v>
      </c>
      <c r="K3" s="13"/>
      <c r="L3" s="38" t="s">
        <v>4570</v>
      </c>
      <c r="M3" s="13"/>
      <c r="N3" s="37" t="s">
        <v>4571</v>
      </c>
      <c r="O3" s="13"/>
      <c r="P3" s="580" t="s">
        <v>4572</v>
      </c>
      <c r="Q3" s="36"/>
      <c r="R3" s="36"/>
      <c r="S3" s="36"/>
      <c r="T3" s="36"/>
      <c r="U3" s="36"/>
      <c r="V3" s="13"/>
      <c r="W3" s="26"/>
      <c r="X3" s="42" t="s">
        <v>21</v>
      </c>
      <c r="Y3" s="42" t="s">
        <v>22</v>
      </c>
      <c r="Z3" s="28"/>
      <c r="AA3" s="14"/>
      <c r="AB3" s="15" t="str">
        <f>IFERROR(__xludf.DUMMYFUNCTION("join("","",filter(split($H$83,"",""),ARRAYFORMULA(ISERROR(FIND(split($H$83,"",""),CONCATENATE(E3:V3))))=TRUE))"),"СЗ,201,206,209,401,405,406,408,409,410")</f>
        <v>СЗ,201,206,209,401,405,406,408,409,410</v>
      </c>
      <c r="AC3" s="14"/>
      <c r="AD3" s="14"/>
      <c r="AE3" s="14"/>
      <c r="AF3" s="29"/>
      <c r="AG3" s="29"/>
      <c r="AH3" s="29"/>
    </row>
    <row r="4" ht="40.5" hidden="1" customHeight="1">
      <c r="A4" s="30"/>
      <c r="B4" s="31">
        <v>3.0</v>
      </c>
      <c r="C4" s="32" t="s">
        <v>33</v>
      </c>
      <c r="D4" s="32" t="s">
        <v>34</v>
      </c>
      <c r="E4" s="33" t="s">
        <v>4573</v>
      </c>
      <c r="F4" s="126" t="s">
        <v>4574</v>
      </c>
      <c r="G4" s="43" t="s">
        <v>4575</v>
      </c>
      <c r="H4" s="44" t="s">
        <v>4576</v>
      </c>
      <c r="I4" s="45" t="s">
        <v>4577</v>
      </c>
      <c r="J4" s="46" t="s">
        <v>4578</v>
      </c>
      <c r="K4" s="13"/>
      <c r="L4" s="45" t="s">
        <v>4579</v>
      </c>
      <c r="M4" s="13"/>
      <c r="N4" s="37" t="s">
        <v>4580</v>
      </c>
      <c r="O4" s="13"/>
      <c r="P4" s="37" t="s">
        <v>4581</v>
      </c>
      <c r="Q4" s="13"/>
      <c r="R4" s="39" t="s">
        <v>4582</v>
      </c>
      <c r="S4" s="40" t="s">
        <v>4583</v>
      </c>
      <c r="T4" s="37" t="s">
        <v>4584</v>
      </c>
      <c r="U4" s="36"/>
      <c r="V4" s="41"/>
      <c r="W4" s="26"/>
      <c r="X4" s="42" t="s">
        <v>33</v>
      </c>
      <c r="Y4" s="42" t="s">
        <v>34</v>
      </c>
      <c r="Z4" s="48" t="s">
        <v>47</v>
      </c>
      <c r="AA4" s="14"/>
      <c r="AB4" s="15" t="str">
        <f>IFERROR(__xludf.DUMMYFUNCTION("join("","",filter(split($H$83,"",""),ARRAYFORMULA(ISERROR(FIND(split($H$83,"",""),CONCATENATE(E4:V4))))=TRUE))"),"КЗ,201,206,404,406,АЗ")</f>
        <v>КЗ,201,206,404,406,АЗ</v>
      </c>
      <c r="AC4" s="14"/>
      <c r="AD4" s="14"/>
      <c r="AE4" s="14"/>
      <c r="AF4" s="29"/>
      <c r="AG4" s="29"/>
      <c r="AH4" s="29"/>
    </row>
    <row r="5" ht="40.5" hidden="1" customHeight="1">
      <c r="A5" s="30"/>
      <c r="B5" s="31">
        <v>4.0</v>
      </c>
      <c r="C5" s="32" t="s">
        <v>48</v>
      </c>
      <c r="D5" s="32" t="s">
        <v>49</v>
      </c>
      <c r="E5" s="33" t="s">
        <v>4585</v>
      </c>
      <c r="F5" s="126" t="s">
        <v>4586</v>
      </c>
      <c r="G5" s="43" t="s">
        <v>4587</v>
      </c>
      <c r="H5" s="45" t="s">
        <v>4588</v>
      </c>
      <c r="I5" s="13"/>
      <c r="J5" s="33" t="s">
        <v>4589</v>
      </c>
      <c r="K5" s="44" t="s">
        <v>4590</v>
      </c>
      <c r="L5" s="44" t="s">
        <v>4591</v>
      </c>
      <c r="M5" s="45" t="s">
        <v>4592</v>
      </c>
      <c r="N5" s="37" t="s">
        <v>4593</v>
      </c>
      <c r="O5" s="13"/>
      <c r="P5" s="37" t="s">
        <v>4594</v>
      </c>
      <c r="Q5" s="13"/>
      <c r="R5" s="51" t="s">
        <v>4595</v>
      </c>
      <c r="S5" s="13"/>
      <c r="T5" s="52" t="s">
        <v>4596</v>
      </c>
      <c r="U5" s="36"/>
      <c r="V5" s="41"/>
      <c r="W5" s="26"/>
      <c r="X5" s="42" t="s">
        <v>48</v>
      </c>
      <c r="Y5" s="42" t="s">
        <v>49</v>
      </c>
      <c r="Z5" s="48" t="s">
        <v>57</v>
      </c>
      <c r="AA5" s="14"/>
      <c r="AB5" s="15" t="str">
        <f>IFERROR(__xludf.DUMMYFUNCTION("join("","",filter(split($H$83,"",""),ARRAYFORMULA(ISERROR(FIND(split($H$83,"",""),CONCATENATE(E5:V5))))=TRUE))"),"СЗ,КЗ,206,406,408,409")</f>
        <v>СЗ,КЗ,206,406,408,409</v>
      </c>
      <c r="AC5" s="14"/>
      <c r="AD5" s="14"/>
      <c r="AE5" s="14"/>
      <c r="AF5" s="29"/>
      <c r="AG5" s="29"/>
      <c r="AH5" s="29"/>
    </row>
    <row r="6" ht="40.5" hidden="1" customHeight="1">
      <c r="A6" s="30"/>
      <c r="B6" s="31">
        <v>5.0</v>
      </c>
      <c r="C6" s="32" t="s">
        <v>58</v>
      </c>
      <c r="D6" s="53">
        <v>44847.0</v>
      </c>
      <c r="E6" s="316" t="s">
        <v>4597</v>
      </c>
      <c r="F6" s="34" t="s">
        <v>4598</v>
      </c>
      <c r="G6" s="43" t="s">
        <v>4599</v>
      </c>
      <c r="H6" s="45" t="s">
        <v>4600</v>
      </c>
      <c r="I6" s="13"/>
      <c r="J6" s="33" t="s">
        <v>4601</v>
      </c>
      <c r="K6" s="44" t="s">
        <v>4602</v>
      </c>
      <c r="L6" s="44" t="s">
        <v>4603</v>
      </c>
      <c r="M6" s="45" t="s">
        <v>4604</v>
      </c>
      <c r="N6" s="37" t="s">
        <v>4605</v>
      </c>
      <c r="O6" s="13"/>
      <c r="P6" s="37" t="s">
        <v>4606</v>
      </c>
      <c r="Q6" s="13"/>
      <c r="R6" s="51" t="s">
        <v>4607</v>
      </c>
      <c r="S6" s="13"/>
      <c r="T6" s="52" t="s">
        <v>4608</v>
      </c>
      <c r="U6" s="36"/>
      <c r="V6" s="41"/>
      <c r="W6" s="26"/>
      <c r="X6" s="42" t="s">
        <v>58</v>
      </c>
      <c r="Y6" s="54">
        <v>44847.0</v>
      </c>
      <c r="Z6" s="48" t="s">
        <v>70</v>
      </c>
      <c r="AA6" s="14"/>
      <c r="AB6" s="15" t="str">
        <f>IFERROR(__xludf.DUMMYFUNCTION("join("","",filter(split($H$83,"",""),ARRAYFORMULA(ISERROR(FIND(split($H$83,"",""),CONCATENATE(E6:V6))))=TRUE))"),"СЗ,КЗ,206,406,408,409")</f>
        <v>СЗ,КЗ,206,406,408,409</v>
      </c>
      <c r="AC6" s="14"/>
      <c r="AD6" s="14"/>
      <c r="AE6" s="14"/>
      <c r="AF6" s="29"/>
      <c r="AG6" s="29"/>
      <c r="AH6" s="29"/>
    </row>
    <row r="7" ht="42.0" hidden="1" customHeight="1">
      <c r="A7" s="30"/>
      <c r="B7" s="31">
        <v>6.0</v>
      </c>
      <c r="C7" s="55" t="s">
        <v>71</v>
      </c>
      <c r="D7" s="56" t="s">
        <v>72</v>
      </c>
      <c r="E7" s="316" t="s">
        <v>4609</v>
      </c>
      <c r="F7" s="34" t="s">
        <v>4610</v>
      </c>
      <c r="G7" s="43" t="s">
        <v>4611</v>
      </c>
      <c r="H7" s="45" t="s">
        <v>4612</v>
      </c>
      <c r="I7" s="13"/>
      <c r="J7" s="37" t="s">
        <v>4613</v>
      </c>
      <c r="K7" s="13"/>
      <c r="L7" s="45" t="s">
        <v>4614</v>
      </c>
      <c r="M7" s="13"/>
      <c r="N7" s="37" t="s">
        <v>4615</v>
      </c>
      <c r="O7" s="13"/>
      <c r="P7" s="37" t="s">
        <v>4616</v>
      </c>
      <c r="Q7" s="13"/>
      <c r="R7" s="57" t="s">
        <v>4617</v>
      </c>
      <c r="T7" s="33" t="s">
        <v>4618</v>
      </c>
      <c r="U7" s="45" t="s">
        <v>4619</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t="42.0" hidden="1" customHeight="1">
      <c r="A8" s="30"/>
      <c r="B8" s="31">
        <v>7.0</v>
      </c>
      <c r="C8" s="32" t="s">
        <v>85</v>
      </c>
      <c r="D8" s="32" t="s">
        <v>86</v>
      </c>
      <c r="E8" s="318" t="s">
        <v>4620</v>
      </c>
      <c r="F8" s="319" t="s">
        <v>4621</v>
      </c>
      <c r="G8" s="43" t="s">
        <v>4622</v>
      </c>
      <c r="H8" s="45" t="s">
        <v>4623</v>
      </c>
      <c r="I8" s="13"/>
      <c r="J8" s="37" t="s">
        <v>4624</v>
      </c>
      <c r="K8" s="13"/>
      <c r="L8" s="45" t="s">
        <v>4625</v>
      </c>
      <c r="M8" s="13"/>
      <c r="N8" s="37" t="s">
        <v>4626</v>
      </c>
      <c r="O8" s="13"/>
      <c r="P8" s="37" t="s">
        <v>4627</v>
      </c>
      <c r="Q8" s="13"/>
      <c r="R8" s="37" t="s">
        <v>4628</v>
      </c>
      <c r="S8" s="13"/>
      <c r="T8" s="43" t="s">
        <v>4629</v>
      </c>
      <c r="U8" s="45" t="s">
        <v>4630</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hidden="1" customHeight="1">
      <c r="A9" s="30"/>
      <c r="B9" s="31">
        <v>8.0</v>
      </c>
      <c r="C9" s="32" t="s">
        <v>98</v>
      </c>
      <c r="D9" s="32" t="s">
        <v>99</v>
      </c>
      <c r="E9" s="320" t="s">
        <v>4631</v>
      </c>
      <c r="F9" s="276" t="s">
        <v>4632</v>
      </c>
      <c r="G9" s="43" t="s">
        <v>4633</v>
      </c>
      <c r="H9" s="45" t="s">
        <v>4634</v>
      </c>
      <c r="I9" s="13"/>
      <c r="J9" s="37" t="s">
        <v>4635</v>
      </c>
      <c r="K9" s="13"/>
      <c r="L9" s="45" t="s">
        <v>4636</v>
      </c>
      <c r="M9" s="13"/>
      <c r="N9" s="61" t="s">
        <v>4637</v>
      </c>
      <c r="O9" s="13"/>
      <c r="P9" s="62" t="s">
        <v>4638</v>
      </c>
      <c r="Q9" s="45" t="s">
        <v>4639</v>
      </c>
      <c r="R9" s="63" t="s">
        <v>108</v>
      </c>
      <c r="S9" s="64"/>
      <c r="T9" s="64"/>
      <c r="U9" s="64"/>
      <c r="V9" s="64"/>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40.5" hidden="1" customHeight="1">
      <c r="A10" s="30"/>
      <c r="B10" s="31">
        <v>9.0</v>
      </c>
      <c r="C10" s="65">
        <v>44697.0</v>
      </c>
      <c r="D10" s="44" t="s">
        <v>109</v>
      </c>
      <c r="E10" s="66" t="s">
        <v>4640</v>
      </c>
      <c r="F10" s="67"/>
      <c r="G10" s="43" t="s">
        <v>4641</v>
      </c>
      <c r="H10" s="45" t="s">
        <v>4642</v>
      </c>
      <c r="I10" s="13"/>
      <c r="J10" s="37" t="s">
        <v>4643</v>
      </c>
      <c r="K10" s="13"/>
      <c r="L10" s="45" t="s">
        <v>4644</v>
      </c>
      <c r="M10" s="13"/>
      <c r="N10" s="61" t="s">
        <v>4645</v>
      </c>
      <c r="O10" s="13"/>
      <c r="P10" s="62" t="s">
        <v>4646</v>
      </c>
      <c r="Q10" s="68" t="s">
        <v>4647</v>
      </c>
      <c r="R10" s="37" t="s">
        <v>4648</v>
      </c>
      <c r="S10" s="68" t="s">
        <v>4649</v>
      </c>
      <c r="T10" s="36"/>
      <c r="U10" s="36"/>
      <c r="V10" s="41"/>
      <c r="W10" s="26"/>
      <c r="X10" s="69">
        <v>44697.0</v>
      </c>
      <c r="Y10" s="70" t="s">
        <v>109</v>
      </c>
      <c r="Z10" s="28"/>
      <c r="AA10" s="14"/>
      <c r="AB10" s="15" t="str">
        <f>IFERROR(__xludf.DUMMYFUNCTION("join("","",filter(split($H$83,"",""),ARRAYFORMULA(ISERROR(FIND(split($H$83,"",""),CONCATENATE(E10:V10))))=TRUE))"),"КЗ,206,210,403,404,405,406,408,409,АЗ")</f>
        <v>КЗ,206,210,403,404,405,406,408,409,АЗ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4650</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578">
        <v>44887.0</v>
      </c>
      <c r="B13" s="19">
        <v>1.0</v>
      </c>
      <c r="C13" s="20" t="s">
        <v>12</v>
      </c>
      <c r="D13" s="20" t="s">
        <v>13</v>
      </c>
      <c r="E13" s="80"/>
      <c r="F13" s="25"/>
      <c r="G13" s="81" t="s">
        <v>4651</v>
      </c>
      <c r="H13" s="80" t="s">
        <v>4652</v>
      </c>
      <c r="I13" s="22"/>
      <c r="J13" s="23" t="s">
        <v>4653</v>
      </c>
      <c r="K13" s="25"/>
      <c r="L13" s="80" t="s">
        <v>4654</v>
      </c>
      <c r="M13" s="25"/>
      <c r="N13" s="82"/>
      <c r="O13" s="25"/>
      <c r="P13" s="21" t="s">
        <v>4655</v>
      </c>
      <c r="Q13" s="22"/>
      <c r="R13" s="23" t="s">
        <v>4656</v>
      </c>
      <c r="S13" s="22"/>
      <c r="T13" s="84" t="s">
        <v>4657</v>
      </c>
      <c r="U13" s="80" t="s">
        <v>4658</v>
      </c>
      <c r="V13" s="22"/>
      <c r="W13" s="26"/>
      <c r="X13" s="27" t="s">
        <v>12</v>
      </c>
      <c r="Y13" s="27" t="s">
        <v>13</v>
      </c>
      <c r="Z13" s="28"/>
      <c r="AA13" s="85"/>
      <c r="AB13" s="15" t="str">
        <f>IFERROR(__xludf.DUMMYFUNCTION("join("","",filter(split($H$83,"",""),ARRAYFORMULA(ISERROR(FIND(split($H$83,"",""),CONCATENATE(E13:V13))))=TRUE))"),"СЗ,КЗ,202,206,209,210,403,410,АЗ")</f>
        <v>СЗ,КЗ,202,206,209,210,403,410,АЗ</v>
      </c>
      <c r="AC13" s="14"/>
      <c r="AD13" s="14"/>
      <c r="AE13" s="14"/>
      <c r="AF13" s="29"/>
      <c r="AG13" s="29"/>
      <c r="AH13" s="29"/>
    </row>
    <row r="14" ht="40.5" hidden="1" customHeight="1">
      <c r="A14" s="30"/>
      <c r="B14" s="31">
        <v>2.0</v>
      </c>
      <c r="C14" s="32" t="s">
        <v>21</v>
      </c>
      <c r="D14" s="32" t="s">
        <v>22</v>
      </c>
      <c r="E14" s="45"/>
      <c r="F14" s="13"/>
      <c r="G14" s="46" t="s">
        <v>4659</v>
      </c>
      <c r="H14" s="86" t="s">
        <v>4660</v>
      </c>
      <c r="I14" s="41"/>
      <c r="J14" s="35" t="s">
        <v>4661</v>
      </c>
      <c r="K14" s="13"/>
      <c r="L14" s="45" t="s">
        <v>4662</v>
      </c>
      <c r="M14" s="13"/>
      <c r="N14" s="581" t="s">
        <v>4663</v>
      </c>
      <c r="O14" s="13"/>
      <c r="P14" s="37" t="s">
        <v>4664</v>
      </c>
      <c r="Q14" s="41"/>
      <c r="R14" s="35" t="s">
        <v>4665</v>
      </c>
      <c r="S14" s="41"/>
      <c r="T14" s="43" t="s">
        <v>4666</v>
      </c>
      <c r="U14" s="45" t="s">
        <v>4667</v>
      </c>
      <c r="V14" s="41"/>
      <c r="W14" s="26"/>
      <c r="X14" s="42" t="s">
        <v>21</v>
      </c>
      <c r="Y14" s="42" t="s">
        <v>22</v>
      </c>
      <c r="Z14" s="28"/>
      <c r="AA14" s="85"/>
      <c r="AB14" s="15" t="str">
        <f>IFERROR(__xludf.DUMMYFUNCTION("join("","",filter(split($H$83,"",""),ARRAYFORMULA(ISERROR(FIND(split($H$83,"",""),CONCATENATE(E14:V14))))=TRUE))"),"СЗ,КЗ,202,206,210,403,410,АЗ")</f>
        <v>СЗ,КЗ,202,206,210,403,410,АЗ</v>
      </c>
      <c r="AC14" s="14"/>
      <c r="AD14" s="14"/>
      <c r="AE14" s="14"/>
      <c r="AF14" s="29"/>
      <c r="AG14" s="29"/>
      <c r="AH14" s="29"/>
    </row>
    <row r="15" ht="40.5" hidden="1" customHeight="1">
      <c r="A15" s="30"/>
      <c r="B15" s="31">
        <v>3.0</v>
      </c>
      <c r="C15" s="32" t="s">
        <v>33</v>
      </c>
      <c r="D15" s="32" t="s">
        <v>34</v>
      </c>
      <c r="E15" s="40" t="s">
        <v>4668</v>
      </c>
      <c r="F15" s="13"/>
      <c r="G15" s="580" t="s">
        <v>4669</v>
      </c>
      <c r="H15" s="36"/>
      <c r="I15" s="41"/>
      <c r="J15" s="35" t="s">
        <v>4670</v>
      </c>
      <c r="K15" s="13"/>
      <c r="L15" s="45" t="s">
        <v>4671</v>
      </c>
      <c r="M15" s="13"/>
      <c r="N15" s="89" t="s">
        <v>4672</v>
      </c>
      <c r="O15" s="13"/>
      <c r="P15" s="37" t="s">
        <v>4673</v>
      </c>
      <c r="Q15" s="41"/>
      <c r="R15" s="43" t="s">
        <v>4674</v>
      </c>
      <c r="S15" s="34" t="s">
        <v>4675</v>
      </c>
      <c r="T15" s="91" t="s">
        <v>4676</v>
      </c>
      <c r="U15" s="36"/>
      <c r="V15" s="41"/>
      <c r="W15" s="26"/>
      <c r="X15" s="42" t="s">
        <v>33</v>
      </c>
      <c r="Y15" s="42" t="s">
        <v>34</v>
      </c>
      <c r="Z15" s="48" t="s">
        <v>47</v>
      </c>
      <c r="AA15" s="85" t="str">
        <f>AA$5</f>
        <v/>
      </c>
      <c r="AB15" s="15" t="str">
        <f>IFERROR(__xludf.DUMMYFUNCTION("join("","",filter(split($H$83,"",""),ARRAYFORMULA(ISERROR(FIND(split($H$83,"",""),CONCATENATE(E15:V15))))=TRUE))"),"КЗ,201,206,210,403,408,410,АЗ")</f>
        <v>КЗ,201,206,210,403,408,410,АЗ</v>
      </c>
      <c r="AC15" s="14"/>
      <c r="AD15" s="14"/>
      <c r="AE15" s="14"/>
      <c r="AF15" s="29"/>
      <c r="AG15" s="29"/>
      <c r="AH15" s="29"/>
    </row>
    <row r="16" ht="40.5" hidden="1" customHeight="1">
      <c r="A16" s="30"/>
      <c r="B16" s="31">
        <v>4.0</v>
      </c>
      <c r="C16" s="32" t="s">
        <v>48</v>
      </c>
      <c r="D16" s="32" t="s">
        <v>49</v>
      </c>
      <c r="E16" s="40" t="s">
        <v>4677</v>
      </c>
      <c r="F16" s="13"/>
      <c r="G16" s="37" t="s">
        <v>4678</v>
      </c>
      <c r="H16" s="36"/>
      <c r="I16" s="41"/>
      <c r="J16" s="35" t="s">
        <v>4679</v>
      </c>
      <c r="K16" s="13"/>
      <c r="L16" s="45" t="s">
        <v>4680</v>
      </c>
      <c r="M16" s="13"/>
      <c r="N16" s="89" t="s">
        <v>4681</v>
      </c>
      <c r="O16" s="13"/>
      <c r="P16" s="37" t="s">
        <v>160</v>
      </c>
      <c r="Q16" s="41"/>
      <c r="R16" s="43" t="s">
        <v>4682</v>
      </c>
      <c r="S16" s="34" t="s">
        <v>4683</v>
      </c>
      <c r="T16" s="91" t="s">
        <v>4684</v>
      </c>
      <c r="U16" s="36"/>
      <c r="V16" s="41"/>
      <c r="W16" s="26"/>
      <c r="X16" s="42" t="s">
        <v>48</v>
      </c>
      <c r="Y16" s="42" t="s">
        <v>49</v>
      </c>
      <c r="Z16" s="48" t="s">
        <v>57</v>
      </c>
      <c r="AA16" s="85" t="str">
        <f>AA$6</f>
        <v/>
      </c>
      <c r="AB16" s="15" t="str">
        <f>IFERROR(__xludf.DUMMYFUNCTION("join("","",filter(split($H$83,"",""),ARRAYFORMULA(ISERROR(FIND(split($H$83,"",""),CONCATENATE(E16:V16))))=TRUE))"),"КЗ,201,206,210,403,408,410,АЗ")</f>
        <v>КЗ,201,206,210,403,408,410,АЗ</v>
      </c>
      <c r="AC16" s="14"/>
      <c r="AD16" s="14"/>
      <c r="AE16" s="14"/>
      <c r="AF16" s="29"/>
      <c r="AG16" s="29"/>
      <c r="AH16" s="29"/>
    </row>
    <row r="17" ht="40.5" hidden="1" customHeight="1">
      <c r="A17" s="30"/>
      <c r="B17" s="31">
        <v>5.0</v>
      </c>
      <c r="C17" s="32" t="s">
        <v>58</v>
      </c>
      <c r="D17" s="53">
        <v>44847.0</v>
      </c>
      <c r="E17" s="45" t="s">
        <v>4685</v>
      </c>
      <c r="F17" s="13"/>
      <c r="G17" s="45" t="s">
        <v>4686</v>
      </c>
      <c r="H17" s="36"/>
      <c r="I17" s="41"/>
      <c r="J17" s="35" t="s">
        <v>4687</v>
      </c>
      <c r="K17" s="13"/>
      <c r="L17" s="40" t="s">
        <v>4688</v>
      </c>
      <c r="M17" s="13"/>
      <c r="N17" s="45" t="s">
        <v>4689</v>
      </c>
      <c r="O17" s="13"/>
      <c r="P17" s="33" t="s">
        <v>4690</v>
      </c>
      <c r="Q17" s="34" t="s">
        <v>4691</v>
      </c>
      <c r="R17" s="326" t="s">
        <v>4692</v>
      </c>
      <c r="S17" s="92" t="s">
        <v>4693</v>
      </c>
      <c r="T17" s="93" t="s">
        <v>4694</v>
      </c>
      <c r="U17" s="36"/>
      <c r="V17" s="41"/>
      <c r="W17" s="26"/>
      <c r="X17" s="42" t="s">
        <v>58</v>
      </c>
      <c r="Y17" s="54">
        <v>44847.0</v>
      </c>
      <c r="Z17" s="48" t="s">
        <v>70</v>
      </c>
      <c r="AA17" s="85" t="str">
        <f>AA$7</f>
        <v/>
      </c>
      <c r="AB17" s="15" t="str">
        <f>IFERROR(__xludf.DUMMYFUNCTION("join("","",filter(split($H$83,"",""),ARRAYFORMULA(ISERROR(FIND(split($H$83,"",""),CONCATENATE(E17:V17))))=TRUE))"),"СЗ,206,210,403,408,410,АЗ")</f>
        <v>СЗ,206,210,403,408,410,АЗ</v>
      </c>
      <c r="AC17" s="14"/>
      <c r="AD17" s="14"/>
      <c r="AE17" s="14"/>
      <c r="AF17" s="29"/>
      <c r="AG17" s="29"/>
      <c r="AH17" s="29"/>
    </row>
    <row r="18" ht="40.5" hidden="1" customHeight="1">
      <c r="A18" s="30"/>
      <c r="B18" s="31">
        <v>6.0</v>
      </c>
      <c r="C18" s="55" t="s">
        <v>71</v>
      </c>
      <c r="D18" s="56" t="s">
        <v>72</v>
      </c>
      <c r="E18" s="45" t="s">
        <v>4695</v>
      </c>
      <c r="F18" s="13"/>
      <c r="G18" s="45" t="s">
        <v>4696</v>
      </c>
      <c r="H18" s="36"/>
      <c r="I18" s="41"/>
      <c r="J18" s="35" t="s">
        <v>4697</v>
      </c>
      <c r="K18" s="13"/>
      <c r="L18" s="40" t="s">
        <v>4698</v>
      </c>
      <c r="M18" s="13"/>
      <c r="N18" s="45" t="s">
        <v>4699</v>
      </c>
      <c r="O18" s="13"/>
      <c r="P18" s="33" t="s">
        <v>4700</v>
      </c>
      <c r="Q18" s="34" t="s">
        <v>4701</v>
      </c>
      <c r="R18" s="326" t="s">
        <v>4702</v>
      </c>
      <c r="S18" s="92" t="s">
        <v>4703</v>
      </c>
      <c r="T18" s="93" t="s">
        <v>4704</v>
      </c>
      <c r="U18" s="36"/>
      <c r="V18" s="41"/>
      <c r="W18" s="26"/>
      <c r="X18" s="58" t="s">
        <v>71</v>
      </c>
      <c r="Y18" s="59" t="s">
        <v>72</v>
      </c>
      <c r="Z18" s="48" t="s">
        <v>84</v>
      </c>
      <c r="AA18" s="85" t="str">
        <f>AA$8</f>
        <v/>
      </c>
      <c r="AB18" s="15" t="str">
        <f>IFERROR(__xludf.DUMMYFUNCTION("join("","",filter(split($H$83,"",""),ARRAYFORMULA(ISERROR(FIND(split($H$83,"",""),CONCATENATE(E18:V18))))=TRUE))"),"СЗ,206,210,403,408,410,АЗ")</f>
        <v>СЗ,206,210,403,408,410,АЗ</v>
      </c>
      <c r="AC18" s="14"/>
      <c r="AD18" s="14"/>
      <c r="AE18" s="14"/>
      <c r="AF18" s="29"/>
      <c r="AG18" s="29"/>
      <c r="AH18" s="29"/>
    </row>
    <row r="19" ht="40.5" hidden="1" customHeight="1">
      <c r="A19" s="30"/>
      <c r="B19" s="31">
        <v>7.0</v>
      </c>
      <c r="C19" s="32" t="s">
        <v>85</v>
      </c>
      <c r="D19" s="32" t="s">
        <v>86</v>
      </c>
      <c r="E19" s="94" t="s">
        <v>4705</v>
      </c>
      <c r="F19" s="13"/>
      <c r="G19" s="33" t="s">
        <v>4706</v>
      </c>
      <c r="H19" s="582" t="s">
        <v>4707</v>
      </c>
      <c r="I19" s="129"/>
      <c r="J19" s="95" t="s">
        <v>4708</v>
      </c>
      <c r="K19" s="13"/>
      <c r="L19" s="45" t="s">
        <v>4709</v>
      </c>
      <c r="M19" s="13"/>
      <c r="N19" s="45" t="s">
        <v>4710</v>
      </c>
      <c r="O19" s="13"/>
      <c r="P19" s="37" t="s">
        <v>4711</v>
      </c>
      <c r="Q19" s="41"/>
      <c r="R19" s="96" t="s">
        <v>4712</v>
      </c>
      <c r="S19" s="97" t="s">
        <v>4713</v>
      </c>
      <c r="T19" s="93" t="s">
        <v>4714</v>
      </c>
      <c r="U19" s="36"/>
      <c r="V19" s="41"/>
      <c r="W19" s="26"/>
      <c r="X19" s="42" t="s">
        <v>85</v>
      </c>
      <c r="Y19" s="42" t="s">
        <v>86</v>
      </c>
      <c r="Z19" s="48" t="s">
        <v>97</v>
      </c>
      <c r="AA19" s="85" t="str">
        <f>AA$9</f>
        <v/>
      </c>
      <c r="AB19" s="15" t="str">
        <f>IFERROR(__xludf.DUMMYFUNCTION("join("","",filter(split($H$83,"",""),ARRAYFORMULA(ISERROR(FIND(split($H$83,"",""),CONCATENATE(E19:V19))))=TRUE))"),"СЗ,206,403,404,408,410,АЗ")</f>
        <v>СЗ,206,403,404,408,410,АЗ</v>
      </c>
      <c r="AC19" s="14"/>
      <c r="AD19" s="14"/>
      <c r="AE19" s="14"/>
      <c r="AF19" s="29"/>
      <c r="AG19" s="29"/>
      <c r="AH19" s="29"/>
    </row>
    <row r="20" ht="40.5" hidden="1" customHeight="1">
      <c r="A20" s="30"/>
      <c r="B20" s="31">
        <v>8.0</v>
      </c>
      <c r="C20" s="32" t="s">
        <v>98</v>
      </c>
      <c r="D20" s="32" t="s">
        <v>99</v>
      </c>
      <c r="E20" s="94" t="s">
        <v>4715</v>
      </c>
      <c r="F20" s="13"/>
      <c r="G20" s="33" t="s">
        <v>4716</v>
      </c>
      <c r="H20" s="104"/>
      <c r="I20" s="88"/>
      <c r="J20" s="95" t="s">
        <v>4717</v>
      </c>
      <c r="K20" s="13"/>
      <c r="L20" s="45" t="s">
        <v>4718</v>
      </c>
      <c r="M20" s="13"/>
      <c r="N20" s="45" t="s">
        <v>4719</v>
      </c>
      <c r="O20" s="13"/>
      <c r="P20" s="37" t="s">
        <v>4720</v>
      </c>
      <c r="Q20" s="41"/>
      <c r="R20" s="96" t="s">
        <v>4721</v>
      </c>
      <c r="S20" s="97" t="s">
        <v>4722</v>
      </c>
      <c r="T20" s="93" t="s">
        <v>4723</v>
      </c>
      <c r="U20" s="36"/>
      <c r="V20" s="41"/>
      <c r="W20" s="26"/>
      <c r="X20" s="42" t="s">
        <v>98</v>
      </c>
      <c r="Y20" s="42" t="s">
        <v>99</v>
      </c>
      <c r="Z20" s="11"/>
      <c r="AA20" s="98"/>
      <c r="AB20" s="15" t="str">
        <f>IFERROR(__xludf.DUMMYFUNCTION("join("","",filter(split($H$83,"",""),ARRAYFORMULA(ISERROR(FIND(split($H$83,"",""),CONCATENATE(E20:V20))))=TRUE))"),"СЗ,206,209,403,404,408,410,АЗ")</f>
        <v>СЗ,206,209,403,404,408,410,АЗ</v>
      </c>
      <c r="AC20" s="14"/>
      <c r="AD20" s="14"/>
      <c r="AE20" s="14"/>
      <c r="AF20" s="29"/>
      <c r="AG20" s="29"/>
      <c r="AH20" s="29"/>
    </row>
    <row r="21" ht="40.5" hidden="1" customHeight="1">
      <c r="A21" s="30"/>
      <c r="B21" s="31">
        <v>9.0</v>
      </c>
      <c r="C21" s="65">
        <v>44697.0</v>
      </c>
      <c r="D21" s="44" t="s">
        <v>109</v>
      </c>
      <c r="E21" s="99" t="s">
        <v>206</v>
      </c>
      <c r="F21" s="4"/>
      <c r="G21" s="39"/>
      <c r="H21" s="101" t="s">
        <v>208</v>
      </c>
      <c r="I21" s="36"/>
      <c r="J21" s="36"/>
      <c r="K21" s="36"/>
      <c r="L21" s="36"/>
      <c r="M21" s="13"/>
      <c r="N21" s="45" t="s">
        <v>4724</v>
      </c>
      <c r="O21" s="13"/>
      <c r="P21" s="102" t="s">
        <v>4725</v>
      </c>
      <c r="Q21" s="41"/>
      <c r="R21" s="35" t="s">
        <v>211</v>
      </c>
      <c r="S21" s="41"/>
      <c r="T21" s="103" t="s">
        <v>4726</v>
      </c>
      <c r="U21" s="36"/>
      <c r="V21" s="41"/>
      <c r="W21" s="26"/>
      <c r="X21" s="69">
        <v>44697.0</v>
      </c>
      <c r="Y21" s="70" t="s">
        <v>109</v>
      </c>
      <c r="Z21" s="28"/>
      <c r="AA21" s="98"/>
      <c r="AB21" s="15" t="str">
        <f>IFERROR(__xludf.DUMMYFUNCTION("join("","",filter(split($H$83,"",""),ARRAYFORMULA(ISERROR(FIND(split($H$83,"",""),CONCATENATE(E21:V21))))=TRUE))"),"201,206,209,210,401,403,404,405,406,408,АЗ")</f>
        <v>201,206,209,210,401,403,404,405,406,408,АЗ</v>
      </c>
      <c r="AC21" s="14"/>
      <c r="AD21" s="14"/>
      <c r="AE21" s="14"/>
      <c r="AF21" s="29"/>
      <c r="AG21" s="29"/>
      <c r="AH21" s="29"/>
    </row>
    <row r="22" ht="40.5" hidden="1" customHeight="1">
      <c r="A22" s="30"/>
      <c r="B22" s="31">
        <v>10.0</v>
      </c>
      <c r="C22" s="44" t="s">
        <v>120</v>
      </c>
      <c r="D22" s="44" t="s">
        <v>121</v>
      </c>
      <c r="E22" s="104"/>
      <c r="F22" s="72"/>
      <c r="G22" s="583"/>
      <c r="H22" s="106" t="s">
        <v>3033</v>
      </c>
      <c r="I22" s="36"/>
      <c r="J22" s="36"/>
      <c r="K22" s="36"/>
      <c r="L22" s="36"/>
      <c r="M22" s="13"/>
      <c r="N22" s="45" t="s">
        <v>4727</v>
      </c>
      <c r="O22" s="13"/>
      <c r="P22" s="101" t="s">
        <v>215</v>
      </c>
      <c r="Q22" s="36"/>
      <c r="R22" s="36"/>
      <c r="S22" s="13"/>
      <c r="T22" s="107" t="s">
        <v>4728</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4729</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hidden="1" customHeight="1">
      <c r="A24" s="578">
        <v>44888.0</v>
      </c>
      <c r="B24" s="435">
        <v>1.0</v>
      </c>
      <c r="C24" s="20" t="s">
        <v>12</v>
      </c>
      <c r="D24" s="20" t="s">
        <v>13</v>
      </c>
      <c r="E24" s="21" t="s">
        <v>4730</v>
      </c>
      <c r="F24" s="22"/>
      <c r="G24" s="116" t="s">
        <v>4731</v>
      </c>
      <c r="H24" s="117" t="s">
        <v>4732</v>
      </c>
      <c r="I24" s="22"/>
      <c r="J24" s="584" t="s">
        <v>4733</v>
      </c>
      <c r="K24" s="24"/>
      <c r="L24" s="24"/>
      <c r="M24" s="25"/>
      <c r="N24" s="80" t="s">
        <v>4734</v>
      </c>
      <c r="O24" s="25"/>
      <c r="P24" s="585" t="s">
        <v>4735</v>
      </c>
      <c r="Q24" s="24"/>
      <c r="R24" s="24"/>
      <c r="S24" s="22"/>
      <c r="T24" s="121" t="s">
        <v>4736</v>
      </c>
      <c r="U24" s="24"/>
      <c r="V24" s="22"/>
      <c r="W24" s="26"/>
      <c r="X24" s="27" t="s">
        <v>12</v>
      </c>
      <c r="Y24" s="27" t="s">
        <v>13</v>
      </c>
      <c r="Z24" s="28"/>
      <c r="AA24" s="14"/>
      <c r="AB24" s="15" t="str">
        <f>IFERROR(__xludf.DUMMYFUNCTION("join("","",filter(split($H$83,"",""),ARRAYFORMULA(ISERROR(FIND(split($H$83,"",""),CONCATENATE(E24:V24))))=TRUE))"),"СЗ,206,210,401,402,403,404,405,406,409,410")</f>
        <v>СЗ,206,210,401,402,403,404,405,406,409,410</v>
      </c>
      <c r="AC24" s="14"/>
      <c r="AD24" s="14"/>
      <c r="AE24" s="14"/>
      <c r="AF24" s="29"/>
      <c r="AG24" s="29"/>
      <c r="AH24" s="29"/>
    </row>
    <row r="25" ht="40.5" hidden="1" customHeight="1">
      <c r="A25" s="30"/>
      <c r="B25" s="436">
        <v>2.0</v>
      </c>
      <c r="C25" s="32" t="s">
        <v>21</v>
      </c>
      <c r="D25" s="32" t="s">
        <v>22</v>
      </c>
      <c r="E25" s="51" t="s">
        <v>4737</v>
      </c>
      <c r="F25" s="41"/>
      <c r="G25" s="39" t="s">
        <v>4738</v>
      </c>
      <c r="H25" s="89" t="s">
        <v>4739</v>
      </c>
      <c r="I25" s="41"/>
      <c r="J25" s="35" t="s">
        <v>4740</v>
      </c>
      <c r="K25" s="13"/>
      <c r="L25" s="40" t="s">
        <v>4741</v>
      </c>
      <c r="M25" s="13"/>
      <c r="N25" s="40" t="s">
        <v>4742</v>
      </c>
      <c r="O25" s="13"/>
      <c r="P25" s="37" t="s">
        <v>4743</v>
      </c>
      <c r="Q25" s="13"/>
      <c r="R25" s="122" t="s">
        <v>4744</v>
      </c>
      <c r="S25" s="41"/>
      <c r="T25" s="103" t="s">
        <v>4745</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hidden="1" customHeight="1">
      <c r="A26" s="30"/>
      <c r="B26" s="436">
        <v>3.0</v>
      </c>
      <c r="C26" s="32" t="s">
        <v>33</v>
      </c>
      <c r="D26" s="32" t="s">
        <v>34</v>
      </c>
      <c r="E26" s="37" t="s">
        <v>4746</v>
      </c>
      <c r="F26" s="41"/>
      <c r="G26" s="51" t="s">
        <v>4747</v>
      </c>
      <c r="H26" s="36"/>
      <c r="I26" s="41"/>
      <c r="J26" s="95" t="s">
        <v>4748</v>
      </c>
      <c r="K26" s="13"/>
      <c r="L26" s="123" t="s">
        <v>4749</v>
      </c>
      <c r="M26" s="41"/>
      <c r="N26" s="40" t="s">
        <v>4750</v>
      </c>
      <c r="O26" s="13"/>
      <c r="P26" s="39" t="s">
        <v>4751</v>
      </c>
      <c r="Q26" s="124" t="s">
        <v>4752</v>
      </c>
      <c r="R26" s="89" t="s">
        <v>4753</v>
      </c>
      <c r="S26" s="41"/>
      <c r="T26" s="125" t="s">
        <v>4754</v>
      </c>
      <c r="U26" s="36"/>
      <c r="V26" s="41"/>
      <c r="W26" s="26"/>
      <c r="X26" s="42" t="s">
        <v>33</v>
      </c>
      <c r="Y26" s="42" t="s">
        <v>34</v>
      </c>
      <c r="Z26" s="48" t="s">
        <v>47</v>
      </c>
      <c r="AA26" s="85" t="str">
        <f>AA$5</f>
        <v/>
      </c>
      <c r="AB26" s="15" t="str">
        <f>IFERROR(__xludf.DUMMYFUNCTION("join("","",filter(split($H$83,"",""),ARRAYFORMULA(ISERROR(FIND(split($H$83,"",""),CONCATENATE(E26:V26))))=TRUE))"),"СЗ,КЗ,206,210,403,404,405,408,410,АЗ")</f>
        <v>СЗ,КЗ,206,210,403,404,405,408,410,АЗ</v>
      </c>
      <c r="AC26" s="14"/>
      <c r="AD26" s="14"/>
      <c r="AE26" s="14"/>
      <c r="AF26" s="29"/>
      <c r="AG26" s="29"/>
      <c r="AH26" s="29"/>
    </row>
    <row r="27" ht="54.0" hidden="1" customHeight="1">
      <c r="A27" s="30"/>
      <c r="B27" s="436">
        <v>4.0</v>
      </c>
      <c r="C27" s="32" t="s">
        <v>48</v>
      </c>
      <c r="D27" s="32" t="s">
        <v>49</v>
      </c>
      <c r="E27" s="33" t="s">
        <v>4755</v>
      </c>
      <c r="F27" s="286" t="s">
        <v>4756</v>
      </c>
      <c r="G27" s="37" t="s">
        <v>4757</v>
      </c>
      <c r="H27" s="13"/>
      <c r="I27" s="92" t="s">
        <v>4758</v>
      </c>
      <c r="J27" s="107" t="s">
        <v>4759</v>
      </c>
      <c r="K27" s="13"/>
      <c r="L27" s="45" t="s">
        <v>4760</v>
      </c>
      <c r="M27" s="13"/>
      <c r="N27" s="127" t="s">
        <v>4761</v>
      </c>
      <c r="O27" s="13"/>
      <c r="P27" s="37" t="s">
        <v>4762</v>
      </c>
      <c r="Q27" s="13"/>
      <c r="R27" s="34" t="s">
        <v>4763</v>
      </c>
      <c r="S27" s="132" t="s">
        <v>4764</v>
      </c>
      <c r="T27" s="125" t="s">
        <v>4765</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D27" s="14"/>
      <c r="AE27" s="14"/>
      <c r="AF27" s="29"/>
      <c r="AG27" s="29"/>
      <c r="AH27" s="29"/>
    </row>
    <row r="28" ht="53.25" hidden="1" customHeight="1">
      <c r="A28" s="30"/>
      <c r="B28" s="436">
        <v>5.0</v>
      </c>
      <c r="C28" s="32" t="s">
        <v>58</v>
      </c>
      <c r="D28" s="53">
        <v>44847.0</v>
      </c>
      <c r="E28" s="33" t="s">
        <v>4766</v>
      </c>
      <c r="F28" s="92" t="s">
        <v>4767</v>
      </c>
      <c r="G28" s="37" t="s">
        <v>4768</v>
      </c>
      <c r="H28" s="13"/>
      <c r="I28" s="92" t="s">
        <v>4769</v>
      </c>
      <c r="J28" s="123" t="s">
        <v>4770</v>
      </c>
      <c r="K28" s="41"/>
      <c r="L28" s="45" t="s">
        <v>4771</v>
      </c>
      <c r="M28" s="13"/>
      <c r="N28" s="89" t="s">
        <v>4772</v>
      </c>
      <c r="O28" s="13"/>
      <c r="P28" s="39" t="s">
        <v>4773</v>
      </c>
      <c r="Q28" s="124" t="s">
        <v>4774</v>
      </c>
      <c r="R28" s="34" t="s">
        <v>4775</v>
      </c>
      <c r="S28" s="132" t="s">
        <v>4776</v>
      </c>
      <c r="T28" s="128" t="s">
        <v>4777</v>
      </c>
      <c r="U28" s="8"/>
      <c r="V28" s="129"/>
      <c r="W28" s="26"/>
      <c r="X28" s="42" t="s">
        <v>58</v>
      </c>
      <c r="Y28" s="54">
        <v>44847.0</v>
      </c>
      <c r="Z28" s="48" t="s">
        <v>70</v>
      </c>
      <c r="AA28" s="85" t="str">
        <f>AA$7</f>
        <v/>
      </c>
      <c r="AB28" s="15" t="str">
        <f>IFERROR(__xludf.DUMMYFUNCTION("join("","",filter(split($H$83,"",""),ARRAYFORMULA(ISERROR(FIND(split($H$83,"",""),CONCATENATE(E28:V28))))=TRUE))"),"СЗ,206,209,403,404,405,410")</f>
        <v>СЗ,206,209,403,404,405,410</v>
      </c>
      <c r="AC28" s="14"/>
      <c r="AD28" s="14"/>
      <c r="AE28" s="14"/>
      <c r="AG28" s="29"/>
      <c r="AH28" s="29"/>
    </row>
    <row r="29" ht="40.5" hidden="1" customHeight="1">
      <c r="A29" s="30"/>
      <c r="B29" s="436">
        <v>6.0</v>
      </c>
      <c r="C29" s="55" t="s">
        <v>71</v>
      </c>
      <c r="D29" s="56" t="s">
        <v>72</v>
      </c>
      <c r="E29" s="39" t="s">
        <v>4778</v>
      </c>
      <c r="F29" s="34" t="s">
        <v>4779</v>
      </c>
      <c r="G29" s="40" t="s">
        <v>4780</v>
      </c>
      <c r="H29" s="41"/>
      <c r="I29" s="34" t="s">
        <v>4781</v>
      </c>
      <c r="J29" s="123" t="s">
        <v>4782</v>
      </c>
      <c r="K29" s="41"/>
      <c r="L29" s="89" t="s">
        <v>4783</v>
      </c>
      <c r="M29" s="13"/>
      <c r="N29" s="130" t="s">
        <v>4784</v>
      </c>
      <c r="O29" s="13"/>
      <c r="P29" s="131" t="s">
        <v>4785</v>
      </c>
      <c r="Q29" s="132" t="s">
        <v>4786</v>
      </c>
      <c r="R29" s="92" t="s">
        <v>4787</v>
      </c>
      <c r="S29" s="133" t="s">
        <v>276</v>
      </c>
      <c r="V29" s="134"/>
      <c r="W29" s="26"/>
      <c r="X29" s="58" t="s">
        <v>71</v>
      </c>
      <c r="Y29" s="59" t="s">
        <v>72</v>
      </c>
      <c r="Z29" s="48" t="s">
        <v>84</v>
      </c>
      <c r="AA29" s="85" t="str">
        <f>AA$8</f>
        <v/>
      </c>
      <c r="AB29" s="15" t="str">
        <f>IFERROR(__xludf.DUMMYFUNCTION("join("","",filter(split($H$83,"",""),ARRAYFORMULA(ISERROR(FIND(split($H$83,"",""),CONCATENATE(E29:V29))))=TRUE))"),"СЗ,КЗ,201,206,403,404,405,410,АЗ")</f>
        <v>СЗ,КЗ,201,206,403,404,405,410,АЗ</v>
      </c>
      <c r="AC29" s="14"/>
      <c r="AD29" s="14"/>
      <c r="AE29" s="14"/>
      <c r="AG29" s="29"/>
      <c r="AH29" s="29"/>
    </row>
    <row r="30" ht="40.5" hidden="1" customHeight="1">
      <c r="A30" s="30"/>
      <c r="B30" s="436">
        <v>7.0</v>
      </c>
      <c r="C30" s="32" t="s">
        <v>85</v>
      </c>
      <c r="D30" s="32" t="s">
        <v>86</v>
      </c>
      <c r="E30" s="39" t="s">
        <v>4788</v>
      </c>
      <c r="F30" s="34" t="s">
        <v>4789</v>
      </c>
      <c r="G30" s="40" t="s">
        <v>4790</v>
      </c>
      <c r="H30" s="41"/>
      <c r="I30" s="34" t="s">
        <v>4791</v>
      </c>
      <c r="J30" s="35" t="s">
        <v>4792</v>
      </c>
      <c r="K30" s="13"/>
      <c r="L30" s="123" t="s">
        <v>4793</v>
      </c>
      <c r="M30" s="41"/>
      <c r="N30" s="130" t="s">
        <v>4794</v>
      </c>
      <c r="O30" s="13"/>
      <c r="P30" s="131" t="s">
        <v>4795</v>
      </c>
      <c r="Q30" s="132" t="s">
        <v>4796</v>
      </c>
      <c r="R30" s="40" t="s">
        <v>4797</v>
      </c>
      <c r="S30" s="199"/>
      <c r="V30" s="134"/>
      <c r="W30" s="26"/>
      <c r="X30" s="42" t="s">
        <v>85</v>
      </c>
      <c r="Y30" s="42" t="s">
        <v>86</v>
      </c>
      <c r="Z30" s="48" t="s">
        <v>97</v>
      </c>
      <c r="AA30" s="85" t="str">
        <f>AA$9</f>
        <v/>
      </c>
      <c r="AB30" s="15" t="str">
        <f>IFERROR(__xludf.DUMMYFUNCTION("join("","",filter(split($H$83,"",""),ARRAYFORMULA(ISERROR(FIND(split($H$83,"",""),CONCATENATE(E30:V30))))=TRUE))"),"СЗ,КЗ,206,403,404,405,409,410,АЗ")</f>
        <v>СЗ,КЗ,206,403,404,405,409,410,АЗ</v>
      </c>
      <c r="AC30" s="14"/>
      <c r="AD30" s="14"/>
      <c r="AE30" s="14"/>
      <c r="AG30" s="29"/>
      <c r="AH30" s="29"/>
    </row>
    <row r="31" ht="52.5" hidden="1" customHeight="1">
      <c r="A31" s="30"/>
      <c r="B31" s="436">
        <v>8.0</v>
      </c>
      <c r="C31" s="32" t="s">
        <v>98</v>
      </c>
      <c r="D31" s="32" t="s">
        <v>99</v>
      </c>
      <c r="E31" s="46" t="s">
        <v>4798</v>
      </c>
      <c r="F31" s="41"/>
      <c r="G31" s="137" t="s">
        <v>4799</v>
      </c>
      <c r="H31" s="8"/>
      <c r="I31" s="129"/>
      <c r="J31" s="334" t="s">
        <v>4800</v>
      </c>
      <c r="K31" s="36"/>
      <c r="L31" s="36"/>
      <c r="M31" s="13"/>
      <c r="N31" s="45" t="s">
        <v>4801</v>
      </c>
      <c r="O31" s="13"/>
      <c r="P31" s="33" t="s">
        <v>4802</v>
      </c>
      <c r="Q31" s="408" t="s">
        <v>4803</v>
      </c>
      <c r="R31" s="285" t="s">
        <v>4804</v>
      </c>
      <c r="S31" s="199"/>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G31" s="29"/>
      <c r="AH31" s="29"/>
    </row>
    <row r="32" ht="57.0" hidden="1" customHeight="1">
      <c r="A32" s="30"/>
      <c r="B32" s="436">
        <v>9.0</v>
      </c>
      <c r="C32" s="65">
        <v>44697.0</v>
      </c>
      <c r="D32" s="44" t="s">
        <v>109</v>
      </c>
      <c r="E32" s="141" t="s">
        <v>4805</v>
      </c>
      <c r="F32" s="13"/>
      <c r="G32" s="142"/>
      <c r="H32" s="64"/>
      <c r="I32" s="88"/>
      <c r="J32" s="334" t="s">
        <v>4806</v>
      </c>
      <c r="K32" s="36"/>
      <c r="L32" s="36"/>
      <c r="M32" s="13"/>
      <c r="N32" s="45" t="s">
        <v>4807</v>
      </c>
      <c r="O32" s="13"/>
      <c r="P32" s="33" t="s">
        <v>4808</v>
      </c>
      <c r="Q32" s="408" t="s">
        <v>4809</v>
      </c>
      <c r="R32" s="144"/>
      <c r="S32" s="92"/>
      <c r="T32" s="64"/>
      <c r="U32" s="64"/>
      <c r="V32" s="88"/>
      <c r="W32" s="26"/>
      <c r="X32" s="69">
        <v>44697.0</v>
      </c>
      <c r="Y32" s="70" t="s">
        <v>109</v>
      </c>
      <c r="Z32" s="28"/>
      <c r="AA32" s="14"/>
      <c r="AB32" s="15" t="str">
        <f>IFERROR(__xludf.DUMMYFUNCTION("join("","",filter(split($H$83,"",""),ARRAYFORMULA(ISERROR(FIND(split($H$83,"",""),CONCATENATE(E32:V32))))=TRUE))"),"СЗ,КЗ,201,206,401,402,403,404,405,406,408,409,АЗ")</f>
        <v>СЗ,КЗ,201,206,401,402,403,404,405,406,408,409,АЗ</v>
      </c>
      <c r="AC32" s="14"/>
      <c r="AD32" s="14"/>
      <c r="AE32" s="14"/>
      <c r="AF32" s="29"/>
      <c r="AG32" s="29"/>
      <c r="AH32" s="29"/>
    </row>
    <row r="33" ht="40.5" hidden="1" customHeight="1">
      <c r="A33" s="30"/>
      <c r="B33" s="436">
        <v>10.0</v>
      </c>
      <c r="C33" s="44" t="s">
        <v>120</v>
      </c>
      <c r="D33" s="44" t="s">
        <v>121</v>
      </c>
      <c r="E33" s="141" t="s">
        <v>4810</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4811</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578">
        <v>44889.0</v>
      </c>
      <c r="B35" s="19">
        <v>1.0</v>
      </c>
      <c r="C35" s="20" t="s">
        <v>12</v>
      </c>
      <c r="D35" s="20" t="s">
        <v>13</v>
      </c>
      <c r="E35" s="80"/>
      <c r="F35" s="25"/>
      <c r="G35" s="156" t="s">
        <v>4812</v>
      </c>
      <c r="H35" s="117" t="s">
        <v>4813</v>
      </c>
      <c r="I35" s="25"/>
      <c r="J35" s="157" t="s">
        <v>4814</v>
      </c>
      <c r="K35" s="13"/>
      <c r="L35" s="156" t="s">
        <v>4815</v>
      </c>
      <c r="M35" s="156" t="s">
        <v>4816</v>
      </c>
      <c r="N35" s="80" t="s">
        <v>4817</v>
      </c>
      <c r="O35" s="25"/>
      <c r="P35" s="156" t="s">
        <v>4818</v>
      </c>
      <c r="Q35" s="156" t="s">
        <v>4819</v>
      </c>
      <c r="R35" s="159" t="s">
        <v>4820</v>
      </c>
      <c r="S35" s="160"/>
      <c r="T35" s="161" t="s">
        <v>4821</v>
      </c>
      <c r="U35" s="24"/>
      <c r="V35" s="22"/>
      <c r="W35" s="26"/>
      <c r="X35" s="27" t="s">
        <v>12</v>
      </c>
      <c r="Y35" s="27" t="s">
        <v>13</v>
      </c>
      <c r="Z35" s="28"/>
      <c r="AA35" s="14"/>
      <c r="AB35" s="15" t="str">
        <f>IFERROR(__xludf.DUMMYFUNCTION("join("","",filter(split($H$83,"",""),ARRAYFORMULA(ISERROR(FIND(split($H$83,"",""),CONCATENATE(E35:V35))))=TRUE))"),"СЗ,КЗ,201,206,406,410,АЗ")</f>
        <v>СЗ,КЗ,201,206,406,410,АЗ</v>
      </c>
      <c r="AC35" s="14"/>
      <c r="AD35" s="14"/>
      <c r="AE35" s="14"/>
      <c r="AF35" s="29"/>
      <c r="AG35" s="29"/>
      <c r="AH35" s="29"/>
    </row>
    <row r="36" ht="54.0" hidden="1" customHeight="1">
      <c r="A36" s="30"/>
      <c r="B36" s="31">
        <v>2.0</v>
      </c>
      <c r="C36" s="32" t="s">
        <v>21</v>
      </c>
      <c r="D36" s="32" t="s">
        <v>22</v>
      </c>
      <c r="E36" s="45"/>
      <c r="F36" s="13"/>
      <c r="G36" s="44" t="s">
        <v>4822</v>
      </c>
      <c r="H36" s="40" t="s">
        <v>312</v>
      </c>
      <c r="I36" s="13"/>
      <c r="J36" s="157" t="s">
        <v>313</v>
      </c>
      <c r="K36" s="13"/>
      <c r="L36" s="44" t="s">
        <v>4823</v>
      </c>
      <c r="M36" s="44" t="s">
        <v>4824</v>
      </c>
      <c r="N36" s="45" t="s">
        <v>316</v>
      </c>
      <c r="O36" s="13"/>
      <c r="P36" s="44" t="s">
        <v>4825</v>
      </c>
      <c r="Q36" s="44" t="s">
        <v>4826</v>
      </c>
      <c r="R36" s="162" t="s">
        <v>4827</v>
      </c>
      <c r="S36" s="90"/>
      <c r="T36" s="163" t="s">
        <v>4828</v>
      </c>
      <c r="U36" s="36"/>
      <c r="V36" s="41"/>
      <c r="W36" s="26"/>
      <c r="X36" s="42" t="s">
        <v>21</v>
      </c>
      <c r="Y36" s="42" t="s">
        <v>22</v>
      </c>
      <c r="Z36" s="28"/>
      <c r="AA36" s="14"/>
      <c r="AB36" s="15" t="str">
        <f>IFERROR(__xludf.DUMMYFUNCTION("join("","",filter(split($H$83,"",""),ARRAYFORMULA(ISERROR(FIND(split($H$83,"",""),CONCATENATE(E36:V36))))=TRUE))"),"СЗ,КЗ,201,206,406,410,АЗ")</f>
        <v>СЗ,КЗ,201,206,406,410,АЗ</v>
      </c>
      <c r="AC36" s="14"/>
      <c r="AD36" s="14"/>
      <c r="AE36" s="14"/>
      <c r="AF36" s="29"/>
      <c r="AG36" s="29"/>
      <c r="AH36" s="29"/>
    </row>
    <row r="37" ht="56.25" hidden="1" customHeight="1">
      <c r="A37" s="30"/>
      <c r="B37" s="31">
        <v>3.0</v>
      </c>
      <c r="C37" s="32" t="s">
        <v>33</v>
      </c>
      <c r="D37" s="32" t="s">
        <v>34</v>
      </c>
      <c r="E37" s="45" t="s">
        <v>4829</v>
      </c>
      <c r="F37" s="13"/>
      <c r="G37" s="132" t="s">
        <v>4830</v>
      </c>
      <c r="H37" s="45" t="s">
        <v>4831</v>
      </c>
      <c r="I37" s="13"/>
      <c r="J37" s="45" t="s">
        <v>4832</v>
      </c>
      <c r="K37" s="13"/>
      <c r="L37" s="44" t="s">
        <v>4833</v>
      </c>
      <c r="M37" s="44" t="s">
        <v>4834</v>
      </c>
      <c r="N37" s="164" t="s">
        <v>4835</v>
      </c>
      <c r="O37" s="36"/>
      <c r="P37" s="36"/>
      <c r="Q37" s="13"/>
      <c r="R37" s="44" t="s">
        <v>4836</v>
      </c>
      <c r="S37" s="44" t="s">
        <v>4837</v>
      </c>
      <c r="T37" s="87" t="s">
        <v>4838</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hidden="1" customHeight="1">
      <c r="A38" s="30"/>
      <c r="B38" s="31">
        <v>4.0</v>
      </c>
      <c r="C38" s="32" t="s">
        <v>48</v>
      </c>
      <c r="D38" s="32" t="s">
        <v>49</v>
      </c>
      <c r="E38" s="45" t="s">
        <v>4839</v>
      </c>
      <c r="F38" s="13"/>
      <c r="G38" s="132" t="s">
        <v>4840</v>
      </c>
      <c r="H38" s="45" t="s">
        <v>4841</v>
      </c>
      <c r="I38" s="13"/>
      <c r="J38" s="45" t="s">
        <v>4842</v>
      </c>
      <c r="K38" s="13"/>
      <c r="L38" s="44" t="s">
        <v>4843</v>
      </c>
      <c r="M38" s="44" t="s">
        <v>4844</v>
      </c>
      <c r="N38" s="164" t="s">
        <v>4845</v>
      </c>
      <c r="O38" s="36"/>
      <c r="P38" s="36"/>
      <c r="Q38" s="13"/>
      <c r="R38" s="44" t="s">
        <v>4846</v>
      </c>
      <c r="S38" s="44" t="s">
        <v>4847</v>
      </c>
      <c r="T38" s="87" t="s">
        <v>4848</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hidden="1" customHeight="1">
      <c r="A39" s="30"/>
      <c r="B39" s="31">
        <v>5.0</v>
      </c>
      <c r="C39" s="32" t="s">
        <v>58</v>
      </c>
      <c r="D39" s="53">
        <v>44847.0</v>
      </c>
      <c r="E39" s="45" t="s">
        <v>4849</v>
      </c>
      <c r="F39" s="13"/>
      <c r="G39" s="44" t="s">
        <v>4850</v>
      </c>
      <c r="H39" s="45" t="s">
        <v>4851</v>
      </c>
      <c r="I39" s="13"/>
      <c r="J39" s="44" t="s">
        <v>4852</v>
      </c>
      <c r="K39" s="44" t="s">
        <v>4853</v>
      </c>
      <c r="L39" s="45" t="s">
        <v>4854</v>
      </c>
      <c r="M39" s="13"/>
      <c r="N39" s="44" t="s">
        <v>4855</v>
      </c>
      <c r="O39" s="44" t="s">
        <v>4856</v>
      </c>
      <c r="P39" s="45" t="s">
        <v>4857</v>
      </c>
      <c r="Q39" s="13"/>
      <c r="R39" s="44" t="s">
        <v>4858</v>
      </c>
      <c r="S39" s="132" t="s">
        <v>4859</v>
      </c>
      <c r="T39" s="45" t="s">
        <v>4860</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hidden="1" customHeight="1">
      <c r="A40" s="30"/>
      <c r="B40" s="31">
        <v>6.0</v>
      </c>
      <c r="C40" s="55" t="s">
        <v>71</v>
      </c>
      <c r="D40" s="56" t="s">
        <v>72</v>
      </c>
      <c r="E40" s="45" t="s">
        <v>4861</v>
      </c>
      <c r="F40" s="13"/>
      <c r="G40" s="44" t="s">
        <v>355</v>
      </c>
      <c r="H40" s="45" t="s">
        <v>4862</v>
      </c>
      <c r="I40" s="13"/>
      <c r="J40" s="44" t="s">
        <v>4863</v>
      </c>
      <c r="K40" s="44" t="s">
        <v>4864</v>
      </c>
      <c r="L40" s="45" t="s">
        <v>4865</v>
      </c>
      <c r="M40" s="13"/>
      <c r="N40" s="44" t="s">
        <v>4866</v>
      </c>
      <c r="O40" s="44" t="s">
        <v>4867</v>
      </c>
      <c r="P40" s="45" t="s">
        <v>4868</v>
      </c>
      <c r="Q40" s="13"/>
      <c r="R40" s="44" t="s">
        <v>4869</v>
      </c>
      <c r="S40" s="132" t="s">
        <v>4870</v>
      </c>
      <c r="T40" s="45" t="s">
        <v>4871</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hidden="1" customHeight="1">
      <c r="A41" s="30"/>
      <c r="B41" s="31">
        <v>7.0</v>
      </c>
      <c r="C41" s="32" t="s">
        <v>85</v>
      </c>
      <c r="D41" s="32" t="s">
        <v>86</v>
      </c>
      <c r="E41" s="45" t="s">
        <v>4872</v>
      </c>
      <c r="F41" s="13"/>
      <c r="G41" s="44" t="s">
        <v>4873</v>
      </c>
      <c r="H41" s="45" t="s">
        <v>4874</v>
      </c>
      <c r="I41" s="13"/>
      <c r="J41" s="44" t="s">
        <v>4875</v>
      </c>
      <c r="K41" s="44" t="s">
        <v>4876</v>
      </c>
      <c r="L41" s="45" t="s">
        <v>4877</v>
      </c>
      <c r="M41" s="13"/>
      <c r="N41" s="87" t="s">
        <v>4878</v>
      </c>
      <c r="O41" s="13"/>
      <c r="P41" s="45" t="s">
        <v>4879</v>
      </c>
      <c r="Q41" s="13"/>
      <c r="R41" s="44" t="s">
        <v>4880</v>
      </c>
      <c r="S41" s="44" t="s">
        <v>4881</v>
      </c>
      <c r="T41" s="165" t="s">
        <v>4882</v>
      </c>
      <c r="U41" s="36"/>
      <c r="V41" s="41"/>
      <c r="W41" s="26"/>
      <c r="X41" s="42" t="s">
        <v>85</v>
      </c>
      <c r="Y41" s="42" t="s">
        <v>86</v>
      </c>
      <c r="Z41" s="48" t="s">
        <v>97</v>
      </c>
      <c r="AA41" s="85" t="str">
        <f>AA$9</f>
        <v/>
      </c>
      <c r="AB41" s="15" t="str">
        <f>IFERROR(__xludf.DUMMYFUNCTION("join("","",filter(split($H$83,"",""),ARRAYFORMULA(ISERROR(FIND(split($H$83,"",""),CONCATENATE(E41:V41))))=TRUE))"),"СЗ,КЗ,206,210,403,406,410,АЗ")</f>
        <v>СЗ,КЗ,206,210,403,406,410,АЗ</v>
      </c>
      <c r="AC41" s="14"/>
      <c r="AD41" s="14"/>
      <c r="AE41" s="14"/>
      <c r="AF41" s="29"/>
      <c r="AG41" s="29"/>
      <c r="AH41" s="29"/>
    </row>
    <row r="42" ht="52.5" hidden="1" customHeight="1">
      <c r="A42" s="30"/>
      <c r="B42" s="31">
        <v>8.0</v>
      </c>
      <c r="C42" s="32" t="s">
        <v>98</v>
      </c>
      <c r="D42" s="32" t="s">
        <v>99</v>
      </c>
      <c r="E42" s="45" t="s">
        <v>4883</v>
      </c>
      <c r="F42" s="13"/>
      <c r="G42" s="44" t="s">
        <v>4884</v>
      </c>
      <c r="H42" s="45" t="s">
        <v>4885</v>
      </c>
      <c r="I42" s="13"/>
      <c r="J42" s="44" t="s">
        <v>4886</v>
      </c>
      <c r="K42" s="44" t="s">
        <v>4887</v>
      </c>
      <c r="L42" s="45" t="s">
        <v>4888</v>
      </c>
      <c r="M42" s="13"/>
      <c r="N42" s="87" t="s">
        <v>4889</v>
      </c>
      <c r="O42" s="13"/>
      <c r="P42" s="45" t="s">
        <v>4890</v>
      </c>
      <c r="Q42" s="13"/>
      <c r="R42" s="166"/>
      <c r="S42" s="13"/>
      <c r="T42" s="165" t="s">
        <v>4891</v>
      </c>
      <c r="U42" s="36"/>
      <c r="V42" s="41"/>
      <c r="W42" s="26"/>
      <c r="X42" s="42" t="s">
        <v>98</v>
      </c>
      <c r="Y42" s="42" t="s">
        <v>99</v>
      </c>
      <c r="Z42" s="11"/>
      <c r="AA42" s="14"/>
      <c r="AB42" s="15" t="str">
        <f>IFERROR(__xludf.DUMMYFUNCTION("join("","",filter(split($H$83,"",""),ARRAYFORMULA(ISERROR(FIND(split($H$83,"",""),CONCATENATE(E42:V42))))=TRUE))"),"СЗ,КЗ,206,210,403,404,405,406,410,АЗ")</f>
        <v>СЗ,КЗ,206,210,403,404,405,406,410,АЗ</v>
      </c>
      <c r="AC42" s="14"/>
      <c r="AD42" s="14"/>
      <c r="AE42" s="14"/>
      <c r="AF42" s="29"/>
      <c r="AG42" s="29"/>
      <c r="AH42" s="29"/>
    </row>
    <row r="43" ht="40.5" hidden="1" customHeight="1">
      <c r="A43" s="30"/>
      <c r="B43" s="31">
        <v>9.0</v>
      </c>
      <c r="C43" s="65">
        <v>44697.0</v>
      </c>
      <c r="D43" s="44" t="s">
        <v>109</v>
      </c>
      <c r="E43" s="167" t="s">
        <v>4892</v>
      </c>
      <c r="F43" s="4"/>
      <c r="G43" s="168"/>
      <c r="H43" s="169" t="s">
        <v>4893</v>
      </c>
      <c r="I43" s="36"/>
      <c r="J43" s="13"/>
      <c r="K43" s="170"/>
      <c r="L43" s="4"/>
      <c r="M43" s="171"/>
      <c r="N43" s="45" t="s">
        <v>4894</v>
      </c>
      <c r="O43" s="13"/>
      <c r="P43" s="174"/>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IFERROR(__xludf.DUMMYFUNCTION("join("","",filter(split($H$83,"",""),ARRAYFORMULA(ISERROR(FIND(split($H$83,"",""),CONCATENATE(E43:V43))))=TRUE))"),"КЗ,202,206,209,210,401,403,404,405,406,408,409,АЗ")</f>
        <v>КЗ,202,206,209,210,401,403,404,405,406,408,409,АЗ</v>
      </c>
      <c r="AC43" s="14"/>
      <c r="AD43" s="14"/>
      <c r="AE43" s="14"/>
      <c r="AF43" s="29"/>
      <c r="AG43" s="29"/>
      <c r="AH43" s="29"/>
    </row>
    <row r="44" ht="40.5" hidden="1" customHeight="1">
      <c r="A44" s="30"/>
      <c r="B44" s="31">
        <v>10.0</v>
      </c>
      <c r="C44" s="44" t="s">
        <v>120</v>
      </c>
      <c r="D44" s="44" t="s">
        <v>121</v>
      </c>
      <c r="E44" s="104"/>
      <c r="F44" s="72"/>
      <c r="G44" s="173"/>
      <c r="H44" s="169" t="s">
        <v>4895</v>
      </c>
      <c r="I44" s="36"/>
      <c r="J44" s="13"/>
      <c r="K44" s="104"/>
      <c r="L44" s="72"/>
      <c r="M44" s="171"/>
      <c r="N44" s="45" t="s">
        <v>4896</v>
      </c>
      <c r="O44" s="13"/>
      <c r="P44" s="173"/>
      <c r="Q44" s="104"/>
      <c r="R44" s="64"/>
      <c r="S44" s="64"/>
      <c r="T44" s="64"/>
      <c r="U44" s="64"/>
      <c r="V44" s="88"/>
      <c r="W44" s="26"/>
      <c r="X44" s="70" t="s">
        <v>120</v>
      </c>
      <c r="Y44" s="70" t="s">
        <v>121</v>
      </c>
      <c r="Z44" s="28"/>
      <c r="AA44" s="14"/>
      <c r="AB44" s="15" t="str">
        <f>IFERROR(__xludf.DUMMYFUNCTION("join("","",filter(split($H$83,"",""),ARRAYFORMULA(ISERROR(FIND(split($H$83,"",""),CONCATENATE(E44:V44))))=TRUE))"),"КЗ,201,202,206,209,210,401,403,404,405,406,408,409,410,АЗ")</f>
        <v>КЗ,201,202,206,209,210,401,403,404,405,406,408,409,410,АЗ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578">
        <v>44890.0</v>
      </c>
      <c r="B46" s="19">
        <v>1.0</v>
      </c>
      <c r="C46" s="20" t="s">
        <v>12</v>
      </c>
      <c r="D46" s="20" t="s">
        <v>13</v>
      </c>
      <c r="E46" s="156" t="s">
        <v>4897</v>
      </c>
      <c r="F46" s="156" t="s">
        <v>4898</v>
      </c>
      <c r="G46" s="80" t="s">
        <v>4899</v>
      </c>
      <c r="H46" s="25"/>
      <c r="I46" s="174" t="s">
        <v>4900</v>
      </c>
      <c r="J46" s="175" t="s">
        <v>4901</v>
      </c>
      <c r="K46" s="25"/>
      <c r="L46" s="80" t="s">
        <v>4902</v>
      </c>
      <c r="M46" s="25"/>
      <c r="N46" s="156" t="s">
        <v>4903</v>
      </c>
      <c r="O46" s="156" t="s">
        <v>4904</v>
      </c>
      <c r="P46" s="80" t="s">
        <v>4905</v>
      </c>
      <c r="Q46" s="25"/>
      <c r="R46" s="80" t="s">
        <v>4906</v>
      </c>
      <c r="S46" s="25"/>
      <c r="T46" s="80" t="s">
        <v>4907</v>
      </c>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4908</v>
      </c>
      <c r="F47" s="44" t="s">
        <v>4909</v>
      </c>
      <c r="G47" s="45" t="s">
        <v>4910</v>
      </c>
      <c r="H47" s="13"/>
      <c r="I47" s="173"/>
      <c r="J47" s="157" t="s">
        <v>4911</v>
      </c>
      <c r="K47" s="13"/>
      <c r="L47" s="80" t="s">
        <v>4912</v>
      </c>
      <c r="M47" s="25"/>
      <c r="N47" s="44" t="s">
        <v>4913</v>
      </c>
      <c r="O47" s="44" t="s">
        <v>4914</v>
      </c>
      <c r="P47" s="45" t="s">
        <v>4915</v>
      </c>
      <c r="Q47" s="13"/>
      <c r="R47" s="44" t="s">
        <v>4916</v>
      </c>
      <c r="S47" s="90" t="s">
        <v>4917</v>
      </c>
      <c r="T47" s="45" t="s">
        <v>4918</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40" t="s">
        <v>4919</v>
      </c>
      <c r="F48" s="13"/>
      <c r="G48" s="176" t="s">
        <v>4920</v>
      </c>
      <c r="H48" s="4"/>
      <c r="I48" s="90" t="s">
        <v>4921</v>
      </c>
      <c r="J48" s="44" t="s">
        <v>4922</v>
      </c>
      <c r="K48" s="44" t="s">
        <v>4923</v>
      </c>
      <c r="L48" s="44" t="s">
        <v>4924</v>
      </c>
      <c r="M48" s="44" t="s">
        <v>4925</v>
      </c>
      <c r="N48" s="164" t="s">
        <v>4926</v>
      </c>
      <c r="O48" s="36"/>
      <c r="P48" s="36"/>
      <c r="Q48" s="13"/>
      <c r="R48" s="44" t="s">
        <v>4927</v>
      </c>
      <c r="S48" s="90" t="s">
        <v>4928</v>
      </c>
      <c r="T48" s="45" t="s">
        <v>4929</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4930</v>
      </c>
      <c r="F49" s="13"/>
      <c r="G49" s="104"/>
      <c r="H49" s="72"/>
      <c r="I49" s="90" t="s">
        <v>4931</v>
      </c>
      <c r="J49" s="44" t="s">
        <v>4932</v>
      </c>
      <c r="K49" s="44" t="s">
        <v>4933</v>
      </c>
      <c r="L49" s="44" t="s">
        <v>4934</v>
      </c>
      <c r="M49" s="44" t="s">
        <v>4935</v>
      </c>
      <c r="N49" s="164" t="s">
        <v>4936</v>
      </c>
      <c r="O49" s="36"/>
      <c r="P49" s="36"/>
      <c r="Q49" s="13"/>
      <c r="R49" s="90" t="s">
        <v>4937</v>
      </c>
      <c r="S49" s="133" t="s">
        <v>4938</v>
      </c>
      <c r="T49" s="45" t="s">
        <v>4939</v>
      </c>
      <c r="U49" s="36"/>
      <c r="V49" s="41"/>
      <c r="W49" s="26"/>
      <c r="X49" s="42" t="s">
        <v>48</v>
      </c>
      <c r="Y49" s="42" t="s">
        <v>49</v>
      </c>
      <c r="Z49" s="48" t="s">
        <v>57</v>
      </c>
      <c r="AA49" s="85" t="str">
        <f>AA$6</f>
        <v/>
      </c>
      <c r="AB49" s="15" t="str">
        <f>IFERROR(__xludf.DUMMYFUNCTION("join("","",filter(split($H$83,"",""),ARRAYFORMULA(ISERROR(FIND(split($H$83,"",""),CONCATENATE(E49:V49))))=TRUE))"),"СЗ,КЗ,201,206,209,410,АЗ")</f>
        <v>СЗ,КЗ,201,206,209,410,АЗ</v>
      </c>
      <c r="AC49" s="14"/>
      <c r="AD49" s="14"/>
      <c r="AE49" s="14"/>
      <c r="AF49" s="29"/>
      <c r="AG49" s="29"/>
      <c r="AH49" s="29"/>
    </row>
    <row r="50" ht="40.5" customHeight="1">
      <c r="A50" s="30"/>
      <c r="B50" s="31">
        <v>5.0</v>
      </c>
      <c r="C50" s="32" t="s">
        <v>58</v>
      </c>
      <c r="D50" s="53">
        <v>44847.0</v>
      </c>
      <c r="E50" s="45" t="s">
        <v>4940</v>
      </c>
      <c r="F50" s="13"/>
      <c r="G50" s="44" t="s">
        <v>4941</v>
      </c>
      <c r="H50" s="44" t="s">
        <v>4942</v>
      </c>
      <c r="I50" s="44" t="s">
        <v>4943</v>
      </c>
      <c r="J50" s="45" t="s">
        <v>4944</v>
      </c>
      <c r="K50" s="13"/>
      <c r="L50" s="45" t="s">
        <v>4945</v>
      </c>
      <c r="M50" s="13"/>
      <c r="N50" s="177" t="s">
        <v>4946</v>
      </c>
      <c r="O50" s="177" t="s">
        <v>4947</v>
      </c>
      <c r="P50" s="45" t="s">
        <v>4948</v>
      </c>
      <c r="Q50" s="13"/>
      <c r="R50" s="90" t="s">
        <v>4949</v>
      </c>
      <c r="S50" s="133" t="s">
        <v>4950</v>
      </c>
      <c r="T50" s="45" t="s">
        <v>4951</v>
      </c>
      <c r="U50" s="36"/>
      <c r="V50" s="41"/>
      <c r="W50" s="26"/>
      <c r="X50" s="42" t="s">
        <v>58</v>
      </c>
      <c r="Y50" s="54">
        <v>44847.0</v>
      </c>
      <c r="Z50" s="48" t="s">
        <v>70</v>
      </c>
      <c r="AA50" s="85" t="str">
        <f>AA$7</f>
        <v/>
      </c>
      <c r="AB50" s="15" t="str">
        <f>IFERROR(__xludf.DUMMYFUNCTION("join("","",filter(split($H$83,"",""),ARRAYFORMULA(ISERROR(FIND(split($H$83,"",""),CONCATENATE(E50:V50))))=TRUE))"),"СЗ,КЗ,202,206,401,404,408,410")</f>
        <v>СЗ,КЗ,202,206,401,404,408,410</v>
      </c>
      <c r="AC50" s="14"/>
      <c r="AD50" s="14"/>
      <c r="AE50" s="14"/>
      <c r="AF50" s="29"/>
      <c r="AG50" s="29"/>
      <c r="AH50" s="29"/>
    </row>
    <row r="51" ht="48.75" customHeight="1">
      <c r="A51" s="30"/>
      <c r="B51" s="31">
        <v>6.0</v>
      </c>
      <c r="C51" s="55" t="s">
        <v>71</v>
      </c>
      <c r="D51" s="56" t="s">
        <v>72</v>
      </c>
      <c r="E51" s="45" t="s">
        <v>4952</v>
      </c>
      <c r="F51" s="13"/>
      <c r="G51" s="44" t="s">
        <v>4953</v>
      </c>
      <c r="H51" s="44" t="s">
        <v>4954</v>
      </c>
      <c r="I51" s="44" t="s">
        <v>4955</v>
      </c>
      <c r="J51" s="45" t="s">
        <v>4956</v>
      </c>
      <c r="K51" s="13"/>
      <c r="L51" s="45" t="s">
        <v>4957</v>
      </c>
      <c r="M51" s="13"/>
      <c r="N51" s="177" t="s">
        <v>4958</v>
      </c>
      <c r="O51" s="177" t="s">
        <v>4959</v>
      </c>
      <c r="P51" s="45" t="s">
        <v>4960</v>
      </c>
      <c r="Q51" s="13"/>
      <c r="R51" s="162" t="s">
        <v>4961</v>
      </c>
      <c r="S51" s="178" t="s">
        <v>4962</v>
      </c>
      <c r="T51" s="44" t="s">
        <v>4963</v>
      </c>
      <c r="U51" s="44" t="s">
        <v>4964</v>
      </c>
      <c r="V51" s="34"/>
      <c r="W51" s="179"/>
      <c r="X51" s="58" t="s">
        <v>71</v>
      </c>
      <c r="Y51" s="59" t="s">
        <v>72</v>
      </c>
      <c r="Z51" s="48" t="s">
        <v>84</v>
      </c>
      <c r="AA51" s="85"/>
      <c r="AB51" s="15" t="str">
        <f>IFERROR(__xludf.DUMMYFUNCTION("join("","",filter(split($H$83,"",""),ARRAYFORMULA(ISERROR(FIND(split($H$83,"",""),CONCATENATE(E51:V51))))=TRUE))"),"СЗ,202,206,402,409,410")</f>
        <v>СЗ,202,206,402,409,410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4965</v>
      </c>
      <c r="F52" s="13"/>
      <c r="G52" s="44" t="s">
        <v>4966</v>
      </c>
      <c r="H52" s="44" t="s">
        <v>4967</v>
      </c>
      <c r="I52" s="44" t="s">
        <v>4968</v>
      </c>
      <c r="J52" s="45" t="s">
        <v>4969</v>
      </c>
      <c r="K52" s="13"/>
      <c r="L52" s="45" t="s">
        <v>4970</v>
      </c>
      <c r="M52" s="13"/>
      <c r="N52" s="86" t="s">
        <v>4971</v>
      </c>
      <c r="O52" s="13"/>
      <c r="P52" s="124"/>
      <c r="Q52" s="90" t="s">
        <v>4972</v>
      </c>
      <c r="R52" s="180" t="s">
        <v>4973</v>
      </c>
      <c r="S52" s="181" t="s">
        <v>4974</v>
      </c>
      <c r="T52" s="44" t="s">
        <v>4120</v>
      </c>
      <c r="U52" s="44"/>
      <c r="V52" s="34"/>
      <c r="W52" s="26"/>
      <c r="X52" s="42" t="s">
        <v>85</v>
      </c>
      <c r="Y52" s="42" t="s">
        <v>86</v>
      </c>
      <c r="Z52" s="48" t="s">
        <v>97</v>
      </c>
      <c r="AA52" s="85" t="str">
        <f>AA$9</f>
        <v/>
      </c>
      <c r="AB52" s="15" t="str">
        <f>IFERROR(__xludf.DUMMYFUNCTION("join("","",filter(split($H$83,"",""),ARRAYFORMULA(ISERROR(FIND(split($H$83,"",""),CONCATENATE(E52:V52))))=TRUE))"),"СЗ,202,206,402,410")</f>
        <v>СЗ,202,206,402,410</v>
      </c>
      <c r="AC52" s="14"/>
      <c r="AD52" s="14"/>
      <c r="AE52" s="14"/>
      <c r="AF52" s="29"/>
      <c r="AG52" s="29"/>
      <c r="AH52" s="29"/>
    </row>
    <row r="53" ht="51.75" customHeight="1">
      <c r="A53" s="30"/>
      <c r="B53" s="31">
        <v>8.0</v>
      </c>
      <c r="C53" s="32" t="s">
        <v>98</v>
      </c>
      <c r="D53" s="32" t="s">
        <v>99</v>
      </c>
      <c r="E53" s="44" t="s">
        <v>4975</v>
      </c>
      <c r="F53" s="44" t="s">
        <v>4976</v>
      </c>
      <c r="G53" s="416" t="s">
        <v>1913</v>
      </c>
      <c r="H53" s="86" t="s">
        <v>4977</v>
      </c>
      <c r="I53" s="13"/>
      <c r="J53" s="45" t="s">
        <v>4978</v>
      </c>
      <c r="K53" s="13"/>
      <c r="L53" s="45" t="s">
        <v>4979</v>
      </c>
      <c r="M53" s="13"/>
      <c r="N53" s="182"/>
      <c r="O53" s="177"/>
      <c r="P53" s="124"/>
      <c r="Q53" s="90" t="s">
        <v>4980</v>
      </c>
      <c r="R53" s="183"/>
      <c r="S53" s="181" t="s">
        <v>4981</v>
      </c>
      <c r="T53" s="144"/>
      <c r="U53" s="144"/>
      <c r="V53" s="184"/>
      <c r="W53" s="26"/>
      <c r="X53" s="42" t="s">
        <v>98</v>
      </c>
      <c r="Y53" s="42" t="s">
        <v>99</v>
      </c>
      <c r="Z53" s="11"/>
      <c r="AA53" s="14"/>
      <c r="AB53" s="15" t="str">
        <f>IFERROR(__xludf.DUMMYFUNCTION("join("","",filter(split($H$83,"",""),ARRAYFORMULA(ISERROR(FIND(split($H$83,"",""),CONCATENATE(E53:V53))))=TRUE))"),"СЗ,201,202,206,401,402,404,405,408,410")</f>
        <v>СЗ,201,202,206,401,402,404,405,408,410</v>
      </c>
      <c r="AC53" s="14"/>
      <c r="AD53" s="14"/>
      <c r="AE53" s="14"/>
      <c r="AF53" s="29"/>
      <c r="AG53" s="29"/>
      <c r="AH53" s="29"/>
    </row>
    <row r="54" ht="71.25" customHeight="1">
      <c r="A54" s="30"/>
      <c r="B54" s="31">
        <v>9.0</v>
      </c>
      <c r="C54" s="65">
        <v>44697.0</v>
      </c>
      <c r="D54" s="44" t="s">
        <v>109</v>
      </c>
      <c r="E54" s="187" t="s">
        <v>3274</v>
      </c>
      <c r="F54" s="8"/>
      <c r="G54" s="8"/>
      <c r="H54" s="8"/>
      <c r="I54" s="8"/>
      <c r="J54" s="8"/>
      <c r="K54" s="8"/>
      <c r="L54" s="8"/>
      <c r="M54" s="8"/>
      <c r="N54" s="163"/>
      <c r="O54" s="13"/>
      <c r="P54" s="187" t="s">
        <v>3274</v>
      </c>
      <c r="Q54" s="8"/>
      <c r="R54" s="8"/>
      <c r="S54" s="8"/>
      <c r="T54" s="8"/>
      <c r="U54" s="8"/>
      <c r="V54" s="8"/>
      <c r="W54" s="186"/>
      <c r="X54" s="69">
        <v>44697.0</v>
      </c>
      <c r="Y54" s="70" t="s">
        <v>109</v>
      </c>
      <c r="Z54" s="28"/>
      <c r="AA54" s="14"/>
      <c r="AB54" s="15" t="str">
        <f>IFERROR(__xludf.DUMMYFUNCTION("join("","",filter(split($H$83,"",""),ARRAYFORMULA(ISERROR(FIND(split($H$83,"",""),CONCATENATE(E54:V54))))=TRUE))"),"206,210,401,403,404,405,408,409,410,АЗ")</f>
        <v>206,210,401,403,404,405,408,409,410,АЗ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578">
        <v>44891.0</v>
      </c>
      <c r="B57" s="191">
        <v>1.0</v>
      </c>
      <c r="C57" s="192" t="str">
        <f>D$1</f>
        <v/>
      </c>
      <c r="D57" s="72"/>
      <c r="E57" s="193"/>
      <c r="F57" s="193"/>
      <c r="J57" s="195"/>
      <c r="K57" s="64"/>
      <c r="L57" s="64"/>
      <c r="M57" s="72"/>
      <c r="N57" s="193"/>
      <c r="O57" s="193"/>
      <c r="P57" s="259"/>
      <c r="Q57" s="259"/>
      <c r="R57" s="193"/>
      <c r="S57" s="193"/>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94" t="s">
        <v>4982</v>
      </c>
      <c r="H58" s="64"/>
      <c r="I58" s="72"/>
      <c r="J58" s="15"/>
      <c r="K58" s="15"/>
      <c r="L58" s="15"/>
      <c r="M58" s="15"/>
      <c r="N58" s="15"/>
      <c r="O58" s="15"/>
      <c r="P58" s="187" t="s">
        <v>482</v>
      </c>
      <c r="Q58" s="8"/>
      <c r="R58" s="8"/>
      <c r="S58" s="4"/>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04"/>
      <c r="Q59" s="64"/>
      <c r="R59" s="64"/>
      <c r="S59" s="72"/>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80">
    <mergeCell ref="R14:S14"/>
    <mergeCell ref="E15:F15"/>
    <mergeCell ref="G15:I15"/>
    <mergeCell ref="J15:K15"/>
    <mergeCell ref="L15:M15"/>
    <mergeCell ref="N15:O15"/>
    <mergeCell ref="P15:Q15"/>
    <mergeCell ref="N21:O21"/>
    <mergeCell ref="P21:Q21"/>
    <mergeCell ref="R21:S21"/>
    <mergeCell ref="N22:O22"/>
    <mergeCell ref="P22:S22"/>
    <mergeCell ref="N24:O24"/>
    <mergeCell ref="P24:S24"/>
    <mergeCell ref="C1:D1"/>
    <mergeCell ref="J1:M1"/>
    <mergeCell ref="N1:O1"/>
    <mergeCell ref="P1:Q1"/>
    <mergeCell ref="R1:S1"/>
    <mergeCell ref="A2:A12"/>
    <mergeCell ref="A13:A23"/>
    <mergeCell ref="H24:I24"/>
    <mergeCell ref="H25:I25"/>
    <mergeCell ref="J25:K25"/>
    <mergeCell ref="L25:M25"/>
    <mergeCell ref="N25:O25"/>
    <mergeCell ref="P25:Q25"/>
    <mergeCell ref="R25:S25"/>
    <mergeCell ref="J26:K26"/>
    <mergeCell ref="L26:M26"/>
    <mergeCell ref="N26:O26"/>
    <mergeCell ref="R26:S26"/>
    <mergeCell ref="G18:I18"/>
    <mergeCell ref="J18:K18"/>
    <mergeCell ref="L18:M18"/>
    <mergeCell ref="N18:O18"/>
    <mergeCell ref="E19:F19"/>
    <mergeCell ref="H19:I20"/>
    <mergeCell ref="E20:F20"/>
    <mergeCell ref="G29:H29"/>
    <mergeCell ref="J29:K29"/>
    <mergeCell ref="J19:K19"/>
    <mergeCell ref="L19:M19"/>
    <mergeCell ref="N19:O19"/>
    <mergeCell ref="P19:Q19"/>
    <mergeCell ref="J20:K20"/>
    <mergeCell ref="L20:M20"/>
    <mergeCell ref="L29:M29"/>
    <mergeCell ref="N29:O29"/>
    <mergeCell ref="L27:M27"/>
    <mergeCell ref="G28:H28"/>
    <mergeCell ref="J28:K28"/>
    <mergeCell ref="L28:M28"/>
    <mergeCell ref="E21:F22"/>
    <mergeCell ref="H21:M21"/>
    <mergeCell ref="H22:M22"/>
    <mergeCell ref="A24:A34"/>
    <mergeCell ref="E24:F24"/>
    <mergeCell ref="J24:M24"/>
    <mergeCell ref="E33:F33"/>
    <mergeCell ref="E26:F26"/>
    <mergeCell ref="G26:I26"/>
    <mergeCell ref="G27:H27"/>
    <mergeCell ref="J27:K27"/>
    <mergeCell ref="G30:H30"/>
    <mergeCell ref="J30:K30"/>
    <mergeCell ref="L30:M30"/>
    <mergeCell ref="J31:M31"/>
    <mergeCell ref="E32:F32"/>
    <mergeCell ref="J32:M32"/>
    <mergeCell ref="G33:Q34"/>
    <mergeCell ref="E34:F34"/>
    <mergeCell ref="N35:O35"/>
    <mergeCell ref="N36:O36"/>
    <mergeCell ref="N37:Q37"/>
    <mergeCell ref="H38:I38"/>
    <mergeCell ref="J38:K38"/>
    <mergeCell ref="N38:Q38"/>
    <mergeCell ref="L39:M39"/>
    <mergeCell ref="P39:Q39"/>
    <mergeCell ref="G31:I32"/>
    <mergeCell ref="H35:I35"/>
    <mergeCell ref="J35:K35"/>
    <mergeCell ref="H36:I36"/>
    <mergeCell ref="J36:K36"/>
    <mergeCell ref="H37:I37"/>
    <mergeCell ref="J37:K37"/>
    <mergeCell ref="H39:I39"/>
    <mergeCell ref="T1:V1"/>
    <mergeCell ref="X1:Y1"/>
    <mergeCell ref="J2:M2"/>
    <mergeCell ref="N2:O2"/>
    <mergeCell ref="P2:V2"/>
    <mergeCell ref="G3:I3"/>
    <mergeCell ref="J3:K3"/>
    <mergeCell ref="L3:M3"/>
    <mergeCell ref="N3:O3"/>
    <mergeCell ref="P3:V3"/>
    <mergeCell ref="J4:K4"/>
    <mergeCell ref="L4:M4"/>
    <mergeCell ref="N4:O4"/>
    <mergeCell ref="P4:Q4"/>
    <mergeCell ref="T4:V4"/>
    <mergeCell ref="H5:I5"/>
    <mergeCell ref="N5:O5"/>
    <mergeCell ref="T5:V5"/>
    <mergeCell ref="T6:V6"/>
    <mergeCell ref="U7:V7"/>
    <mergeCell ref="P5:Q5"/>
    <mergeCell ref="R5:S5"/>
    <mergeCell ref="H6:I6"/>
    <mergeCell ref="N6:O6"/>
    <mergeCell ref="P6:Q6"/>
    <mergeCell ref="R6:S6"/>
    <mergeCell ref="H7:I7"/>
    <mergeCell ref="J7:K7"/>
    <mergeCell ref="L7:M7"/>
    <mergeCell ref="N7:O7"/>
    <mergeCell ref="H8:I8"/>
    <mergeCell ref="J8:K8"/>
    <mergeCell ref="U14:V14"/>
    <mergeCell ref="T15:V15"/>
    <mergeCell ref="T16:V16"/>
    <mergeCell ref="T17:V17"/>
    <mergeCell ref="T18:V18"/>
    <mergeCell ref="T19:V19"/>
    <mergeCell ref="P7:Q7"/>
    <mergeCell ref="R7:S7"/>
    <mergeCell ref="U8:V8"/>
    <mergeCell ref="R9:V9"/>
    <mergeCell ref="S10:V10"/>
    <mergeCell ref="T11:V11"/>
    <mergeCell ref="U13:V13"/>
    <mergeCell ref="G1:I1"/>
    <mergeCell ref="E2:I2"/>
    <mergeCell ref="L8:M8"/>
    <mergeCell ref="N8:O8"/>
    <mergeCell ref="P8:Q8"/>
    <mergeCell ref="R8:S8"/>
    <mergeCell ref="H9:I9"/>
    <mergeCell ref="J9:K9"/>
    <mergeCell ref="L9:M9"/>
    <mergeCell ref="N9:O9"/>
    <mergeCell ref="E10:F10"/>
    <mergeCell ref="H10:I10"/>
    <mergeCell ref="J10:K10"/>
    <mergeCell ref="L10:M10"/>
    <mergeCell ref="E1:F1"/>
    <mergeCell ref="E13:F13"/>
    <mergeCell ref="H13:I13"/>
    <mergeCell ref="J13:K13"/>
    <mergeCell ref="L13:M13"/>
    <mergeCell ref="N13:O13"/>
    <mergeCell ref="P13:Q13"/>
    <mergeCell ref="R13:S13"/>
    <mergeCell ref="E14:F14"/>
    <mergeCell ref="H14:I14"/>
    <mergeCell ref="J14:K14"/>
    <mergeCell ref="L14:M14"/>
    <mergeCell ref="N14:O14"/>
    <mergeCell ref="P14:Q14"/>
    <mergeCell ref="N10:O10"/>
    <mergeCell ref="E11:S11"/>
    <mergeCell ref="E16:F16"/>
    <mergeCell ref="G16:I16"/>
    <mergeCell ref="J16:K16"/>
    <mergeCell ref="L16:M16"/>
    <mergeCell ref="N16:O16"/>
    <mergeCell ref="P16:Q16"/>
    <mergeCell ref="E17:F17"/>
    <mergeCell ref="G17:I17"/>
    <mergeCell ref="J17:K17"/>
    <mergeCell ref="L17:M17"/>
    <mergeCell ref="N17:O17"/>
    <mergeCell ref="E18:F18"/>
    <mergeCell ref="E39:F39"/>
    <mergeCell ref="E40:F40"/>
    <mergeCell ref="H40:I40"/>
    <mergeCell ref="H41:I41"/>
    <mergeCell ref="H42:I42"/>
    <mergeCell ref="H43:J43"/>
    <mergeCell ref="K43:L44"/>
    <mergeCell ref="H44:J44"/>
    <mergeCell ref="A35:A45"/>
    <mergeCell ref="A46:A56"/>
    <mergeCell ref="A57:A67"/>
    <mergeCell ref="E25:F25"/>
    <mergeCell ref="E31:F31"/>
    <mergeCell ref="E35:F35"/>
    <mergeCell ref="E36:F36"/>
    <mergeCell ref="E37:F37"/>
    <mergeCell ref="E38:F38"/>
    <mergeCell ref="E43:F44"/>
    <mergeCell ref="E41:F41"/>
    <mergeCell ref="E42:F42"/>
    <mergeCell ref="G43:G44"/>
    <mergeCell ref="G46:H46"/>
    <mergeCell ref="I46:I47"/>
    <mergeCell ref="J46:K46"/>
    <mergeCell ref="J47:K47"/>
    <mergeCell ref="E51:F51"/>
    <mergeCell ref="E52:F52"/>
    <mergeCell ref="C57:D57"/>
    <mergeCell ref="G47:H47"/>
    <mergeCell ref="E48:F48"/>
    <mergeCell ref="G48:H49"/>
    <mergeCell ref="E49:F49"/>
    <mergeCell ref="E50:F50"/>
    <mergeCell ref="J50:K50"/>
    <mergeCell ref="J51:K51"/>
    <mergeCell ref="K67:L67"/>
    <mergeCell ref="K68:L68"/>
    <mergeCell ref="J52:K52"/>
    <mergeCell ref="H53:I53"/>
    <mergeCell ref="J53:K53"/>
    <mergeCell ref="E54:M55"/>
    <mergeCell ref="J57:M57"/>
    <mergeCell ref="G58:I58"/>
    <mergeCell ref="K66:L66"/>
    <mergeCell ref="L52:M52"/>
    <mergeCell ref="L53:M53"/>
    <mergeCell ref="N54:O54"/>
    <mergeCell ref="P54:V55"/>
    <mergeCell ref="X57:Y57"/>
    <mergeCell ref="P58:S59"/>
    <mergeCell ref="N48:Q48"/>
    <mergeCell ref="N49:Q49"/>
    <mergeCell ref="L50:M50"/>
    <mergeCell ref="P50:Q50"/>
    <mergeCell ref="L51:M51"/>
    <mergeCell ref="P51:Q51"/>
    <mergeCell ref="N52:O52"/>
    <mergeCell ref="N20:O20"/>
    <mergeCell ref="P20:Q20"/>
    <mergeCell ref="T20:V20"/>
    <mergeCell ref="T21:V21"/>
    <mergeCell ref="T22:V22"/>
    <mergeCell ref="R23:V23"/>
    <mergeCell ref="T24:V24"/>
    <mergeCell ref="T28:V32"/>
    <mergeCell ref="T35:V35"/>
    <mergeCell ref="T36:V36"/>
    <mergeCell ref="T37:V37"/>
    <mergeCell ref="T38:V38"/>
    <mergeCell ref="T39:V39"/>
    <mergeCell ref="T40:V40"/>
    <mergeCell ref="T41:V41"/>
    <mergeCell ref="T25:V25"/>
    <mergeCell ref="T26:V26"/>
    <mergeCell ref="N27:O27"/>
    <mergeCell ref="P27:Q27"/>
    <mergeCell ref="T27:V27"/>
    <mergeCell ref="N28:O28"/>
    <mergeCell ref="N32:O32"/>
    <mergeCell ref="N30:O30"/>
    <mergeCell ref="N31:O31"/>
    <mergeCell ref="L40:M40"/>
    <mergeCell ref="P40:Q40"/>
    <mergeCell ref="L41:M41"/>
    <mergeCell ref="N41:O41"/>
    <mergeCell ref="P41:Q41"/>
    <mergeCell ref="L42:M42"/>
    <mergeCell ref="N42:O42"/>
    <mergeCell ref="P42:Q42"/>
    <mergeCell ref="R42:S42"/>
    <mergeCell ref="T42:V42"/>
    <mergeCell ref="P43:P44"/>
    <mergeCell ref="Q43:V44"/>
    <mergeCell ref="T46:V46"/>
    <mergeCell ref="T47:V47"/>
    <mergeCell ref="T48:V48"/>
    <mergeCell ref="T49:V49"/>
    <mergeCell ref="T50:V50"/>
    <mergeCell ref="N43:O43"/>
    <mergeCell ref="N44:O44"/>
    <mergeCell ref="L46:M46"/>
    <mergeCell ref="P46:Q46"/>
    <mergeCell ref="R46:S46"/>
    <mergeCell ref="L47:M47"/>
    <mergeCell ref="P47:Q47"/>
  </mergeCells>
  <conditionalFormatting sqref="E1:R86 S1:S29 T1:T86 U1:U31 AF28:AF31 S32:S86 V32:V34 U35:U86 V50:V52 W51">
    <cfRule type="containsText" dxfId="0" priority="1" operator="containsText" text="Физика">
      <formula>NOT(ISERROR(SEARCH(("Физика"),(E1))))</formula>
    </cfRule>
  </conditionalFormatting>
  <conditionalFormatting sqref="N52:O52 E54:W55">
    <cfRule type="containsText" dxfId="1" priority="2" operator="containsText" text="Шерашова">
      <formula>NOT(ISERROR(SEARCH(("Шерашова"),(N52))))</formula>
    </cfRule>
  </conditionalFormatting>
  <conditionalFormatting sqref="E2:R53 S2:S29 T2:T53 U2:U31 AF28:AF31 S32:S53 V32:V34 U35:U53 V50:V52 W51 P58 K61:L68">
    <cfRule type="containsText" dxfId="2" priority="3" operator="containsText" text="Шерашова">
      <formula>NOT(ISERROR(SEARCH(("Шерашова"),(E2))))</formula>
    </cfRule>
  </conditionalFormatting>
  <conditionalFormatting sqref="E2:R53 S2:S29 T2:T53 U2:U31 AF28:AF31 S32:S53 V32:V34 U35:U53 V50:V52 W51 P58 K61:L68">
    <cfRule type="containsText" dxfId="3" priority="4" operator="containsText" text="Англ">
      <formula>NOT(ISERROR(SEARCH(("Англ"),(E2))))</formula>
    </cfRule>
  </conditionalFormatting>
  <conditionalFormatting sqref="E2:R53 S2:S29 T2:T53 U2:U31 AF28:AF31 S32:S53 V32:V34 U35:U53 V50:V52 W51 P58 K61:L68">
    <cfRule type="containsText" dxfId="4" priority="5" operator="containsText" text="Театр">
      <formula>NOT(ISERROR(SEARCH(("Театр"),(E2))))</formula>
    </cfRule>
  </conditionalFormatting>
  <conditionalFormatting sqref="E2:R53 S2:S29 T2:T53 U2:U31 AF28:AF31 S32:S53 V32:V34 U35:U53 V50:V52 W51 P58 K61:L68">
    <cfRule type="containsText" dxfId="5" priority="6" operator="containsText" text="Колечкин">
      <formula>NOT(ISERROR(SEARCH(("Колечкин"),(E2))))</formula>
    </cfRule>
  </conditionalFormatting>
  <conditionalFormatting sqref="E2:G72 H2:H73 I2:R72 S2:S29 T2:W72 AF28:AF31 S32:S72">
    <cfRule type="containsText" dxfId="0" priority="7" operator="containsText" text="Репнев">
      <formula>NOT(ISERROR(SEARCH(("Репнев"),(E2))))</formula>
    </cfRule>
  </conditionalFormatting>
  <conditionalFormatting sqref="E2:G65 H2:H73 I2:J65 K2:L68 M2:R65 S2:S29 T2:W65 AF28:AF31 S32:S65">
    <cfRule type="containsText" dxfId="6" priority="8" operator="containsText" text="Рогацкина">
      <formula>NOT(ISERROR(SEARCH(("Рогацкина"),(E2))))</formula>
    </cfRule>
  </conditionalFormatting>
  <conditionalFormatting sqref="E2:G67 H2:H73 I2:J67 K2:L68 M2:R67 S2:S29 T2:W67 AF28:AF31 S32:S67">
    <cfRule type="containsText" dxfId="7" priority="9" operator="containsText" text="Белоусова">
      <formula>NOT(ISERROR(SEARCH(("Белоусова"),(E2))))</formula>
    </cfRule>
  </conditionalFormatting>
  <conditionalFormatting sqref="E2:G60 H2:H73 I2:J65 K2:L68 M2:M65 N2:R60 S2:S29 T2:W60 AF28:AF31 S32:S60">
    <cfRule type="containsText" dxfId="8" priority="10" operator="containsText" text="Караванова">
      <formula>NOT(ISERROR(SEARCH(("Караванова"),(E2))))</formula>
    </cfRule>
  </conditionalFormatting>
  <conditionalFormatting sqref="E2:G63 H2:H73 I2:J65 K2:L68 M2:M65 N2:R63 S2:S29 T2:W63 AF28:AF31 S32:S63">
    <cfRule type="containsText" dxfId="9" priority="11" operator="containsText" text="Дронзик">
      <formula>NOT(ISERROR(SEARCH(("Дронзик"),(E2))))</formula>
    </cfRule>
  </conditionalFormatting>
  <conditionalFormatting sqref="E2:G64 H2:H73 I2:J65 K2:L68 M2:M65 N2:R64 S2:S29 T2:W64 AF28:AF31 S32:S64">
    <cfRule type="containsText" dxfId="10" priority="12" operator="containsText" text="Старунова">
      <formula>NOT(ISERROR(SEARCH(("Старунова"),(E2))))</formula>
    </cfRule>
  </conditionalFormatting>
  <conditionalFormatting sqref="E2:G62 H2:H73 I2:J65 K2:L68 M2:M65 N2:R62 S2:S29 T2:W62 AF28:AF31 S32:S62">
    <cfRule type="containsText" dxfId="11" priority="13" operator="containsText" text="Харитонов">
      <formula>NOT(ISERROR(SEARCH(("Харитонов"),(E2))))</formula>
    </cfRule>
  </conditionalFormatting>
  <conditionalFormatting sqref="E2:G67 H2:H73 I2:J67 K2:L68 M2:R67 S2:S29 T2:W67 AF28:AF31 S32:S67">
    <cfRule type="containsText" dxfId="12" priority="14" operator="containsText" text="Хуснутдинов">
      <formula>NOT(ISERROR(SEARCH(("Хуснутдинов"),(E2))))</formula>
    </cfRule>
  </conditionalFormatting>
  <conditionalFormatting sqref="E2:G66 H2:H73 I2:J66 K2:L68 M2:R66 S2:S29 T2:W66 AF28:AF31 S32:S66">
    <cfRule type="containsText" dxfId="13" priority="15" operator="containsText" text="Решетников">
      <formula>NOT(ISERROR(SEARCH(("Решетников"),(E2))))</formula>
    </cfRule>
  </conditionalFormatting>
  <conditionalFormatting sqref="E2:G69 H2:H73 I2:R69 S2:S29 T2:W69 AF28:AF31 S32:S69">
    <cfRule type="containsText" dxfId="14" priority="16" operator="containsText" text="Заводов">
      <formula>NOT(ISERROR(SEARCH(("Заводов"),(E2))))</formula>
    </cfRule>
  </conditionalFormatting>
  <conditionalFormatting sqref="E1:G66 H1:H73 I1:J66 K1:L68 M1:R66 S1:S29 T1:W66 AF28:AF31 S32:S66">
    <cfRule type="containsText" dxfId="15" priority="17" operator="containsText" text="Абрамов">
      <formula>NOT(ISERROR(SEARCH(("Абрамов"),(E1))))</formula>
    </cfRule>
  </conditionalFormatting>
  <conditionalFormatting sqref="E2:G67 H2:H73 I2:J67 K2:L68 M2:R67 S2:S29 T2:W67 AF28:AF31 S32:S67">
    <cfRule type="containsText" dxfId="16" priority="18" operator="containsText" text="Климов">
      <formula>NOT(ISERROR(SEARCH(("Климов"),(E2))))</formula>
    </cfRule>
  </conditionalFormatting>
  <conditionalFormatting sqref="E2:G61 H2:H73 I2:J65 K2:L68 M2:M65 N2:R61 S2:S29 T2:W61 AF28:AF31 S32:S61">
    <cfRule type="containsText" dxfId="17" priority="19" operator="containsText" text="Клейменов">
      <formula>NOT(ISERROR(SEARCH(("Клейменов"),(E2))))</formula>
    </cfRule>
  </conditionalFormatting>
  <conditionalFormatting sqref="E2:G68 H2:H73 I2:R68 S2:S29 T2:W68 AF28:AF31 S32:S68">
    <cfRule type="containsText" dxfId="18" priority="20" operator="containsText" text="Попович">
      <formula>NOT(ISERROR(SEARCH(("Попович"),(E2))))</formula>
    </cfRule>
  </conditionalFormatting>
  <conditionalFormatting sqref="E2:G68 H2:H73 I2:R68 S2:S29 T2:W68 AF28:AF31 S32:S68">
    <cfRule type="containsText" dxfId="19" priority="21" operator="containsText" text="Исмаилов">
      <formula>NOT(ISERROR(SEARCH(("Исмаилов"),(E2))))</formula>
    </cfRule>
  </conditionalFormatting>
  <conditionalFormatting sqref="E2:E20 F2:F12 G2:I45 J2:K49 L2:Q45 R2:S6 T2:V8 S10:S29 T10:V45 R11:R46 F15:F17 F19:F20 E24:F30 AF28:AF31 E32:E53 F32:F45 S32 S35:S41 S43:S45 S47:S53 T47:T50 F48:F49 N48:N49 R49:R53 G50:H53 I50:I52 P50:P53 F52:F53 J52:J53 N52:N53 Q52:Q53 K53:M53 P58 K61:L68">
    <cfRule type="containsText" dxfId="20" priority="22" operator="containsText" text="Ларченко">
      <formula>NOT(ISERROR(SEARCH(("Ларченко"),(E2))))</formula>
    </cfRule>
  </conditionalFormatting>
  <conditionalFormatting sqref="E2:G65 H2:H73 I2:J65 K2:L68 M2:R65 S2:S29 T2:W65 AF28:AF31 S32:S65">
    <cfRule type="containsText" dxfId="21" priority="23" operator="containsText" text="Краснова">
      <formula>NOT(ISERROR(SEARCH(("Краснова"),(E2))))</formula>
    </cfRule>
  </conditionalFormatting>
  <conditionalFormatting sqref="E2:G65 H2:H73 I2:J65 K2:L68 M2:R65 S2:S29 T2:W65 AF28:AF31 S32:S65">
    <cfRule type="containsText" dxfId="22" priority="24" operator="containsText" text="Белоус">
      <formula>NOT(ISERROR(SEARCH(("Белоус"),(E2))))</formula>
    </cfRule>
  </conditionalFormatting>
  <conditionalFormatting sqref="E2:G65 H2:H73 I2:J65 K2:L68 M2:R65 S2:S29 T2:W65 AF28:AF31 S32:S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4">
      <formula1>IF(COUNTA(filter($E18:$W18,ARRAYFORMULA(ISERROR(FIND(join(",",filter(split($H$83,","),ARRAYFORMULA(ISERROR(FIND(split($H$83,","),R4)))=FALSE)),$E18:$W18))=FALSE)))&gt;1,FALSE,TRUE)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G17:G20 I29:I30 L50 J50:J51 R53">
      <formula1>IF(COUNTA(filter($E5:$W5,ARRAYFORMULA(ISERROR(FIND(join(",",filter(split($H$83,","),ARRAYFORMULA(ISERROR(FIND(split($H$83,","),G9)))=FALSE)),$E5:$W5))=FALSE)))&gt;1,FALSE,TRUE)</formula1>
    </dataValidation>
    <dataValidation type="custom" allowBlank="1" showDropDown="1" sqref="G31 Q31:Q32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9:N30 J52:J53 L52:L53 P58">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4">
      <formula1>IF(COUNTA(filter($E47:$W47,ARRAYFORMULA(ISERROR(FIND(join(",",filter(split($H$83,","),ARRAYFORMULA(ISERROR(FIND(split($H$83,","),T4)))=FALSE)),$E47:$W47))=FALSE)))&gt;1,FALSE,TRUE)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4:H24 G25 E26 F28 R27:S28 E29:E30 H35:H36 G37:G38 E48:E49 N52:N54">
      <formula1>IF(COUNTA(filter($E8:$W8,ARRAYFORMULA(ISERROR(FIND(join(",",filter(split($H$83,","),ARRAYFORMULA(ISERROR(FIND(split($H$83,","),E7)))=FALSE)),$E8:$W8))=FALSE)))&gt;1,FALSE,TRUE)</formula1>
    </dataValidation>
    <dataValidation type="custom" allowBlank="1" showDropDown="1" sqref="N2 G3 J2:J3 L4 P2:P4 G5:H6 K5:M6 T5:T6 L7:L8 P7:P8 T7:U8 G7:G9 H10 J9:J10 N9:N10 Q9:Q10 S10 W2:W10 E12:W12 E13:E14 H13:H14 L13:L14 G15:G16 E17:E18 S17:S18 H19 J15:J20 L17:L20 G21 R19:R21 T21 G22:H22 G23:R23 J24 P25 R25 Q26 E27:F27 P27 E28 I27:I28 Q28 T28 F29:G30 P29:Q30 J31:J32 W13:W32 R33:R34 T33:W34 G35:G36 L35:M36 P35:Q36 H37:H38 J37:J38 L37:N38 E37:E40 G39:G40 J39:K40 N39:P40 R37:S40 R41:T41 J41:L42 T42 E43 G41:H43 K43 Q43 H44 M43:N44 W35:W44 E45:W45 I46 F46:G47 L46:L47 N46:P47 G48 L48:M49 L51 N50:O51 I50:I52 P52 G53:H53 O53:P53 E54 P54 N55:O55 W46:W55 E56:W56 J57 N57:O57 R57:W57 E57:F58 J58:O58 E59:O60 T58: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P43">
      <formula1>IF(COUNTA(filter($E40:$W40,ARRAYFORMULA(ISERROR(FIND(join(",",filter(split($H$83,","),ARRAYFORMULA(ISERROR(FIND(split($H$83,","),P43)))=FALSE)),$E40:$W40))=FALSE)))&gt;1,FALSE,TRUE)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P32">
      <formula1>IF(COUNTA(filter($E40:$W40,ARRAYFORMULA(ISERROR(FIND(join(",",filter(split($H$83,","),ARRAYFORMULA(ISERROR(FIND(split($H$83,","),P31)))=FALSE)),$E40:$W40))=FALSE)))&gt;1,FALSE,TRUE)</formula1>
    </dataValidation>
    <dataValidation type="custom" allowBlank="1" showDropDown="1" sqref="S4">
      <formula1>IF(COUNTA(filter($E27:$W27,ARRAYFORMULA(ISERROR(FIND(join(",",filter(split($H$83,","),ARRAYFORMULA(ISERROR(FIND(split($H$83,","),S4)))=FALSE)),$E27:$W27))=FALSE)))&gt;1,FALSE,TRUE)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R29:R30 S32 R47:R48 T51:V52 G58">
      <formula1>IF(COUNTA(filter($E25:$W25,ARRAYFORMULA(ISERROR(FIND(join(",",filter(split($H$83,","),ARRAYFORMULA(ISERROR(FIND(split($H$83,","),G26)))=FALSE)),$E25:$W25))=FALSE)))&gt;1,FALSE,TRUE)</formula1>
    </dataValidation>
    <dataValidation type="custom" allowBlank="1" showDropDown="1" sqref="P13:P1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5" width="16.25"/>
    <col customWidth="1" min="6" max="6" width="18.13"/>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customHeight="1">
      <c r="A2" s="553">
        <v>44893.0</v>
      </c>
      <c r="B2" s="19">
        <v>1.0</v>
      </c>
      <c r="C2" s="20" t="s">
        <v>12</v>
      </c>
      <c r="D2" s="20" t="s">
        <v>13</v>
      </c>
      <c r="E2" s="21" t="s">
        <v>4983</v>
      </c>
      <c r="F2" s="22"/>
      <c r="G2" s="23" t="s">
        <v>4984</v>
      </c>
      <c r="H2" s="24"/>
      <c r="I2" s="25"/>
      <c r="J2" s="21" t="s">
        <v>4985</v>
      </c>
      <c r="K2" s="24"/>
      <c r="L2" s="24"/>
      <c r="M2" s="25"/>
      <c r="N2" s="21" t="s">
        <v>4986</v>
      </c>
      <c r="O2" s="25"/>
      <c r="P2" s="21" t="s">
        <v>4987</v>
      </c>
      <c r="Q2" s="25"/>
      <c r="R2" s="21" t="s">
        <v>4988</v>
      </c>
      <c r="S2" s="25"/>
      <c r="T2" s="21" t="s">
        <v>4989</v>
      </c>
      <c r="U2" s="24"/>
      <c r="V2" s="22"/>
      <c r="W2" s="26"/>
      <c r="X2" s="27" t="s">
        <v>12</v>
      </c>
      <c r="Y2" s="27" t="s">
        <v>13</v>
      </c>
      <c r="Z2" s="28"/>
      <c r="AA2" s="14"/>
      <c r="AB2" s="15"/>
      <c r="AC2" s="14"/>
      <c r="AD2" s="14"/>
      <c r="AE2" s="14"/>
      <c r="AF2" s="29"/>
      <c r="AG2" s="29"/>
      <c r="AH2" s="29"/>
    </row>
    <row r="3" ht="40.5" customHeight="1">
      <c r="A3" s="30"/>
      <c r="B3" s="31">
        <v>2.0</v>
      </c>
      <c r="C3" s="32" t="s">
        <v>21</v>
      </c>
      <c r="D3" s="32" t="s">
        <v>22</v>
      </c>
      <c r="E3" s="33" t="s">
        <v>4990</v>
      </c>
      <c r="F3" s="34" t="s">
        <v>4991</v>
      </c>
      <c r="G3" s="35" t="s">
        <v>25</v>
      </c>
      <c r="H3" s="36"/>
      <c r="I3" s="13"/>
      <c r="J3" s="37" t="s">
        <v>4992</v>
      </c>
      <c r="K3" s="13"/>
      <c r="L3" s="38" t="s">
        <v>4993</v>
      </c>
      <c r="M3" s="13"/>
      <c r="N3" s="37" t="s">
        <v>4994</v>
      </c>
      <c r="O3" s="13"/>
      <c r="P3" s="37" t="s">
        <v>4995</v>
      </c>
      <c r="Q3" s="13"/>
      <c r="R3" s="39" t="s">
        <v>4996</v>
      </c>
      <c r="S3" s="40" t="s">
        <v>4997</v>
      </c>
      <c r="T3" s="37" t="s">
        <v>4998</v>
      </c>
      <c r="U3" s="36"/>
      <c r="V3" s="41"/>
      <c r="W3" s="26"/>
      <c r="X3" s="42" t="s">
        <v>21</v>
      </c>
      <c r="Y3" s="42" t="s">
        <v>22</v>
      </c>
      <c r="Z3" s="28"/>
      <c r="AA3" s="14"/>
      <c r="AB3" s="15" t="str">
        <f>IFERROR(__xludf.DUMMYFUNCTION("join("","",filter(split($H$83,"",""),ARRAYFORMULA(ISERROR(FIND(split($H$83,"",""),CONCATENATE(E3:V3))))=TRUE))"),"201,206,404,405,406,410,АЗ")</f>
        <v>201,206,404,405,406,410,АЗ</v>
      </c>
      <c r="AC3" s="14"/>
      <c r="AD3" s="14"/>
      <c r="AE3" s="14"/>
      <c r="AF3" s="29"/>
      <c r="AG3" s="29"/>
      <c r="AH3" s="29"/>
    </row>
    <row r="4" ht="40.5" customHeight="1">
      <c r="A4" s="30"/>
      <c r="B4" s="31">
        <v>3.0</v>
      </c>
      <c r="C4" s="32" t="s">
        <v>33</v>
      </c>
      <c r="D4" s="32" t="s">
        <v>34</v>
      </c>
      <c r="E4" s="33" t="s">
        <v>4999</v>
      </c>
      <c r="F4" s="126" t="s">
        <v>5000</v>
      </c>
      <c r="G4" s="43" t="s">
        <v>5001</v>
      </c>
      <c r="H4" s="44" t="s">
        <v>5002</v>
      </c>
      <c r="I4" s="45" t="s">
        <v>5003</v>
      </c>
      <c r="J4" s="46" t="s">
        <v>5004</v>
      </c>
      <c r="K4" s="13"/>
      <c r="L4" s="45" t="s">
        <v>5005</v>
      </c>
      <c r="M4" s="13"/>
      <c r="N4" s="37" t="s">
        <v>5006</v>
      </c>
      <c r="O4" s="13"/>
      <c r="P4" s="37" t="s">
        <v>5007</v>
      </c>
      <c r="Q4" s="13"/>
      <c r="R4" s="39" t="s">
        <v>5008</v>
      </c>
      <c r="S4" s="40" t="s">
        <v>5009</v>
      </c>
      <c r="T4" s="37" t="s">
        <v>5010</v>
      </c>
      <c r="U4" s="36"/>
      <c r="V4" s="41"/>
      <c r="W4" s="26"/>
      <c r="X4" s="42" t="s">
        <v>33</v>
      </c>
      <c r="Y4" s="42" t="s">
        <v>34</v>
      </c>
      <c r="Z4" s="48" t="s">
        <v>47</v>
      </c>
      <c r="AA4" s="14"/>
      <c r="AB4" s="15" t="str">
        <f>IFERROR(__xludf.DUMMYFUNCTION("join("","",filter(split($H$83,"",""),ARRAYFORMULA(ISERROR(FIND(split($H$83,"",""),CONCATENATE(E4:V4))))=TRUE))"),"КЗ,201,206,404,406,АЗ")</f>
        <v>КЗ,201,206,404,406,АЗ</v>
      </c>
      <c r="AC4" s="14"/>
      <c r="AD4" s="14"/>
      <c r="AE4" s="14"/>
      <c r="AF4" s="29"/>
      <c r="AG4" s="29"/>
      <c r="AH4" s="29"/>
    </row>
    <row r="5" ht="40.5" customHeight="1">
      <c r="A5" s="30"/>
      <c r="B5" s="31">
        <v>4.0</v>
      </c>
      <c r="C5" s="32" t="s">
        <v>48</v>
      </c>
      <c r="D5" s="32" t="s">
        <v>49</v>
      </c>
      <c r="E5" s="33" t="s">
        <v>5011</v>
      </c>
      <c r="F5" s="126" t="s">
        <v>5012</v>
      </c>
      <c r="G5" s="43" t="s">
        <v>5013</v>
      </c>
      <c r="H5" s="45" t="s">
        <v>5014</v>
      </c>
      <c r="I5" s="13"/>
      <c r="J5" s="33" t="s">
        <v>5015</v>
      </c>
      <c r="K5" s="44" t="s">
        <v>5016</v>
      </c>
      <c r="L5" s="44" t="s">
        <v>5017</v>
      </c>
      <c r="M5" s="45" t="s">
        <v>5018</v>
      </c>
      <c r="N5" s="37" t="s">
        <v>5019</v>
      </c>
      <c r="O5" s="13"/>
      <c r="P5" s="37" t="s">
        <v>5020</v>
      </c>
      <c r="Q5" s="13"/>
      <c r="R5" s="51" t="s">
        <v>5021</v>
      </c>
      <c r="S5" s="13"/>
      <c r="T5" s="52" t="s">
        <v>5022</v>
      </c>
      <c r="U5" s="36"/>
      <c r="V5" s="41"/>
      <c r="W5" s="26"/>
      <c r="X5" s="42" t="s">
        <v>48</v>
      </c>
      <c r="Y5" s="42" t="s">
        <v>49</v>
      </c>
      <c r="Z5" s="48" t="s">
        <v>57</v>
      </c>
      <c r="AA5" s="14"/>
      <c r="AB5" s="15" t="str">
        <f>IFERROR(__xludf.DUMMYFUNCTION("join("","",filter(split($H$83,"",""),ARRAYFORMULA(ISERROR(FIND(split($H$83,"",""),CONCATENATE(E5:V5))))=TRUE))"),"СЗ,КЗ,206,401,406,408")</f>
        <v>СЗ,КЗ,206,401,406,408</v>
      </c>
      <c r="AC5" s="14"/>
      <c r="AD5" s="14"/>
      <c r="AE5" s="14"/>
      <c r="AF5" s="29"/>
      <c r="AG5" s="29"/>
      <c r="AH5" s="29"/>
    </row>
    <row r="6" ht="40.5" customHeight="1">
      <c r="A6" s="30"/>
      <c r="B6" s="31">
        <v>5.0</v>
      </c>
      <c r="C6" s="32" t="s">
        <v>58</v>
      </c>
      <c r="D6" s="53">
        <v>44847.0</v>
      </c>
      <c r="E6" s="316" t="s">
        <v>5023</v>
      </c>
      <c r="F6" s="34" t="s">
        <v>5024</v>
      </c>
      <c r="G6" s="43" t="s">
        <v>5025</v>
      </c>
      <c r="H6" s="45" t="s">
        <v>5026</v>
      </c>
      <c r="I6" s="13"/>
      <c r="J6" s="33" t="s">
        <v>5027</v>
      </c>
      <c r="K6" s="44" t="s">
        <v>5028</v>
      </c>
      <c r="L6" s="44" t="s">
        <v>5029</v>
      </c>
      <c r="M6" s="45" t="s">
        <v>5030</v>
      </c>
      <c r="N6" s="37" t="s">
        <v>5031</v>
      </c>
      <c r="O6" s="13"/>
      <c r="P6" s="37" t="s">
        <v>5032</v>
      </c>
      <c r="Q6" s="13"/>
      <c r="R6" s="51" t="s">
        <v>5033</v>
      </c>
      <c r="S6" s="13"/>
      <c r="T6" s="52" t="s">
        <v>5034</v>
      </c>
      <c r="U6" s="36"/>
      <c r="V6" s="41"/>
      <c r="W6" s="26"/>
      <c r="X6" s="42" t="s">
        <v>58</v>
      </c>
      <c r="Y6" s="54">
        <v>44847.0</v>
      </c>
      <c r="Z6" s="48" t="s">
        <v>70</v>
      </c>
      <c r="AA6" s="14"/>
      <c r="AB6" s="15" t="str">
        <f>IFERROR(__xludf.DUMMYFUNCTION("join("","",filter(split($H$83,"",""),ARRAYFORMULA(ISERROR(FIND(split($H$83,"",""),CONCATENATE(E6:V6))))=TRUE))"),"СЗ,КЗ,206,406,408,409")</f>
        <v>СЗ,КЗ,206,406,408,409</v>
      </c>
      <c r="AC6" s="14"/>
      <c r="AD6" s="14"/>
      <c r="AE6" s="14"/>
      <c r="AF6" s="29"/>
      <c r="AG6" s="29"/>
      <c r="AH6" s="29"/>
    </row>
    <row r="7" ht="42.0" customHeight="1">
      <c r="A7" s="30"/>
      <c r="B7" s="31">
        <v>6.0</v>
      </c>
      <c r="C7" s="55" t="s">
        <v>71</v>
      </c>
      <c r="D7" s="56" t="s">
        <v>72</v>
      </c>
      <c r="E7" s="316" t="s">
        <v>5035</v>
      </c>
      <c r="F7" s="34" t="s">
        <v>5036</v>
      </c>
      <c r="G7" s="43" t="s">
        <v>5037</v>
      </c>
      <c r="H7" s="45" t="s">
        <v>5038</v>
      </c>
      <c r="I7" s="13"/>
      <c r="J7" s="37" t="s">
        <v>5039</v>
      </c>
      <c r="K7" s="13"/>
      <c r="L7" s="45" t="s">
        <v>5040</v>
      </c>
      <c r="M7" s="13"/>
      <c r="N7" s="37" t="s">
        <v>5041</v>
      </c>
      <c r="O7" s="13"/>
      <c r="P7" s="37" t="s">
        <v>5042</v>
      </c>
      <c r="Q7" s="13"/>
      <c r="R7" s="57" t="s">
        <v>5043</v>
      </c>
      <c r="T7" s="33" t="s">
        <v>5044</v>
      </c>
      <c r="U7" s="45" t="s">
        <v>5045</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t="42.0" customHeight="1">
      <c r="A8" s="30"/>
      <c r="B8" s="31">
        <v>7.0</v>
      </c>
      <c r="C8" s="32" t="s">
        <v>85</v>
      </c>
      <c r="D8" s="32" t="s">
        <v>86</v>
      </c>
      <c r="E8" s="318" t="s">
        <v>5046</v>
      </c>
      <c r="F8" s="319" t="s">
        <v>5047</v>
      </c>
      <c r="G8" s="43" t="s">
        <v>5048</v>
      </c>
      <c r="H8" s="45" t="s">
        <v>5049</v>
      </c>
      <c r="I8" s="13"/>
      <c r="J8" s="37" t="s">
        <v>5050</v>
      </c>
      <c r="K8" s="13"/>
      <c r="L8" s="45" t="s">
        <v>5051</v>
      </c>
      <c r="M8" s="13"/>
      <c r="N8" s="37" t="s">
        <v>5052</v>
      </c>
      <c r="O8" s="13"/>
      <c r="P8" s="37" t="s">
        <v>5053</v>
      </c>
      <c r="Q8" s="13"/>
      <c r="R8" s="37" t="s">
        <v>5054</v>
      </c>
      <c r="S8" s="13"/>
      <c r="T8" s="43" t="s">
        <v>5055</v>
      </c>
      <c r="U8" s="45" t="s">
        <v>5056</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customHeight="1">
      <c r="A9" s="30"/>
      <c r="B9" s="31">
        <v>8.0</v>
      </c>
      <c r="C9" s="32" t="s">
        <v>98</v>
      </c>
      <c r="D9" s="32" t="s">
        <v>99</v>
      </c>
      <c r="E9" s="320" t="s">
        <v>5057</v>
      </c>
      <c r="F9" s="276" t="s">
        <v>5058</v>
      </c>
      <c r="G9" s="43" t="s">
        <v>5059</v>
      </c>
      <c r="H9" s="45" t="s">
        <v>5060</v>
      </c>
      <c r="I9" s="13"/>
      <c r="J9" s="37" t="s">
        <v>5061</v>
      </c>
      <c r="K9" s="13"/>
      <c r="L9" s="45" t="s">
        <v>5062</v>
      </c>
      <c r="M9" s="13"/>
      <c r="N9" s="61" t="s">
        <v>5063</v>
      </c>
      <c r="O9" s="13"/>
      <c r="P9" s="62" t="s">
        <v>5064</v>
      </c>
      <c r="Q9" s="45" t="s">
        <v>5065</v>
      </c>
      <c r="R9" s="63" t="s">
        <v>108</v>
      </c>
      <c r="S9" s="64"/>
      <c r="T9" s="64"/>
      <c r="U9" s="64"/>
      <c r="V9" s="64"/>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40.5" customHeight="1">
      <c r="A10" s="30"/>
      <c r="B10" s="31">
        <v>9.0</v>
      </c>
      <c r="C10" s="65">
        <v>44697.0</v>
      </c>
      <c r="D10" s="44" t="s">
        <v>109</v>
      </c>
      <c r="E10" s="66" t="s">
        <v>5066</v>
      </c>
      <c r="F10" s="67"/>
      <c r="G10" s="43" t="s">
        <v>5067</v>
      </c>
      <c r="H10" s="45" t="s">
        <v>5068</v>
      </c>
      <c r="I10" s="13"/>
      <c r="J10" s="37" t="s">
        <v>5069</v>
      </c>
      <c r="K10" s="13"/>
      <c r="L10" s="45" t="s">
        <v>5070</v>
      </c>
      <c r="M10" s="13"/>
      <c r="N10" s="61" t="s">
        <v>5071</v>
      </c>
      <c r="O10" s="13"/>
      <c r="P10" s="62" t="s">
        <v>5072</v>
      </c>
      <c r="Q10" s="45" t="s">
        <v>5073</v>
      </c>
      <c r="R10" s="37" t="s">
        <v>5074</v>
      </c>
      <c r="S10" s="68" t="s">
        <v>5075</v>
      </c>
      <c r="T10" s="36"/>
      <c r="U10" s="36"/>
      <c r="V10" s="41"/>
      <c r="W10" s="26"/>
      <c r="X10" s="69">
        <v>44697.0</v>
      </c>
      <c r="Y10" s="70" t="s">
        <v>109</v>
      </c>
      <c r="Z10" s="28"/>
      <c r="AA10" s="14"/>
      <c r="AB10" s="15" t="str">
        <f>IFERROR(__xludf.DUMMYFUNCTION("join("","",filter(split($H$83,"",""),ARRAYFORMULA(ISERROR(FIND(split($H$83,"",""),CONCATENATE(E10:V10))))=TRUE))"),"КЗ,206,210,403,405,406,408,409,АЗ")</f>
        <v>КЗ,206,210,403,405,406,408,409,АЗ</v>
      </c>
      <c r="AC10" s="14"/>
      <c r="AD10" s="14"/>
      <c r="AE10" s="14"/>
      <c r="AF10" s="29"/>
      <c r="AG10" s="29"/>
      <c r="AH10" s="29"/>
    </row>
    <row r="11" ht="49.5"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5076</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customHeight="1">
      <c r="A13" s="553">
        <v>44894.0</v>
      </c>
      <c r="B13" s="19">
        <v>1.0</v>
      </c>
      <c r="C13" s="20" t="s">
        <v>12</v>
      </c>
      <c r="D13" s="20" t="s">
        <v>13</v>
      </c>
      <c r="E13" s="80" t="s">
        <v>5077</v>
      </c>
      <c r="F13" s="25"/>
      <c r="G13" s="81" t="s">
        <v>5078</v>
      </c>
      <c r="H13" s="80" t="s">
        <v>5079</v>
      </c>
      <c r="I13" s="22"/>
      <c r="J13" s="23"/>
      <c r="K13" s="25"/>
      <c r="L13" s="80" t="s">
        <v>5080</v>
      </c>
      <c r="M13" s="25"/>
      <c r="N13" s="82" t="s">
        <v>5081</v>
      </c>
      <c r="O13" s="25"/>
      <c r="P13" s="21" t="s">
        <v>5082</v>
      </c>
      <c r="Q13" s="22"/>
      <c r="R13" s="23" t="s">
        <v>5083</v>
      </c>
      <c r="S13" s="22"/>
      <c r="T13" s="84" t="s">
        <v>5084</v>
      </c>
      <c r="U13" s="80" t="s">
        <v>5085</v>
      </c>
      <c r="V13" s="22"/>
      <c r="W13" s="26"/>
      <c r="X13" s="27" t="s">
        <v>12</v>
      </c>
      <c r="Y13" s="27" t="s">
        <v>13</v>
      </c>
      <c r="Z13" s="28"/>
      <c r="AA13" s="85"/>
      <c r="AB13" s="15" t="str">
        <f>IFERROR(__xludf.DUMMYFUNCTION("join("","",filter(split($H$83,"",""),ARRAYFORMULA(ISERROR(FIND(split($H$83,"",""),CONCATENATE(E13:V13))))=TRUE))"),"СЗ,КЗ,202,206,402,403,410,АЗ")</f>
        <v>СЗ,КЗ,202,206,402,403,410,АЗ</v>
      </c>
      <c r="AC13" s="14"/>
      <c r="AD13" s="14"/>
      <c r="AE13" s="14"/>
      <c r="AF13" s="29"/>
      <c r="AG13" s="29"/>
      <c r="AH13" s="29"/>
    </row>
    <row r="14" ht="40.5" customHeight="1">
      <c r="A14" s="30"/>
      <c r="B14" s="31">
        <v>2.0</v>
      </c>
      <c r="C14" s="32" t="s">
        <v>21</v>
      </c>
      <c r="D14" s="32" t="s">
        <v>22</v>
      </c>
      <c r="E14" s="45" t="s">
        <v>5086</v>
      </c>
      <c r="F14" s="13"/>
      <c r="G14" s="46" t="s">
        <v>5087</v>
      </c>
      <c r="H14" s="86" t="s">
        <v>5088</v>
      </c>
      <c r="I14" s="41"/>
      <c r="J14" s="35"/>
      <c r="K14" s="13"/>
      <c r="L14" s="45" t="s">
        <v>5089</v>
      </c>
      <c r="M14" s="13"/>
      <c r="N14" s="87" t="s">
        <v>5090</v>
      </c>
      <c r="O14" s="13"/>
      <c r="P14" s="37" t="s">
        <v>5091</v>
      </c>
      <c r="Q14" s="41"/>
      <c r="R14" s="35" t="s">
        <v>5092</v>
      </c>
      <c r="S14" s="41"/>
      <c r="T14" s="43" t="s">
        <v>5093</v>
      </c>
      <c r="U14" s="45" t="s">
        <v>5094</v>
      </c>
      <c r="V14" s="41"/>
      <c r="W14" s="26"/>
      <c r="X14" s="42" t="s">
        <v>21</v>
      </c>
      <c r="Y14" s="42" t="s">
        <v>22</v>
      </c>
      <c r="Z14" s="28"/>
      <c r="AA14" s="85"/>
      <c r="AB14" s="15" t="str">
        <f>IFERROR(__xludf.DUMMYFUNCTION("join("","",filter(split($H$83,"",""),ARRAYFORMULA(ISERROR(FIND(split($H$83,"",""),CONCATENATE(E14:V14))))=TRUE))"),"СЗ,КЗ,202,206,402,403,410,АЗ")</f>
        <v>СЗ,КЗ,202,206,402,403,410,АЗ</v>
      </c>
      <c r="AC14" s="14"/>
      <c r="AD14" s="14"/>
      <c r="AE14" s="14"/>
      <c r="AF14" s="29"/>
      <c r="AG14" s="29"/>
      <c r="AH14" s="29"/>
    </row>
    <row r="15" ht="40.5" customHeight="1">
      <c r="A15" s="30"/>
      <c r="B15" s="31">
        <v>3.0</v>
      </c>
      <c r="C15" s="32" t="s">
        <v>33</v>
      </c>
      <c r="D15" s="32" t="s">
        <v>34</v>
      </c>
      <c r="E15" s="40" t="s">
        <v>5095</v>
      </c>
      <c r="F15" s="13"/>
      <c r="G15" s="37" t="s">
        <v>5096</v>
      </c>
      <c r="H15" s="36"/>
      <c r="I15" s="41"/>
      <c r="J15" s="35" t="s">
        <v>5097</v>
      </c>
      <c r="K15" s="13"/>
      <c r="L15" s="45" t="s">
        <v>5098</v>
      </c>
      <c r="M15" s="13"/>
      <c r="N15" s="89" t="s">
        <v>5099</v>
      </c>
      <c r="O15" s="13"/>
      <c r="P15" s="37" t="s">
        <v>5100</v>
      </c>
      <c r="Q15" s="41"/>
      <c r="R15" s="43" t="s">
        <v>5101</v>
      </c>
      <c r="S15" s="34" t="s">
        <v>5102</v>
      </c>
      <c r="T15" s="91" t="s">
        <v>5103</v>
      </c>
      <c r="U15" s="36"/>
      <c r="V15" s="41"/>
      <c r="W15" s="26"/>
      <c r="X15" s="42" t="s">
        <v>33</v>
      </c>
      <c r="Y15" s="42" t="s">
        <v>34</v>
      </c>
      <c r="Z15" s="48" t="s">
        <v>47</v>
      </c>
      <c r="AA15" s="85" t="str">
        <f>AA$5</f>
        <v/>
      </c>
      <c r="AB15" s="15" t="str">
        <f>IFERROR(__xludf.DUMMYFUNCTION("join("","",filter(split($H$83,"",""),ARRAYFORMULA(ISERROR(FIND(split($H$83,"",""),CONCATENATE(E15:V15))))=TRUE))"),"КЗ,206,210,402,403,408,410,АЗ")</f>
        <v>КЗ,206,210,402,403,408,410,АЗ</v>
      </c>
      <c r="AC15" s="14"/>
      <c r="AD15" s="14"/>
      <c r="AE15" s="14"/>
      <c r="AF15" s="29"/>
      <c r="AG15" s="29"/>
      <c r="AH15" s="29"/>
    </row>
    <row r="16" ht="40.5" customHeight="1">
      <c r="A16" s="30"/>
      <c r="B16" s="31">
        <v>4.0</v>
      </c>
      <c r="C16" s="32" t="s">
        <v>48</v>
      </c>
      <c r="D16" s="32" t="s">
        <v>49</v>
      </c>
      <c r="E16" s="40" t="s">
        <v>5104</v>
      </c>
      <c r="F16" s="13"/>
      <c r="G16" s="37" t="s">
        <v>5105</v>
      </c>
      <c r="H16" s="36"/>
      <c r="I16" s="41"/>
      <c r="J16" s="35" t="s">
        <v>5106</v>
      </c>
      <c r="K16" s="13"/>
      <c r="L16" s="45" t="s">
        <v>5107</v>
      </c>
      <c r="M16" s="13"/>
      <c r="N16" s="89" t="s">
        <v>5108</v>
      </c>
      <c r="O16" s="13"/>
      <c r="P16" s="37" t="s">
        <v>160</v>
      </c>
      <c r="Q16" s="41"/>
      <c r="R16" s="43" t="s">
        <v>5109</v>
      </c>
      <c r="S16" s="34" t="s">
        <v>5110</v>
      </c>
      <c r="T16" s="91" t="s">
        <v>5111</v>
      </c>
      <c r="U16" s="36"/>
      <c r="V16" s="41"/>
      <c r="W16" s="26"/>
      <c r="X16" s="42" t="s">
        <v>48</v>
      </c>
      <c r="Y16" s="42" t="s">
        <v>49</v>
      </c>
      <c r="Z16" s="48" t="s">
        <v>57</v>
      </c>
      <c r="AA16" s="85" t="str">
        <f>AA$6</f>
        <v/>
      </c>
      <c r="AB16" s="15" t="str">
        <f>IFERROR(__xludf.DUMMYFUNCTION("join("","",filter(split($H$83,"",""),ARRAYFORMULA(ISERROR(FIND(split($H$83,"",""),CONCATENATE(E16:V16))))=TRUE))"),"КЗ,206,210,402,403,408,410,АЗ")</f>
        <v>КЗ,206,210,402,403,408,410,АЗ</v>
      </c>
      <c r="AC16" s="14"/>
      <c r="AD16" s="14"/>
      <c r="AE16" s="14"/>
      <c r="AF16" s="29"/>
      <c r="AG16" s="29"/>
      <c r="AH16" s="29"/>
    </row>
    <row r="17" ht="40.5" customHeight="1">
      <c r="A17" s="30"/>
      <c r="B17" s="31">
        <v>5.0</v>
      </c>
      <c r="C17" s="32" t="s">
        <v>58</v>
      </c>
      <c r="D17" s="53">
        <v>44847.0</v>
      </c>
      <c r="E17" s="94" t="s">
        <v>5112</v>
      </c>
      <c r="F17" s="13"/>
      <c r="G17" s="43" t="s">
        <v>5113</v>
      </c>
      <c r="H17" s="45" t="s">
        <v>5114</v>
      </c>
      <c r="I17" s="41"/>
      <c r="J17" s="35" t="s">
        <v>5115</v>
      </c>
      <c r="K17" s="13"/>
      <c r="L17" s="40" t="s">
        <v>5116</v>
      </c>
      <c r="M17" s="13"/>
      <c r="N17" s="45" t="s">
        <v>5117</v>
      </c>
      <c r="O17" s="13"/>
      <c r="P17" s="43" t="s">
        <v>5118</v>
      </c>
      <c r="Q17" s="34" t="s">
        <v>5119</v>
      </c>
      <c r="R17" s="326" t="s">
        <v>5120</v>
      </c>
      <c r="S17" s="92" t="s">
        <v>5121</v>
      </c>
      <c r="T17" s="93" t="s">
        <v>5122</v>
      </c>
      <c r="U17" s="36"/>
      <c r="V17" s="41"/>
      <c r="W17" s="26"/>
      <c r="X17" s="42" t="s">
        <v>58</v>
      </c>
      <c r="Y17" s="54">
        <v>44847.0</v>
      </c>
      <c r="Z17" s="48" t="s">
        <v>70</v>
      </c>
      <c r="AA17" s="85" t="str">
        <f>AA$7</f>
        <v/>
      </c>
      <c r="AB17" s="15" t="str">
        <f>IFERROR(__xludf.DUMMYFUNCTION("join("","",filter(split($H$83,"",""),ARRAYFORMULA(ISERROR(FIND(split($H$83,"",""),CONCATENATE(E17:V17))))=TRUE))"),"СЗ,206,402,403,410,АЗ")</f>
        <v>СЗ,206,402,403,410,АЗ</v>
      </c>
      <c r="AC17" s="14"/>
      <c r="AD17" s="14"/>
      <c r="AE17" s="14"/>
      <c r="AF17" s="29"/>
      <c r="AG17" s="29"/>
      <c r="AH17" s="29"/>
    </row>
    <row r="18" ht="40.5" customHeight="1">
      <c r="A18" s="30"/>
      <c r="B18" s="31">
        <v>6.0</v>
      </c>
      <c r="C18" s="55" t="s">
        <v>71</v>
      </c>
      <c r="D18" s="56" t="s">
        <v>72</v>
      </c>
      <c r="E18" s="94" t="s">
        <v>5123</v>
      </c>
      <c r="F18" s="13"/>
      <c r="G18" s="43" t="s">
        <v>5124</v>
      </c>
      <c r="H18" s="45" t="s">
        <v>5125</v>
      </c>
      <c r="I18" s="41"/>
      <c r="J18" s="35" t="s">
        <v>5126</v>
      </c>
      <c r="K18" s="13"/>
      <c r="L18" s="40" t="s">
        <v>5127</v>
      </c>
      <c r="M18" s="13"/>
      <c r="N18" s="45" t="s">
        <v>5128</v>
      </c>
      <c r="O18" s="13"/>
      <c r="P18" s="43" t="s">
        <v>5129</v>
      </c>
      <c r="Q18" s="34" t="s">
        <v>5130</v>
      </c>
      <c r="R18" s="326" t="s">
        <v>5131</v>
      </c>
      <c r="S18" s="92" t="s">
        <v>5132</v>
      </c>
      <c r="T18" s="93" t="s">
        <v>5133</v>
      </c>
      <c r="U18" s="36"/>
      <c r="V18" s="41"/>
      <c r="W18" s="26"/>
      <c r="X18" s="58" t="s">
        <v>71</v>
      </c>
      <c r="Y18" s="59" t="s">
        <v>72</v>
      </c>
      <c r="Z18" s="48" t="s">
        <v>84</v>
      </c>
      <c r="AA18" s="85" t="str">
        <f>AA$8</f>
        <v/>
      </c>
      <c r="AB18" s="15" t="str">
        <f>IFERROR(__xludf.DUMMYFUNCTION("join("","",filter(split($H$83,"",""),ARRAYFORMULA(ISERROR(FIND(split($H$83,"",""),CONCATENATE(E18:V18))))=TRUE))"),"СЗ,206,402,403,410,АЗ")</f>
        <v>СЗ,206,402,403,410,АЗ</v>
      </c>
      <c r="AC18" s="14"/>
      <c r="AD18" s="14"/>
      <c r="AE18" s="14"/>
      <c r="AF18" s="29"/>
      <c r="AG18" s="29"/>
      <c r="AH18" s="29"/>
    </row>
    <row r="19" ht="40.5" customHeight="1">
      <c r="A19" s="30"/>
      <c r="B19" s="31">
        <v>7.0</v>
      </c>
      <c r="C19" s="32" t="s">
        <v>85</v>
      </c>
      <c r="D19" s="32" t="s">
        <v>86</v>
      </c>
      <c r="E19" s="45" t="s">
        <v>5134</v>
      </c>
      <c r="F19" s="13"/>
      <c r="G19" s="43" t="s">
        <v>5135</v>
      </c>
      <c r="H19" s="45" t="s">
        <v>5136</v>
      </c>
      <c r="I19" s="41"/>
      <c r="J19" s="95" t="s">
        <v>5137</v>
      </c>
      <c r="K19" s="13"/>
      <c r="L19" s="45"/>
      <c r="M19" s="13"/>
      <c r="N19" s="45"/>
      <c r="O19" s="13"/>
      <c r="P19" s="37"/>
      <c r="Q19" s="41"/>
      <c r="R19" s="96" t="s">
        <v>5138</v>
      </c>
      <c r="S19" s="97" t="s">
        <v>5139</v>
      </c>
      <c r="T19" s="93" t="s">
        <v>5140</v>
      </c>
      <c r="U19" s="36"/>
      <c r="V19" s="41"/>
      <c r="W19" s="26"/>
      <c r="X19" s="42" t="s">
        <v>85</v>
      </c>
      <c r="Y19" s="42" t="s">
        <v>86</v>
      </c>
      <c r="Z19" s="48" t="s">
        <v>97</v>
      </c>
      <c r="AA19" s="85" t="str">
        <f>AA$9</f>
        <v/>
      </c>
      <c r="AB19" s="15" t="str">
        <f>IFERROR(__xludf.DUMMYFUNCTION("join("","",filter(split($H$83,"",""),ARRAYFORMULA(ISERROR(FIND(split($H$83,"",""),CONCATENATE(E19:V19))))=TRUE))"),"СЗ,201,206,402,403,404,405,408,410,АЗ")</f>
        <v>СЗ,201,206,402,403,404,405,408,410,АЗ</v>
      </c>
      <c r="AC19" s="14"/>
      <c r="AD19" s="14"/>
      <c r="AE19" s="14"/>
      <c r="AF19" s="29"/>
      <c r="AG19" s="29"/>
      <c r="AH19" s="29"/>
    </row>
    <row r="20" ht="40.5" customHeight="1">
      <c r="A20" s="30"/>
      <c r="B20" s="31">
        <v>8.0</v>
      </c>
      <c r="C20" s="32" t="s">
        <v>98</v>
      </c>
      <c r="D20" s="32" t="s">
        <v>99</v>
      </c>
      <c r="E20" s="45" t="s">
        <v>5141</v>
      </c>
      <c r="F20" s="13"/>
      <c r="G20" s="43" t="s">
        <v>5142</v>
      </c>
      <c r="H20" s="45" t="s">
        <v>5143</v>
      </c>
      <c r="I20" s="41"/>
      <c r="J20" s="95" t="s">
        <v>5144</v>
      </c>
      <c r="K20" s="13"/>
      <c r="L20" s="45"/>
      <c r="M20" s="13"/>
      <c r="N20" s="45"/>
      <c r="O20" s="13"/>
      <c r="P20" s="37"/>
      <c r="Q20" s="41"/>
      <c r="R20" s="96" t="s">
        <v>5145</v>
      </c>
      <c r="S20" s="97" t="s">
        <v>5146</v>
      </c>
      <c r="T20" s="93" t="s">
        <v>5147</v>
      </c>
      <c r="U20" s="36"/>
      <c r="V20" s="41"/>
      <c r="W20" s="26"/>
      <c r="X20" s="42" t="s">
        <v>98</v>
      </c>
      <c r="Y20" s="42" t="s">
        <v>99</v>
      </c>
      <c r="Z20" s="11"/>
      <c r="AA20" s="98"/>
      <c r="AB20" s="15" t="str">
        <f>IFERROR(__xludf.DUMMYFUNCTION("join("","",filter(split($H$83,"",""),ARRAYFORMULA(ISERROR(FIND(split($H$83,"",""),CONCATENATE(E20:V20))))=TRUE))"),"СЗ,201,206,402,403,404,405,408,410,АЗ")</f>
        <v>СЗ,201,206,402,403,404,405,408,410,АЗ</v>
      </c>
      <c r="AC20" s="14"/>
      <c r="AD20" s="14"/>
      <c r="AE20" s="14"/>
      <c r="AF20" s="29"/>
      <c r="AG20" s="29"/>
      <c r="AH20" s="29"/>
    </row>
    <row r="21" ht="40.5" customHeight="1">
      <c r="A21" s="30"/>
      <c r="B21" s="31">
        <v>9.0</v>
      </c>
      <c r="C21" s="65">
        <v>44697.0</v>
      </c>
      <c r="D21" s="44" t="s">
        <v>109</v>
      </c>
      <c r="E21" s="99" t="s">
        <v>206</v>
      </c>
      <c r="F21" s="4"/>
      <c r="G21" s="586" t="s">
        <v>5148</v>
      </c>
      <c r="H21" s="101" t="s">
        <v>208</v>
      </c>
      <c r="I21" s="36"/>
      <c r="J21" s="36"/>
      <c r="K21" s="36"/>
      <c r="L21" s="36"/>
      <c r="M21" s="13"/>
      <c r="N21" s="45"/>
      <c r="O21" s="13"/>
      <c r="P21" s="102"/>
      <c r="Q21" s="41"/>
      <c r="R21" s="35" t="s">
        <v>211</v>
      </c>
      <c r="S21" s="41"/>
      <c r="T21" s="103" t="s">
        <v>5149</v>
      </c>
      <c r="U21" s="36"/>
      <c r="V21" s="41"/>
      <c r="W21" s="26"/>
      <c r="X21" s="69">
        <v>44697.0</v>
      </c>
      <c r="Y21" s="70" t="s">
        <v>109</v>
      </c>
      <c r="Z21" s="28"/>
      <c r="AA21" s="98"/>
      <c r="AB21" s="15" t="str">
        <f>IFERROR(__xludf.DUMMYFUNCTION("join("","",filter(split($H$83,"",""),ARRAYFORMULA(ISERROR(FIND(split($H$83,"",""),CONCATENATE(E21:V21))))=TRUE))"),"201,206,209,210,401,402,403,404,405,406,408,АЗ")</f>
        <v>201,206,209,210,401,402,403,404,405,406,408,АЗ</v>
      </c>
      <c r="AC21" s="14"/>
      <c r="AD21" s="14"/>
      <c r="AE21" s="14"/>
      <c r="AF21" s="29"/>
      <c r="AG21" s="29"/>
      <c r="AH21" s="29"/>
    </row>
    <row r="22" ht="40.5" customHeight="1">
      <c r="A22" s="30"/>
      <c r="B22" s="31">
        <v>10.0</v>
      </c>
      <c r="C22" s="44" t="s">
        <v>120</v>
      </c>
      <c r="D22" s="44" t="s">
        <v>121</v>
      </c>
      <c r="E22" s="104"/>
      <c r="F22" s="72"/>
      <c r="G22" s="586" t="s">
        <v>5148</v>
      </c>
      <c r="H22" s="106" t="s">
        <v>3033</v>
      </c>
      <c r="I22" s="36"/>
      <c r="J22" s="36"/>
      <c r="K22" s="36"/>
      <c r="L22" s="36"/>
      <c r="M22" s="13"/>
      <c r="N22" s="45"/>
      <c r="O22" s="13"/>
      <c r="P22" s="101" t="s">
        <v>215</v>
      </c>
      <c r="Q22" s="36"/>
      <c r="R22" s="36"/>
      <c r="S22" s="13"/>
      <c r="T22" s="107" t="s">
        <v>5150</v>
      </c>
      <c r="U22" s="36"/>
      <c r="V22" s="41"/>
      <c r="W22" s="26"/>
      <c r="X22" s="70" t="s">
        <v>120</v>
      </c>
      <c r="Y22" s="70" t="s">
        <v>121</v>
      </c>
      <c r="Z22" s="28"/>
      <c r="AA22" s="98"/>
      <c r="AB22" s="15" t="str">
        <f>IFERROR(__xludf.DUMMYFUNCTION("join("","",filter(split($H$83,"",""),ARRAYFORMULA(ISERROR(FIND(split($H$83,"",""),CONCATENATE(E22:V22))))=TRUE))"),"201,206,209,210,401,402,403,404,405,406,408,409,АЗ")</f>
        <v>201,206,209,210,401,402,403,404,405,406,408,409,АЗ</v>
      </c>
      <c r="AC22" s="14"/>
      <c r="AD22" s="14"/>
      <c r="AE22" s="14"/>
      <c r="AF22" s="29"/>
      <c r="AG22" s="29"/>
      <c r="AH22" s="29"/>
    </row>
    <row r="23" ht="40.5" customHeight="1">
      <c r="A23" s="74"/>
      <c r="B23" s="75">
        <v>11.0</v>
      </c>
      <c r="C23" s="76" t="s">
        <v>124</v>
      </c>
      <c r="D23" s="76" t="s">
        <v>125</v>
      </c>
      <c r="E23" s="108"/>
      <c r="F23" s="109"/>
      <c r="G23" s="110"/>
      <c r="H23" s="111"/>
      <c r="I23" s="112"/>
      <c r="J23" s="113"/>
      <c r="K23" s="111"/>
      <c r="L23" s="111"/>
      <c r="M23" s="111"/>
      <c r="N23" s="111"/>
      <c r="O23" s="111"/>
      <c r="P23" s="111"/>
      <c r="Q23" s="111"/>
      <c r="R23" s="114" t="s">
        <v>5151</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68.25" customHeight="1">
      <c r="A24" s="553">
        <v>44895.0</v>
      </c>
      <c r="B24" s="435">
        <v>1.0</v>
      </c>
      <c r="C24" s="20" t="s">
        <v>12</v>
      </c>
      <c r="D24" s="587" t="s">
        <v>13</v>
      </c>
      <c r="E24" s="21" t="s">
        <v>5152</v>
      </c>
      <c r="F24" s="588" t="s">
        <v>5153</v>
      </c>
      <c r="G24" s="116" t="s">
        <v>5154</v>
      </c>
      <c r="H24" s="117" t="s">
        <v>5155</v>
      </c>
      <c r="I24" s="22"/>
      <c r="J24" s="118" t="s">
        <v>221</v>
      </c>
      <c r="K24" s="24"/>
      <c r="L24" s="24"/>
      <c r="M24" s="25"/>
      <c r="N24" s="80" t="s">
        <v>5156</v>
      </c>
      <c r="O24" s="25"/>
      <c r="P24" s="585" t="s">
        <v>5157</v>
      </c>
      <c r="Q24" s="24"/>
      <c r="R24" s="24"/>
      <c r="S24" s="22"/>
      <c r="T24" s="121" t="s">
        <v>5158</v>
      </c>
      <c r="U24" s="24"/>
      <c r="V24" s="22"/>
      <c r="W24" s="26"/>
      <c r="X24" s="27" t="s">
        <v>12</v>
      </c>
      <c r="Y24" s="27" t="s">
        <v>13</v>
      </c>
      <c r="Z24" s="28"/>
      <c r="AA24" s="14"/>
      <c r="AB24" s="15" t="str">
        <f>IFERROR(__xludf.DUMMYFUNCTION("join("","",filter(split($H$83,"",""),ARRAYFORMULA(ISERROR(FIND(split($H$83,"",""),CONCATENATE(E24:V24))))=TRUE))"),"СЗ,206,210,401,402,403,404,405,409,410,АЗ")</f>
        <v>СЗ,206,210,401,402,403,404,405,409,410,АЗ</v>
      </c>
      <c r="AC24" s="14"/>
      <c r="AD24" s="14"/>
      <c r="AE24" s="14"/>
      <c r="AF24" s="29"/>
      <c r="AG24" s="29"/>
      <c r="AH24" s="29"/>
    </row>
    <row r="25" ht="40.5" customHeight="1">
      <c r="A25" s="30"/>
      <c r="B25" s="436">
        <v>2.0</v>
      </c>
      <c r="C25" s="32" t="s">
        <v>21</v>
      </c>
      <c r="D25" s="32" t="s">
        <v>22</v>
      </c>
      <c r="E25" s="51" t="s">
        <v>5159</v>
      </c>
      <c r="F25" s="41"/>
      <c r="G25" s="39" t="s">
        <v>5160</v>
      </c>
      <c r="H25" s="89" t="s">
        <v>5161</v>
      </c>
      <c r="I25" s="41"/>
      <c r="J25" s="35" t="s">
        <v>5162</v>
      </c>
      <c r="K25" s="13"/>
      <c r="L25" s="40" t="s">
        <v>5163</v>
      </c>
      <c r="M25" s="13"/>
      <c r="N25" s="40" t="s">
        <v>5164</v>
      </c>
      <c r="O25" s="13"/>
      <c r="P25" s="37" t="s">
        <v>5165</v>
      </c>
      <c r="Q25" s="13"/>
      <c r="R25" s="122" t="s">
        <v>5166</v>
      </c>
      <c r="S25" s="41"/>
      <c r="T25" s="103" t="s">
        <v>5167</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customHeight="1">
      <c r="A26" s="30"/>
      <c r="B26" s="436">
        <v>3.0</v>
      </c>
      <c r="C26" s="32" t="s">
        <v>33</v>
      </c>
      <c r="D26" s="32" t="s">
        <v>34</v>
      </c>
      <c r="E26" s="37" t="s">
        <v>5168</v>
      </c>
      <c r="F26" s="41"/>
      <c r="G26" s="51" t="s">
        <v>5169</v>
      </c>
      <c r="H26" s="36"/>
      <c r="I26" s="41"/>
      <c r="J26" s="95" t="s">
        <v>5170</v>
      </c>
      <c r="K26" s="13"/>
      <c r="L26" s="123" t="s">
        <v>5171</v>
      </c>
      <c r="M26" s="41"/>
      <c r="N26" s="40" t="s">
        <v>5172</v>
      </c>
      <c r="O26" s="13"/>
      <c r="P26" s="39" t="s">
        <v>5173</v>
      </c>
      <c r="Q26" s="124" t="s">
        <v>5174</v>
      </c>
      <c r="R26" s="89" t="s">
        <v>5175</v>
      </c>
      <c r="S26" s="41"/>
      <c r="T26" s="125" t="s">
        <v>5176</v>
      </c>
      <c r="U26" s="36"/>
      <c r="V26" s="41"/>
      <c r="W26" s="26"/>
      <c r="X26" s="42" t="s">
        <v>33</v>
      </c>
      <c r="Y26" s="42" t="s">
        <v>34</v>
      </c>
      <c r="Z26" s="48" t="s">
        <v>47</v>
      </c>
      <c r="AA26" s="85" t="str">
        <f>AA$5</f>
        <v/>
      </c>
      <c r="AB26" s="15" t="str">
        <f>IFERROR(__xludf.DUMMYFUNCTION("join("","",filter(split($H$83,"",""),ARRAYFORMULA(ISERROR(FIND(split($H$83,"",""),CONCATENATE(E26:V26))))=TRUE))"),"СЗ,КЗ,206,210,403,404,405,408,410,АЗ")</f>
        <v>СЗ,КЗ,206,210,403,404,405,408,410,АЗ</v>
      </c>
      <c r="AC26" s="14"/>
      <c r="AD26" s="14"/>
      <c r="AE26" s="14"/>
      <c r="AF26" s="29"/>
      <c r="AG26" s="29"/>
      <c r="AH26" s="29"/>
    </row>
    <row r="27" ht="54.0" customHeight="1">
      <c r="A27" s="30"/>
      <c r="B27" s="436">
        <v>4.0</v>
      </c>
      <c r="C27" s="32" t="s">
        <v>48</v>
      </c>
      <c r="D27" s="32" t="s">
        <v>49</v>
      </c>
      <c r="E27" s="33" t="s">
        <v>5177</v>
      </c>
      <c r="F27" s="286" t="s">
        <v>5178</v>
      </c>
      <c r="G27" s="37" t="s">
        <v>5179</v>
      </c>
      <c r="H27" s="13"/>
      <c r="I27" s="92" t="s">
        <v>5180</v>
      </c>
      <c r="J27" s="107" t="s">
        <v>5181</v>
      </c>
      <c r="K27" s="13"/>
      <c r="L27" s="45" t="s">
        <v>5182</v>
      </c>
      <c r="M27" s="13"/>
      <c r="N27" s="127" t="s">
        <v>5183</v>
      </c>
      <c r="O27" s="13"/>
      <c r="P27" s="37" t="s">
        <v>5184</v>
      </c>
      <c r="Q27" s="13"/>
      <c r="R27" s="132" t="s">
        <v>5185</v>
      </c>
      <c r="S27" s="34" t="s">
        <v>5186</v>
      </c>
      <c r="T27" s="125" t="s">
        <v>5187</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D27" s="14"/>
      <c r="AE27" s="14"/>
      <c r="AF27" s="29"/>
      <c r="AG27" s="29"/>
      <c r="AH27" s="29"/>
    </row>
    <row r="28" ht="53.25" customHeight="1">
      <c r="A28" s="30"/>
      <c r="B28" s="436">
        <v>5.0</v>
      </c>
      <c r="C28" s="32" t="s">
        <v>58</v>
      </c>
      <c r="D28" s="53">
        <v>44847.0</v>
      </c>
      <c r="E28" s="33" t="s">
        <v>5188</v>
      </c>
      <c r="F28" s="92" t="s">
        <v>5189</v>
      </c>
      <c r="G28" s="37" t="s">
        <v>5190</v>
      </c>
      <c r="H28" s="13"/>
      <c r="I28" s="92" t="s">
        <v>5191</v>
      </c>
      <c r="J28" s="123" t="s">
        <v>5192</v>
      </c>
      <c r="K28" s="41"/>
      <c r="L28" s="45" t="s">
        <v>5193</v>
      </c>
      <c r="M28" s="13"/>
      <c r="N28" s="89" t="s">
        <v>5194</v>
      </c>
      <c r="O28" s="13"/>
      <c r="P28" s="39" t="s">
        <v>5195</v>
      </c>
      <c r="Q28" s="124" t="s">
        <v>5196</v>
      </c>
      <c r="R28" s="132" t="s">
        <v>5197</v>
      </c>
      <c r="S28" s="34" t="s">
        <v>5198</v>
      </c>
      <c r="T28" s="128" t="s">
        <v>5199</v>
      </c>
      <c r="U28" s="8"/>
      <c r="V28" s="129"/>
      <c r="W28" s="26"/>
      <c r="X28" s="42" t="s">
        <v>58</v>
      </c>
      <c r="Y28" s="54">
        <v>44847.0</v>
      </c>
      <c r="Z28" s="48" t="s">
        <v>70</v>
      </c>
      <c r="AA28" s="85" t="str">
        <f>AA$7</f>
        <v/>
      </c>
      <c r="AB28" s="15" t="str">
        <f>IFERROR(__xludf.DUMMYFUNCTION("join("","",filter(split($H$83,"",""),ARRAYFORMULA(ISERROR(FIND(split($H$83,"",""),CONCATENATE(E28:V28))))=TRUE))"),"СЗ,206,209,403,404,405,410")</f>
        <v>СЗ,206,209,403,404,405,410</v>
      </c>
      <c r="AC28" s="14"/>
      <c r="AD28" s="14"/>
      <c r="AE28" s="14"/>
      <c r="AF28" s="29"/>
      <c r="AG28" s="29"/>
      <c r="AH28" s="29"/>
    </row>
    <row r="29" ht="40.5" customHeight="1">
      <c r="A29" s="30"/>
      <c r="B29" s="436">
        <v>6.0</v>
      </c>
      <c r="C29" s="55" t="s">
        <v>71</v>
      </c>
      <c r="D29" s="56" t="s">
        <v>72</v>
      </c>
      <c r="E29" s="39" t="s">
        <v>5200</v>
      </c>
      <c r="F29" s="34" t="s">
        <v>5201</v>
      </c>
      <c r="G29" s="40" t="s">
        <v>5202</v>
      </c>
      <c r="H29" s="41"/>
      <c r="I29" s="34" t="s">
        <v>5203</v>
      </c>
      <c r="J29" s="123" t="s">
        <v>5204</v>
      </c>
      <c r="K29" s="41"/>
      <c r="L29" s="89" t="s">
        <v>5205</v>
      </c>
      <c r="M29" s="13"/>
      <c r="N29" s="130" t="s">
        <v>5206</v>
      </c>
      <c r="O29" s="13"/>
      <c r="P29" s="131" t="s">
        <v>5207</v>
      </c>
      <c r="Q29" s="132" t="s">
        <v>5208</v>
      </c>
      <c r="R29" s="437"/>
      <c r="S29" s="92" t="s">
        <v>5209</v>
      </c>
      <c r="V29" s="134"/>
      <c r="W29" s="26"/>
      <c r="X29" s="58" t="s">
        <v>71</v>
      </c>
      <c r="Y29" s="59" t="s">
        <v>72</v>
      </c>
      <c r="Z29" s="48" t="s">
        <v>84</v>
      </c>
      <c r="AA29" s="85" t="str">
        <f>AA$8</f>
        <v/>
      </c>
      <c r="AB29" s="15" t="str">
        <f>IFERROR(__xludf.DUMMYFUNCTION("join("","",filter(split($H$83,"",""),ARRAYFORMULA(ISERROR(FIND(split($H$83,"",""),CONCATENATE(E29:V29))))=TRUE))"),"СЗ,КЗ,201,206,403,404,405,410,АЗ")</f>
        <v>СЗ,КЗ,201,206,403,404,405,410,АЗ</v>
      </c>
      <c r="AC29" s="14"/>
      <c r="AD29" s="14"/>
      <c r="AE29" s="14"/>
      <c r="AF29" s="29"/>
      <c r="AG29" s="29"/>
      <c r="AH29" s="29"/>
    </row>
    <row r="30" ht="40.5" customHeight="1">
      <c r="A30" s="30"/>
      <c r="B30" s="436">
        <v>7.0</v>
      </c>
      <c r="C30" s="32" t="s">
        <v>85</v>
      </c>
      <c r="D30" s="32" t="s">
        <v>86</v>
      </c>
      <c r="E30" s="39" t="s">
        <v>5210</v>
      </c>
      <c r="F30" s="34" t="s">
        <v>5211</v>
      </c>
      <c r="G30" s="40" t="s">
        <v>5212</v>
      </c>
      <c r="H30" s="41"/>
      <c r="I30" s="34" t="s">
        <v>5213</v>
      </c>
      <c r="J30" s="35" t="s">
        <v>5214</v>
      </c>
      <c r="K30" s="13"/>
      <c r="L30" s="123" t="s">
        <v>5215</v>
      </c>
      <c r="M30" s="41"/>
      <c r="N30" s="130" t="s">
        <v>5216</v>
      </c>
      <c r="O30" s="13"/>
      <c r="P30" s="131" t="s">
        <v>5217</v>
      </c>
      <c r="Q30" s="132" t="s">
        <v>5218</v>
      </c>
      <c r="R30" s="173"/>
      <c r="S30" s="92" t="s">
        <v>5219</v>
      </c>
      <c r="V30" s="134"/>
      <c r="W30" s="26"/>
      <c r="X30" s="42" t="s">
        <v>85</v>
      </c>
      <c r="Y30" s="42" t="s">
        <v>86</v>
      </c>
      <c r="Z30" s="48" t="s">
        <v>97</v>
      </c>
      <c r="AA30" s="85" t="str">
        <f>AA$9</f>
        <v/>
      </c>
      <c r="AB30" s="15" t="str">
        <f>IFERROR(__xludf.DUMMYFUNCTION("join("","",filter(split($H$83,"",""),ARRAYFORMULA(ISERROR(FIND(split($H$83,"",""),CONCATENATE(E30:V30))))=TRUE))"),"СЗ,КЗ,206,403,404,405,409,410,АЗ")</f>
        <v>СЗ,КЗ,206,403,404,405,409,410,АЗ</v>
      </c>
      <c r="AC30" s="14"/>
      <c r="AD30" s="14"/>
      <c r="AE30" s="14"/>
      <c r="AF30" s="29"/>
      <c r="AG30" s="29"/>
      <c r="AH30" s="29"/>
    </row>
    <row r="31" ht="52.5" customHeight="1">
      <c r="A31" s="30"/>
      <c r="B31" s="436">
        <v>8.0</v>
      </c>
      <c r="C31" s="32" t="s">
        <v>98</v>
      </c>
      <c r="D31" s="32" t="s">
        <v>99</v>
      </c>
      <c r="E31" s="46" t="s">
        <v>5220</v>
      </c>
      <c r="F31" s="41"/>
      <c r="G31" s="137" t="s">
        <v>5221</v>
      </c>
      <c r="H31" s="8"/>
      <c r="I31" s="129"/>
      <c r="J31" s="334"/>
      <c r="K31" s="36"/>
      <c r="L31" s="36"/>
      <c r="M31" s="13"/>
      <c r="N31" s="45"/>
      <c r="O31" s="13"/>
      <c r="P31" s="33" t="s">
        <v>5222</v>
      </c>
      <c r="Q31" s="408" t="s">
        <v>5223</v>
      </c>
      <c r="R31" s="144"/>
      <c r="S31" s="133" t="s">
        <v>276</v>
      </c>
      <c r="V31" s="134"/>
      <c r="W31" s="26"/>
      <c r="X31" s="42" t="s">
        <v>98</v>
      </c>
      <c r="Y31" s="42" t="s">
        <v>99</v>
      </c>
      <c r="Z31" s="11"/>
      <c r="AA31" s="14"/>
      <c r="AB31" s="15" t="str">
        <f>IFERROR(__xludf.DUMMYFUNCTION("join("","",filter(split($H$83,"",""),ARRAYFORMULA(ISERROR(FIND(split($H$83,"",""),CONCATENATE(E31:V31))))=TRUE))"),"СЗ,КЗ,201,202,206,209,401,403,404,405,406,408,409,АЗ")</f>
        <v>СЗ,КЗ,201,202,206,209,401,403,404,405,406,408,409,АЗ</v>
      </c>
      <c r="AC31" s="14"/>
      <c r="AD31" s="14"/>
      <c r="AE31" s="14"/>
      <c r="AF31" s="29"/>
      <c r="AG31" s="29"/>
      <c r="AH31" s="29"/>
    </row>
    <row r="32" ht="57.0" customHeight="1">
      <c r="A32" s="30"/>
      <c r="B32" s="436">
        <v>9.0</v>
      </c>
      <c r="C32" s="65">
        <v>44697.0</v>
      </c>
      <c r="D32" s="44" t="s">
        <v>109</v>
      </c>
      <c r="E32" s="141" t="s">
        <v>5224</v>
      </c>
      <c r="F32" s="13"/>
      <c r="G32" s="142"/>
      <c r="H32" s="64"/>
      <c r="I32" s="88"/>
      <c r="J32" s="334"/>
      <c r="K32" s="36"/>
      <c r="L32" s="36"/>
      <c r="M32" s="13"/>
      <c r="N32" s="45"/>
      <c r="O32" s="13"/>
      <c r="P32" s="33" t="s">
        <v>5225</v>
      </c>
      <c r="Q32" s="408" t="s">
        <v>5226</v>
      </c>
      <c r="R32" s="144"/>
      <c r="S32" s="92"/>
      <c r="T32" s="64"/>
      <c r="U32" s="64"/>
      <c r="V32" s="88"/>
      <c r="W32" s="26"/>
      <c r="X32" s="69">
        <v>44697.0</v>
      </c>
      <c r="Y32" s="70" t="s">
        <v>109</v>
      </c>
      <c r="Z32" s="28"/>
      <c r="AA32" s="14"/>
      <c r="AB32" s="15" t="str">
        <f>IFERROR(__xludf.DUMMYFUNCTION("join("","",filter(split($H$83,"",""),ARRAYFORMULA(ISERROR(FIND(split($H$83,"",""),CONCATENATE(E32:V32))))=TRUE))"),"СЗ,КЗ,201,202,206,209,401,402,403,404,405,406,408,409,АЗ")</f>
        <v>СЗ,КЗ,201,202,206,209,401,402,403,404,405,406,408,409,АЗ</v>
      </c>
      <c r="AC32" s="14"/>
      <c r="AD32" s="14"/>
      <c r="AE32" s="14"/>
      <c r="AF32" s="29"/>
      <c r="AG32" s="29"/>
      <c r="AH32" s="29"/>
    </row>
    <row r="33" ht="40.5" customHeight="1">
      <c r="A33" s="30"/>
      <c r="B33" s="436">
        <v>10.0</v>
      </c>
      <c r="C33" s="44" t="s">
        <v>120</v>
      </c>
      <c r="D33" s="44" t="s">
        <v>121</v>
      </c>
      <c r="E33" s="141" t="s">
        <v>5227</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customHeight="1">
      <c r="A34" s="74"/>
      <c r="B34" s="438">
        <v>11.0</v>
      </c>
      <c r="C34" s="76" t="s">
        <v>124</v>
      </c>
      <c r="D34" s="76" t="s">
        <v>125</v>
      </c>
      <c r="E34" s="141" t="s">
        <v>5228</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customHeight="1">
      <c r="A35" s="553">
        <v>44896.0</v>
      </c>
      <c r="B35" s="19">
        <v>1.0</v>
      </c>
      <c r="C35" s="20" t="s">
        <v>12</v>
      </c>
      <c r="D35" s="20" t="s">
        <v>13</v>
      </c>
      <c r="E35" s="80"/>
      <c r="F35" s="25"/>
      <c r="G35" s="156" t="s">
        <v>5229</v>
      </c>
      <c r="H35" s="117" t="s">
        <v>5230</v>
      </c>
      <c r="I35" s="25"/>
      <c r="J35" s="157" t="s">
        <v>5231</v>
      </c>
      <c r="K35" s="13"/>
      <c r="L35" s="156" t="s">
        <v>5232</v>
      </c>
      <c r="M35" s="156" t="s">
        <v>5233</v>
      </c>
      <c r="N35" s="80" t="s">
        <v>5234</v>
      </c>
      <c r="O35" s="25"/>
      <c r="P35" s="156"/>
      <c r="Q35" s="156" t="s">
        <v>5235</v>
      </c>
      <c r="R35" s="159" t="s">
        <v>5236</v>
      </c>
      <c r="S35" s="160" t="s">
        <v>5237</v>
      </c>
      <c r="T35" s="161"/>
      <c r="U35" s="24"/>
      <c r="V35" s="22"/>
      <c r="W35" s="26"/>
      <c r="X35" s="27" t="s">
        <v>12</v>
      </c>
      <c r="Y35" s="27" t="s">
        <v>13</v>
      </c>
      <c r="Z35" s="28"/>
      <c r="AA35" s="14"/>
      <c r="AB35" s="15" t="str">
        <f>IFERROR(__xludf.DUMMYFUNCTION("join("","",filter(split($H$83,"",""),ARRAYFORMULA(ISERROR(FIND(split($H$83,"",""),CONCATENATE(E35:V35))))=TRUE))"),"СЗ,201,206,209,405,406,410,АЗ")</f>
        <v>СЗ,201,206,209,405,406,410,АЗ</v>
      </c>
      <c r="AC35" s="14"/>
      <c r="AD35" s="14"/>
      <c r="AE35" s="14"/>
      <c r="AF35" s="29"/>
      <c r="AG35" s="29"/>
      <c r="AH35" s="29"/>
    </row>
    <row r="36" ht="54.0" customHeight="1">
      <c r="A36" s="30"/>
      <c r="B36" s="31">
        <v>2.0</v>
      </c>
      <c r="C36" s="32" t="s">
        <v>21</v>
      </c>
      <c r="D36" s="32" t="s">
        <v>22</v>
      </c>
      <c r="E36" s="45" t="s">
        <v>5238</v>
      </c>
      <c r="F36" s="13"/>
      <c r="G36" s="44" t="s">
        <v>5239</v>
      </c>
      <c r="H36" s="40" t="s">
        <v>312</v>
      </c>
      <c r="I36" s="13"/>
      <c r="J36" s="157" t="s">
        <v>313</v>
      </c>
      <c r="K36" s="13"/>
      <c r="L36" s="44" t="s">
        <v>5240</v>
      </c>
      <c r="M36" s="44" t="s">
        <v>5241</v>
      </c>
      <c r="N36" s="45" t="s">
        <v>316</v>
      </c>
      <c r="O36" s="13"/>
      <c r="P36" s="44"/>
      <c r="Q36" s="44" t="s">
        <v>5242</v>
      </c>
      <c r="R36" s="162" t="s">
        <v>5243</v>
      </c>
      <c r="S36" s="90" t="s">
        <v>320</v>
      </c>
      <c r="T36" s="163"/>
      <c r="U36" s="36"/>
      <c r="V36" s="41"/>
      <c r="W36" s="26"/>
      <c r="X36" s="42" t="s">
        <v>21</v>
      </c>
      <c r="Y36" s="42" t="s">
        <v>22</v>
      </c>
      <c r="Z36" s="28"/>
      <c r="AA36" s="14"/>
      <c r="AB36" s="15" t="str">
        <f>IFERROR(__xludf.DUMMYFUNCTION("join("","",filter(split($H$83,"",""),ARRAYFORMULA(ISERROR(FIND(split($H$83,"",""),CONCATENATE(E36:V36))))=TRUE))"),"СЗ,206,209,405,406,410,АЗ")</f>
        <v>СЗ,206,209,405,406,410,АЗ</v>
      </c>
      <c r="AC36" s="14"/>
      <c r="AD36" s="14"/>
      <c r="AE36" s="14"/>
      <c r="AF36" s="29"/>
      <c r="AG36" s="29"/>
      <c r="AH36" s="29"/>
    </row>
    <row r="37" ht="64.5" customHeight="1">
      <c r="A37" s="30"/>
      <c r="B37" s="31">
        <v>3.0</v>
      </c>
      <c r="C37" s="32" t="s">
        <v>33</v>
      </c>
      <c r="D37" s="32" t="s">
        <v>34</v>
      </c>
      <c r="E37" s="45" t="s">
        <v>5244</v>
      </c>
      <c r="F37" s="13"/>
      <c r="G37" s="132" t="s">
        <v>5245</v>
      </c>
      <c r="H37" s="45" t="s">
        <v>5246</v>
      </c>
      <c r="I37" s="13"/>
      <c r="J37" s="45" t="s">
        <v>5247</v>
      </c>
      <c r="K37" s="13"/>
      <c r="L37" s="44" t="s">
        <v>5248</v>
      </c>
      <c r="M37" s="44" t="s">
        <v>5249</v>
      </c>
      <c r="N37" s="164" t="s">
        <v>5250</v>
      </c>
      <c r="O37" s="36"/>
      <c r="P37" s="36"/>
      <c r="Q37" s="13"/>
      <c r="R37" s="581" t="s">
        <v>5251</v>
      </c>
      <c r="S37" s="13"/>
      <c r="T37" s="87" t="s">
        <v>5252</v>
      </c>
      <c r="U37" s="36"/>
      <c r="V37" s="41"/>
      <c r="W37" s="26"/>
      <c r="X37" s="42" t="s">
        <v>33</v>
      </c>
      <c r="Y37" s="42" t="s">
        <v>34</v>
      </c>
      <c r="Z37" s="48" t="s">
        <v>47</v>
      </c>
      <c r="AA37" s="85" t="str">
        <f>AA$5</f>
        <v/>
      </c>
      <c r="AB37" s="15" t="str">
        <f>IFERROR(__xludf.DUMMYFUNCTION("join("","",filter(split($H$83,"",""),ARRAYFORMULA(ISERROR(FIND(split($H$83,"",""),CONCATENATE(E37:V37))))=TRUE))"),"КЗ,206,404,405,410,АЗ")</f>
        <v>КЗ,206,404,405,410,АЗ</v>
      </c>
      <c r="AC37" s="14"/>
      <c r="AD37" s="14"/>
      <c r="AE37" s="14"/>
      <c r="AF37" s="29"/>
      <c r="AG37" s="29"/>
      <c r="AH37" s="29"/>
    </row>
    <row r="38" ht="51.75" customHeight="1">
      <c r="A38" s="30"/>
      <c r="B38" s="31">
        <v>4.0</v>
      </c>
      <c r="C38" s="32" t="s">
        <v>48</v>
      </c>
      <c r="D38" s="32" t="s">
        <v>49</v>
      </c>
      <c r="E38" s="45" t="s">
        <v>5253</v>
      </c>
      <c r="F38" s="13"/>
      <c r="G38" s="132" t="s">
        <v>312</v>
      </c>
      <c r="H38" s="45" t="s">
        <v>5254</v>
      </c>
      <c r="I38" s="13"/>
      <c r="J38" s="45" t="s">
        <v>5255</v>
      </c>
      <c r="K38" s="13"/>
      <c r="L38" s="44" t="s">
        <v>5256</v>
      </c>
      <c r="M38" s="44" t="s">
        <v>5257</v>
      </c>
      <c r="N38" s="164" t="s">
        <v>5258</v>
      </c>
      <c r="O38" s="36"/>
      <c r="P38" s="36"/>
      <c r="Q38" s="13"/>
      <c r="R38" s="44" t="s">
        <v>5259</v>
      </c>
      <c r="S38" s="44" t="s">
        <v>5260</v>
      </c>
      <c r="T38" s="87" t="s">
        <v>5261</v>
      </c>
      <c r="U38" s="36"/>
      <c r="V38" s="41"/>
      <c r="W38" s="26"/>
      <c r="X38" s="42" t="s">
        <v>48</v>
      </c>
      <c r="Y38" s="42" t="s">
        <v>49</v>
      </c>
      <c r="Z38" s="48" t="s">
        <v>57</v>
      </c>
      <c r="AA38" s="85" t="str">
        <f>AA$6</f>
        <v/>
      </c>
      <c r="AB38" s="15" t="str">
        <f>IFERROR(__xludf.DUMMYFUNCTION("join("","",filter(split($H$83,"",""),ARRAYFORMULA(ISERROR(FIND(split($H$83,"",""),CONCATENATE(E38:V38))))=TRUE))"),"КЗ,206,406,408,410,АЗ")</f>
        <v>КЗ,206,406,408,410,АЗ</v>
      </c>
      <c r="AC38" s="14"/>
      <c r="AD38" s="14"/>
      <c r="AE38" s="14"/>
      <c r="AF38" s="29"/>
      <c r="AG38" s="29"/>
      <c r="AH38" s="29"/>
    </row>
    <row r="39" ht="58.5" customHeight="1">
      <c r="A39" s="30"/>
      <c r="B39" s="31">
        <v>5.0</v>
      </c>
      <c r="C39" s="32" t="s">
        <v>58</v>
      </c>
      <c r="D39" s="53">
        <v>44847.0</v>
      </c>
      <c r="E39" s="45" t="s">
        <v>5262</v>
      </c>
      <c r="F39" s="13"/>
      <c r="G39" s="44" t="s">
        <v>5263</v>
      </c>
      <c r="H39" s="45" t="s">
        <v>5264</v>
      </c>
      <c r="I39" s="13"/>
      <c r="J39" s="44" t="s">
        <v>5265</v>
      </c>
      <c r="K39" s="44" t="s">
        <v>5266</v>
      </c>
      <c r="L39" s="45" t="s">
        <v>5267</v>
      </c>
      <c r="M39" s="13"/>
      <c r="N39" s="44" t="s">
        <v>5268</v>
      </c>
      <c r="O39" s="44" t="s">
        <v>5269</v>
      </c>
      <c r="P39" s="45" t="s">
        <v>5270</v>
      </c>
      <c r="Q39" s="13"/>
      <c r="R39" s="442" t="s">
        <v>5271</v>
      </c>
      <c r="S39" s="132" t="s">
        <v>5272</v>
      </c>
      <c r="T39" s="45" t="s">
        <v>5273</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customHeight="1">
      <c r="A40" s="30"/>
      <c r="B40" s="31">
        <v>6.0</v>
      </c>
      <c r="C40" s="55" t="s">
        <v>71</v>
      </c>
      <c r="D40" s="56" t="s">
        <v>72</v>
      </c>
      <c r="E40" s="45" t="s">
        <v>5274</v>
      </c>
      <c r="F40" s="13"/>
      <c r="G40" s="44" t="s">
        <v>355</v>
      </c>
      <c r="H40" s="45" t="s">
        <v>5275</v>
      </c>
      <c r="I40" s="13"/>
      <c r="J40" s="44" t="s">
        <v>5276</v>
      </c>
      <c r="K40" s="44" t="s">
        <v>5277</v>
      </c>
      <c r="L40" s="45" t="s">
        <v>5278</v>
      </c>
      <c r="M40" s="13"/>
      <c r="N40" s="44" t="s">
        <v>5279</v>
      </c>
      <c r="O40" s="44" t="s">
        <v>5280</v>
      </c>
      <c r="P40" s="45" t="s">
        <v>5281</v>
      </c>
      <c r="Q40" s="13"/>
      <c r="R40" s="442" t="s">
        <v>5282</v>
      </c>
      <c r="S40" s="132" t="s">
        <v>5283</v>
      </c>
      <c r="T40" s="45" t="s">
        <v>5284</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customHeight="1">
      <c r="A41" s="30"/>
      <c r="B41" s="31">
        <v>7.0</v>
      </c>
      <c r="C41" s="32" t="s">
        <v>85</v>
      </c>
      <c r="D41" s="32" t="s">
        <v>86</v>
      </c>
      <c r="E41" s="45" t="s">
        <v>5285</v>
      </c>
      <c r="F41" s="13"/>
      <c r="G41" s="44"/>
      <c r="H41" s="45" t="s">
        <v>5286</v>
      </c>
      <c r="I41" s="13"/>
      <c r="J41" s="44" t="s">
        <v>5287</v>
      </c>
      <c r="K41" s="44" t="s">
        <v>5288</v>
      </c>
      <c r="L41" s="45" t="s">
        <v>5289</v>
      </c>
      <c r="M41" s="13"/>
      <c r="N41" s="589" t="s">
        <v>5290</v>
      </c>
      <c r="O41" s="4"/>
      <c r="P41" s="45" t="s">
        <v>5291</v>
      </c>
      <c r="Q41" s="13"/>
      <c r="R41" s="44" t="s">
        <v>5292</v>
      </c>
      <c r="S41" s="44" t="s">
        <v>5293</v>
      </c>
      <c r="T41" s="165" t="s">
        <v>5294</v>
      </c>
      <c r="U41" s="36"/>
      <c r="V41" s="41"/>
      <c r="W41" s="26"/>
      <c r="X41" s="42" t="s">
        <v>85</v>
      </c>
      <c r="Y41" s="42" t="s">
        <v>86</v>
      </c>
      <c r="Z41" s="48" t="s">
        <v>97</v>
      </c>
      <c r="AA41" s="85" t="str">
        <f>AA$9</f>
        <v/>
      </c>
      <c r="AB41" s="15" t="str">
        <f>IFERROR(__xludf.DUMMYFUNCTION("join("","",filter(split($H$83,"",""),ARRAYFORMULA(ISERROR(FIND(split($H$83,"",""),CONCATENATE(E41:V41))))=TRUE))"),"СЗ,КЗ,206,209,210,402,403,406,410,АЗ")</f>
        <v>СЗ,КЗ,206,209,210,402,403,406,410,АЗ</v>
      </c>
      <c r="AC41" s="14"/>
      <c r="AD41" s="14"/>
      <c r="AE41" s="14"/>
      <c r="AF41" s="29"/>
      <c r="AG41" s="29"/>
      <c r="AH41" s="29"/>
    </row>
    <row r="42" ht="52.5" customHeight="1">
      <c r="A42" s="30"/>
      <c r="B42" s="31">
        <v>8.0</v>
      </c>
      <c r="C42" s="32" t="s">
        <v>98</v>
      </c>
      <c r="D42" s="32" t="s">
        <v>99</v>
      </c>
      <c r="E42" s="45" t="s">
        <v>5295</v>
      </c>
      <c r="F42" s="13"/>
      <c r="G42" s="44"/>
      <c r="H42" s="45" t="s">
        <v>5296</v>
      </c>
      <c r="I42" s="13"/>
      <c r="J42" s="44" t="s">
        <v>5297</v>
      </c>
      <c r="K42" s="44" t="s">
        <v>5298</v>
      </c>
      <c r="L42" s="45" t="s">
        <v>5299</v>
      </c>
      <c r="M42" s="13"/>
      <c r="N42" s="224"/>
      <c r="O42" s="139"/>
      <c r="P42" s="45" t="s">
        <v>5300</v>
      </c>
      <c r="Q42" s="13"/>
      <c r="R42" s="166"/>
      <c r="S42" s="13"/>
      <c r="T42" s="165" t="s">
        <v>5301</v>
      </c>
      <c r="U42" s="36"/>
      <c r="V42" s="41"/>
      <c r="W42" s="26"/>
      <c r="X42" s="42" t="s">
        <v>98</v>
      </c>
      <c r="Y42" s="42" t="s">
        <v>99</v>
      </c>
      <c r="Z42" s="11"/>
      <c r="AA42" s="14"/>
      <c r="AB42" s="15" t="str">
        <f>IFERROR(__xludf.DUMMYFUNCTION("join("","",filter(split($H$83,"",""),ARRAYFORMULA(ISERROR(FIND(split($H$83,"",""),CONCATENATE(E42:V42))))=TRUE))"),"СЗ,КЗ,206,209,210,402,403,404,405,406,410,АЗ")</f>
        <v>СЗ,КЗ,206,209,210,402,403,404,405,406,410,АЗ</v>
      </c>
      <c r="AC42" s="14"/>
      <c r="AD42" s="14"/>
      <c r="AE42" s="14"/>
      <c r="AF42" s="29"/>
      <c r="AG42" s="29"/>
      <c r="AH42" s="29"/>
    </row>
    <row r="43" ht="40.5" customHeight="1">
      <c r="A43" s="30"/>
      <c r="B43" s="31">
        <v>9.0</v>
      </c>
      <c r="C43" s="65">
        <v>44697.0</v>
      </c>
      <c r="D43" s="44" t="s">
        <v>109</v>
      </c>
      <c r="E43" s="167" t="s">
        <v>5302</v>
      </c>
      <c r="F43" s="4"/>
      <c r="G43" s="168"/>
      <c r="H43" s="169"/>
      <c r="I43" s="36"/>
      <c r="J43" s="13"/>
      <c r="K43" s="170"/>
      <c r="L43" s="4"/>
      <c r="M43" s="171"/>
      <c r="N43" s="224"/>
      <c r="O43" s="139"/>
      <c r="P43" s="174"/>
      <c r="Q43" s="172" t="s">
        <v>390</v>
      </c>
      <c r="R43" s="8"/>
      <c r="S43" s="8"/>
      <c r="T43" s="8"/>
      <c r="U43" s="8"/>
      <c r="V43" s="129"/>
      <c r="W43" s="26"/>
      <c r="X43" s="69">
        <v>44697.0</v>
      </c>
      <c r="Y43" s="70" t="s">
        <v>109</v>
      </c>
      <c r="Z43" s="28"/>
      <c r="AA43" s="14"/>
      <c r="AB43" s="15" t="str">
        <f>IFERROR(__xludf.DUMMYFUNCTION("join("","",filter(split($H$83,"",""),ARRAYFORMULA(ISERROR(FIND(split($H$83,"",""),CONCATENATE(E43:V43))))=TRUE))"),"СЗ,КЗ,202,206,209,210,401,402,403,404,405,406,408,409,АЗ")</f>
        <v>СЗ,КЗ,202,206,209,210,401,402,403,404,405,406,408,409,АЗ</v>
      </c>
      <c r="AC43" s="14"/>
      <c r="AD43" s="14"/>
      <c r="AE43" s="14"/>
      <c r="AF43" s="29"/>
      <c r="AG43" s="29"/>
      <c r="AH43" s="29"/>
    </row>
    <row r="44" ht="40.5" customHeight="1">
      <c r="A44" s="30"/>
      <c r="B44" s="31">
        <v>10.0</v>
      </c>
      <c r="C44" s="44" t="s">
        <v>120</v>
      </c>
      <c r="D44" s="44" t="s">
        <v>121</v>
      </c>
      <c r="E44" s="104"/>
      <c r="F44" s="72"/>
      <c r="G44" s="173"/>
      <c r="H44" s="169"/>
      <c r="I44" s="36"/>
      <c r="J44" s="13"/>
      <c r="K44" s="104"/>
      <c r="L44" s="72"/>
      <c r="M44" s="171"/>
      <c r="N44" s="104"/>
      <c r="O44" s="72"/>
      <c r="P44" s="173"/>
      <c r="Q44" s="104"/>
      <c r="R44" s="64"/>
      <c r="S44" s="64"/>
      <c r="T44" s="64"/>
      <c r="U44" s="64"/>
      <c r="V44" s="88"/>
      <c r="W44" s="26"/>
      <c r="X44" s="70" t="s">
        <v>120</v>
      </c>
      <c r="Y44" s="70" t="s">
        <v>121</v>
      </c>
      <c r="Z44" s="28"/>
      <c r="AA44" s="14"/>
      <c r="AB44" s="15" t="str">
        <f>IFERROR(__xludf.DUMMYFUNCTION("join("","",filter(split($H$83,"",""),ARRAYFORMULA(ISERROR(FIND(split($H$83,"",""),CONCATENATE(E44:V44))))=TRUE))"),"СЗ,КЗ,201,202,206,209,210,401,402,403,404,405,406,408,409,410,АЗ")</f>
        <v>СЗ,КЗ,201,202,206,209,210,401,402,403,404,405,406,408,409,410,АЗ</v>
      </c>
      <c r="AC44" s="14"/>
      <c r="AD44" s="14"/>
      <c r="AE44" s="14"/>
      <c r="AF44" s="29"/>
      <c r="AG44" s="29"/>
      <c r="AH44" s="29"/>
    </row>
    <row r="45" ht="40.5"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553">
        <v>44897.0</v>
      </c>
      <c r="B46" s="19">
        <v>1.0</v>
      </c>
      <c r="C46" s="20" t="s">
        <v>12</v>
      </c>
      <c r="D46" s="20" t="s">
        <v>13</v>
      </c>
      <c r="E46" s="156" t="s">
        <v>5303</v>
      </c>
      <c r="F46" s="156" t="s">
        <v>5304</v>
      </c>
      <c r="G46" s="80" t="s">
        <v>5305</v>
      </c>
      <c r="H46" s="25"/>
      <c r="I46" s="174" t="s">
        <v>5306</v>
      </c>
      <c r="J46" s="175" t="s">
        <v>5307</v>
      </c>
      <c r="K46" s="25"/>
      <c r="L46" s="80" t="s">
        <v>5308</v>
      </c>
      <c r="M46" s="25"/>
      <c r="N46" s="156" t="s">
        <v>5309</v>
      </c>
      <c r="O46" s="156" t="s">
        <v>5310</v>
      </c>
      <c r="P46" s="80" t="s">
        <v>5311</v>
      </c>
      <c r="Q46" s="25"/>
      <c r="R46" s="80" t="s">
        <v>5312</v>
      </c>
      <c r="S46" s="25"/>
      <c r="T46" s="80" t="s">
        <v>5313</v>
      </c>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5314</v>
      </c>
      <c r="F47" s="44" t="s">
        <v>5315</v>
      </c>
      <c r="G47" s="45" t="s">
        <v>5316</v>
      </c>
      <c r="H47" s="13"/>
      <c r="I47" s="173"/>
      <c r="J47" s="157" t="s">
        <v>5317</v>
      </c>
      <c r="K47" s="13"/>
      <c r="L47" s="80" t="s">
        <v>5318</v>
      </c>
      <c r="M47" s="25"/>
      <c r="N47" s="44" t="s">
        <v>5319</v>
      </c>
      <c r="O47" s="44" t="s">
        <v>5320</v>
      </c>
      <c r="P47" s="45" t="s">
        <v>5321</v>
      </c>
      <c r="Q47" s="13"/>
      <c r="R47" s="44" t="s">
        <v>5322</v>
      </c>
      <c r="S47" s="90" t="s">
        <v>5323</v>
      </c>
      <c r="T47" s="45" t="s">
        <v>5324</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40" t="s">
        <v>5325</v>
      </c>
      <c r="F48" s="13"/>
      <c r="G48" s="176" t="s">
        <v>5326</v>
      </c>
      <c r="H48" s="4"/>
      <c r="I48" s="90" t="s">
        <v>5327</v>
      </c>
      <c r="J48" s="44" t="s">
        <v>5328</v>
      </c>
      <c r="K48" s="44" t="s">
        <v>5329</v>
      </c>
      <c r="L48" s="44" t="s">
        <v>5330</v>
      </c>
      <c r="M48" s="44" t="s">
        <v>5331</v>
      </c>
      <c r="N48" s="164" t="s">
        <v>5332</v>
      </c>
      <c r="O48" s="36"/>
      <c r="P48" s="36"/>
      <c r="Q48" s="13"/>
      <c r="R48" s="44" t="s">
        <v>5333</v>
      </c>
      <c r="S48" s="90" t="s">
        <v>5334</v>
      </c>
      <c r="T48" s="45" t="s">
        <v>5335</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5336</v>
      </c>
      <c r="F49" s="13"/>
      <c r="G49" s="104"/>
      <c r="H49" s="72"/>
      <c r="I49" s="90" t="s">
        <v>5337</v>
      </c>
      <c r="J49" s="44" t="s">
        <v>5338</v>
      </c>
      <c r="K49" s="44" t="s">
        <v>5339</v>
      </c>
      <c r="L49" s="44" t="s">
        <v>5340</v>
      </c>
      <c r="M49" s="44" t="s">
        <v>5341</v>
      </c>
      <c r="N49" s="164" t="s">
        <v>5342</v>
      </c>
      <c r="O49" s="36"/>
      <c r="P49" s="36"/>
      <c r="Q49" s="13"/>
      <c r="R49" s="90" t="s">
        <v>5343</v>
      </c>
      <c r="S49" s="133" t="s">
        <v>5344</v>
      </c>
      <c r="T49" s="45" t="s">
        <v>5345</v>
      </c>
      <c r="U49" s="36"/>
      <c r="V49" s="41"/>
      <c r="W49" s="26"/>
      <c r="X49" s="42" t="s">
        <v>48</v>
      </c>
      <c r="Y49" s="42" t="s">
        <v>49</v>
      </c>
      <c r="Z49" s="48" t="s">
        <v>57</v>
      </c>
      <c r="AA49" s="85" t="str">
        <f>AA$6</f>
        <v/>
      </c>
      <c r="AB49" s="15" t="str">
        <f>IFERROR(__xludf.DUMMYFUNCTION("join("","",filter(split($H$83,"",""),ARRAYFORMULA(ISERROR(FIND(split($H$83,"",""),CONCATENATE(E49:V49))))=TRUE))"),"СЗ,КЗ,201,206,209,410,АЗ")</f>
        <v>СЗ,КЗ,201,206,209,410,АЗ</v>
      </c>
      <c r="AC49" s="14"/>
      <c r="AD49" s="14"/>
      <c r="AE49" s="14"/>
      <c r="AF49" s="29"/>
      <c r="AG49" s="29"/>
      <c r="AH49" s="29"/>
    </row>
    <row r="50" ht="40.5" customHeight="1">
      <c r="A50" s="30"/>
      <c r="B50" s="31">
        <v>5.0</v>
      </c>
      <c r="C50" s="32" t="s">
        <v>58</v>
      </c>
      <c r="D50" s="53">
        <v>44847.0</v>
      </c>
      <c r="E50" s="45" t="s">
        <v>5346</v>
      </c>
      <c r="F50" s="13"/>
      <c r="G50" s="44" t="s">
        <v>5347</v>
      </c>
      <c r="H50" s="44" t="s">
        <v>5348</v>
      </c>
      <c r="I50" s="44" t="s">
        <v>5349</v>
      </c>
      <c r="J50" s="590" t="s">
        <v>5350</v>
      </c>
      <c r="K50" s="13"/>
      <c r="L50" s="581" t="s">
        <v>5351</v>
      </c>
      <c r="M50" s="13"/>
      <c r="N50" s="177" t="s">
        <v>5352</v>
      </c>
      <c r="O50" s="177" t="s">
        <v>5353</v>
      </c>
      <c r="P50" s="45" t="s">
        <v>5354</v>
      </c>
      <c r="Q50" s="13"/>
      <c r="R50" s="90" t="s">
        <v>5355</v>
      </c>
      <c r="S50" s="133" t="s">
        <v>5356</v>
      </c>
      <c r="T50" s="45" t="s">
        <v>5357</v>
      </c>
      <c r="U50" s="36"/>
      <c r="V50" s="41"/>
      <c r="W50" s="26"/>
      <c r="X50" s="42" t="s">
        <v>58</v>
      </c>
      <c r="Y50" s="54">
        <v>44847.0</v>
      </c>
      <c r="Z50" s="48" t="s">
        <v>70</v>
      </c>
      <c r="AA50" s="85" t="str">
        <f>AA$7</f>
        <v/>
      </c>
      <c r="AB50" s="15" t="str">
        <f>IFERROR(__xludf.DUMMYFUNCTION("join("","",filter(split($H$83,"",""),ARRAYFORMULA(ISERROR(FIND(split($H$83,"",""),CONCATENATE(E50:V50))))=TRUE))"),"СЗ,КЗ,202,206,401,404,408,410")</f>
        <v>СЗ,КЗ,202,206,401,404,408,410</v>
      </c>
      <c r="AC50" s="14"/>
      <c r="AD50" s="14"/>
      <c r="AE50" s="14"/>
      <c r="AF50" s="29"/>
      <c r="AG50" s="29"/>
      <c r="AH50" s="29"/>
    </row>
    <row r="51" ht="48.75" customHeight="1">
      <c r="A51" s="30"/>
      <c r="B51" s="31">
        <v>6.0</v>
      </c>
      <c r="C51" s="55" t="s">
        <v>71</v>
      </c>
      <c r="D51" s="56" t="s">
        <v>72</v>
      </c>
      <c r="E51" s="45" t="s">
        <v>5358</v>
      </c>
      <c r="F51" s="13"/>
      <c r="G51" s="44" t="s">
        <v>5359</v>
      </c>
      <c r="H51" s="44" t="s">
        <v>5360</v>
      </c>
      <c r="I51" s="44" t="s">
        <v>5361</v>
      </c>
      <c r="J51" s="45" t="s">
        <v>5362</v>
      </c>
      <c r="K51" s="13"/>
      <c r="L51" s="45" t="s">
        <v>5363</v>
      </c>
      <c r="M51" s="13"/>
      <c r="N51" s="177" t="s">
        <v>5364</v>
      </c>
      <c r="O51" s="177" t="s">
        <v>5365</v>
      </c>
      <c r="P51" s="45" t="s">
        <v>5366</v>
      </c>
      <c r="Q51" s="13"/>
      <c r="R51" s="162" t="s">
        <v>5367</v>
      </c>
      <c r="S51" s="178" t="s">
        <v>5368</v>
      </c>
      <c r="T51" s="44" t="s">
        <v>5369</v>
      </c>
      <c r="U51" s="44" t="s">
        <v>5370</v>
      </c>
      <c r="V51" s="34"/>
      <c r="W51" s="179"/>
      <c r="X51" s="58" t="s">
        <v>71</v>
      </c>
      <c r="Y51" s="59" t="s">
        <v>72</v>
      </c>
      <c r="Z51" s="48" t="s">
        <v>84</v>
      </c>
      <c r="AA51" s="85"/>
      <c r="AB51" s="15" t="str">
        <f>IFERROR(__xludf.DUMMYFUNCTION("join("","",filter(split($H$83,"",""),ARRAYFORMULA(ISERROR(FIND(split($H$83,"",""),CONCATENATE(E51:V51))))=TRUE))"),"СЗ,202,206,409,410")</f>
        <v>СЗ,202,206,409,410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5371</v>
      </c>
      <c r="F52" s="13"/>
      <c r="G52" s="44" t="s">
        <v>5372</v>
      </c>
      <c r="H52" s="44" t="s">
        <v>5373</v>
      </c>
      <c r="I52" s="44" t="s">
        <v>5374</v>
      </c>
      <c r="J52" s="45" t="s">
        <v>5375</v>
      </c>
      <c r="K52" s="13"/>
      <c r="L52" s="45" t="s">
        <v>5376</v>
      </c>
      <c r="M52" s="13"/>
      <c r="N52" s="563"/>
      <c r="O52" s="177"/>
      <c r="P52" s="124"/>
      <c r="Q52" s="90" t="s">
        <v>5377</v>
      </c>
      <c r="R52" s="180" t="s">
        <v>5378</v>
      </c>
      <c r="S52" s="181" t="s">
        <v>5379</v>
      </c>
      <c r="T52" s="44" t="s">
        <v>2350</v>
      </c>
      <c r="U52" s="44"/>
      <c r="V52" s="34"/>
      <c r="W52" s="26"/>
      <c r="X52" s="42" t="s">
        <v>85</v>
      </c>
      <c r="Y52" s="42" t="s">
        <v>86</v>
      </c>
      <c r="Z52" s="48" t="s">
        <v>97</v>
      </c>
      <c r="AA52" s="85" t="str">
        <f>AA$9</f>
        <v/>
      </c>
      <c r="AB52" s="15" t="str">
        <f>IFERROR(__xludf.DUMMYFUNCTION("join("","",filter(split($H$83,"",""),ARRAYFORMULA(ISERROR(FIND(split($H$83,"",""),CONCATENATE(E52:V52))))=TRUE))"),"СЗ,202,206,406,410")</f>
        <v>СЗ,202,206,406,410</v>
      </c>
      <c r="AC52" s="14"/>
      <c r="AD52" s="14"/>
      <c r="AE52" s="14"/>
      <c r="AF52" s="29"/>
      <c r="AG52" s="29"/>
      <c r="AH52" s="29"/>
    </row>
    <row r="53" ht="51.75" customHeight="1">
      <c r="A53" s="30"/>
      <c r="B53" s="31">
        <v>8.0</v>
      </c>
      <c r="C53" s="32" t="s">
        <v>98</v>
      </c>
      <c r="D53" s="32" t="s">
        <v>99</v>
      </c>
      <c r="E53" s="44" t="s">
        <v>5380</v>
      </c>
      <c r="F53" s="44" t="s">
        <v>5381</v>
      </c>
      <c r="G53" s="416" t="s">
        <v>1913</v>
      </c>
      <c r="H53" s="86" t="s">
        <v>5382</v>
      </c>
      <c r="I53" s="13"/>
      <c r="J53" s="45" t="s">
        <v>5383</v>
      </c>
      <c r="K53" s="13"/>
      <c r="L53" s="45" t="s">
        <v>5384</v>
      </c>
      <c r="M53" s="13"/>
      <c r="N53" s="182"/>
      <c r="O53" s="177"/>
      <c r="P53" s="124"/>
      <c r="Q53" s="90" t="s">
        <v>5385</v>
      </c>
      <c r="R53" s="183" t="s">
        <v>5386</v>
      </c>
      <c r="S53" s="181" t="s">
        <v>5387</v>
      </c>
      <c r="T53" s="144"/>
      <c r="U53" s="144"/>
      <c r="V53" s="184"/>
      <c r="W53" s="26"/>
      <c r="X53" s="42" t="s">
        <v>98</v>
      </c>
      <c r="Y53" s="42" t="s">
        <v>99</v>
      </c>
      <c r="Z53" s="11"/>
      <c r="AA53" s="14"/>
      <c r="AB53" s="15" t="str">
        <f>IFERROR(__xludf.DUMMYFUNCTION("join("","",filter(split($H$83,"",""),ARRAYFORMULA(ISERROR(FIND(split($H$83,"",""),CONCATENATE(E53:V53))))=TRUE))"),"СЗ,201,202,206,401,404,405,408,410")</f>
        <v>СЗ,201,202,206,401,404,405,408,410</v>
      </c>
      <c r="AC53" s="14"/>
      <c r="AD53" s="14"/>
      <c r="AE53" s="14"/>
      <c r="AF53" s="29"/>
      <c r="AG53" s="29"/>
      <c r="AH53" s="29"/>
    </row>
    <row r="54" ht="71.25" customHeight="1">
      <c r="A54" s="30"/>
      <c r="B54" s="31">
        <v>9.0</v>
      </c>
      <c r="C54" s="65">
        <v>44697.0</v>
      </c>
      <c r="D54" s="44" t="s">
        <v>109</v>
      </c>
      <c r="E54" s="187" t="s">
        <v>5388</v>
      </c>
      <c r="F54" s="8"/>
      <c r="G54" s="8"/>
      <c r="H54" s="8"/>
      <c r="I54" s="8"/>
      <c r="J54" s="8"/>
      <c r="K54" s="8"/>
      <c r="L54" s="8"/>
      <c r="M54" s="8"/>
      <c r="N54" s="86" t="s">
        <v>5389</v>
      </c>
      <c r="O54" s="13"/>
      <c r="P54" s="187" t="s">
        <v>5388</v>
      </c>
      <c r="Q54" s="8"/>
      <c r="R54" s="8"/>
      <c r="S54" s="8"/>
      <c r="T54" s="8"/>
      <c r="U54" s="8"/>
      <c r="V54" s="8"/>
      <c r="W54" s="186"/>
      <c r="X54" s="69">
        <v>44697.0</v>
      </c>
      <c r="Y54" s="70" t="s">
        <v>109</v>
      </c>
      <c r="Z54" s="28"/>
      <c r="AA54" s="14"/>
      <c r="AB54" s="15" t="str">
        <f>IFERROR(__xludf.DUMMYFUNCTION("join("","",filter(split($H$83,"",""),ARRAYFORMULA(ISERROR(FIND(split($H$83,"",""),CONCATENATE(E54:V54))))=TRUE))"),"206,209,401,402,403,404,405,408,410,АЗ")</f>
        <v>206,209,401,402,403,404,405,408,410,АЗ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553">
        <v>44898.0</v>
      </c>
      <c r="B57" s="191">
        <v>1.0</v>
      </c>
      <c r="C57" s="192" t="str">
        <f>D$1</f>
        <v/>
      </c>
      <c r="D57" s="72"/>
      <c r="E57" s="193"/>
      <c r="F57" s="193"/>
      <c r="G57" s="194" t="s">
        <v>5390</v>
      </c>
      <c r="H57" s="64"/>
      <c r="I57" s="72"/>
      <c r="J57" s="195"/>
      <c r="K57" s="64"/>
      <c r="L57" s="64"/>
      <c r="M57" s="72"/>
      <c r="N57" s="193"/>
      <c r="O57" s="193"/>
      <c r="P57" s="187"/>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5"/>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82">
    <mergeCell ref="G28:H28"/>
    <mergeCell ref="G29:H29"/>
    <mergeCell ref="G30:H30"/>
    <mergeCell ref="E31:F31"/>
    <mergeCell ref="G31:I32"/>
    <mergeCell ref="E32:F32"/>
    <mergeCell ref="G33:Q34"/>
    <mergeCell ref="E34:F34"/>
    <mergeCell ref="E20:F20"/>
    <mergeCell ref="H20:I20"/>
    <mergeCell ref="A24:A34"/>
    <mergeCell ref="H24:I24"/>
    <mergeCell ref="E25:F25"/>
    <mergeCell ref="H25:I25"/>
    <mergeCell ref="E26:F26"/>
    <mergeCell ref="E33:F33"/>
    <mergeCell ref="E19:F19"/>
    <mergeCell ref="H19:I19"/>
    <mergeCell ref="J19:K19"/>
    <mergeCell ref="L19:M19"/>
    <mergeCell ref="J20:K20"/>
    <mergeCell ref="L20:M20"/>
    <mergeCell ref="E21:F22"/>
    <mergeCell ref="H21:M21"/>
    <mergeCell ref="H22:M22"/>
    <mergeCell ref="J24:M24"/>
    <mergeCell ref="J25:K25"/>
    <mergeCell ref="L25:M25"/>
    <mergeCell ref="J26:K26"/>
    <mergeCell ref="L26:M26"/>
    <mergeCell ref="J10:K10"/>
    <mergeCell ref="L10:M10"/>
    <mergeCell ref="A13:A23"/>
    <mergeCell ref="E13:F13"/>
    <mergeCell ref="J13:K13"/>
    <mergeCell ref="L13:M13"/>
    <mergeCell ref="E14:F14"/>
    <mergeCell ref="G26:I26"/>
    <mergeCell ref="G27:H27"/>
    <mergeCell ref="J27:K27"/>
    <mergeCell ref="L27:M27"/>
    <mergeCell ref="J28:K28"/>
    <mergeCell ref="L28:M28"/>
    <mergeCell ref="L29:M29"/>
    <mergeCell ref="H35:I35"/>
    <mergeCell ref="J35:K35"/>
    <mergeCell ref="E36:F36"/>
    <mergeCell ref="H36:I36"/>
    <mergeCell ref="E35:F35"/>
    <mergeCell ref="E37:F37"/>
    <mergeCell ref="H37:I37"/>
    <mergeCell ref="J37:K37"/>
    <mergeCell ref="E38:F38"/>
    <mergeCell ref="H38:I38"/>
    <mergeCell ref="J38:K38"/>
    <mergeCell ref="E39:F39"/>
    <mergeCell ref="H39:I39"/>
    <mergeCell ref="E41:F41"/>
    <mergeCell ref="H41:I41"/>
    <mergeCell ref="J47:K47"/>
    <mergeCell ref="J50:K50"/>
    <mergeCell ref="G46:H46"/>
    <mergeCell ref="I46:I47"/>
    <mergeCell ref="J46:K46"/>
    <mergeCell ref="L46:M46"/>
    <mergeCell ref="G47:H47"/>
    <mergeCell ref="L47:M47"/>
    <mergeCell ref="G48:H49"/>
    <mergeCell ref="L50:M50"/>
    <mergeCell ref="E42:F42"/>
    <mergeCell ref="H42:I42"/>
    <mergeCell ref="E43:F44"/>
    <mergeCell ref="G43:G44"/>
    <mergeCell ref="E48:F48"/>
    <mergeCell ref="E49:F49"/>
    <mergeCell ref="E50:F50"/>
    <mergeCell ref="E51:F51"/>
    <mergeCell ref="E52:F52"/>
    <mergeCell ref="E54:M55"/>
    <mergeCell ref="C57:D57"/>
    <mergeCell ref="G57:I57"/>
    <mergeCell ref="J57:M57"/>
    <mergeCell ref="J51:K51"/>
    <mergeCell ref="J52:K52"/>
    <mergeCell ref="L52:M52"/>
    <mergeCell ref="H53:I53"/>
    <mergeCell ref="J53:K53"/>
    <mergeCell ref="L53:M53"/>
    <mergeCell ref="N54:O54"/>
    <mergeCell ref="L39:M39"/>
    <mergeCell ref="E40:F40"/>
    <mergeCell ref="H40:I40"/>
    <mergeCell ref="L40:M40"/>
    <mergeCell ref="L41:M41"/>
    <mergeCell ref="N41:O44"/>
    <mergeCell ref="L42:M42"/>
    <mergeCell ref="P43:P44"/>
    <mergeCell ref="H43:J43"/>
    <mergeCell ref="K43:L44"/>
    <mergeCell ref="H44:J44"/>
    <mergeCell ref="J29:K29"/>
    <mergeCell ref="J30:K30"/>
    <mergeCell ref="L30:M30"/>
    <mergeCell ref="J31:M31"/>
    <mergeCell ref="J32:M32"/>
    <mergeCell ref="A35:A45"/>
    <mergeCell ref="J36:K36"/>
    <mergeCell ref="P46:Q46"/>
    <mergeCell ref="P47:Q47"/>
    <mergeCell ref="N48:Q48"/>
    <mergeCell ref="N49:Q49"/>
    <mergeCell ref="P50:Q50"/>
    <mergeCell ref="L51:M51"/>
    <mergeCell ref="P51:Q51"/>
    <mergeCell ref="A46:A56"/>
    <mergeCell ref="A57:A67"/>
    <mergeCell ref="K66:L66"/>
    <mergeCell ref="K67:L67"/>
    <mergeCell ref="K68:L68"/>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P15:Q15"/>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P7:Q7"/>
    <mergeCell ref="R7:S7"/>
    <mergeCell ref="H8:I8"/>
    <mergeCell ref="J8:K8"/>
    <mergeCell ref="L8:M8"/>
    <mergeCell ref="N8:O8"/>
    <mergeCell ref="P8:Q8"/>
    <mergeCell ref="R8:S8"/>
    <mergeCell ref="H9:I9"/>
    <mergeCell ref="J9:K9"/>
    <mergeCell ref="L9:M9"/>
    <mergeCell ref="N9:O9"/>
    <mergeCell ref="E10:F10"/>
    <mergeCell ref="H10:I10"/>
    <mergeCell ref="S10:V10"/>
    <mergeCell ref="T11:V11"/>
    <mergeCell ref="U13:V13"/>
    <mergeCell ref="U14:V14"/>
    <mergeCell ref="T15:V15"/>
    <mergeCell ref="N27:O27"/>
    <mergeCell ref="P27:Q27"/>
    <mergeCell ref="T27:V27"/>
    <mergeCell ref="N28:O28"/>
    <mergeCell ref="N29:O29"/>
    <mergeCell ref="R29:R30"/>
    <mergeCell ref="N32:O32"/>
    <mergeCell ref="N30:O30"/>
    <mergeCell ref="N31:O31"/>
    <mergeCell ref="N35:O35"/>
    <mergeCell ref="N36:O36"/>
    <mergeCell ref="N37:Q37"/>
    <mergeCell ref="R37:S37"/>
    <mergeCell ref="N38:Q38"/>
    <mergeCell ref="T49:V49"/>
    <mergeCell ref="T50:V50"/>
    <mergeCell ref="P54:V55"/>
    <mergeCell ref="P57:S58"/>
    <mergeCell ref="X57:Y57"/>
    <mergeCell ref="T41:V41"/>
    <mergeCell ref="T42:V42"/>
    <mergeCell ref="Q43:V44"/>
    <mergeCell ref="R46:S46"/>
    <mergeCell ref="T46:V46"/>
    <mergeCell ref="T47:V47"/>
    <mergeCell ref="T48:V48"/>
    <mergeCell ref="N16:O16"/>
    <mergeCell ref="P16:Q16"/>
    <mergeCell ref="T16:V16"/>
    <mergeCell ref="N17:O17"/>
    <mergeCell ref="T17:V17"/>
    <mergeCell ref="N18:O18"/>
    <mergeCell ref="T18:V18"/>
    <mergeCell ref="N19:O19"/>
    <mergeCell ref="P19:Q19"/>
    <mergeCell ref="T19:V19"/>
    <mergeCell ref="N20:O20"/>
    <mergeCell ref="P20:Q20"/>
    <mergeCell ref="T20:V20"/>
    <mergeCell ref="N21:O21"/>
    <mergeCell ref="T21:V21"/>
    <mergeCell ref="P24:S24"/>
    <mergeCell ref="T24:V24"/>
    <mergeCell ref="P21:Q21"/>
    <mergeCell ref="R21:S21"/>
    <mergeCell ref="N22:O22"/>
    <mergeCell ref="P22:S22"/>
    <mergeCell ref="T22:V22"/>
    <mergeCell ref="R23:V23"/>
    <mergeCell ref="N24:O24"/>
    <mergeCell ref="N25:O25"/>
    <mergeCell ref="P25:Q25"/>
    <mergeCell ref="R25:S25"/>
    <mergeCell ref="T25:V25"/>
    <mergeCell ref="N26:O26"/>
    <mergeCell ref="R26:S26"/>
    <mergeCell ref="T26:V26"/>
    <mergeCell ref="P39:Q39"/>
    <mergeCell ref="P40:Q40"/>
    <mergeCell ref="P41:Q41"/>
    <mergeCell ref="P42:Q42"/>
    <mergeCell ref="R42:S42"/>
    <mergeCell ref="T28:V32"/>
    <mergeCell ref="T35:V35"/>
    <mergeCell ref="T36:V36"/>
    <mergeCell ref="T37:V37"/>
    <mergeCell ref="T38:V38"/>
    <mergeCell ref="T39:V39"/>
    <mergeCell ref="T40:V40"/>
  </mergeCells>
  <conditionalFormatting sqref="E1:T86 U1:U31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T53 U2:U31 V32:V34 U35:U53 V50:V52 W51 P57 K61:L68">
    <cfRule type="containsText" dxfId="2" priority="3" operator="containsText" text="Шерашова">
      <formula>NOT(ISERROR(SEARCH(("Шерашова"),(E2))))</formula>
    </cfRule>
  </conditionalFormatting>
  <conditionalFormatting sqref="E2:T53 U2:U31 V32:V34 U35:U53 V50:V52 W51 P57 K61:L68">
    <cfRule type="containsText" dxfId="3" priority="4" operator="containsText" text="Англ">
      <formula>NOT(ISERROR(SEARCH(("Англ"),(E2))))</formula>
    </cfRule>
  </conditionalFormatting>
  <conditionalFormatting sqref="E2:T53 U2:U31 V32:V34 U35:U53 V50:V52 W51 P57 K61:L68">
    <cfRule type="containsText" dxfId="4" priority="5" operator="containsText" text="Театр">
      <formula>NOT(ISERROR(SEARCH(("Театр"),(E2))))</formula>
    </cfRule>
  </conditionalFormatting>
  <conditionalFormatting sqref="E2:T53 U2:U31 V32:V34 U35:U53 V50:V52 W51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8 S10:S32 T10:V45 R11:R46 F15:F20 E24:F30 E32:E53 F32:F45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T37:T38 N41">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Q31:Q32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E19:E20 N17:N20 N24 N29:N30 J52:J53 L52:L53">
      <formula1>IF(COUNTA(filter($E7:$W7,ARRAYFORMULA(ISERROR(FIND(join(",",filter(split($H$83,","),ARRAYFORMULA(ISERROR(FIND(split($H$83,","),E9)))=FALSE)),$E7:$W7))=FALSE)))&gt;1,FALSE,TRUE)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H24 G25 E26 F28 R27:S28 E29:E30 H35:H36 G37:G38 E48:E49 N52:N54">
      <formula1>IF(COUNTA(filter($E8:$W8,ARRAYFORMULA(ISERROR(FIND(join(",",filter(split($H$83,","),ARRAYFORMULA(ISERROR(FIND(split($H$83,","),E7)))=FALSE)),$E8:$W8))=FALSE)))&gt;1,FALSE,TRUE)</formula1>
    </dataValidation>
    <dataValidation type="custom" allowBlank="1" showDropDown="1" sqref="N2 R2 T2 G2:G3 J2:J3 L4 P2:P4 G5:H6 K5:M6 T5:T6 L7:L8 P7:P8 T7:U8 G7:G9 H10 J9:J10 N9:N10 Q9:Q10 S10 W2:W10 E12:W12 E13:E14 H13:H14 G15:G18 S17:S18 H19:H20 J15:J20 L13:L20 G21 R19:R21 T21 G22:H22 G23:R23 J24 P25 R25 Q26 E27:F27 P27 E28 I27:I28 Q28 T28 F29:G30 P29:Q30 J31:J32 W13:W32 R33:R34 T33:W34 G35:G36 L35:M36 P35:Q36 R37 H37:H38 J37:J38 L37:N38 E37:E40 G39:G40 J39:K40 N39:P40 R38:S40 R41:T41 J41:L42 T42 E43 G41:H43 K43 Q43 H44 M43:M44 W35:W44 E45:W45 I46 F46:G47 L46:L47 N46:P47 G48 L48:M49 L51 N50:O51 I50:I52 G53:H53 O52:P53 E54 P54 N55:O55 W46:W55 E56:W56 E57:G57 J57 N57:O57 E58: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P43">
      <formula1>IF(COUNTA(filter($E40:$W40,ARRAYFORMULA(ISERROR(FIND(join(",",filter(split($H$83,","),ARRAYFORMULA(ISERROR(FIND(split($H$83,","),P43)))=FALSE)),$E40:$W40))=FALSE)))&gt;1,FALSE,TRUE)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P32">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S29:S30 S32 R47:R48 T51:V52 P57">
      <formula1>IF(COUNTA(filter($E25:$W25,ARRAYFORMULA(ISERROR(FIND(join(",",filter(split($H$83,","),ARRAYFORMULA(ISERROR(FIND(split($H$83,","),P26)))=FALSE)),$E25:$W25))=FALSE)))&gt;1,FALSE,TRUE)</formula1>
    </dataValidation>
    <dataValidation type="custom" allowBlank="1" showDropDown="1" sqref="P13:P1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6.5"/>
    <col customWidth="1" min="18" max="18" width="16.38"/>
    <col customWidth="1" min="19" max="19" width="15.75"/>
    <col customWidth="1" min="20" max="20" width="14.25"/>
    <col hidden="1" min="23" max="23" width="12.63"/>
    <col customWidth="1" min="26" max="26" width="18.0"/>
    <col customWidth="1" min="28" max="28" width="20.88"/>
  </cols>
  <sheetData>
    <row r="1" ht="40.5" customHeight="1">
      <c r="A1" s="429" t="s">
        <v>221</v>
      </c>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18">
        <v>44900.0</v>
      </c>
      <c r="B2" s="19">
        <v>1.0</v>
      </c>
      <c r="C2" s="20" t="s">
        <v>12</v>
      </c>
      <c r="D2" s="20" t="s">
        <v>13</v>
      </c>
      <c r="E2" s="21" t="s">
        <v>5391</v>
      </c>
      <c r="F2" s="22"/>
      <c r="G2" s="23" t="s">
        <v>5392</v>
      </c>
      <c r="H2" s="24"/>
      <c r="I2" s="25"/>
      <c r="J2" s="21" t="s">
        <v>5393</v>
      </c>
      <c r="K2" s="24"/>
      <c r="L2" s="24"/>
      <c r="M2" s="25"/>
      <c r="N2" s="21" t="s">
        <v>5394</v>
      </c>
      <c r="O2" s="25"/>
      <c r="P2" s="21" t="s">
        <v>5395</v>
      </c>
      <c r="Q2" s="25"/>
      <c r="R2" s="21" t="s">
        <v>5396</v>
      </c>
      <c r="S2" s="25"/>
      <c r="T2" s="21" t="s">
        <v>5397</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5398</v>
      </c>
      <c r="F3" s="34" t="s">
        <v>5399</v>
      </c>
      <c r="G3" s="35" t="s">
        <v>25</v>
      </c>
      <c r="H3" s="36"/>
      <c r="I3" s="13"/>
      <c r="J3" s="37" t="s">
        <v>5400</v>
      </c>
      <c r="K3" s="13"/>
      <c r="L3" s="38" t="s">
        <v>5401</v>
      </c>
      <c r="M3" s="13"/>
      <c r="N3" s="37" t="s">
        <v>5402</v>
      </c>
      <c r="O3" s="13"/>
      <c r="P3" s="37" t="s">
        <v>5403</v>
      </c>
      <c r="Q3" s="13"/>
      <c r="R3" s="39" t="s">
        <v>5404</v>
      </c>
      <c r="S3" s="40" t="s">
        <v>5405</v>
      </c>
      <c r="T3" s="37" t="s">
        <v>5406</v>
      </c>
      <c r="U3" s="36"/>
      <c r="V3" s="41"/>
      <c r="W3" s="26"/>
      <c r="X3" s="42" t="s">
        <v>21</v>
      </c>
      <c r="Y3" s="42" t="s">
        <v>22</v>
      </c>
      <c r="Z3" s="28"/>
      <c r="AA3" s="14"/>
      <c r="AB3" s="15" t="str">
        <f>IFERROR(__xludf.DUMMYFUNCTION("join("","",filter(split($H$83,"",""),ARRAYFORMULA(ISERROR(FIND(split($H$83,"",""),CONCATENATE(E3:V3))))=TRUE))"),"201,206,404,405,406,410,АЗ")</f>
        <v>201,206,404,405,406,410,АЗ</v>
      </c>
      <c r="AC3" s="14"/>
      <c r="AD3" s="14"/>
      <c r="AE3" s="14"/>
      <c r="AF3" s="29"/>
      <c r="AG3" s="29"/>
      <c r="AH3" s="29"/>
    </row>
    <row r="4" ht="40.5" hidden="1" customHeight="1">
      <c r="A4" s="30"/>
      <c r="B4" s="31">
        <v>3.0</v>
      </c>
      <c r="C4" s="32" t="s">
        <v>33</v>
      </c>
      <c r="D4" s="32" t="s">
        <v>34</v>
      </c>
      <c r="E4" s="33" t="s">
        <v>5407</v>
      </c>
      <c r="F4" s="126" t="s">
        <v>5408</v>
      </c>
      <c r="G4" s="43" t="s">
        <v>5409</v>
      </c>
      <c r="H4" s="44" t="s">
        <v>5410</v>
      </c>
      <c r="I4" s="45" t="s">
        <v>5411</v>
      </c>
      <c r="J4" s="46" t="s">
        <v>5412</v>
      </c>
      <c r="K4" s="13"/>
      <c r="L4" s="45" t="s">
        <v>5413</v>
      </c>
      <c r="M4" s="13"/>
      <c r="N4" s="37" t="s">
        <v>5414</v>
      </c>
      <c r="O4" s="13"/>
      <c r="P4" s="37" t="s">
        <v>5415</v>
      </c>
      <c r="Q4" s="13"/>
      <c r="R4" s="39" t="s">
        <v>5416</v>
      </c>
      <c r="S4" s="40" t="s">
        <v>5417</v>
      </c>
      <c r="T4" s="37" t="s">
        <v>5418</v>
      </c>
      <c r="U4" s="36"/>
      <c r="V4" s="41"/>
      <c r="W4" s="26"/>
      <c r="X4" s="42" t="s">
        <v>33</v>
      </c>
      <c r="Y4" s="42" t="s">
        <v>34</v>
      </c>
      <c r="Z4" s="48" t="s">
        <v>47</v>
      </c>
      <c r="AA4" s="14"/>
      <c r="AB4" s="15" t="str">
        <f>IFERROR(__xludf.DUMMYFUNCTION("join("","",filter(split($H$83,"",""),ARRAYFORMULA(ISERROR(FIND(split($H$83,"",""),CONCATENATE(E4:V4))))=TRUE))"),"КЗ,201,206,404,406,АЗ")</f>
        <v>КЗ,201,206,404,406,АЗ</v>
      </c>
      <c r="AC4" s="14"/>
      <c r="AD4" s="14"/>
      <c r="AE4" s="14"/>
      <c r="AF4" s="29"/>
      <c r="AG4" s="29"/>
      <c r="AH4" s="29"/>
    </row>
    <row r="5" ht="40.5" hidden="1" customHeight="1">
      <c r="A5" s="30"/>
      <c r="B5" s="31">
        <v>4.0</v>
      </c>
      <c r="C5" s="32" t="s">
        <v>48</v>
      </c>
      <c r="D5" s="32" t="s">
        <v>49</v>
      </c>
      <c r="E5" s="33" t="s">
        <v>5419</v>
      </c>
      <c r="F5" s="126" t="s">
        <v>5420</v>
      </c>
      <c r="G5" s="43" t="s">
        <v>5421</v>
      </c>
      <c r="H5" s="45" t="s">
        <v>5422</v>
      </c>
      <c r="I5" s="13"/>
      <c r="J5" s="33" t="s">
        <v>5423</v>
      </c>
      <c r="K5" s="44" t="s">
        <v>5424</v>
      </c>
      <c r="L5" s="44" t="s">
        <v>5425</v>
      </c>
      <c r="M5" s="45" t="s">
        <v>5426</v>
      </c>
      <c r="N5" s="37" t="s">
        <v>5427</v>
      </c>
      <c r="O5" s="13"/>
      <c r="P5" s="37" t="s">
        <v>5428</v>
      </c>
      <c r="Q5" s="13"/>
      <c r="R5" s="51" t="s">
        <v>5429</v>
      </c>
      <c r="S5" s="13"/>
      <c r="T5" s="52" t="s">
        <v>5430</v>
      </c>
      <c r="U5" s="36"/>
      <c r="V5" s="41"/>
      <c r="W5" s="26"/>
      <c r="X5" s="42" t="s">
        <v>48</v>
      </c>
      <c r="Y5" s="42" t="s">
        <v>49</v>
      </c>
      <c r="Z5" s="48" t="s">
        <v>57</v>
      </c>
      <c r="AA5" s="14"/>
      <c r="AB5" s="15" t="str">
        <f>IFERROR(__xludf.DUMMYFUNCTION("join("","",filter(split($H$83,"",""),ARRAYFORMULA(ISERROR(FIND(split($H$83,"",""),CONCATENATE(E5:V5))))=TRUE))"),"СЗ,КЗ,206,401,406,408")</f>
        <v>СЗ,КЗ,206,401,406,408</v>
      </c>
      <c r="AC5" s="14"/>
      <c r="AD5" s="14"/>
      <c r="AE5" s="14"/>
      <c r="AF5" s="29"/>
      <c r="AG5" s="29"/>
      <c r="AH5" s="29"/>
    </row>
    <row r="6" ht="40.5" hidden="1" customHeight="1">
      <c r="A6" s="30"/>
      <c r="B6" s="31">
        <v>5.0</v>
      </c>
      <c r="C6" s="32" t="s">
        <v>58</v>
      </c>
      <c r="D6" s="53">
        <v>44847.0</v>
      </c>
      <c r="E6" s="316" t="s">
        <v>5431</v>
      </c>
      <c r="F6" s="34" t="s">
        <v>5432</v>
      </c>
      <c r="G6" s="43" t="s">
        <v>5433</v>
      </c>
      <c r="H6" s="45" t="s">
        <v>5434</v>
      </c>
      <c r="I6" s="13"/>
      <c r="J6" s="33" t="s">
        <v>5435</v>
      </c>
      <c r="K6" s="44" t="s">
        <v>5436</v>
      </c>
      <c r="L6" s="44" t="s">
        <v>5437</v>
      </c>
      <c r="M6" s="45" t="s">
        <v>5438</v>
      </c>
      <c r="N6" s="37" t="s">
        <v>5439</v>
      </c>
      <c r="O6" s="13"/>
      <c r="P6" s="37" t="s">
        <v>5440</v>
      </c>
      <c r="Q6" s="13"/>
      <c r="R6" s="51" t="s">
        <v>5441</v>
      </c>
      <c r="S6" s="13"/>
      <c r="T6" s="52" t="s">
        <v>5442</v>
      </c>
      <c r="U6" s="36"/>
      <c r="V6" s="41"/>
      <c r="W6" s="26"/>
      <c r="X6" s="42" t="s">
        <v>58</v>
      </c>
      <c r="Y6" s="54">
        <v>44847.0</v>
      </c>
      <c r="Z6" s="48" t="s">
        <v>70</v>
      </c>
      <c r="AA6" s="14"/>
      <c r="AB6" s="15" t="str">
        <f>IFERROR(__xludf.DUMMYFUNCTION("join("","",filter(split($H$83,"",""),ARRAYFORMULA(ISERROR(FIND(split($H$83,"",""),CONCATENATE(E6:V6))))=TRUE))"),"СЗ,КЗ,206,406,408,409")</f>
        <v>СЗ,КЗ,206,406,408,409</v>
      </c>
      <c r="AC6" s="14"/>
      <c r="AD6" s="14"/>
      <c r="AE6" s="14"/>
      <c r="AF6" s="29"/>
      <c r="AG6" s="29"/>
      <c r="AH6" s="29"/>
    </row>
    <row r="7" ht="42.0" hidden="1" customHeight="1">
      <c r="A7" s="30"/>
      <c r="B7" s="31">
        <v>6.0</v>
      </c>
      <c r="C7" s="55" t="s">
        <v>71</v>
      </c>
      <c r="D7" s="56" t="s">
        <v>72</v>
      </c>
      <c r="E7" s="316" t="s">
        <v>5443</v>
      </c>
      <c r="F7" s="34" t="s">
        <v>5444</v>
      </c>
      <c r="G7" s="43" t="s">
        <v>5445</v>
      </c>
      <c r="H7" s="45" t="s">
        <v>5446</v>
      </c>
      <c r="I7" s="13"/>
      <c r="J7" s="37" t="s">
        <v>5447</v>
      </c>
      <c r="K7" s="13"/>
      <c r="L7" s="45" t="s">
        <v>5448</v>
      </c>
      <c r="M7" s="13"/>
      <c r="N7" s="37" t="s">
        <v>5449</v>
      </c>
      <c r="O7" s="13"/>
      <c r="P7" s="37" t="s">
        <v>5450</v>
      </c>
      <c r="Q7" s="13"/>
      <c r="R7" s="57" t="s">
        <v>5451</v>
      </c>
      <c r="T7" s="33" t="s">
        <v>5452</v>
      </c>
      <c r="U7" s="45" t="s">
        <v>5453</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t="42.0" hidden="1" customHeight="1">
      <c r="A8" s="30"/>
      <c r="B8" s="31">
        <v>7.0</v>
      </c>
      <c r="C8" s="32" t="s">
        <v>85</v>
      </c>
      <c r="D8" s="32" t="s">
        <v>86</v>
      </c>
      <c r="E8" s="318" t="s">
        <v>5454</v>
      </c>
      <c r="F8" s="319" t="s">
        <v>5455</v>
      </c>
      <c r="G8" s="43" t="s">
        <v>5456</v>
      </c>
      <c r="H8" s="45" t="s">
        <v>5457</v>
      </c>
      <c r="I8" s="13"/>
      <c r="J8" s="37" t="s">
        <v>5458</v>
      </c>
      <c r="K8" s="13"/>
      <c r="L8" s="45" t="s">
        <v>5459</v>
      </c>
      <c r="M8" s="13"/>
      <c r="N8" s="37" t="s">
        <v>5460</v>
      </c>
      <c r="O8" s="13"/>
      <c r="P8" s="37" t="s">
        <v>5461</v>
      </c>
      <c r="Q8" s="13"/>
      <c r="R8" s="37" t="s">
        <v>5462</v>
      </c>
      <c r="S8" s="13"/>
      <c r="T8" s="43" t="s">
        <v>5463</v>
      </c>
      <c r="U8" s="45" t="s">
        <v>5464</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hidden="1" customHeight="1">
      <c r="A9" s="30"/>
      <c r="B9" s="31">
        <v>8.0</v>
      </c>
      <c r="C9" s="32" t="s">
        <v>98</v>
      </c>
      <c r="D9" s="32" t="s">
        <v>99</v>
      </c>
      <c r="E9" s="320" t="s">
        <v>5465</v>
      </c>
      <c r="F9" s="276" t="s">
        <v>5466</v>
      </c>
      <c r="G9" s="43" t="s">
        <v>5467</v>
      </c>
      <c r="H9" s="45" t="s">
        <v>5468</v>
      </c>
      <c r="I9" s="13"/>
      <c r="J9" s="37" t="s">
        <v>5469</v>
      </c>
      <c r="K9" s="13"/>
      <c r="L9" s="45" t="s">
        <v>5470</v>
      </c>
      <c r="M9" s="13"/>
      <c r="N9" s="61" t="s">
        <v>5471</v>
      </c>
      <c r="O9" s="13"/>
      <c r="P9" s="62" t="s">
        <v>5472</v>
      </c>
      <c r="Q9" s="45" t="s">
        <v>5473</v>
      </c>
      <c r="R9" s="63" t="s">
        <v>108</v>
      </c>
      <c r="S9" s="64"/>
      <c r="T9" s="64"/>
      <c r="U9" s="64"/>
      <c r="V9" s="64"/>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54.75" hidden="1" customHeight="1">
      <c r="A10" s="30"/>
      <c r="B10" s="31">
        <v>9.0</v>
      </c>
      <c r="C10" s="65">
        <v>44697.0</v>
      </c>
      <c r="D10" s="44" t="s">
        <v>109</v>
      </c>
      <c r="E10" s="66" t="s">
        <v>5474</v>
      </c>
      <c r="F10" s="67"/>
      <c r="G10" s="43" t="s">
        <v>5475</v>
      </c>
      <c r="H10" s="45" t="s">
        <v>5476</v>
      </c>
      <c r="I10" s="13"/>
      <c r="J10" s="37" t="s">
        <v>5477</v>
      </c>
      <c r="K10" s="13"/>
      <c r="L10" s="45" t="s">
        <v>5478</v>
      </c>
      <c r="M10" s="13"/>
      <c r="N10" s="61" t="s">
        <v>5479</v>
      </c>
      <c r="O10" s="13"/>
      <c r="P10" s="62" t="s">
        <v>5480</v>
      </c>
      <c r="Q10" s="68" t="s">
        <v>117</v>
      </c>
      <c r="R10" s="37" t="s">
        <v>5481</v>
      </c>
      <c r="S10" s="68" t="s">
        <v>5482</v>
      </c>
      <c r="T10" s="36"/>
      <c r="U10" s="36"/>
      <c r="V10" s="41"/>
      <c r="W10" s="26"/>
      <c r="X10" s="69">
        <v>44697.0</v>
      </c>
      <c r="Y10" s="70" t="s">
        <v>109</v>
      </c>
      <c r="Z10" s="28"/>
      <c r="AA10" s="14"/>
      <c r="AB10" s="15" t="str">
        <f>IFERROR(__xludf.DUMMYFUNCTION("join("","",filter(split($H$83,"",""),ARRAYFORMULA(ISERROR(FIND(split($H$83,"",""),CONCATENATE(E10:V10))))=TRUE))"),"КЗ,206,210,403,405,406,408,409,АЗ")</f>
        <v>КЗ,206,210,403,405,406,408,409,АЗ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5483</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18">
        <v>44901.0</v>
      </c>
      <c r="B13" s="19">
        <v>1.0</v>
      </c>
      <c r="C13" s="20" t="s">
        <v>12</v>
      </c>
      <c r="D13" s="20" t="s">
        <v>13</v>
      </c>
      <c r="E13" s="80" t="s">
        <v>5484</v>
      </c>
      <c r="F13" s="25"/>
      <c r="G13" s="81" t="s">
        <v>5485</v>
      </c>
      <c r="H13" s="80" t="s">
        <v>5486</v>
      </c>
      <c r="I13" s="22"/>
      <c r="J13" s="23" t="s">
        <v>5487</v>
      </c>
      <c r="K13" s="25"/>
      <c r="L13" s="80" t="s">
        <v>5488</v>
      </c>
      <c r="M13" s="25"/>
      <c r="N13" s="82" t="s">
        <v>5489</v>
      </c>
      <c r="O13" s="25"/>
      <c r="P13" s="21" t="s">
        <v>5490</v>
      </c>
      <c r="Q13" s="22"/>
      <c r="R13" s="23" t="s">
        <v>5491</v>
      </c>
      <c r="S13" s="22"/>
      <c r="T13" s="84" t="s">
        <v>5492</v>
      </c>
      <c r="U13" s="80" t="s">
        <v>5493</v>
      </c>
      <c r="V13" s="22"/>
      <c r="W13" s="26"/>
      <c r="X13" s="27" t="s">
        <v>12</v>
      </c>
      <c r="Y13" s="27" t="s">
        <v>13</v>
      </c>
      <c r="Z13" s="28"/>
      <c r="AA13" s="85"/>
      <c r="AB13" s="15" t="str">
        <f>IFERROR(__xludf.DUMMYFUNCTION("join("","",filter(split($H$83,"",""),ARRAYFORMULA(ISERROR(FIND(split($H$83,"",""),CONCATENATE(E13:V13))))=TRUE))"),"СЗ,КЗ,202,206,403,410,АЗ")</f>
        <v>СЗ,КЗ,202,206,403,410,АЗ</v>
      </c>
      <c r="AC13" s="14"/>
      <c r="AD13" s="14"/>
      <c r="AE13" s="14"/>
      <c r="AF13" s="29"/>
      <c r="AG13" s="29"/>
      <c r="AH13" s="29"/>
    </row>
    <row r="14" ht="40.5" hidden="1" customHeight="1">
      <c r="A14" s="30"/>
      <c r="B14" s="31">
        <v>2.0</v>
      </c>
      <c r="C14" s="32" t="s">
        <v>21</v>
      </c>
      <c r="D14" s="32" t="s">
        <v>22</v>
      </c>
      <c r="E14" s="45" t="s">
        <v>5494</v>
      </c>
      <c r="F14" s="13"/>
      <c r="G14" s="46" t="s">
        <v>5495</v>
      </c>
      <c r="H14" s="86" t="s">
        <v>5496</v>
      </c>
      <c r="I14" s="41"/>
      <c r="J14" s="35" t="s">
        <v>5497</v>
      </c>
      <c r="K14" s="13"/>
      <c r="L14" s="45" t="s">
        <v>5498</v>
      </c>
      <c r="M14" s="13"/>
      <c r="N14" s="87" t="s">
        <v>5499</v>
      </c>
      <c r="O14" s="13"/>
      <c r="P14" s="37" t="s">
        <v>5500</v>
      </c>
      <c r="Q14" s="41"/>
      <c r="R14" s="35" t="s">
        <v>5501</v>
      </c>
      <c r="S14" s="41"/>
      <c r="T14" s="43" t="s">
        <v>5502</v>
      </c>
      <c r="U14" s="45" t="s">
        <v>5503</v>
      </c>
      <c r="V14" s="41"/>
      <c r="W14" s="26"/>
      <c r="X14" s="42" t="s">
        <v>21</v>
      </c>
      <c r="Y14" s="42" t="s">
        <v>22</v>
      </c>
      <c r="Z14" s="28"/>
      <c r="AA14" s="85"/>
      <c r="AB14" s="15" t="str">
        <f>IFERROR(__xludf.DUMMYFUNCTION("join("","",filter(split($H$83,"",""),ARRAYFORMULA(ISERROR(FIND(split($H$83,"",""),CONCATENATE(E14:V14))))=TRUE))"),"СЗ,КЗ,202,206,403,410,АЗ")</f>
        <v>СЗ,КЗ,202,206,403,410,АЗ</v>
      </c>
      <c r="AC14" s="14"/>
      <c r="AD14" s="14"/>
      <c r="AE14" s="14"/>
      <c r="AF14" s="29"/>
      <c r="AG14" s="29"/>
      <c r="AH14" s="29"/>
    </row>
    <row r="15" ht="40.5" hidden="1" customHeight="1">
      <c r="A15" s="30"/>
      <c r="B15" s="31">
        <v>3.0</v>
      </c>
      <c r="C15" s="32" t="s">
        <v>33</v>
      </c>
      <c r="D15" s="32" t="s">
        <v>34</v>
      </c>
      <c r="E15" s="40" t="s">
        <v>5504</v>
      </c>
      <c r="F15" s="13"/>
      <c r="G15" s="37" t="s">
        <v>5505</v>
      </c>
      <c r="H15" s="36"/>
      <c r="I15" s="41"/>
      <c r="J15" s="35" t="s">
        <v>5506</v>
      </c>
      <c r="K15" s="13"/>
      <c r="L15" s="45" t="s">
        <v>5507</v>
      </c>
      <c r="M15" s="13"/>
      <c r="N15" s="89" t="s">
        <v>5508</v>
      </c>
      <c r="O15" s="13"/>
      <c r="P15" s="37" t="s">
        <v>5509</v>
      </c>
      <c r="Q15" s="41"/>
      <c r="R15" s="43" t="s">
        <v>5510</v>
      </c>
      <c r="S15" s="34" t="s">
        <v>5511</v>
      </c>
      <c r="T15" s="91" t="s">
        <v>5512</v>
      </c>
      <c r="U15" s="36"/>
      <c r="V15" s="41"/>
      <c r="W15" s="26"/>
      <c r="X15" s="42" t="s">
        <v>33</v>
      </c>
      <c r="Y15" s="42" t="s">
        <v>34</v>
      </c>
      <c r="Z15" s="48" t="s">
        <v>47</v>
      </c>
      <c r="AA15" s="85" t="str">
        <f>AA$5</f>
        <v/>
      </c>
      <c r="AB15" s="15" t="str">
        <f>IFERROR(__xludf.DUMMYFUNCTION("join("","",filter(split($H$83,"",""),ARRAYFORMULA(ISERROR(FIND(split($H$83,"",""),CONCATENATE(E15:V15))))=TRUE))"),"КЗ,201,206,210,403,408,410,АЗ")</f>
        <v>КЗ,201,206,210,403,408,410,АЗ</v>
      </c>
      <c r="AC15" s="14"/>
      <c r="AD15" s="14"/>
      <c r="AE15" s="14"/>
      <c r="AF15" s="29"/>
      <c r="AG15" s="29"/>
      <c r="AH15" s="29"/>
    </row>
    <row r="16" ht="40.5" hidden="1" customHeight="1">
      <c r="A16" s="30"/>
      <c r="B16" s="31">
        <v>4.0</v>
      </c>
      <c r="C16" s="32" t="s">
        <v>48</v>
      </c>
      <c r="D16" s="32" t="s">
        <v>49</v>
      </c>
      <c r="E16" s="40" t="s">
        <v>5513</v>
      </c>
      <c r="F16" s="13"/>
      <c r="G16" s="37" t="s">
        <v>5514</v>
      </c>
      <c r="H16" s="36"/>
      <c r="I16" s="41"/>
      <c r="J16" s="35" t="s">
        <v>5515</v>
      </c>
      <c r="K16" s="13"/>
      <c r="L16" s="45" t="s">
        <v>5516</v>
      </c>
      <c r="M16" s="13"/>
      <c r="N16" s="89" t="s">
        <v>5517</v>
      </c>
      <c r="O16" s="13"/>
      <c r="P16" s="37" t="s">
        <v>160</v>
      </c>
      <c r="Q16" s="41"/>
      <c r="R16" s="43" t="s">
        <v>5518</v>
      </c>
      <c r="S16" s="34" t="s">
        <v>5519</v>
      </c>
      <c r="T16" s="91" t="s">
        <v>5520</v>
      </c>
      <c r="U16" s="36"/>
      <c r="V16" s="41"/>
      <c r="W16" s="26"/>
      <c r="X16" s="42" t="s">
        <v>48</v>
      </c>
      <c r="Y16" s="42" t="s">
        <v>49</v>
      </c>
      <c r="Z16" s="48" t="s">
        <v>57</v>
      </c>
      <c r="AA16" s="85" t="str">
        <f>AA$6</f>
        <v/>
      </c>
      <c r="AB16" s="15" t="str">
        <f>IFERROR(__xludf.DUMMYFUNCTION("join("","",filter(split($H$83,"",""),ARRAYFORMULA(ISERROR(FIND(split($H$83,"",""),CONCATENATE(E16:V16))))=TRUE))"),"КЗ,201,206,210,403,408,410,АЗ")</f>
        <v>КЗ,201,206,210,403,408,410,АЗ</v>
      </c>
      <c r="AC16" s="14"/>
      <c r="AD16" s="14"/>
      <c r="AE16" s="14"/>
      <c r="AF16" s="29"/>
      <c r="AG16" s="29"/>
      <c r="AH16" s="29"/>
    </row>
    <row r="17" ht="40.5" hidden="1" customHeight="1">
      <c r="A17" s="30"/>
      <c r="B17" s="31">
        <v>5.0</v>
      </c>
      <c r="C17" s="32" t="s">
        <v>58</v>
      </c>
      <c r="D17" s="53">
        <v>44847.0</v>
      </c>
      <c r="E17" s="45" t="s">
        <v>5521</v>
      </c>
      <c r="F17" s="13"/>
      <c r="G17" s="33" t="s">
        <v>5522</v>
      </c>
      <c r="H17" s="45" t="s">
        <v>5523</v>
      </c>
      <c r="I17" s="41"/>
      <c r="J17" s="35" t="s">
        <v>5524</v>
      </c>
      <c r="K17" s="13"/>
      <c r="L17" s="40" t="s">
        <v>5525</v>
      </c>
      <c r="M17" s="13"/>
      <c r="N17" s="45" t="s">
        <v>5526</v>
      </c>
      <c r="O17" s="13"/>
      <c r="P17" s="33" t="s">
        <v>5527</v>
      </c>
      <c r="Q17" s="34" t="s">
        <v>5528</v>
      </c>
      <c r="R17" s="326" t="s">
        <v>5529</v>
      </c>
      <c r="S17" s="92" t="s">
        <v>5530</v>
      </c>
      <c r="T17" s="93" t="s">
        <v>5531</v>
      </c>
      <c r="U17" s="36"/>
      <c r="V17" s="41"/>
      <c r="W17" s="26"/>
      <c r="X17" s="42" t="s">
        <v>58</v>
      </c>
      <c r="Y17" s="54">
        <v>44847.0</v>
      </c>
      <c r="Z17" s="48" t="s">
        <v>70</v>
      </c>
      <c r="AA17" s="85" t="str">
        <f>AA$7</f>
        <v/>
      </c>
      <c r="AB17" s="15" t="str">
        <f>IFERROR(__xludf.DUMMYFUNCTION("join("","",filter(split($H$83,"",""),ARRAYFORMULA(ISERROR(FIND(split($H$83,"",""),CONCATENATE(E17:V17))))=TRUE))"),"СЗ,206,403,408,410,АЗ")</f>
        <v>СЗ,206,403,408,410,АЗ</v>
      </c>
      <c r="AC17" s="14"/>
      <c r="AD17" s="14"/>
      <c r="AE17" s="14"/>
      <c r="AF17" s="29"/>
      <c r="AG17" s="29"/>
      <c r="AH17" s="29"/>
    </row>
    <row r="18" ht="40.5" hidden="1" customHeight="1">
      <c r="A18" s="30"/>
      <c r="B18" s="31">
        <v>6.0</v>
      </c>
      <c r="C18" s="55" t="s">
        <v>71</v>
      </c>
      <c r="D18" s="56" t="s">
        <v>72</v>
      </c>
      <c r="E18" s="45" t="s">
        <v>5532</v>
      </c>
      <c r="F18" s="13"/>
      <c r="G18" s="33" t="s">
        <v>5533</v>
      </c>
      <c r="H18" s="45" t="s">
        <v>5534</v>
      </c>
      <c r="I18" s="41"/>
      <c r="J18" s="35" t="s">
        <v>5535</v>
      </c>
      <c r="K18" s="13"/>
      <c r="L18" s="40" t="s">
        <v>5536</v>
      </c>
      <c r="M18" s="13"/>
      <c r="N18" s="45" t="s">
        <v>5537</v>
      </c>
      <c r="O18" s="13"/>
      <c r="P18" s="33" t="s">
        <v>5538</v>
      </c>
      <c r="Q18" s="34" t="s">
        <v>5539</v>
      </c>
      <c r="R18" s="326" t="s">
        <v>5540</v>
      </c>
      <c r="S18" s="92" t="s">
        <v>5541</v>
      </c>
      <c r="T18" s="93" t="s">
        <v>5542</v>
      </c>
      <c r="U18" s="36"/>
      <c r="V18" s="41"/>
      <c r="W18" s="26"/>
      <c r="X18" s="58" t="s">
        <v>71</v>
      </c>
      <c r="Y18" s="59" t="s">
        <v>72</v>
      </c>
      <c r="Z18" s="48" t="s">
        <v>84</v>
      </c>
      <c r="AA18" s="85" t="str">
        <f>AA$8</f>
        <v/>
      </c>
      <c r="AB18" s="15" t="str">
        <f>IFERROR(__xludf.DUMMYFUNCTION("join("","",filter(split($H$83,"",""),ARRAYFORMULA(ISERROR(FIND(split($H$83,"",""),CONCATENATE(E18:V18))))=TRUE))"),"СЗ,206,403,408,410,АЗ")</f>
        <v>СЗ,206,403,408,410,АЗ</v>
      </c>
      <c r="AC18" s="14"/>
      <c r="AD18" s="14"/>
      <c r="AE18" s="14"/>
      <c r="AF18" s="29"/>
      <c r="AG18" s="29"/>
      <c r="AH18" s="29"/>
    </row>
    <row r="19" ht="40.5" hidden="1" customHeight="1">
      <c r="A19" s="30"/>
      <c r="B19" s="31">
        <v>7.0</v>
      </c>
      <c r="C19" s="32" t="s">
        <v>85</v>
      </c>
      <c r="D19" s="32" t="s">
        <v>86</v>
      </c>
      <c r="E19" s="94" t="s">
        <v>5543</v>
      </c>
      <c r="F19" s="13"/>
      <c r="G19" s="33" t="s">
        <v>5544</v>
      </c>
      <c r="H19" s="45" t="s">
        <v>5545</v>
      </c>
      <c r="I19" s="41"/>
      <c r="J19" s="95" t="s">
        <v>5546</v>
      </c>
      <c r="K19" s="13"/>
      <c r="L19" s="45" t="s">
        <v>5547</v>
      </c>
      <c r="M19" s="13"/>
      <c r="N19" s="45" t="s">
        <v>5548</v>
      </c>
      <c r="O19" s="13"/>
      <c r="P19" s="37" t="s">
        <v>5549</v>
      </c>
      <c r="Q19" s="41"/>
      <c r="R19" s="96" t="s">
        <v>5550</v>
      </c>
      <c r="S19" s="97" t="s">
        <v>5551</v>
      </c>
      <c r="T19" s="93" t="s">
        <v>5552</v>
      </c>
      <c r="U19" s="36"/>
      <c r="V19" s="41"/>
      <c r="W19" s="26"/>
      <c r="X19" s="42" t="s">
        <v>85</v>
      </c>
      <c r="Y19" s="42" t="s">
        <v>86</v>
      </c>
      <c r="Z19" s="48" t="s">
        <v>97</v>
      </c>
      <c r="AA19" s="85" t="str">
        <f>AA$9</f>
        <v/>
      </c>
      <c r="AB19" s="15" t="str">
        <f>IFERROR(__xludf.DUMMYFUNCTION("join("","",filter(split($H$83,"",""),ARRAYFORMULA(ISERROR(FIND(split($H$83,"",""),CONCATENATE(E19:V19))))=TRUE))"),"СЗ,206,403,404,405,410,АЗ")</f>
        <v>СЗ,206,403,404,405,410,АЗ</v>
      </c>
      <c r="AC19" s="14"/>
      <c r="AD19" s="14"/>
      <c r="AE19" s="14"/>
      <c r="AF19" s="29"/>
      <c r="AG19" s="29"/>
      <c r="AH19" s="29"/>
    </row>
    <row r="20" ht="40.5" hidden="1" customHeight="1">
      <c r="A20" s="30"/>
      <c r="B20" s="31">
        <v>8.0</v>
      </c>
      <c r="C20" s="32" t="s">
        <v>98</v>
      </c>
      <c r="D20" s="32" t="s">
        <v>99</v>
      </c>
      <c r="E20" s="94" t="s">
        <v>5553</v>
      </c>
      <c r="F20" s="13"/>
      <c r="G20" s="33" t="s">
        <v>5554</v>
      </c>
      <c r="H20" s="45" t="s">
        <v>5555</v>
      </c>
      <c r="I20" s="41"/>
      <c r="J20" s="95" t="s">
        <v>5556</v>
      </c>
      <c r="K20" s="13"/>
      <c r="L20" s="45" t="s">
        <v>5557</v>
      </c>
      <c r="M20" s="13"/>
      <c r="N20" s="45" t="s">
        <v>5558</v>
      </c>
      <c r="O20" s="13"/>
      <c r="P20" s="37" t="s">
        <v>5559</v>
      </c>
      <c r="Q20" s="41"/>
      <c r="R20" s="96" t="s">
        <v>5560</v>
      </c>
      <c r="S20" s="97" t="s">
        <v>5561</v>
      </c>
      <c r="T20" s="93" t="s">
        <v>5562</v>
      </c>
      <c r="U20" s="36"/>
      <c r="V20" s="41"/>
      <c r="W20" s="26"/>
      <c r="X20" s="42" t="s">
        <v>98</v>
      </c>
      <c r="Y20" s="42" t="s">
        <v>99</v>
      </c>
      <c r="Z20" s="11"/>
      <c r="AA20" s="98"/>
      <c r="AB20" s="15" t="str">
        <f>IFERROR(__xludf.DUMMYFUNCTION("join("","",filter(split($H$83,"",""),ARRAYFORMULA(ISERROR(FIND(split($H$83,"",""),CONCATENATE(E20:V20))))=TRUE))"),"СЗ,206,403,404,405,410,АЗ")</f>
        <v>СЗ,206,403,404,405,410,АЗ</v>
      </c>
      <c r="AC20" s="14"/>
      <c r="AD20" s="14"/>
      <c r="AE20" s="14"/>
      <c r="AF20" s="29"/>
      <c r="AG20" s="29"/>
      <c r="AH20" s="29"/>
    </row>
    <row r="21" ht="40.5" hidden="1" customHeight="1">
      <c r="A21" s="30"/>
      <c r="B21" s="31">
        <v>9.0</v>
      </c>
      <c r="C21" s="65">
        <v>44697.0</v>
      </c>
      <c r="D21" s="44" t="s">
        <v>109</v>
      </c>
      <c r="E21" s="99" t="s">
        <v>206</v>
      </c>
      <c r="F21" s="4"/>
      <c r="G21" s="39" t="s">
        <v>207</v>
      </c>
      <c r="H21" s="101" t="s">
        <v>208</v>
      </c>
      <c r="I21" s="36"/>
      <c r="J21" s="36"/>
      <c r="K21" s="36"/>
      <c r="L21" s="36"/>
      <c r="M21" s="13"/>
      <c r="N21" s="45" t="s">
        <v>5563</v>
      </c>
      <c r="O21" s="13"/>
      <c r="P21" s="102" t="s">
        <v>5564</v>
      </c>
      <c r="Q21" s="41"/>
      <c r="R21" s="35" t="s">
        <v>211</v>
      </c>
      <c r="S21" s="41"/>
      <c r="T21" s="103" t="s">
        <v>5565</v>
      </c>
      <c r="U21" s="36"/>
      <c r="V21" s="41"/>
      <c r="W21" s="26"/>
      <c r="X21" s="69">
        <v>44697.0</v>
      </c>
      <c r="Y21" s="70" t="s">
        <v>109</v>
      </c>
      <c r="Z21" s="28"/>
      <c r="AA21" s="98"/>
      <c r="AB21" s="15" t="str">
        <f>IFERROR(__xludf.DUMMYFUNCTION("join("","",filter(split($H$83,"",""),ARRAYFORMULA(ISERROR(FIND(split($H$83,"",""),CONCATENATE(E21:V21))))=TRUE))"),"201,206,210,401,403,404,405,406,408,АЗ")</f>
        <v>201,206,210,401,403,404,405,406,408,АЗ</v>
      </c>
      <c r="AC21" s="14"/>
      <c r="AD21" s="14"/>
      <c r="AE21" s="14"/>
      <c r="AF21" s="29"/>
      <c r="AG21" s="29"/>
      <c r="AH21" s="29"/>
    </row>
    <row r="22" ht="40.5" hidden="1" customHeight="1">
      <c r="A22" s="30"/>
      <c r="B22" s="31">
        <v>10.0</v>
      </c>
      <c r="C22" s="44" t="s">
        <v>120</v>
      </c>
      <c r="D22" s="44" t="s">
        <v>121</v>
      </c>
      <c r="E22" s="104"/>
      <c r="F22" s="72"/>
      <c r="G22" s="39" t="s">
        <v>207</v>
      </c>
      <c r="H22" s="106" t="s">
        <v>3033</v>
      </c>
      <c r="I22" s="36"/>
      <c r="J22" s="36"/>
      <c r="K22" s="36"/>
      <c r="L22" s="36"/>
      <c r="M22" s="13"/>
      <c r="N22" s="45" t="s">
        <v>5566</v>
      </c>
      <c r="O22" s="13"/>
      <c r="P22" s="101" t="s">
        <v>215</v>
      </c>
      <c r="Q22" s="36"/>
      <c r="R22" s="36"/>
      <c r="S22" s="13"/>
      <c r="T22" s="107" t="s">
        <v>5567</v>
      </c>
      <c r="U22" s="36"/>
      <c r="V22" s="41"/>
      <c r="W22" s="26"/>
      <c r="X22" s="70" t="s">
        <v>120</v>
      </c>
      <c r="Y22" s="70" t="s">
        <v>121</v>
      </c>
      <c r="Z22" s="28"/>
      <c r="AA22" s="98"/>
      <c r="AB22" s="15" t="str">
        <f>IFERROR(__xludf.DUMMYFUNCTION("join("","",filter(split($H$83,"",""),ARRAYFORMULA(ISERROR(FIND(split($H$83,"",""),CONCATENATE(E22:V22))))=TRUE))"),"201,202,206,210,401,403,404,405,406,408,409,АЗ")</f>
        <v>201,202,206,210,401,403,404,405,406,408,409,АЗ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5568</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hidden="1" customHeight="1">
      <c r="A24" s="18">
        <v>44902.0</v>
      </c>
      <c r="B24" s="435">
        <v>1.0</v>
      </c>
      <c r="C24" s="20" t="s">
        <v>12</v>
      </c>
      <c r="D24" s="20" t="s">
        <v>13</v>
      </c>
      <c r="E24" s="21" t="s">
        <v>5569</v>
      </c>
      <c r="F24" s="22"/>
      <c r="G24" s="21" t="s">
        <v>5570</v>
      </c>
      <c r="H24" s="24"/>
      <c r="I24" s="25"/>
      <c r="J24" s="118" t="s">
        <v>221</v>
      </c>
      <c r="K24" s="24"/>
      <c r="L24" s="24"/>
      <c r="M24" s="25"/>
      <c r="N24" s="80" t="s">
        <v>5571</v>
      </c>
      <c r="O24" s="25"/>
      <c r="P24" s="585" t="s">
        <v>5572</v>
      </c>
      <c r="Q24" s="24"/>
      <c r="R24" s="24"/>
      <c r="S24" s="22"/>
      <c r="T24" s="591" t="s">
        <v>5573</v>
      </c>
      <c r="U24" s="247"/>
      <c r="V24" s="6"/>
      <c r="W24" s="26"/>
      <c r="X24" s="27" t="s">
        <v>12</v>
      </c>
      <c r="Y24" s="27" t="s">
        <v>13</v>
      </c>
      <c r="Z24" s="28"/>
      <c r="AA24" s="14"/>
      <c r="AB24" s="15" t="str">
        <f>IFERROR(__xludf.DUMMYFUNCTION("join("","",filter(split($H$83,"",""),ARRAYFORMULA(ISERROR(FIND(split($H$83,"",""),CONCATENATE(E24:V24))))=TRUE))"),"СЗ,206,210,401,402,403,404,405,406,408,409,410,АЗ")</f>
        <v>СЗ,206,210,401,402,403,404,405,406,408,409,410,АЗ</v>
      </c>
      <c r="AC24" s="14"/>
      <c r="AD24" s="14"/>
      <c r="AE24" s="14"/>
      <c r="AF24" s="29"/>
      <c r="AG24" s="29"/>
      <c r="AH24" s="29"/>
    </row>
    <row r="25" ht="40.5" hidden="1" customHeight="1">
      <c r="A25" s="30"/>
      <c r="B25" s="436">
        <v>2.0</v>
      </c>
      <c r="C25" s="32" t="s">
        <v>21</v>
      </c>
      <c r="D25" s="32" t="s">
        <v>22</v>
      </c>
      <c r="E25" s="51" t="s">
        <v>5574</v>
      </c>
      <c r="F25" s="41"/>
      <c r="G25" s="89" t="s">
        <v>5575</v>
      </c>
      <c r="H25" s="36"/>
      <c r="I25" s="41"/>
      <c r="J25" s="35" t="s">
        <v>5576</v>
      </c>
      <c r="K25" s="13"/>
      <c r="L25" s="581" t="s">
        <v>5577</v>
      </c>
      <c r="M25" s="13"/>
      <c r="N25" s="40" t="s">
        <v>5578</v>
      </c>
      <c r="O25" s="13"/>
      <c r="P25" s="37" t="s">
        <v>5579</v>
      </c>
      <c r="Q25" s="13"/>
      <c r="R25" s="122" t="s">
        <v>5580</v>
      </c>
      <c r="S25" s="41"/>
      <c r="V25" s="134"/>
      <c r="W25" s="26"/>
      <c r="X25" s="42" t="s">
        <v>21</v>
      </c>
      <c r="Y25" s="42" t="s">
        <v>22</v>
      </c>
      <c r="Z25" s="28"/>
      <c r="AA25" s="14"/>
      <c r="AB25" s="15" t="str">
        <f>IFERROR(__xludf.DUMMYFUNCTION("join("","",filter(split($H$83,"",""),ARRAYFORMULA(ISERROR(FIND(split($H$83,"",""),CONCATENATE(E25:V25))))=TRUE))"),"СЗ,КЗ,206,209,210,403,404,405,408,410,АЗ")</f>
        <v>СЗ,КЗ,206,209,210,403,404,405,408,410,АЗ</v>
      </c>
      <c r="AC25" s="14"/>
      <c r="AD25" s="14"/>
      <c r="AE25" s="14"/>
      <c r="AF25" s="29"/>
      <c r="AG25" s="29"/>
      <c r="AH25" s="29"/>
    </row>
    <row r="26" ht="40.5" hidden="1" customHeight="1">
      <c r="A26" s="30"/>
      <c r="B26" s="436">
        <v>3.0</v>
      </c>
      <c r="C26" s="32" t="s">
        <v>33</v>
      </c>
      <c r="D26" s="32" t="s">
        <v>34</v>
      </c>
      <c r="E26" s="37" t="s">
        <v>5581</v>
      </c>
      <c r="F26" s="41"/>
      <c r="G26" s="51" t="s">
        <v>5582</v>
      </c>
      <c r="H26" s="36"/>
      <c r="I26" s="41"/>
      <c r="J26" s="581" t="s">
        <v>5577</v>
      </c>
      <c r="K26" s="13"/>
      <c r="L26" s="123" t="s">
        <v>5583</v>
      </c>
      <c r="M26" s="41"/>
      <c r="N26" s="40" t="s">
        <v>5584</v>
      </c>
      <c r="O26" s="13"/>
      <c r="P26" s="39" t="s">
        <v>5585</v>
      </c>
      <c r="Q26" s="122" t="s">
        <v>5586</v>
      </c>
      <c r="R26" s="36"/>
      <c r="S26" s="13"/>
      <c r="V26" s="134"/>
      <c r="W26" s="26"/>
      <c r="X26" s="42" t="s">
        <v>33</v>
      </c>
      <c r="Y26" s="42" t="s">
        <v>34</v>
      </c>
      <c r="Z26" s="48" t="s">
        <v>47</v>
      </c>
      <c r="AA26" s="85" t="str">
        <f>AA$5</f>
        <v/>
      </c>
      <c r="AB26" s="15" t="str">
        <f>IFERROR(__xludf.DUMMYFUNCTION("join("","",filter(split($H$83,"",""),ARRAYFORMULA(ISERROR(FIND(split($H$83,"",""),CONCATENATE(E26:V26))))=TRUE))"),"СЗ,КЗ,206,209,210,403,404,405,408,410,АЗ")</f>
        <v>СЗ,КЗ,206,209,210,403,404,405,408,410,АЗ</v>
      </c>
      <c r="AC26" s="14"/>
      <c r="AD26" s="14"/>
      <c r="AE26" s="14"/>
      <c r="AG26" s="29"/>
      <c r="AH26" s="29"/>
    </row>
    <row r="27" ht="54.0" hidden="1" customHeight="1">
      <c r="A27" s="30"/>
      <c r="B27" s="436">
        <v>4.0</v>
      </c>
      <c r="C27" s="32" t="s">
        <v>48</v>
      </c>
      <c r="D27" s="32" t="s">
        <v>49</v>
      </c>
      <c r="E27" s="33" t="s">
        <v>5587</v>
      </c>
      <c r="F27" s="286" t="s">
        <v>5588</v>
      </c>
      <c r="G27" s="37" t="s">
        <v>5589</v>
      </c>
      <c r="H27" s="36"/>
      <c r="I27" s="41"/>
      <c r="J27" s="107" t="s">
        <v>5590</v>
      </c>
      <c r="K27" s="13"/>
      <c r="L27" s="45" t="s">
        <v>5591</v>
      </c>
      <c r="M27" s="13"/>
      <c r="N27" s="127" t="s">
        <v>5592</v>
      </c>
      <c r="O27" s="13"/>
      <c r="P27" s="37" t="s">
        <v>5593</v>
      </c>
      <c r="Q27" s="13"/>
      <c r="R27" s="34" t="s">
        <v>5594</v>
      </c>
      <c r="S27" s="132" t="s">
        <v>5595</v>
      </c>
      <c r="T27" s="64"/>
      <c r="U27" s="64"/>
      <c r="V27" s="88"/>
      <c r="W27" s="26"/>
      <c r="X27" s="42" t="s">
        <v>48</v>
      </c>
      <c r="Y27" s="42" t="s">
        <v>49</v>
      </c>
      <c r="Z27" s="48" t="s">
        <v>57</v>
      </c>
      <c r="AA27" s="85" t="str">
        <f>AA$6</f>
        <v/>
      </c>
      <c r="AB27" s="15" t="str">
        <f>IFERROR(__xludf.DUMMYFUNCTION("join("","",filter(split($H$83,"",""),ARRAYFORMULA(ISERROR(FIND(split($H$83,"",""),CONCATENATE(E27:V27))))=TRUE))"),"СЗ,202,206,209,402,403,404,405,410,АЗ")</f>
        <v>СЗ,202,206,209,402,403,404,405,410,АЗ</v>
      </c>
      <c r="AC27" s="14"/>
      <c r="AD27" s="14"/>
      <c r="AE27" s="14"/>
      <c r="AG27" s="29"/>
      <c r="AH27" s="29"/>
    </row>
    <row r="28" ht="53.25" hidden="1" customHeight="1">
      <c r="A28" s="30"/>
      <c r="B28" s="436">
        <v>5.0</v>
      </c>
      <c r="C28" s="32" t="s">
        <v>58</v>
      </c>
      <c r="D28" s="53">
        <v>44847.0</v>
      </c>
      <c r="E28" s="33" t="s">
        <v>5596</v>
      </c>
      <c r="F28" s="92" t="s">
        <v>5597</v>
      </c>
      <c r="G28" s="37" t="s">
        <v>5598</v>
      </c>
      <c r="H28" s="36"/>
      <c r="I28" s="41"/>
      <c r="J28" s="123" t="s">
        <v>5599</v>
      </c>
      <c r="K28" s="41"/>
      <c r="L28" s="45" t="s">
        <v>5600</v>
      </c>
      <c r="M28" s="13"/>
      <c r="N28" s="89" t="s">
        <v>5601</v>
      </c>
      <c r="O28" s="13"/>
      <c r="P28" s="39" t="s">
        <v>5602</v>
      </c>
      <c r="Q28" s="124" t="s">
        <v>5603</v>
      </c>
      <c r="R28" s="34" t="s">
        <v>5604</v>
      </c>
      <c r="S28" s="132" t="s">
        <v>5605</v>
      </c>
      <c r="T28" s="128"/>
      <c r="U28" s="8"/>
      <c r="V28" s="129"/>
      <c r="W28" s="26"/>
      <c r="X28" s="42" t="s">
        <v>58</v>
      </c>
      <c r="Y28" s="54">
        <v>44847.0</v>
      </c>
      <c r="Z28" s="48" t="s">
        <v>70</v>
      </c>
      <c r="AA28" s="85" t="str">
        <f>AA$7</f>
        <v/>
      </c>
      <c r="AB28" s="15" t="str">
        <f>IFERROR(__xludf.DUMMYFUNCTION("join("","",filter(split($H$83,"",""),ARRAYFORMULA(ISERROR(FIND(split($H$83,"",""),CONCATENATE(E28:V28))))=TRUE))"),"СЗ,206,209,402,403,404,405,410,АЗ")</f>
        <v>СЗ,206,209,402,403,404,405,410,АЗ</v>
      </c>
      <c r="AC28" s="14"/>
      <c r="AD28" s="14"/>
      <c r="AE28" s="14"/>
      <c r="AF28" s="437" t="s">
        <v>5606</v>
      </c>
      <c r="AG28" s="29"/>
      <c r="AH28" s="29"/>
    </row>
    <row r="29" ht="40.5" hidden="1" customHeight="1">
      <c r="A29" s="30"/>
      <c r="B29" s="436">
        <v>6.0</v>
      </c>
      <c r="C29" s="55" t="s">
        <v>71</v>
      </c>
      <c r="D29" s="56" t="s">
        <v>72</v>
      </c>
      <c r="E29" s="39" t="s">
        <v>5607</v>
      </c>
      <c r="F29" s="34" t="s">
        <v>5608</v>
      </c>
      <c r="G29" s="40"/>
      <c r="H29" s="41"/>
      <c r="I29" s="34"/>
      <c r="J29" s="123" t="s">
        <v>5609</v>
      </c>
      <c r="K29" s="41"/>
      <c r="L29" s="89" t="s">
        <v>5610</v>
      </c>
      <c r="M29" s="13"/>
      <c r="N29" s="130" t="s">
        <v>5611</v>
      </c>
      <c r="O29" s="13"/>
      <c r="P29" s="131" t="s">
        <v>5612</v>
      </c>
      <c r="Q29" s="132" t="s">
        <v>5613</v>
      </c>
      <c r="R29" s="92" t="s">
        <v>5614</v>
      </c>
      <c r="S29" s="133"/>
      <c r="V29" s="134"/>
      <c r="W29" s="26"/>
      <c r="X29" s="58" t="s">
        <v>71</v>
      </c>
      <c r="Y29" s="59" t="s">
        <v>72</v>
      </c>
      <c r="Z29" s="48" t="s">
        <v>84</v>
      </c>
      <c r="AA29" s="85" t="str">
        <f>AA$8</f>
        <v/>
      </c>
      <c r="AB29" s="15" t="str">
        <f>IFERROR(__xludf.DUMMYFUNCTION("join("","",filter(split($H$83,"",""),ARRAYFORMULA(ISERROR(FIND(split($H$83,"",""),CONCATENATE(E29:V29))))=TRUE))"),"СЗ,КЗ,201,206,402,403,404,405,406,410,АЗ")</f>
        <v>СЗ,КЗ,201,206,402,403,404,405,406,410,АЗ</v>
      </c>
      <c r="AC29" s="14"/>
      <c r="AD29" s="14"/>
      <c r="AE29" s="14"/>
      <c r="AF29" s="567"/>
      <c r="AG29" s="29"/>
      <c r="AH29" s="29"/>
    </row>
    <row r="30" ht="40.5" hidden="1" customHeight="1">
      <c r="A30" s="30"/>
      <c r="B30" s="436">
        <v>7.0</v>
      </c>
      <c r="C30" s="32" t="s">
        <v>85</v>
      </c>
      <c r="D30" s="32" t="s">
        <v>86</v>
      </c>
      <c r="E30" s="39" t="s">
        <v>5615</v>
      </c>
      <c r="F30" s="34" t="s">
        <v>5616</v>
      </c>
      <c r="G30" s="40"/>
      <c r="H30" s="41"/>
      <c r="I30" s="34"/>
      <c r="J30" s="35" t="s">
        <v>5617</v>
      </c>
      <c r="K30" s="13"/>
      <c r="L30" s="123" t="s">
        <v>5618</v>
      </c>
      <c r="M30" s="41"/>
      <c r="N30" s="130" t="s">
        <v>5619</v>
      </c>
      <c r="O30" s="13"/>
      <c r="P30" s="131" t="s">
        <v>5620</v>
      </c>
      <c r="Q30" s="132" t="s">
        <v>5621</v>
      </c>
      <c r="R30" s="40" t="s">
        <v>5622</v>
      </c>
      <c r="S30" s="199"/>
      <c r="V30" s="134"/>
      <c r="W30" s="26"/>
      <c r="X30" s="42" t="s">
        <v>85</v>
      </c>
      <c r="Y30" s="42" t="s">
        <v>86</v>
      </c>
      <c r="Z30" s="48" t="s">
        <v>97</v>
      </c>
      <c r="AA30" s="85" t="str">
        <f>AA$9</f>
        <v/>
      </c>
      <c r="AB30" s="15" t="str">
        <f>IFERROR(__xludf.DUMMYFUNCTION("join("","",filter(split($H$83,"",""),ARRAYFORMULA(ISERROR(FIND(split($H$83,"",""),CONCATENATE(E30:V30))))=TRUE))"),"СЗ,КЗ,206,402,403,404,405,406,409,410,АЗ")</f>
        <v>СЗ,КЗ,206,402,403,404,405,406,409,410,АЗ</v>
      </c>
      <c r="AC30" s="14"/>
      <c r="AD30" s="14"/>
      <c r="AE30" s="14"/>
      <c r="AF30" s="29"/>
      <c r="AG30" s="29"/>
      <c r="AH30" s="29"/>
    </row>
    <row r="31" ht="52.5" hidden="1" customHeight="1">
      <c r="A31" s="30"/>
      <c r="B31" s="436">
        <v>8.0</v>
      </c>
      <c r="C31" s="32" t="s">
        <v>98</v>
      </c>
      <c r="D31" s="32" t="s">
        <v>99</v>
      </c>
      <c r="E31" s="46"/>
      <c r="F31" s="41"/>
      <c r="G31" s="592"/>
      <c r="H31" s="8"/>
      <c r="I31" s="129"/>
      <c r="J31" s="334" t="s">
        <v>5623</v>
      </c>
      <c r="K31" s="36"/>
      <c r="L31" s="36"/>
      <c r="M31" s="13"/>
      <c r="N31" s="45" t="s">
        <v>5624</v>
      </c>
      <c r="O31" s="13"/>
      <c r="P31" s="33" t="s">
        <v>5625</v>
      </c>
      <c r="Q31" s="567"/>
      <c r="R31" s="437" t="s">
        <v>5626</v>
      </c>
      <c r="S31" s="199"/>
      <c r="V31" s="134"/>
      <c r="W31" s="26"/>
      <c r="X31" s="42" t="s">
        <v>98</v>
      </c>
      <c r="Y31" s="42" t="s">
        <v>99</v>
      </c>
      <c r="Z31" s="11"/>
      <c r="AA31" s="14"/>
      <c r="AB31" s="15" t="str">
        <f>IFERROR(__xludf.DUMMYFUNCTION("join("","",filter(split($H$83,"",""),ARRAYFORMULA(ISERROR(FIND(split($H$83,"",""),CONCATENATE(E31:V31))))=TRUE))"),"СЗ,КЗ,201,206,401,402,403,404,405,406,408,409,410,АЗ")</f>
        <v>СЗ,КЗ,201,206,401,402,403,404,405,406,408,409,410,АЗ</v>
      </c>
      <c r="AC31" s="14"/>
      <c r="AD31" s="14"/>
      <c r="AE31" s="14"/>
      <c r="AF31" s="29"/>
      <c r="AG31" s="29"/>
      <c r="AH31" s="29"/>
    </row>
    <row r="32" ht="57.0" hidden="1" customHeight="1">
      <c r="A32" s="30"/>
      <c r="B32" s="436">
        <v>9.0</v>
      </c>
      <c r="C32" s="65">
        <v>44697.0</v>
      </c>
      <c r="D32" s="44" t="s">
        <v>109</v>
      </c>
      <c r="E32" s="46"/>
      <c r="F32" s="41"/>
      <c r="G32" s="142"/>
      <c r="H32" s="64"/>
      <c r="I32" s="88"/>
      <c r="J32" s="334" t="s">
        <v>5627</v>
      </c>
      <c r="K32" s="36"/>
      <c r="L32" s="36"/>
      <c r="M32" s="13"/>
      <c r="N32" s="45" t="s">
        <v>5628</v>
      </c>
      <c r="O32" s="13"/>
      <c r="P32" s="33" t="s">
        <v>5629</v>
      </c>
      <c r="Q32" s="567"/>
      <c r="R32" s="567"/>
      <c r="S32" s="92"/>
      <c r="T32" s="64"/>
      <c r="U32" s="64"/>
      <c r="V32" s="88"/>
      <c r="W32" s="26"/>
      <c r="X32" s="69">
        <v>44697.0</v>
      </c>
      <c r="Y32" s="70" t="s">
        <v>109</v>
      </c>
      <c r="Z32" s="28"/>
      <c r="AA32" s="14"/>
      <c r="AB32" s="15" t="str">
        <f>IFERROR(__xludf.DUMMYFUNCTION("join("","",filter(split($H$83,"",""),ARRAYFORMULA(ISERROR(FIND(split($H$83,"",""),CONCATENATE(E32:V32))))=TRUE))"),"СЗ,КЗ,201,206,401,402,403,404,405,406,408,409,410,АЗ")</f>
        <v>СЗ,КЗ,201,206,401,402,403,404,405,406,408,409,410,АЗ</v>
      </c>
      <c r="AC32" s="14"/>
      <c r="AD32" s="14"/>
      <c r="AE32" s="14"/>
      <c r="AF32" s="29"/>
      <c r="AG32" s="29"/>
      <c r="AH32" s="29"/>
    </row>
    <row r="33" ht="40.5" hidden="1" customHeight="1">
      <c r="A33" s="30"/>
      <c r="B33" s="436">
        <v>10.0</v>
      </c>
      <c r="C33" s="44" t="s">
        <v>120</v>
      </c>
      <c r="D33" s="44" t="s">
        <v>121</v>
      </c>
      <c r="E33" s="46"/>
      <c r="F33" s="41"/>
      <c r="G33" s="592"/>
      <c r="H33" s="8"/>
      <c r="I33" s="8"/>
      <c r="J33" s="8"/>
      <c r="K33" s="8"/>
      <c r="L33" s="8"/>
      <c r="M33" s="8"/>
      <c r="N33" s="8"/>
      <c r="O33" s="8"/>
      <c r="P33" s="8"/>
      <c r="Q33" s="129"/>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46"/>
      <c r="F34" s="41"/>
      <c r="G34" s="142"/>
      <c r="H34" s="64"/>
      <c r="I34" s="64"/>
      <c r="J34" s="64"/>
      <c r="K34" s="64"/>
      <c r="L34" s="64"/>
      <c r="M34" s="64"/>
      <c r="N34" s="64"/>
      <c r="O34" s="64"/>
      <c r="P34" s="64"/>
      <c r="Q34" s="88"/>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IFERROR(__xludf.DUMMYFUNCTION("join("","",filter(split($H$83,"",""),ARRAYFORMULA(ISERROR(FIND(split($H$83,"",""),CONCATENATE(E34:V34))))=TRUE))"),"СЗ,КЗ,201,202,206,209,210,401,402,403,404,405,406,408,409,410,АЗ")</f>
        <v>СЗ,КЗ,201,202,206,209,210,401,402,403,404,405,406,408,409,410,АЗ</v>
      </c>
      <c r="AC34" s="14"/>
      <c r="AD34" s="14"/>
      <c r="AE34" s="14"/>
      <c r="AF34" s="29"/>
      <c r="AG34" s="29"/>
      <c r="AH34" s="29"/>
    </row>
    <row r="35" ht="60.0" hidden="1" customHeight="1">
      <c r="A35" s="18">
        <v>44903.0</v>
      </c>
      <c r="B35" s="19">
        <v>1.0</v>
      </c>
      <c r="C35" s="20" t="s">
        <v>12</v>
      </c>
      <c r="D35" s="20" t="s">
        <v>13</v>
      </c>
      <c r="E35" s="80"/>
      <c r="F35" s="25"/>
      <c r="G35" s="156" t="s">
        <v>5630</v>
      </c>
      <c r="H35" s="117" t="s">
        <v>5631</v>
      </c>
      <c r="I35" s="25"/>
      <c r="J35" s="157" t="s">
        <v>5632</v>
      </c>
      <c r="K35" s="13"/>
      <c r="L35" s="156" t="s">
        <v>5633</v>
      </c>
      <c r="M35" s="156" t="s">
        <v>5634</v>
      </c>
      <c r="N35" s="80" t="s">
        <v>5635</v>
      </c>
      <c r="O35" s="25"/>
      <c r="P35" s="156" t="s">
        <v>5636</v>
      </c>
      <c r="Q35" s="156" t="s">
        <v>5637</v>
      </c>
      <c r="R35" s="159" t="s">
        <v>5638</v>
      </c>
      <c r="S35" s="160" t="s">
        <v>5639</v>
      </c>
      <c r="T35" s="161"/>
      <c r="U35" s="24"/>
      <c r="V35" s="22"/>
      <c r="W35" s="26"/>
      <c r="X35" s="27" t="s">
        <v>12</v>
      </c>
      <c r="Y35" s="27" t="s">
        <v>13</v>
      </c>
      <c r="Z35" s="28"/>
      <c r="AA35" s="14"/>
      <c r="AB35" s="15" t="str">
        <f>IFERROR(__xludf.DUMMYFUNCTION("join("","",filter(split($H$83,"",""),ARRAYFORMULA(ISERROR(FIND(split($H$83,"",""),CONCATENATE(E35:V35))))=TRUE))"),"СЗ,201,206,209,406,410,АЗ")</f>
        <v>СЗ,201,206,209,406,410,АЗ</v>
      </c>
      <c r="AC35" s="14"/>
      <c r="AD35" s="14"/>
      <c r="AE35" s="14"/>
      <c r="AF35" s="29"/>
      <c r="AG35" s="29"/>
      <c r="AH35" s="29"/>
    </row>
    <row r="36" ht="54.0" hidden="1" customHeight="1">
      <c r="A36" s="30"/>
      <c r="B36" s="31">
        <v>2.0</v>
      </c>
      <c r="C36" s="32" t="s">
        <v>21</v>
      </c>
      <c r="D36" s="32" t="s">
        <v>22</v>
      </c>
      <c r="E36" s="45" t="s">
        <v>5640</v>
      </c>
      <c r="F36" s="13"/>
      <c r="G36" s="44" t="s">
        <v>5641</v>
      </c>
      <c r="H36" s="40" t="s">
        <v>312</v>
      </c>
      <c r="I36" s="13"/>
      <c r="J36" s="157" t="s">
        <v>313</v>
      </c>
      <c r="K36" s="13"/>
      <c r="L36" s="44" t="s">
        <v>5642</v>
      </c>
      <c r="M36" s="44" t="s">
        <v>5643</v>
      </c>
      <c r="N36" s="45" t="s">
        <v>316</v>
      </c>
      <c r="O36" s="13"/>
      <c r="P36" s="44" t="s">
        <v>5644</v>
      </c>
      <c r="Q36" s="44" t="s">
        <v>5645</v>
      </c>
      <c r="R36" s="162" t="s">
        <v>5646</v>
      </c>
      <c r="S36" s="90" t="s">
        <v>320</v>
      </c>
      <c r="T36" s="163"/>
      <c r="U36" s="36"/>
      <c r="V36" s="41"/>
      <c r="W36" s="26"/>
      <c r="X36" s="42" t="s">
        <v>21</v>
      </c>
      <c r="Y36" s="42" t="s">
        <v>22</v>
      </c>
      <c r="Z36" s="28"/>
      <c r="AA36" s="14"/>
      <c r="AB36" s="15" t="str">
        <f>IFERROR(__xludf.DUMMYFUNCTION("join("","",filter(split($H$83,"",""),ARRAYFORMULA(ISERROR(FIND(split($H$83,"",""),CONCATENATE(E36:V36))))=TRUE))"),"СЗ,206,209,406,410,АЗ")</f>
        <v>СЗ,206,209,406,410,АЗ</v>
      </c>
      <c r="AC36" s="14"/>
      <c r="AD36" s="14"/>
      <c r="AE36" s="14"/>
      <c r="AF36" s="29"/>
      <c r="AG36" s="29"/>
      <c r="AH36" s="29"/>
    </row>
    <row r="37" ht="56.25" hidden="1" customHeight="1">
      <c r="A37" s="30"/>
      <c r="B37" s="31">
        <v>3.0</v>
      </c>
      <c r="C37" s="32" t="s">
        <v>33</v>
      </c>
      <c r="D37" s="32" t="s">
        <v>34</v>
      </c>
      <c r="E37" s="45" t="s">
        <v>5647</v>
      </c>
      <c r="F37" s="13"/>
      <c r="G37" s="132" t="s">
        <v>5648</v>
      </c>
      <c r="H37" s="45" t="s">
        <v>5649</v>
      </c>
      <c r="I37" s="13"/>
      <c r="J37" s="45" t="s">
        <v>5650</v>
      </c>
      <c r="K37" s="13"/>
      <c r="L37" s="44" t="s">
        <v>5651</v>
      </c>
      <c r="M37" s="44" t="s">
        <v>5652</v>
      </c>
      <c r="N37" s="164" t="s">
        <v>5653</v>
      </c>
      <c r="O37" s="36"/>
      <c r="P37" s="36"/>
      <c r="Q37" s="13"/>
      <c r="R37" s="44" t="s">
        <v>5654</v>
      </c>
      <c r="S37" s="44" t="s">
        <v>5655</v>
      </c>
      <c r="T37" s="87" t="s">
        <v>5656</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hidden="1" customHeight="1">
      <c r="A38" s="30"/>
      <c r="B38" s="31">
        <v>4.0</v>
      </c>
      <c r="C38" s="32" t="s">
        <v>48</v>
      </c>
      <c r="D38" s="32" t="s">
        <v>49</v>
      </c>
      <c r="E38" s="45" t="s">
        <v>5657</v>
      </c>
      <c r="F38" s="13"/>
      <c r="G38" s="132" t="s">
        <v>5658</v>
      </c>
      <c r="H38" s="45" t="s">
        <v>5659</v>
      </c>
      <c r="I38" s="13"/>
      <c r="J38" s="45" t="s">
        <v>5660</v>
      </c>
      <c r="K38" s="13"/>
      <c r="L38" s="44" t="s">
        <v>5661</v>
      </c>
      <c r="M38" s="44" t="s">
        <v>5662</v>
      </c>
      <c r="N38" s="164" t="s">
        <v>5663</v>
      </c>
      <c r="O38" s="36"/>
      <c r="P38" s="36"/>
      <c r="Q38" s="13"/>
      <c r="R38" s="44" t="s">
        <v>5664</v>
      </c>
      <c r="S38" s="44" t="s">
        <v>5665</v>
      </c>
      <c r="T38" s="87" t="s">
        <v>5666</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hidden="1" customHeight="1">
      <c r="A39" s="30"/>
      <c r="B39" s="31">
        <v>5.0</v>
      </c>
      <c r="C39" s="32" t="s">
        <v>58</v>
      </c>
      <c r="D39" s="53">
        <v>44847.0</v>
      </c>
      <c r="E39" s="45" t="s">
        <v>5667</v>
      </c>
      <c r="F39" s="13"/>
      <c r="G39" s="44" t="s">
        <v>5668</v>
      </c>
      <c r="H39" s="45" t="s">
        <v>5669</v>
      </c>
      <c r="I39" s="13"/>
      <c r="J39" s="44" t="s">
        <v>5670</v>
      </c>
      <c r="K39" s="44" t="s">
        <v>5671</v>
      </c>
      <c r="L39" s="45" t="s">
        <v>5672</v>
      </c>
      <c r="M39" s="13"/>
      <c r="N39" s="44" t="s">
        <v>5673</v>
      </c>
      <c r="O39" s="44" t="s">
        <v>5674</v>
      </c>
      <c r="P39" s="45" t="s">
        <v>5675</v>
      </c>
      <c r="Q39" s="13"/>
      <c r="R39" s="581" t="s">
        <v>5676</v>
      </c>
      <c r="S39" s="13"/>
      <c r="T39" s="45" t="s">
        <v>5677</v>
      </c>
      <c r="U39" s="36"/>
      <c r="V39" s="41"/>
      <c r="W39" s="26"/>
      <c r="X39" s="42" t="s">
        <v>58</v>
      </c>
      <c r="Y39" s="54">
        <v>44847.0</v>
      </c>
      <c r="Z39" s="48" t="s">
        <v>70</v>
      </c>
      <c r="AA39" s="85" t="str">
        <f>AA$7</f>
        <v/>
      </c>
      <c r="AB39" s="15" t="str">
        <f>IFERROR(__xludf.DUMMYFUNCTION("join("","",filter(split($H$83,"",""),ARRAYFORMULA(ISERROR(FIND(split($H$83,"",""),CONCATENATE(E39:V39))))=TRUE))"),"СЗ,КЗ,206,403,АЗ")</f>
        <v>СЗ,КЗ,206,403,АЗ</v>
      </c>
      <c r="AC39" s="14"/>
      <c r="AD39" s="14"/>
      <c r="AE39" s="14"/>
      <c r="AF39" s="29"/>
      <c r="AG39" s="29"/>
      <c r="AH39" s="29"/>
    </row>
    <row r="40" ht="54.0" hidden="1" customHeight="1">
      <c r="A40" s="30"/>
      <c r="B40" s="31">
        <v>6.0</v>
      </c>
      <c r="C40" s="55" t="s">
        <v>71</v>
      </c>
      <c r="D40" s="56" t="s">
        <v>72</v>
      </c>
      <c r="E40" s="45" t="s">
        <v>5678</v>
      </c>
      <c r="F40" s="13"/>
      <c r="G40" s="44" t="s">
        <v>355</v>
      </c>
      <c r="H40" s="45" t="s">
        <v>5679</v>
      </c>
      <c r="I40" s="13"/>
      <c r="J40" s="44" t="s">
        <v>5680</v>
      </c>
      <c r="K40" s="44" t="s">
        <v>5681</v>
      </c>
      <c r="L40" s="45" t="s">
        <v>5682</v>
      </c>
      <c r="M40" s="13"/>
      <c r="N40" s="44" t="s">
        <v>5683</v>
      </c>
      <c r="O40" s="44" t="s">
        <v>5684</v>
      </c>
      <c r="P40" s="45" t="s">
        <v>5685</v>
      </c>
      <c r="Q40" s="13"/>
      <c r="R40" s="44" t="s">
        <v>5686</v>
      </c>
      <c r="S40" s="132" t="s">
        <v>5687</v>
      </c>
      <c r="T40" s="45" t="s">
        <v>5688</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hidden="1" customHeight="1">
      <c r="A41" s="30"/>
      <c r="B41" s="31">
        <v>7.0</v>
      </c>
      <c r="C41" s="32" t="s">
        <v>85</v>
      </c>
      <c r="D41" s="32" t="s">
        <v>86</v>
      </c>
      <c r="E41" s="45" t="s">
        <v>5689</v>
      </c>
      <c r="F41" s="13"/>
      <c r="G41" s="44" t="s">
        <v>5690</v>
      </c>
      <c r="H41" s="45" t="s">
        <v>5691</v>
      </c>
      <c r="I41" s="13"/>
      <c r="J41" s="44" t="s">
        <v>5692</v>
      </c>
      <c r="K41" s="44" t="s">
        <v>5693</v>
      </c>
      <c r="L41" s="45" t="s">
        <v>5694</v>
      </c>
      <c r="M41" s="13"/>
      <c r="N41" s="87" t="s">
        <v>5695</v>
      </c>
      <c r="O41" s="13"/>
      <c r="P41" s="45" t="s">
        <v>5696</v>
      </c>
      <c r="Q41" s="13"/>
      <c r="R41" s="44" t="s">
        <v>5697</v>
      </c>
      <c r="S41" s="44" t="s">
        <v>5698</v>
      </c>
      <c r="T41" s="165" t="s">
        <v>5699</v>
      </c>
      <c r="U41" s="36"/>
      <c r="V41" s="41"/>
      <c r="W41" s="26"/>
      <c r="X41" s="42" t="s">
        <v>85</v>
      </c>
      <c r="Y41" s="42" t="s">
        <v>86</v>
      </c>
      <c r="Z41" s="48" t="s">
        <v>97</v>
      </c>
      <c r="AA41" s="85" t="str">
        <f>AA$9</f>
        <v/>
      </c>
      <c r="AB41" s="15" t="str">
        <f>IFERROR(__xludf.DUMMYFUNCTION("join("","",filter(split($H$83,"",""),ARRAYFORMULA(ISERROR(FIND(split($H$83,"",""),CONCATENATE(E41:V41))))=TRUE))"),"СЗ,КЗ,206,210,403,406,410,АЗ")</f>
        <v>СЗ,КЗ,206,210,403,406,410,АЗ</v>
      </c>
      <c r="AC41" s="14"/>
      <c r="AD41" s="14"/>
      <c r="AE41" s="14"/>
      <c r="AF41" s="29"/>
      <c r="AG41" s="29"/>
      <c r="AH41" s="29"/>
    </row>
    <row r="42" ht="52.5" hidden="1" customHeight="1">
      <c r="A42" s="30"/>
      <c r="B42" s="31">
        <v>8.0</v>
      </c>
      <c r="C42" s="32" t="s">
        <v>98</v>
      </c>
      <c r="D42" s="32" t="s">
        <v>99</v>
      </c>
      <c r="E42" s="45" t="s">
        <v>5700</v>
      </c>
      <c r="F42" s="13"/>
      <c r="G42" s="44" t="s">
        <v>5701</v>
      </c>
      <c r="H42" s="45" t="s">
        <v>5702</v>
      </c>
      <c r="I42" s="13"/>
      <c r="J42" s="44" t="s">
        <v>5703</v>
      </c>
      <c r="K42" s="44" t="s">
        <v>5704</v>
      </c>
      <c r="L42" s="45" t="s">
        <v>5705</v>
      </c>
      <c r="M42" s="13"/>
      <c r="N42" s="87" t="s">
        <v>5706</v>
      </c>
      <c r="O42" s="13"/>
      <c r="P42" s="45" t="s">
        <v>5707</v>
      </c>
      <c r="Q42" s="13"/>
      <c r="R42" s="166"/>
      <c r="S42" s="13"/>
      <c r="T42" s="165" t="s">
        <v>5708</v>
      </c>
      <c r="U42" s="36"/>
      <c r="V42" s="41"/>
      <c r="W42" s="26"/>
      <c r="X42" s="42" t="s">
        <v>98</v>
      </c>
      <c r="Y42" s="42" t="s">
        <v>99</v>
      </c>
      <c r="Z42" s="11"/>
      <c r="AA42" s="14"/>
      <c r="AB42" s="15" t="str">
        <f>IFERROR(__xludf.DUMMYFUNCTION("join("","",filter(split($H$83,"",""),ARRAYFORMULA(ISERROR(FIND(split($H$83,"",""),CONCATENATE(E42:V42))))=TRUE))"),"СЗ,КЗ,206,210,403,404,405,406,410,АЗ")</f>
        <v>СЗ,КЗ,206,210,403,404,405,406,410,АЗ</v>
      </c>
      <c r="AC42" s="14"/>
      <c r="AD42" s="14"/>
      <c r="AE42" s="14"/>
      <c r="AF42" s="29"/>
      <c r="AG42" s="29"/>
      <c r="AH42" s="29"/>
    </row>
    <row r="43" ht="40.5" hidden="1" customHeight="1">
      <c r="A43" s="30"/>
      <c r="B43" s="31">
        <v>9.0</v>
      </c>
      <c r="C43" s="65">
        <v>44697.0</v>
      </c>
      <c r="D43" s="44" t="s">
        <v>109</v>
      </c>
      <c r="E43" s="167" t="s">
        <v>5709</v>
      </c>
      <c r="F43" s="4"/>
      <c r="G43" s="168"/>
      <c r="H43" s="169" t="s">
        <v>5710</v>
      </c>
      <c r="I43" s="36"/>
      <c r="J43" s="13"/>
      <c r="K43" s="170"/>
      <c r="L43" s="4"/>
      <c r="M43" s="171"/>
      <c r="N43" s="45" t="s">
        <v>5711</v>
      </c>
      <c r="O43" s="13"/>
      <c r="P43" s="174"/>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IFERROR(__xludf.DUMMYFUNCTION("join("","",filter(split($H$83,"",""),ARRAYFORMULA(ISERROR(FIND(split($H$83,"",""),CONCATENATE(E43:V43))))=TRUE))"),"КЗ,202,206,209,210,401,403,404,405,406,408,409,АЗ")</f>
        <v>КЗ,202,206,209,210,401,403,404,405,406,408,409,АЗ</v>
      </c>
      <c r="AC43" s="14"/>
      <c r="AD43" s="14"/>
      <c r="AE43" s="14"/>
      <c r="AF43" s="29"/>
      <c r="AG43" s="29"/>
      <c r="AH43" s="29"/>
    </row>
    <row r="44" ht="40.5" hidden="1" customHeight="1">
      <c r="A44" s="30"/>
      <c r="B44" s="31">
        <v>10.0</v>
      </c>
      <c r="C44" s="44" t="s">
        <v>120</v>
      </c>
      <c r="D44" s="44" t="s">
        <v>121</v>
      </c>
      <c r="E44" s="104"/>
      <c r="F44" s="72"/>
      <c r="G44" s="173"/>
      <c r="H44" s="169" t="s">
        <v>5712</v>
      </c>
      <c r="I44" s="36"/>
      <c r="J44" s="13"/>
      <c r="K44" s="104"/>
      <c r="L44" s="72"/>
      <c r="M44" s="171"/>
      <c r="N44" s="45" t="s">
        <v>5713</v>
      </c>
      <c r="O44" s="13"/>
      <c r="P44" s="173"/>
      <c r="Q44" s="104"/>
      <c r="R44" s="64"/>
      <c r="S44" s="64"/>
      <c r="T44" s="64"/>
      <c r="U44" s="64"/>
      <c r="V44" s="88"/>
      <c r="W44" s="26"/>
      <c r="X44" s="70" t="s">
        <v>120</v>
      </c>
      <c r="Y44" s="70" t="s">
        <v>121</v>
      </c>
      <c r="Z44" s="28"/>
      <c r="AA44" s="14"/>
      <c r="AB44" s="15" t="str">
        <f>IFERROR(__xludf.DUMMYFUNCTION("join("","",filter(split($H$83,"",""),ARRAYFORMULA(ISERROR(FIND(split($H$83,"",""),CONCATENATE(E44:V44))))=TRUE))"),"КЗ,201,202,206,209,210,401,403,404,405,406,408,409,410,АЗ")</f>
        <v>КЗ,201,202,206,209,210,401,403,404,405,406,408,409,410,АЗ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18">
        <v>44904.0</v>
      </c>
      <c r="B46" s="19">
        <v>1.0</v>
      </c>
      <c r="C46" s="20" t="s">
        <v>12</v>
      </c>
      <c r="D46" s="20" t="s">
        <v>13</v>
      </c>
      <c r="E46" s="156" t="s">
        <v>5714</v>
      </c>
      <c r="F46" s="156" t="s">
        <v>5715</v>
      </c>
      <c r="G46" s="80" t="s">
        <v>5716</v>
      </c>
      <c r="H46" s="25"/>
      <c r="I46" s="174" t="s">
        <v>5717</v>
      </c>
      <c r="J46" s="175" t="s">
        <v>5718</v>
      </c>
      <c r="K46" s="25"/>
      <c r="L46" s="80" t="s">
        <v>5719</v>
      </c>
      <c r="M46" s="25"/>
      <c r="N46" s="156" t="s">
        <v>5720</v>
      </c>
      <c r="O46" s="156" t="s">
        <v>5721</v>
      </c>
      <c r="P46" s="80" t="s">
        <v>5722</v>
      </c>
      <c r="Q46" s="25"/>
      <c r="R46" s="80" t="s">
        <v>5723</v>
      </c>
      <c r="S46" s="25"/>
      <c r="T46" s="80" t="s">
        <v>5724</v>
      </c>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5725</v>
      </c>
      <c r="F47" s="44" t="s">
        <v>5726</v>
      </c>
      <c r="G47" s="45" t="s">
        <v>5727</v>
      </c>
      <c r="H47" s="13"/>
      <c r="I47" s="173"/>
      <c r="J47" s="157" t="s">
        <v>5728</v>
      </c>
      <c r="K47" s="13"/>
      <c r="L47" s="80" t="s">
        <v>5729</v>
      </c>
      <c r="M47" s="25"/>
      <c r="N47" s="44" t="s">
        <v>5730</v>
      </c>
      <c r="O47" s="44" t="s">
        <v>5731</v>
      </c>
      <c r="P47" s="45" t="s">
        <v>5732</v>
      </c>
      <c r="Q47" s="13"/>
      <c r="R47" s="44" t="s">
        <v>5733</v>
      </c>
      <c r="S47" s="90" t="s">
        <v>5734</v>
      </c>
      <c r="T47" s="45" t="s">
        <v>5735</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40" t="s">
        <v>5736</v>
      </c>
      <c r="F48" s="13"/>
      <c r="G48" s="176" t="s">
        <v>5737</v>
      </c>
      <c r="H48" s="4"/>
      <c r="I48" s="90" t="s">
        <v>5738</v>
      </c>
      <c r="J48" s="44" t="s">
        <v>5739</v>
      </c>
      <c r="K48" s="44" t="s">
        <v>5740</v>
      </c>
      <c r="L48" s="44" t="s">
        <v>5741</v>
      </c>
      <c r="M48" s="44" t="s">
        <v>5742</v>
      </c>
      <c r="N48" s="164" t="s">
        <v>5743</v>
      </c>
      <c r="O48" s="36"/>
      <c r="P48" s="36"/>
      <c r="Q48" s="13"/>
      <c r="R48" s="44" t="s">
        <v>5744</v>
      </c>
      <c r="S48" s="90" t="s">
        <v>5745</v>
      </c>
      <c r="T48" s="45" t="s">
        <v>5746</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5747</v>
      </c>
      <c r="F49" s="13"/>
      <c r="G49" s="104"/>
      <c r="H49" s="72"/>
      <c r="I49" s="90" t="s">
        <v>5748</v>
      </c>
      <c r="J49" s="44" t="s">
        <v>5749</v>
      </c>
      <c r="K49" s="44" t="s">
        <v>5750</v>
      </c>
      <c r="L49" s="44" t="s">
        <v>5751</v>
      </c>
      <c r="M49" s="44" t="s">
        <v>5752</v>
      </c>
      <c r="N49" s="164" t="s">
        <v>5753</v>
      </c>
      <c r="O49" s="36"/>
      <c r="P49" s="36"/>
      <c r="Q49" s="13"/>
      <c r="R49" s="90" t="s">
        <v>5754</v>
      </c>
      <c r="S49" s="133" t="s">
        <v>5755</v>
      </c>
      <c r="T49" s="45" t="s">
        <v>5756</v>
      </c>
      <c r="U49" s="36"/>
      <c r="V49" s="41"/>
      <c r="W49" s="26"/>
      <c r="X49" s="42" t="s">
        <v>48</v>
      </c>
      <c r="Y49" s="42" t="s">
        <v>49</v>
      </c>
      <c r="Z49" s="48" t="s">
        <v>57</v>
      </c>
      <c r="AA49" s="85" t="str">
        <f>AA$6</f>
        <v/>
      </c>
      <c r="AB49" s="15" t="str">
        <f>IFERROR(__xludf.DUMMYFUNCTION("join("","",filter(split($H$83,"",""),ARRAYFORMULA(ISERROR(FIND(split($H$83,"",""),CONCATENATE(E49:V49))))=TRUE))"),"СЗ,КЗ,201,206,209,410,АЗ")</f>
        <v>СЗ,КЗ,201,206,209,410,АЗ</v>
      </c>
      <c r="AC49" s="14"/>
      <c r="AD49" s="14"/>
      <c r="AE49" s="14"/>
      <c r="AF49" s="29"/>
      <c r="AG49" s="29"/>
      <c r="AH49" s="29"/>
    </row>
    <row r="50" ht="40.5" customHeight="1">
      <c r="A50" s="30"/>
      <c r="B50" s="31">
        <v>5.0</v>
      </c>
      <c r="C50" s="32" t="s">
        <v>58</v>
      </c>
      <c r="D50" s="53">
        <v>44847.0</v>
      </c>
      <c r="E50" s="45" t="s">
        <v>5757</v>
      </c>
      <c r="F50" s="13"/>
      <c r="G50" s="44" t="s">
        <v>5758</v>
      </c>
      <c r="H50" s="44" t="s">
        <v>5759</v>
      </c>
      <c r="I50" s="44" t="s">
        <v>5760</v>
      </c>
      <c r="J50" s="45" t="s">
        <v>5761</v>
      </c>
      <c r="K50" s="13"/>
      <c r="L50" s="45" t="s">
        <v>5762</v>
      </c>
      <c r="M50" s="13"/>
      <c r="N50" s="177" t="s">
        <v>5763</v>
      </c>
      <c r="O50" s="124" t="s">
        <v>5764</v>
      </c>
      <c r="P50" s="45" t="s">
        <v>5765</v>
      </c>
      <c r="Q50" s="13"/>
      <c r="R50" s="90" t="s">
        <v>5766</v>
      </c>
      <c r="S50" s="133" t="s">
        <v>5767</v>
      </c>
      <c r="T50" s="45" t="s">
        <v>5768</v>
      </c>
      <c r="U50" s="36"/>
      <c r="V50" s="41"/>
      <c r="W50" s="26"/>
      <c r="X50" s="42" t="s">
        <v>58</v>
      </c>
      <c r="Y50" s="54">
        <v>44847.0</v>
      </c>
      <c r="Z50" s="48" t="s">
        <v>70</v>
      </c>
      <c r="AA50" s="85" t="str">
        <f>AA$7</f>
        <v/>
      </c>
      <c r="AB50" s="15" t="str">
        <f>IFERROR(__xludf.DUMMYFUNCTION("join("","",filter(split($H$83,"",""),ARRAYFORMULA(ISERROR(FIND(split($H$83,"",""),CONCATENATE(E50:V50))))=TRUE))"),"СЗ,КЗ,206,401,404,408,410")</f>
        <v>СЗ,КЗ,206,401,404,408,410</v>
      </c>
      <c r="AC50" s="14"/>
      <c r="AD50" s="14"/>
      <c r="AE50" s="14"/>
      <c r="AF50" s="29"/>
      <c r="AG50" s="29"/>
      <c r="AH50" s="29"/>
    </row>
    <row r="51" ht="48.75" customHeight="1">
      <c r="A51" s="30"/>
      <c r="B51" s="31">
        <v>6.0</v>
      </c>
      <c r="C51" s="55" t="s">
        <v>71</v>
      </c>
      <c r="D51" s="56" t="s">
        <v>72</v>
      </c>
      <c r="E51" s="45" t="s">
        <v>5769</v>
      </c>
      <c r="F51" s="13"/>
      <c r="G51" s="44" t="s">
        <v>5770</v>
      </c>
      <c r="H51" s="44" t="s">
        <v>5771</v>
      </c>
      <c r="I51" s="44" t="s">
        <v>5772</v>
      </c>
      <c r="J51" s="45" t="s">
        <v>5773</v>
      </c>
      <c r="K51" s="13"/>
      <c r="L51" s="45" t="s">
        <v>5774</v>
      </c>
      <c r="M51" s="13"/>
      <c r="N51" s="177" t="s">
        <v>5775</v>
      </c>
      <c r="O51" s="124" t="s">
        <v>5776</v>
      </c>
      <c r="P51" s="45" t="s">
        <v>5777</v>
      </c>
      <c r="Q51" s="13"/>
      <c r="R51" s="162" t="s">
        <v>5778</v>
      </c>
      <c r="S51" s="178" t="s">
        <v>5779</v>
      </c>
      <c r="T51" s="44" t="s">
        <v>5780</v>
      </c>
      <c r="U51" s="44" t="s">
        <v>5781</v>
      </c>
      <c r="V51" s="34"/>
      <c r="W51" s="179"/>
      <c r="X51" s="58" t="s">
        <v>71</v>
      </c>
      <c r="Y51" s="59" t="s">
        <v>72</v>
      </c>
      <c r="Z51" s="48" t="s">
        <v>84</v>
      </c>
      <c r="AA51" s="85"/>
      <c r="AB51" s="15" t="str">
        <f>IFERROR(__xludf.DUMMYFUNCTION("join("","",filter(split($H$83,"",""),ARRAYFORMULA(ISERROR(FIND(split($H$83,"",""),CONCATENATE(E51:V51))))=TRUE))"),"СЗ,206,404,409,410")</f>
        <v>СЗ,206,404,409,410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5782</v>
      </c>
      <c r="F52" s="13"/>
      <c r="G52" s="44" t="s">
        <v>5783</v>
      </c>
      <c r="H52" s="44" t="s">
        <v>5784</v>
      </c>
      <c r="I52" s="44" t="s">
        <v>5785</v>
      </c>
      <c r="J52" s="45" t="s">
        <v>5786</v>
      </c>
      <c r="K52" s="13"/>
      <c r="L52" s="45" t="s">
        <v>5787</v>
      </c>
      <c r="M52" s="13"/>
      <c r="N52" s="563"/>
      <c r="O52" s="177" t="s">
        <v>5788</v>
      </c>
      <c r="P52" s="124" t="s">
        <v>5789</v>
      </c>
      <c r="Q52" s="90" t="s">
        <v>5790</v>
      </c>
      <c r="R52" s="180" t="s">
        <v>5791</v>
      </c>
      <c r="S52" s="181" t="s">
        <v>5792</v>
      </c>
      <c r="T52" s="44" t="s">
        <v>5793</v>
      </c>
      <c r="U52" s="44"/>
      <c r="V52" s="34"/>
      <c r="W52" s="26"/>
      <c r="X52" s="42" t="s">
        <v>85</v>
      </c>
      <c r="Y52" s="42" t="s">
        <v>86</v>
      </c>
      <c r="Z52" s="48" t="s">
        <v>97</v>
      </c>
      <c r="AA52" s="85" t="str">
        <f>AA$9</f>
        <v/>
      </c>
      <c r="AB52" s="15" t="str">
        <f>IFERROR(__xludf.DUMMYFUNCTION("join("","",filter(split($H$83,"",""),ARRAYFORMULA(ISERROR(FIND(split($H$83,"",""),CONCATENATE(E52:V52))))=TRUE))"),"СЗ,206,404,406,410")</f>
        <v>СЗ,206,404,406,410</v>
      </c>
      <c r="AC52" s="14"/>
      <c r="AD52" s="14"/>
      <c r="AE52" s="14"/>
      <c r="AF52" s="29"/>
      <c r="AG52" s="29"/>
      <c r="AH52" s="29"/>
    </row>
    <row r="53" ht="51.75" customHeight="1">
      <c r="A53" s="30"/>
      <c r="B53" s="31">
        <v>8.0</v>
      </c>
      <c r="C53" s="32" t="s">
        <v>98</v>
      </c>
      <c r="D53" s="32" t="s">
        <v>99</v>
      </c>
      <c r="E53" s="44" t="s">
        <v>5794</v>
      </c>
      <c r="F53" s="44" t="s">
        <v>5795</v>
      </c>
      <c r="G53" s="416" t="s">
        <v>1913</v>
      </c>
      <c r="H53" s="86" t="s">
        <v>5796</v>
      </c>
      <c r="I53" s="13"/>
      <c r="J53" s="45" t="s">
        <v>5797</v>
      </c>
      <c r="K53" s="13"/>
      <c r="L53" s="45" t="s">
        <v>5798</v>
      </c>
      <c r="M53" s="13"/>
      <c r="N53" s="182"/>
      <c r="O53" s="177" t="s">
        <v>5799</v>
      </c>
      <c r="P53" s="124" t="s">
        <v>5800</v>
      </c>
      <c r="Q53" s="90" t="s">
        <v>5801</v>
      </c>
      <c r="R53" s="183" t="s">
        <v>5802</v>
      </c>
      <c r="S53" s="181" t="s">
        <v>5803</v>
      </c>
      <c r="T53" s="144"/>
      <c r="U53" s="144"/>
      <c r="V53" s="184"/>
      <c r="W53" s="26"/>
      <c r="X53" s="42" t="s">
        <v>98</v>
      </c>
      <c r="Y53" s="42" t="s">
        <v>99</v>
      </c>
      <c r="Z53" s="11"/>
      <c r="AA53" s="14"/>
      <c r="AB53" s="15" t="str">
        <f>IFERROR(__xludf.DUMMYFUNCTION("join("","",filter(split($H$83,"",""),ARRAYFORMULA(ISERROR(FIND(split($H$83,"",""),CONCATENATE(E53:V53))))=TRUE))"),"СЗ,201,206,401,404,405,408,410")</f>
        <v>СЗ,201,206,401,404,405,408,410</v>
      </c>
      <c r="AC53" s="14"/>
      <c r="AD53" s="14"/>
      <c r="AE53" s="14"/>
      <c r="AF53" s="29"/>
      <c r="AG53" s="29"/>
      <c r="AH53" s="29"/>
    </row>
    <row r="54" ht="71.25" customHeight="1">
      <c r="A54" s="30"/>
      <c r="B54" s="31">
        <v>9.0</v>
      </c>
      <c r="C54" s="65">
        <v>44697.0</v>
      </c>
      <c r="D54" s="44" t="s">
        <v>109</v>
      </c>
      <c r="E54" s="187" t="s">
        <v>5804</v>
      </c>
      <c r="F54" s="8"/>
      <c r="G54" s="8"/>
      <c r="H54" s="8"/>
      <c r="I54" s="8"/>
      <c r="J54" s="8"/>
      <c r="K54" s="8"/>
      <c r="L54" s="8"/>
      <c r="M54" s="8"/>
      <c r="N54" s="86" t="s">
        <v>5805</v>
      </c>
      <c r="O54" s="13"/>
      <c r="P54" s="187" t="s">
        <v>5804</v>
      </c>
      <c r="Q54" s="8"/>
      <c r="R54" s="8"/>
      <c r="S54" s="8"/>
      <c r="T54" s="8"/>
      <c r="U54" s="8"/>
      <c r="V54" s="8"/>
      <c r="W54" s="186"/>
      <c r="X54" s="69">
        <v>44697.0</v>
      </c>
      <c r="Y54" s="70" t="s">
        <v>109</v>
      </c>
      <c r="Z54" s="28"/>
      <c r="AA54" s="14"/>
      <c r="AB54" s="15" t="str">
        <f>IFERROR(__xludf.DUMMYFUNCTION("join("","",filter(split($H$83,"",""),ARRAYFORMULA(ISERROR(FIND(split($H$83,"",""),CONCATENATE(E54:V54))))=TRUE))"),"201,206,209,401,403,404,405,408,410,АЗ")</f>
        <v>201,206,209,401,403,404,405,408,410,АЗ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18">
        <v>44905.0</v>
      </c>
      <c r="B57" s="191">
        <v>1.0</v>
      </c>
      <c r="C57" s="192" t="str">
        <f>D$1</f>
        <v/>
      </c>
      <c r="D57" s="72"/>
      <c r="E57" s="193"/>
      <c r="F57" s="193"/>
      <c r="G57" s="194" t="s">
        <v>5390</v>
      </c>
      <c r="H57" s="64"/>
      <c r="I57" s="72"/>
      <c r="J57" s="195"/>
      <c r="K57" s="64"/>
      <c r="L57" s="64"/>
      <c r="M57" s="72"/>
      <c r="N57" s="193"/>
      <c r="O57" s="193"/>
      <c r="P57" s="187" t="s">
        <v>482</v>
      </c>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5"/>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82">
    <mergeCell ref="G27:I27"/>
    <mergeCell ref="G28:I28"/>
    <mergeCell ref="G29:H29"/>
    <mergeCell ref="G30:H30"/>
    <mergeCell ref="E31:F31"/>
    <mergeCell ref="G31:I32"/>
    <mergeCell ref="E32:F32"/>
    <mergeCell ref="G33:Q34"/>
    <mergeCell ref="E34:F34"/>
    <mergeCell ref="E20:F20"/>
    <mergeCell ref="H20:I20"/>
    <mergeCell ref="A24:A34"/>
    <mergeCell ref="E24:F24"/>
    <mergeCell ref="G24:I24"/>
    <mergeCell ref="E25:F25"/>
    <mergeCell ref="G25:I25"/>
    <mergeCell ref="E33:F33"/>
    <mergeCell ref="E19:F19"/>
    <mergeCell ref="H19:I19"/>
    <mergeCell ref="J19:K19"/>
    <mergeCell ref="L19:M19"/>
    <mergeCell ref="J20:K20"/>
    <mergeCell ref="L20:M20"/>
    <mergeCell ref="E21:F22"/>
    <mergeCell ref="H21:M21"/>
    <mergeCell ref="H22:M22"/>
    <mergeCell ref="J10:K10"/>
    <mergeCell ref="L10:M10"/>
    <mergeCell ref="A13:A23"/>
    <mergeCell ref="E13:F13"/>
    <mergeCell ref="J13:K13"/>
    <mergeCell ref="L13:M13"/>
    <mergeCell ref="E14:F14"/>
    <mergeCell ref="E26:F26"/>
    <mergeCell ref="G26:I26"/>
    <mergeCell ref="J26:K26"/>
    <mergeCell ref="L26:M26"/>
    <mergeCell ref="J24:M24"/>
    <mergeCell ref="J25:K25"/>
    <mergeCell ref="L25:M25"/>
    <mergeCell ref="J27:K27"/>
    <mergeCell ref="L27:M27"/>
    <mergeCell ref="J28:K28"/>
    <mergeCell ref="L28:M28"/>
    <mergeCell ref="N42:O42"/>
    <mergeCell ref="P42:Q42"/>
    <mergeCell ref="R42:S42"/>
    <mergeCell ref="N37:Q37"/>
    <mergeCell ref="N38:Q38"/>
    <mergeCell ref="P39:Q39"/>
    <mergeCell ref="R39:S39"/>
    <mergeCell ref="P40:Q40"/>
    <mergeCell ref="N41:O41"/>
    <mergeCell ref="P41:Q41"/>
    <mergeCell ref="N16:O16"/>
    <mergeCell ref="P16:Q16"/>
    <mergeCell ref="T16:V16"/>
    <mergeCell ref="N17:O17"/>
    <mergeCell ref="T17:V17"/>
    <mergeCell ref="N18:O18"/>
    <mergeCell ref="T18:V18"/>
    <mergeCell ref="N19:O19"/>
    <mergeCell ref="P19:Q19"/>
    <mergeCell ref="T19:V19"/>
    <mergeCell ref="N20:O20"/>
    <mergeCell ref="P20:Q20"/>
    <mergeCell ref="T20:V20"/>
    <mergeCell ref="N21:O21"/>
    <mergeCell ref="T21:V21"/>
    <mergeCell ref="P21:Q21"/>
    <mergeCell ref="R21:S21"/>
    <mergeCell ref="N22:O22"/>
    <mergeCell ref="P22:S22"/>
    <mergeCell ref="R23:V23"/>
    <mergeCell ref="N24:O24"/>
    <mergeCell ref="P24:S24"/>
    <mergeCell ref="N25:O25"/>
    <mergeCell ref="P25:Q25"/>
    <mergeCell ref="R25:S25"/>
    <mergeCell ref="N26:O26"/>
    <mergeCell ref="Q26:S26"/>
    <mergeCell ref="N27:O27"/>
    <mergeCell ref="P27:Q27"/>
    <mergeCell ref="N28:O28"/>
    <mergeCell ref="N29:O29"/>
    <mergeCell ref="N30:O30"/>
    <mergeCell ref="N31:O31"/>
    <mergeCell ref="N32:O32"/>
    <mergeCell ref="N35:O35"/>
    <mergeCell ref="N36:O36"/>
    <mergeCell ref="T39:V39"/>
    <mergeCell ref="T40:V40"/>
    <mergeCell ref="T41:V41"/>
    <mergeCell ref="T42:V42"/>
    <mergeCell ref="T22:V22"/>
    <mergeCell ref="T24:V27"/>
    <mergeCell ref="T28:V32"/>
    <mergeCell ref="T35:V35"/>
    <mergeCell ref="T36:V36"/>
    <mergeCell ref="T37:V37"/>
    <mergeCell ref="T38:V38"/>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P15:Q15"/>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P7:Q7"/>
    <mergeCell ref="R7:S7"/>
    <mergeCell ref="H8:I8"/>
    <mergeCell ref="J8:K8"/>
    <mergeCell ref="L8:M8"/>
    <mergeCell ref="N8:O8"/>
    <mergeCell ref="P8:Q8"/>
    <mergeCell ref="R8:S8"/>
    <mergeCell ref="H9:I9"/>
    <mergeCell ref="J9:K9"/>
    <mergeCell ref="L9:M9"/>
    <mergeCell ref="N9:O9"/>
    <mergeCell ref="E10:F10"/>
    <mergeCell ref="H10:I10"/>
    <mergeCell ref="S10:V10"/>
    <mergeCell ref="T11:V11"/>
    <mergeCell ref="U13:V13"/>
    <mergeCell ref="U14:V14"/>
    <mergeCell ref="T15:V15"/>
    <mergeCell ref="L41:M41"/>
    <mergeCell ref="E42:F42"/>
    <mergeCell ref="H42:I42"/>
    <mergeCell ref="L42:M42"/>
    <mergeCell ref="E43:F44"/>
    <mergeCell ref="G43:G44"/>
    <mergeCell ref="J29:K29"/>
    <mergeCell ref="L29:M29"/>
    <mergeCell ref="J30:K30"/>
    <mergeCell ref="L30:M30"/>
    <mergeCell ref="J31:M31"/>
    <mergeCell ref="J32:M32"/>
    <mergeCell ref="A35:A45"/>
    <mergeCell ref="H43:J43"/>
    <mergeCell ref="K43:L44"/>
    <mergeCell ref="N43:O43"/>
    <mergeCell ref="P43:P44"/>
    <mergeCell ref="Q43:V44"/>
    <mergeCell ref="H44:J44"/>
    <mergeCell ref="N44:O44"/>
    <mergeCell ref="T48:V48"/>
    <mergeCell ref="T49:V49"/>
    <mergeCell ref="P50:Q50"/>
    <mergeCell ref="T50:V50"/>
    <mergeCell ref="P51:Q51"/>
    <mergeCell ref="P54:V55"/>
    <mergeCell ref="P57:S58"/>
    <mergeCell ref="X57:Y57"/>
    <mergeCell ref="P46:Q46"/>
    <mergeCell ref="R46:S46"/>
    <mergeCell ref="T46:V46"/>
    <mergeCell ref="P47:Q47"/>
    <mergeCell ref="T47:V47"/>
    <mergeCell ref="N48:Q48"/>
    <mergeCell ref="N49:Q49"/>
    <mergeCell ref="G47:H47"/>
    <mergeCell ref="E48:F48"/>
    <mergeCell ref="G48:H49"/>
    <mergeCell ref="E49:F49"/>
    <mergeCell ref="E50:F50"/>
    <mergeCell ref="J50:K50"/>
    <mergeCell ref="L50:M50"/>
    <mergeCell ref="E51:F51"/>
    <mergeCell ref="J51:K51"/>
    <mergeCell ref="L51:M51"/>
    <mergeCell ref="E52:F52"/>
    <mergeCell ref="J52:K52"/>
    <mergeCell ref="C57:D57"/>
    <mergeCell ref="G57:I57"/>
    <mergeCell ref="J57:M57"/>
    <mergeCell ref="L52:M52"/>
    <mergeCell ref="H53:I53"/>
    <mergeCell ref="J53:K53"/>
    <mergeCell ref="L53:M53"/>
    <mergeCell ref="N54:O54"/>
    <mergeCell ref="K66:L66"/>
    <mergeCell ref="K67:L67"/>
    <mergeCell ref="K68:L68"/>
    <mergeCell ref="A46:A56"/>
    <mergeCell ref="A57:A67"/>
    <mergeCell ref="E41:F41"/>
    <mergeCell ref="H41:I41"/>
    <mergeCell ref="G46:H46"/>
    <mergeCell ref="I46:I47"/>
    <mergeCell ref="L46:M46"/>
    <mergeCell ref="L47:M47"/>
    <mergeCell ref="E54:M55"/>
    <mergeCell ref="E35:F35"/>
    <mergeCell ref="H35:I35"/>
    <mergeCell ref="J35:K35"/>
    <mergeCell ref="E36:F36"/>
    <mergeCell ref="H36:I36"/>
    <mergeCell ref="J36:K36"/>
    <mergeCell ref="E37:F37"/>
    <mergeCell ref="H37:I37"/>
    <mergeCell ref="J37:K37"/>
    <mergeCell ref="E38:F38"/>
    <mergeCell ref="H38:I38"/>
    <mergeCell ref="J38:K38"/>
    <mergeCell ref="E39:F39"/>
    <mergeCell ref="H39:I39"/>
    <mergeCell ref="L39:M39"/>
    <mergeCell ref="E40:F40"/>
    <mergeCell ref="H40:I40"/>
    <mergeCell ref="L40:M40"/>
    <mergeCell ref="J46:K46"/>
    <mergeCell ref="J47:K47"/>
  </mergeCells>
  <conditionalFormatting sqref="E1:R86 S1:S29 T1:T86 U1:U31 AF28:AF29 S32:S86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R53 S2:S29 T2:T53 U2:U31 AF28:AF29 S32:S53 V32:V34 U35:U53 V50:V52 W51 P57 K61:L68">
    <cfRule type="containsText" dxfId="2" priority="3" operator="containsText" text="Шерашова">
      <formula>NOT(ISERROR(SEARCH(("Шерашова"),(E2))))</formula>
    </cfRule>
  </conditionalFormatting>
  <conditionalFormatting sqref="E2:R53 S2:S29 T2:T53 U2:U31 AF28:AF29 S32:S53 V32:V34 U35:U53 V50:V52 W51 P57 K61:L68">
    <cfRule type="containsText" dxfId="3" priority="4" operator="containsText" text="Англ">
      <formula>NOT(ISERROR(SEARCH(("Англ"),(E2))))</formula>
    </cfRule>
  </conditionalFormatting>
  <conditionalFormatting sqref="E2:R53 S2:S29 T2:T53 U2:U31 AF28:AF29 S32:S53 V32:V34 U35:U53 V50:V52 W51 P57 K61:L68">
    <cfRule type="containsText" dxfId="4" priority="5" operator="containsText" text="Театр">
      <formula>NOT(ISERROR(SEARCH(("Театр"),(E2))))</formula>
    </cfRule>
  </conditionalFormatting>
  <conditionalFormatting sqref="E2:R53 S2:S29 T2:T53 U2:U31 AF28:AF29 S32:S53 V32:V34 U35:U53 V50:V52 W51 P57 K61:L68">
    <cfRule type="containsText" dxfId="5" priority="6" operator="containsText" text="Колечкин">
      <formula>NOT(ISERROR(SEARCH(("Колечкин"),(E2))))</formula>
    </cfRule>
  </conditionalFormatting>
  <conditionalFormatting sqref="E2:G72 H2:H73 I2:R72 S2:S29 T2:W72 AF28:AF29 S32:S72">
    <cfRule type="containsText" dxfId="0" priority="7" operator="containsText" text="Репнев">
      <formula>NOT(ISERROR(SEARCH(("Репнев"),(E2))))</formula>
    </cfRule>
  </conditionalFormatting>
  <conditionalFormatting sqref="E2:G65 H2:H73 I2:J65 K2:L68 M2:R65 S2:S29 T2:W65 AF28:AF29 S32:S65">
    <cfRule type="containsText" dxfId="6" priority="8" operator="containsText" text="Рогацкина">
      <formula>NOT(ISERROR(SEARCH(("Рогацкина"),(E2))))</formula>
    </cfRule>
  </conditionalFormatting>
  <conditionalFormatting sqref="E2:G67 H2:H73 I2:J67 K2:L68 M2:R67 S2:S29 T2:W67 AF28:AF29 S32:S67">
    <cfRule type="containsText" dxfId="7" priority="9" operator="containsText" text="Белоусова">
      <formula>NOT(ISERROR(SEARCH(("Белоусова"),(E2))))</formula>
    </cfRule>
  </conditionalFormatting>
  <conditionalFormatting sqref="E2:G60 H2:H73 I2:J65 K2:L68 M2:M65 N2:R60 S2:S29 T2:W60 AF28:AF29 S32:S60">
    <cfRule type="containsText" dxfId="8" priority="10" operator="containsText" text="Караванова">
      <formula>NOT(ISERROR(SEARCH(("Караванова"),(E2))))</formula>
    </cfRule>
  </conditionalFormatting>
  <conditionalFormatting sqref="E2:G63 H2:H73 I2:J65 K2:L68 M2:M65 N2:R63 S2:S29 T2:W63 AF28:AF29 S32:S63">
    <cfRule type="containsText" dxfId="9" priority="11" operator="containsText" text="Дронзик">
      <formula>NOT(ISERROR(SEARCH(("Дронзик"),(E2))))</formula>
    </cfRule>
  </conditionalFormatting>
  <conditionalFormatting sqref="E2:G64 H2:H73 I2:J65 K2:L68 M2:M65 N2:R64 S2:S29 T2:W64 AF28:AF29 S32:S64">
    <cfRule type="containsText" dxfId="10" priority="12" operator="containsText" text="Старунова">
      <formula>NOT(ISERROR(SEARCH(("Старунова"),(E2))))</formula>
    </cfRule>
  </conditionalFormatting>
  <conditionalFormatting sqref="E2:G62 H2:H73 I2:J65 K2:L68 M2:M65 N2:R62 S2:S29 T2:W62 AF28:AF29 S32:S62">
    <cfRule type="containsText" dxfId="11" priority="13" operator="containsText" text="Харитонов">
      <formula>NOT(ISERROR(SEARCH(("Харитонов"),(E2))))</formula>
    </cfRule>
  </conditionalFormatting>
  <conditionalFormatting sqref="E2:G67 H2:H73 I2:J67 K2:L68 M2:R67 S2:S29 T2:W67 AF28:AF29 S32:S67">
    <cfRule type="containsText" dxfId="12" priority="14" operator="containsText" text="Хуснутдинов">
      <formula>NOT(ISERROR(SEARCH(("Хуснутдинов"),(E2))))</formula>
    </cfRule>
  </conditionalFormatting>
  <conditionalFormatting sqref="E2:G66 H2:H73 I2:J66 K2:L68 M2:R66 S2:S29 T2:W66 AF28:AF29 S32:S66">
    <cfRule type="containsText" dxfId="13" priority="15" operator="containsText" text="Решетников">
      <formula>NOT(ISERROR(SEARCH(("Решетников"),(E2))))</formula>
    </cfRule>
  </conditionalFormatting>
  <conditionalFormatting sqref="E2:G69 H2:H73 I2:R69 S2:S29 T2:W69 AF28:AF29 S32:S69">
    <cfRule type="containsText" dxfId="14" priority="16" operator="containsText" text="Заводов">
      <formula>NOT(ISERROR(SEARCH(("Заводов"),(E2))))</formula>
    </cfRule>
  </conditionalFormatting>
  <conditionalFormatting sqref="E1:G66 H1:H73 I1:J66 K1:L68 M1:R66 S1:S29 T1:W66 AF28:AF29 S32:S66">
    <cfRule type="containsText" dxfId="15" priority="17" operator="containsText" text="Абрамов">
      <formula>NOT(ISERROR(SEARCH(("Абрамов"),(E1))))</formula>
    </cfRule>
  </conditionalFormatting>
  <conditionalFormatting sqref="E2:G67 H2:H73 I2:J67 K2:L68 M2:R67 S2:S29 T2:W67 AF28:AF29 S32:S67">
    <cfRule type="containsText" dxfId="16" priority="18" operator="containsText" text="Климов">
      <formula>NOT(ISERROR(SEARCH(("Климов"),(E2))))</formula>
    </cfRule>
  </conditionalFormatting>
  <conditionalFormatting sqref="E2:G61 H2:H73 I2:J65 K2:L68 M2:M65 N2:R61 S2:S29 T2:W61 AF28:AF29 S32:S61">
    <cfRule type="containsText" dxfId="17" priority="19" operator="containsText" text="Клейменов">
      <formula>NOT(ISERROR(SEARCH(("Клейменов"),(E2))))</formula>
    </cfRule>
  </conditionalFormatting>
  <conditionalFormatting sqref="E2:G68 H2:H73 I2:R68 S2:S29 T2:W68 AF28:AF29 S32:S68">
    <cfRule type="containsText" dxfId="18" priority="20" operator="containsText" text="Попович">
      <formula>NOT(ISERROR(SEARCH(("Попович"),(E2))))</formula>
    </cfRule>
  </conditionalFormatting>
  <conditionalFormatting sqref="E2:G68 H2:H73 I2:R68 S2:S29 T2:W68 AF28:AF29 S32:S68">
    <cfRule type="containsText" dxfId="19" priority="21" operator="containsText" text="Исмаилов">
      <formula>NOT(ISERROR(SEARCH(("Исмаилов"),(E2))))</formula>
    </cfRule>
  </conditionalFormatting>
  <conditionalFormatting sqref="E2:E20 F2:F12 G2:I45 J2:K49 L2:Q45 R2:S6 T2:V8 S10:S29 T10:V45 R11:R46 F15:F17 F19:F20 E24:F30 AF28:AF29 E32:E53 F32:F45 S32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R65 S2:S29 T2:W65 AF28:AF29 S32:S65">
    <cfRule type="containsText" dxfId="21" priority="23" operator="containsText" text="Краснова">
      <formula>NOT(ISERROR(SEARCH(("Краснова"),(E2))))</formula>
    </cfRule>
  </conditionalFormatting>
  <conditionalFormatting sqref="E2:G65 H2:H73 I2:J65 K2:L68 M2:R65 S2:S29 T2:W65 AF28:AF29 S32:S65">
    <cfRule type="containsText" dxfId="22" priority="24" operator="containsText" text="Белоус">
      <formula>NOT(ISERROR(SEARCH(("Белоус"),(E2))))</formula>
    </cfRule>
  </conditionalFormatting>
  <conditionalFormatting sqref="E2:G65 H2:H73 I2:J65 K2:L68 M2:R65 S2:S29 T2:W65 AF28:AF29 S32:S65">
    <cfRule type="containsText" dxfId="23" priority="25" operator="containsText" text="Куницын">
      <formula>NOT(ISERROR(SEARCH(("Куницын"),(E2))))</formula>
    </cfRule>
  </conditionalFormatting>
  <dataValidations>
    <dataValidation type="custom" allowBlank="1" showDropDown="1" sqref="E2 G2 R2 T2 E3:G3 J2:J3 E4:J4 L3:L4 N2:N4 R3:T4 J5:N6 T5:T6 P2:P8 R5:R8 T7:U8 E5:H9 P9:R9 G10:H10 J7:J10 L7:L10 N7:N10 P10:S10 W2:W10 E10:E11 T11 E12:W12 G13:H14 R13:R14 T13:U14 G15:G16 P13:P16 R15:T16 P17:T18 J13:J20 L13:L20 R19:T20 E13:E21 R21 G17:H22 N13:N22 P19:P22 T21:T22 E23:R23 T24 P24:P25 R25 E24:E26 G24:G26 P26:Q26 P27 R27:S27 J24:J28 P28:T28 E27:G30 I29:J30 L25:L30 P29:R30 G31 J31:J32 N24:N32 P31:P32 S32 W13:W32 G33 R33:W34 P35:T36 J35:J38 L35:N38 R37:T38 R39 T39 N39:P40 R40:T41 J39:L42 N41:N42 P41:P42 R42 T42 E31:E43 G35:H43 K43 P43:Q43 H44 M43:N44 W35:W44 E45:W45 I46:J46 R46 T46 E46:G47 J47 L46:L47 N46:P47 G48 I48:N49 R47:T50 W46:W50 N50:P51 R51:W51 E48:E52 G50:J52 E53:H53 J53 L50:L53 N52:W53 E54 N54 P54 N55:O55 W54:W55 E56:W56 E57:G57 J57 N57:O57 E58:O60 T57:W60 E61:W65 K67:K68 H66:H73">
      <formula1>IF(COUNTA(filter($E2:$W2,ARRAYFORMULA(ISERROR(FIND(join(",",filter(split($H$83,","),ARRAYFORMULA(ISERROR(FIND(split($H$83,","),E2)))=FALSE)),$E2:$W2))=FALSE)))&gt;1,FALSE,TRUE)</formula1>
    </dataValidation>
    <dataValidation type="custom" allowBlank="1" showDropDown="1" sqref="K66">
      <formula1>IF(COUNTA(filter($E28:$W28,ARRAYFORMULA(ISERROR(FIND(join(",",filter(split($H$83,","),ARRAYFORMULA(ISERROR(FIND(split($H$83,","),K66)))=FALSE)),$E28:$W28))=FALSE)))&gt;1,FALSE,TRUE)</formula1>
    </dataValidation>
    <dataValidation type="custom" allowBlank="1" showDropDown="1" sqref="S29">
      <formula1>IF(COUNTA(filter($E31:$W31,ARRAYFORMULA(ISERROR(FIND(join(",",filter(split($H$83,","),ARRAYFORMULA(ISERROR(FIND(split($H$83,","),S29)))=FALSE)),$E31:$W31))=FALSE)))&gt;1,FALSE,TRUE)</formula1>
    </dataValidation>
    <dataValidation type="custom" allowBlank="1" showDropDown="1" sqref="P57">
      <formula1>IF(COUNTA(filter($E56:$W56,ARRAYFORMULA(ISERROR(FIND(join(",",filter(split($H$83,","),ARRAYFORMULA(ISERROR(FIND(split($H$83,","),P57)))=FALSE)),$E56:$W56))=FALSE)))&gt;1,FALSE,TRUE)</formula1>
    </dataValidation>
    <dataValidation type="custom" allowBlank="1" showDropDown="1" sqref="W11">
      <formula1>IF(COUNTA(filter($F11:$W11,ARRAYFORMULA(ISERROR(FIND(join(",",filter(split($H$83,","),ARRAYFORMULA(ISERROR(FIND(split($H$83,","),W11)))=FALSE)),$F11:$W11))=FALSE)))&gt;1,FALSE,TRUE)</formula1>
    </dataValidation>
    <dataValidation type="custom" allowBlank="1" showDropDown="1" sqref="AF28:AF29 Q31:R32">
      <formula1>IF(COUNTA(filter($E29:$W29,ARRAYFORMULA(ISERROR(FIND(join(",",filter(split($H$83,","),ARRAYFORMULA(ISERROR(FIND(split($H$83,","),Q28)))=FALSE)),$E29:$W29))=FALSE)))&gt;1,FALSE,TRUE)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593">
        <v>44907.0</v>
      </c>
      <c r="B2" s="19">
        <v>1.0</v>
      </c>
      <c r="C2" s="20" t="s">
        <v>12</v>
      </c>
      <c r="D2" s="20" t="s">
        <v>13</v>
      </c>
      <c r="E2" s="21" t="s">
        <v>5806</v>
      </c>
      <c r="F2" s="22"/>
      <c r="G2" s="23" t="s">
        <v>5807</v>
      </c>
      <c r="H2" s="24"/>
      <c r="I2" s="25"/>
      <c r="J2" s="21" t="s">
        <v>5808</v>
      </c>
      <c r="K2" s="24"/>
      <c r="L2" s="24"/>
      <c r="M2" s="25"/>
      <c r="N2" s="21" t="s">
        <v>5809</v>
      </c>
      <c r="O2" s="25"/>
      <c r="P2" s="21" t="s">
        <v>5810</v>
      </c>
      <c r="Q2" s="25"/>
      <c r="R2" s="21" t="s">
        <v>5811</v>
      </c>
      <c r="S2" s="25"/>
      <c r="T2" s="21" t="s">
        <v>5812</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5813</v>
      </c>
      <c r="F3" s="34" t="s">
        <v>5814</v>
      </c>
      <c r="G3" s="35" t="s">
        <v>25</v>
      </c>
      <c r="H3" s="36"/>
      <c r="I3" s="13"/>
      <c r="J3" s="37" t="s">
        <v>5815</v>
      </c>
      <c r="K3" s="13"/>
      <c r="L3" s="38" t="s">
        <v>5816</v>
      </c>
      <c r="M3" s="13"/>
      <c r="N3" s="37" t="s">
        <v>5817</v>
      </c>
      <c r="O3" s="13"/>
      <c r="P3" s="37" t="s">
        <v>5818</v>
      </c>
      <c r="Q3" s="13"/>
      <c r="R3" s="39" t="s">
        <v>5819</v>
      </c>
      <c r="S3" s="40" t="s">
        <v>5820</v>
      </c>
      <c r="T3" s="37" t="s">
        <v>5821</v>
      </c>
      <c r="U3" s="36"/>
      <c r="V3" s="41"/>
      <c r="W3" s="26"/>
      <c r="X3" s="42" t="s">
        <v>21</v>
      </c>
      <c r="Y3" s="42" t="s">
        <v>22</v>
      </c>
      <c r="Z3" s="28"/>
      <c r="AA3" s="14"/>
      <c r="AB3" s="15" t="str">
        <f>IFERROR(__xludf.DUMMYFUNCTION("join("","",filter(split($H$83,"",""),ARRAYFORMULA(ISERROR(FIND(split($H$83,"",""),CONCATENATE(E3:V3))))=TRUE))"),"201,206,404,405,406,410,АЗ")</f>
        <v>201,206,404,405,406,410,АЗ</v>
      </c>
      <c r="AC3" s="14"/>
      <c r="AD3" s="14"/>
      <c r="AE3" s="14"/>
      <c r="AF3" s="29"/>
      <c r="AG3" s="29"/>
      <c r="AH3" s="29"/>
    </row>
    <row r="4" ht="40.5" hidden="1" customHeight="1">
      <c r="A4" s="30"/>
      <c r="B4" s="31">
        <v>3.0</v>
      </c>
      <c r="C4" s="32" t="s">
        <v>33</v>
      </c>
      <c r="D4" s="32" t="s">
        <v>34</v>
      </c>
      <c r="E4" s="33" t="s">
        <v>5822</v>
      </c>
      <c r="F4" s="126" t="s">
        <v>5823</v>
      </c>
      <c r="G4" s="43" t="s">
        <v>5824</v>
      </c>
      <c r="H4" s="44" t="s">
        <v>5825</v>
      </c>
      <c r="I4" s="45" t="s">
        <v>5826</v>
      </c>
      <c r="J4" s="46" t="s">
        <v>5827</v>
      </c>
      <c r="K4" s="13"/>
      <c r="L4" s="45" t="s">
        <v>5828</v>
      </c>
      <c r="M4" s="13"/>
      <c r="N4" s="37" t="s">
        <v>5829</v>
      </c>
      <c r="O4" s="13"/>
      <c r="P4" s="37" t="s">
        <v>5830</v>
      </c>
      <c r="Q4" s="13"/>
      <c r="R4" s="39" t="s">
        <v>5831</v>
      </c>
      <c r="S4" s="40" t="s">
        <v>5832</v>
      </c>
      <c r="T4" s="37" t="s">
        <v>5833</v>
      </c>
      <c r="U4" s="36"/>
      <c r="V4" s="41"/>
      <c r="W4" s="26"/>
      <c r="X4" s="42" t="s">
        <v>33</v>
      </c>
      <c r="Y4" s="42" t="s">
        <v>34</v>
      </c>
      <c r="Z4" s="48" t="s">
        <v>47</v>
      </c>
      <c r="AA4" s="14"/>
      <c r="AB4" s="15" t="str">
        <f>IFERROR(__xludf.DUMMYFUNCTION("join("","",filter(split($H$83,"",""),ARRAYFORMULA(ISERROR(FIND(split($H$83,"",""),CONCATENATE(E4:V4))))=TRUE))"),"КЗ,201,206,404,406,АЗ")</f>
        <v>КЗ,201,206,404,406,АЗ</v>
      </c>
      <c r="AC4" s="14"/>
      <c r="AD4" s="14"/>
      <c r="AE4" s="14"/>
      <c r="AF4" s="29"/>
      <c r="AG4" s="29"/>
      <c r="AH4" s="29"/>
    </row>
    <row r="5" ht="40.5" hidden="1" customHeight="1">
      <c r="A5" s="30"/>
      <c r="B5" s="31">
        <v>4.0</v>
      </c>
      <c r="C5" s="32" t="s">
        <v>48</v>
      </c>
      <c r="D5" s="32" t="s">
        <v>49</v>
      </c>
      <c r="E5" s="33" t="s">
        <v>5834</v>
      </c>
      <c r="F5" s="126" t="s">
        <v>5835</v>
      </c>
      <c r="G5" s="43" t="s">
        <v>5836</v>
      </c>
      <c r="H5" s="45" t="s">
        <v>5837</v>
      </c>
      <c r="I5" s="13"/>
      <c r="J5" s="33" t="s">
        <v>5838</v>
      </c>
      <c r="K5" s="44" t="s">
        <v>5839</v>
      </c>
      <c r="L5" s="44" t="s">
        <v>5840</v>
      </c>
      <c r="M5" s="45" t="s">
        <v>5841</v>
      </c>
      <c r="N5" s="37" t="s">
        <v>5842</v>
      </c>
      <c r="O5" s="13"/>
      <c r="P5" s="37" t="s">
        <v>5843</v>
      </c>
      <c r="Q5" s="13"/>
      <c r="R5" s="51" t="s">
        <v>5844</v>
      </c>
      <c r="S5" s="13"/>
      <c r="T5" s="52" t="s">
        <v>5845</v>
      </c>
      <c r="U5" s="36"/>
      <c r="V5" s="41"/>
      <c r="W5" s="26"/>
      <c r="X5" s="42" t="s">
        <v>48</v>
      </c>
      <c r="Y5" s="42" t="s">
        <v>49</v>
      </c>
      <c r="Z5" s="48" t="s">
        <v>57</v>
      </c>
      <c r="AA5" s="14"/>
      <c r="AB5" s="15" t="str">
        <f>IFERROR(__xludf.DUMMYFUNCTION("join("","",filter(split($H$83,"",""),ARRAYFORMULA(ISERROR(FIND(split($H$83,"",""),CONCATENATE(E5:V5))))=TRUE))"),"СЗ,КЗ,206,401,406,408")</f>
        <v>СЗ,КЗ,206,401,406,408</v>
      </c>
      <c r="AC5" s="14"/>
      <c r="AD5" s="14"/>
      <c r="AE5" s="14"/>
      <c r="AF5" s="29"/>
      <c r="AG5" s="29"/>
      <c r="AH5" s="29"/>
    </row>
    <row r="6" ht="40.5" hidden="1" customHeight="1">
      <c r="A6" s="30"/>
      <c r="B6" s="31">
        <v>5.0</v>
      </c>
      <c r="C6" s="32" t="s">
        <v>58</v>
      </c>
      <c r="D6" s="53">
        <v>44847.0</v>
      </c>
      <c r="E6" s="316" t="s">
        <v>5846</v>
      </c>
      <c r="F6" s="34" t="s">
        <v>5847</v>
      </c>
      <c r="G6" s="43" t="s">
        <v>5848</v>
      </c>
      <c r="H6" s="45" t="s">
        <v>5849</v>
      </c>
      <c r="I6" s="13"/>
      <c r="J6" s="33" t="s">
        <v>5850</v>
      </c>
      <c r="K6" s="44" t="s">
        <v>5851</v>
      </c>
      <c r="L6" s="44" t="s">
        <v>5852</v>
      </c>
      <c r="M6" s="45" t="s">
        <v>5853</v>
      </c>
      <c r="N6" s="37" t="s">
        <v>5854</v>
      </c>
      <c r="O6" s="13"/>
      <c r="P6" s="37" t="s">
        <v>5855</v>
      </c>
      <c r="Q6" s="13"/>
      <c r="R6" s="51" t="s">
        <v>5856</v>
      </c>
      <c r="S6" s="13"/>
      <c r="T6" s="52" t="s">
        <v>5857</v>
      </c>
      <c r="U6" s="36"/>
      <c r="V6" s="41"/>
      <c r="W6" s="26"/>
      <c r="X6" s="42" t="s">
        <v>58</v>
      </c>
      <c r="Y6" s="54">
        <v>44847.0</v>
      </c>
      <c r="Z6" s="48" t="s">
        <v>70</v>
      </c>
      <c r="AA6" s="14"/>
      <c r="AB6" s="15" t="str">
        <f>IFERROR(__xludf.DUMMYFUNCTION("join("","",filter(split($H$83,"",""),ARRAYFORMULA(ISERROR(FIND(split($H$83,"",""),CONCATENATE(E6:V6))))=TRUE))"),"СЗ,КЗ,206,406,408,409")</f>
        <v>СЗ,КЗ,206,406,408,409</v>
      </c>
      <c r="AC6" s="14"/>
      <c r="AD6" s="14"/>
      <c r="AE6" s="14"/>
      <c r="AF6" s="29"/>
      <c r="AG6" s="29"/>
      <c r="AH6" s="29"/>
    </row>
    <row r="7" ht="42.0" hidden="1" customHeight="1">
      <c r="A7" s="30"/>
      <c r="B7" s="31">
        <v>6.0</v>
      </c>
      <c r="C7" s="55" t="s">
        <v>71</v>
      </c>
      <c r="D7" s="56" t="s">
        <v>72</v>
      </c>
      <c r="E7" s="316" t="s">
        <v>5858</v>
      </c>
      <c r="F7" s="34" t="s">
        <v>5859</v>
      </c>
      <c r="G7" s="43" t="s">
        <v>5860</v>
      </c>
      <c r="H7" s="45" t="s">
        <v>5861</v>
      </c>
      <c r="I7" s="13"/>
      <c r="J7" s="37" t="s">
        <v>5862</v>
      </c>
      <c r="K7" s="13"/>
      <c r="L7" s="45" t="s">
        <v>5863</v>
      </c>
      <c r="M7" s="13"/>
      <c r="N7" s="37" t="s">
        <v>5864</v>
      </c>
      <c r="O7" s="13"/>
      <c r="P7" s="37" t="s">
        <v>5865</v>
      </c>
      <c r="Q7" s="13"/>
      <c r="R7" s="57" t="s">
        <v>5866</v>
      </c>
      <c r="T7" s="33" t="s">
        <v>5867</v>
      </c>
      <c r="U7" s="45" t="s">
        <v>5868</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t="42.0" hidden="1" customHeight="1">
      <c r="A8" s="30"/>
      <c r="B8" s="31">
        <v>7.0</v>
      </c>
      <c r="C8" s="32" t="s">
        <v>85</v>
      </c>
      <c r="D8" s="32" t="s">
        <v>86</v>
      </c>
      <c r="E8" s="318" t="s">
        <v>5869</v>
      </c>
      <c r="F8" s="319" t="s">
        <v>5870</v>
      </c>
      <c r="G8" s="43" t="s">
        <v>5871</v>
      </c>
      <c r="H8" s="45" t="s">
        <v>5872</v>
      </c>
      <c r="I8" s="13"/>
      <c r="J8" s="37" t="s">
        <v>5873</v>
      </c>
      <c r="K8" s="13"/>
      <c r="L8" s="45" t="s">
        <v>5874</v>
      </c>
      <c r="M8" s="13"/>
      <c r="N8" s="37" t="s">
        <v>5875</v>
      </c>
      <c r="O8" s="13"/>
      <c r="P8" s="37" t="s">
        <v>5876</v>
      </c>
      <c r="Q8" s="13"/>
      <c r="R8" s="37" t="s">
        <v>5877</v>
      </c>
      <c r="S8" s="13"/>
      <c r="T8" s="43" t="s">
        <v>5878</v>
      </c>
      <c r="U8" s="45" t="s">
        <v>5879</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hidden="1" customHeight="1">
      <c r="A9" s="30"/>
      <c r="B9" s="31">
        <v>8.0</v>
      </c>
      <c r="C9" s="32" t="s">
        <v>98</v>
      </c>
      <c r="D9" s="32" t="s">
        <v>99</v>
      </c>
      <c r="E9" s="320" t="s">
        <v>5880</v>
      </c>
      <c r="F9" s="276" t="s">
        <v>5881</v>
      </c>
      <c r="G9" s="35" t="s">
        <v>5882</v>
      </c>
      <c r="H9" s="36"/>
      <c r="I9" s="13"/>
      <c r="J9" s="37" t="s">
        <v>5883</v>
      </c>
      <c r="K9" s="13"/>
      <c r="L9" s="45" t="s">
        <v>5884</v>
      </c>
      <c r="M9" s="13"/>
      <c r="N9" s="61" t="s">
        <v>5885</v>
      </c>
      <c r="O9" s="13"/>
      <c r="P9" s="62" t="s">
        <v>5886</v>
      </c>
      <c r="Q9" s="45" t="s">
        <v>5887</v>
      </c>
      <c r="R9" s="63" t="s">
        <v>108</v>
      </c>
      <c r="S9" s="64"/>
      <c r="T9" s="64"/>
      <c r="U9" s="64"/>
      <c r="V9" s="64"/>
      <c r="W9" s="26"/>
      <c r="X9" s="42" t="s">
        <v>98</v>
      </c>
      <c r="Y9" s="42" t="s">
        <v>99</v>
      </c>
      <c r="Z9" s="11"/>
      <c r="AA9" s="14"/>
      <c r="AB9" s="15" t="str">
        <f>IFERROR(__xludf.DUMMYFUNCTION("join("","",filter(split($H$83,"",""),ARRAYFORMULA(ISERROR(FIND(split($H$83,"",""),CONCATENATE(E9:V9))))=TRUE))"),"КЗ,201,206,401,405,406,408,410")</f>
        <v>КЗ,201,206,401,405,406,408,410</v>
      </c>
      <c r="AC9" s="14"/>
      <c r="AD9" s="14"/>
      <c r="AE9" s="14"/>
      <c r="AF9" s="29"/>
      <c r="AG9" s="29"/>
      <c r="AH9" s="29"/>
    </row>
    <row r="10" ht="75.75" hidden="1" customHeight="1">
      <c r="A10" s="30"/>
      <c r="B10" s="31">
        <v>9.0</v>
      </c>
      <c r="C10" s="65">
        <v>44697.0</v>
      </c>
      <c r="D10" s="44" t="s">
        <v>109</v>
      </c>
      <c r="E10" s="66" t="s">
        <v>5888</v>
      </c>
      <c r="F10" s="67"/>
      <c r="G10" s="43"/>
      <c r="H10" s="45"/>
      <c r="I10" s="13"/>
      <c r="J10" s="37" t="s">
        <v>5889</v>
      </c>
      <c r="K10" s="13"/>
      <c r="L10" s="45" t="s">
        <v>5890</v>
      </c>
      <c r="M10" s="13"/>
      <c r="N10" s="61" t="s">
        <v>5891</v>
      </c>
      <c r="O10" s="13"/>
      <c r="P10" s="62" t="s">
        <v>5892</v>
      </c>
      <c r="Q10" s="68" t="s">
        <v>117</v>
      </c>
      <c r="R10" s="37"/>
      <c r="S10" s="68" t="s">
        <v>5893</v>
      </c>
      <c r="T10" s="36"/>
      <c r="U10" s="36"/>
      <c r="V10" s="41"/>
      <c r="W10" s="26"/>
      <c r="X10" s="69">
        <v>44697.0</v>
      </c>
      <c r="Y10" s="70" t="s">
        <v>109</v>
      </c>
      <c r="Z10" s="28"/>
      <c r="AA10" s="14"/>
      <c r="AB10" s="15" t="str">
        <f>IFERROR(__xludf.DUMMYFUNCTION("join("","",filter(split($H$83,"",""),ARRAYFORMULA(ISERROR(FIND(split($H$83,"",""),CONCATENATE(E10:V10))))=TRUE))"),"КЗ,201,206,210,401,403,405,406,408,409,АЗ")</f>
        <v>КЗ,201,206,210,401,403,405,406,408,409,АЗ</v>
      </c>
      <c r="AC10" s="14"/>
      <c r="AD10" s="14"/>
      <c r="AE10" s="14"/>
      <c r="AF10" s="29"/>
      <c r="AG10" s="29"/>
      <c r="AH10" s="29"/>
    </row>
    <row r="11" ht="49.5" hidden="1" customHeight="1">
      <c r="A11" s="30"/>
      <c r="B11" s="31">
        <v>10.0</v>
      </c>
      <c r="C11" s="44" t="s">
        <v>120</v>
      </c>
      <c r="D11" s="44" t="s">
        <v>121</v>
      </c>
      <c r="E11" s="71" t="s">
        <v>5894</v>
      </c>
      <c r="F11" s="64"/>
      <c r="G11" s="64"/>
      <c r="H11" s="64"/>
      <c r="I11" s="64"/>
      <c r="J11" s="64"/>
      <c r="K11" s="64"/>
      <c r="L11" s="64"/>
      <c r="M11" s="64"/>
      <c r="N11" s="64"/>
      <c r="O11" s="64"/>
      <c r="P11" s="64"/>
      <c r="Q11" s="64"/>
      <c r="R11" s="64"/>
      <c r="S11" s="72"/>
      <c r="T11" s="73" t="s">
        <v>5895</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593">
        <v>44908.0</v>
      </c>
      <c r="B13" s="19">
        <v>1.0</v>
      </c>
      <c r="C13" s="20" t="s">
        <v>12</v>
      </c>
      <c r="D13" s="20" t="s">
        <v>13</v>
      </c>
      <c r="E13" s="80" t="s">
        <v>5896</v>
      </c>
      <c r="F13" s="25"/>
      <c r="G13" s="81" t="s">
        <v>2084</v>
      </c>
      <c r="H13" s="80" t="s">
        <v>5897</v>
      </c>
      <c r="I13" s="22"/>
      <c r="J13" s="23" t="s">
        <v>5898</v>
      </c>
      <c r="K13" s="25"/>
      <c r="L13" s="80" t="s">
        <v>5899</v>
      </c>
      <c r="M13" s="25"/>
      <c r="N13" s="82" t="s">
        <v>5900</v>
      </c>
      <c r="O13" s="25"/>
      <c r="P13" s="21" t="s">
        <v>5901</v>
      </c>
      <c r="Q13" s="22"/>
      <c r="R13" s="23" t="s">
        <v>5902</v>
      </c>
      <c r="S13" s="22"/>
      <c r="T13" s="84" t="s">
        <v>5903</v>
      </c>
      <c r="U13" s="80" t="s">
        <v>5904</v>
      </c>
      <c r="V13" s="22"/>
      <c r="W13" s="26"/>
      <c r="X13" s="27" t="s">
        <v>12</v>
      </c>
      <c r="Y13" s="27" t="s">
        <v>13</v>
      </c>
      <c r="Z13" s="28"/>
      <c r="AA13" s="85"/>
      <c r="AB13" s="15" t="str">
        <f>IFERROR(__xludf.DUMMYFUNCTION("join("","",filter(split($H$83,"",""),ARRAYFORMULA(ISERROR(FIND(split($H$83,"",""),CONCATENATE(E13:V13))))=TRUE))"),"СЗ,КЗ,202,403,408,410,АЗ")</f>
        <v>СЗ,КЗ,202,403,408,410,АЗ</v>
      </c>
      <c r="AC13" s="14"/>
      <c r="AD13" s="14"/>
      <c r="AE13" s="14"/>
      <c r="AF13" s="29"/>
      <c r="AG13" s="29"/>
      <c r="AH13" s="29"/>
    </row>
    <row r="14" ht="40.5" hidden="1" customHeight="1">
      <c r="A14" s="30"/>
      <c r="B14" s="31">
        <v>2.0</v>
      </c>
      <c r="C14" s="32" t="s">
        <v>21</v>
      </c>
      <c r="D14" s="32" t="s">
        <v>22</v>
      </c>
      <c r="E14" s="45" t="s">
        <v>5905</v>
      </c>
      <c r="F14" s="13"/>
      <c r="G14" s="46" t="s">
        <v>5906</v>
      </c>
      <c r="H14" s="86" t="s">
        <v>5907</v>
      </c>
      <c r="I14" s="41"/>
      <c r="J14" s="35" t="s">
        <v>5908</v>
      </c>
      <c r="K14" s="13"/>
      <c r="L14" s="45" t="s">
        <v>5909</v>
      </c>
      <c r="M14" s="13"/>
      <c r="N14" s="87" t="s">
        <v>5910</v>
      </c>
      <c r="O14" s="13"/>
      <c r="P14" s="37" t="s">
        <v>5911</v>
      </c>
      <c r="Q14" s="41"/>
      <c r="R14" s="35" t="s">
        <v>5912</v>
      </c>
      <c r="S14" s="41"/>
      <c r="T14" s="43" t="s">
        <v>5913</v>
      </c>
      <c r="U14" s="45" t="s">
        <v>5914</v>
      </c>
      <c r="V14" s="41"/>
      <c r="W14" s="26"/>
      <c r="X14" s="42" t="s">
        <v>21</v>
      </c>
      <c r="Y14" s="42" t="s">
        <v>22</v>
      </c>
      <c r="Z14" s="28"/>
      <c r="AA14" s="85"/>
      <c r="AB14" s="15" t="str">
        <f>IFERROR(__xludf.DUMMYFUNCTION("join("","",filter(split($H$83,"",""),ARRAYFORMULA(ISERROR(FIND(split($H$83,"",""),CONCATENATE(E14:V14))))=TRUE))"),"СЗ,КЗ,202,403,408,410,АЗ")</f>
        <v>СЗ,КЗ,202,403,408,410,АЗ</v>
      </c>
      <c r="AC14" s="14"/>
      <c r="AD14" s="14"/>
      <c r="AE14" s="14"/>
      <c r="AF14" s="29"/>
      <c r="AG14" s="29"/>
      <c r="AH14" s="29"/>
    </row>
    <row r="15" ht="40.5" hidden="1" customHeight="1">
      <c r="A15" s="30"/>
      <c r="B15" s="31">
        <v>3.0</v>
      </c>
      <c r="C15" s="32" t="s">
        <v>33</v>
      </c>
      <c r="D15" s="32" t="s">
        <v>34</v>
      </c>
      <c r="E15" s="40" t="s">
        <v>5915</v>
      </c>
      <c r="F15" s="13"/>
      <c r="G15" s="37" t="s">
        <v>5916</v>
      </c>
      <c r="H15" s="36"/>
      <c r="I15" s="41"/>
      <c r="J15" s="35" t="s">
        <v>5917</v>
      </c>
      <c r="K15" s="13"/>
      <c r="L15" s="45" t="s">
        <v>5918</v>
      </c>
      <c r="M15" s="13"/>
      <c r="N15" s="89" t="s">
        <v>5919</v>
      </c>
      <c r="O15" s="13"/>
      <c r="P15" s="37" t="s">
        <v>5920</v>
      </c>
      <c r="Q15" s="41"/>
      <c r="R15" s="43" t="s">
        <v>5921</v>
      </c>
      <c r="S15" s="34" t="s">
        <v>5922</v>
      </c>
      <c r="T15" s="91" t="s">
        <v>5923</v>
      </c>
      <c r="U15" s="36"/>
      <c r="V15" s="41"/>
      <c r="W15" s="26"/>
      <c r="X15" s="42" t="s">
        <v>33</v>
      </c>
      <c r="Y15" s="42" t="s">
        <v>34</v>
      </c>
      <c r="Z15" s="48" t="s">
        <v>47</v>
      </c>
      <c r="AA15" s="85" t="str">
        <f>AA$5</f>
        <v/>
      </c>
      <c r="AB15" s="15" t="str">
        <f>IFERROR(__xludf.DUMMYFUNCTION("join("","",filter(split($H$83,"",""),ARRAYFORMULA(ISERROR(FIND(split($H$83,"",""),CONCATENATE(E15:V15))))=TRUE))"),"КЗ,201,206,210,403,408,410,АЗ")</f>
        <v>КЗ,201,206,210,403,408,410,АЗ</v>
      </c>
      <c r="AC15" s="14"/>
      <c r="AD15" s="14"/>
      <c r="AE15" s="14"/>
      <c r="AF15" s="29"/>
      <c r="AG15" s="29"/>
      <c r="AH15" s="29"/>
    </row>
    <row r="16" ht="40.5" hidden="1" customHeight="1">
      <c r="A16" s="30"/>
      <c r="B16" s="31">
        <v>4.0</v>
      </c>
      <c r="C16" s="32" t="s">
        <v>48</v>
      </c>
      <c r="D16" s="32" t="s">
        <v>49</v>
      </c>
      <c r="E16" s="40" t="s">
        <v>5924</v>
      </c>
      <c r="F16" s="13"/>
      <c r="G16" s="37" t="s">
        <v>5925</v>
      </c>
      <c r="H16" s="36"/>
      <c r="I16" s="41"/>
      <c r="J16" s="35" t="s">
        <v>5926</v>
      </c>
      <c r="K16" s="13"/>
      <c r="L16" s="45" t="s">
        <v>5927</v>
      </c>
      <c r="M16" s="13"/>
      <c r="N16" s="89" t="s">
        <v>5928</v>
      </c>
      <c r="O16" s="13"/>
      <c r="P16" s="37" t="s">
        <v>160</v>
      </c>
      <c r="Q16" s="41"/>
      <c r="R16" s="43" t="s">
        <v>5929</v>
      </c>
      <c r="S16" s="34" t="s">
        <v>5930</v>
      </c>
      <c r="T16" s="91" t="s">
        <v>5931</v>
      </c>
      <c r="U16" s="36"/>
      <c r="V16" s="41"/>
      <c r="W16" s="26"/>
      <c r="X16" s="42" t="s">
        <v>48</v>
      </c>
      <c r="Y16" s="42" t="s">
        <v>49</v>
      </c>
      <c r="Z16" s="48" t="s">
        <v>57</v>
      </c>
      <c r="AA16" s="85" t="str">
        <f>AA$6</f>
        <v/>
      </c>
      <c r="AB16" s="15" t="str">
        <f>IFERROR(__xludf.DUMMYFUNCTION("join("","",filter(split($H$83,"",""),ARRAYFORMULA(ISERROR(FIND(split($H$83,"",""),CONCATENATE(E16:V16))))=TRUE))"),"КЗ,201,206,210,403,408,410,АЗ")</f>
        <v>КЗ,201,206,210,403,408,410,АЗ</v>
      </c>
      <c r="AC16" s="14"/>
      <c r="AD16" s="14"/>
      <c r="AE16" s="14"/>
      <c r="AF16" s="29"/>
      <c r="AG16" s="29"/>
      <c r="AH16" s="29"/>
    </row>
    <row r="17" ht="40.5" hidden="1" customHeight="1">
      <c r="A17" s="30"/>
      <c r="B17" s="31">
        <v>5.0</v>
      </c>
      <c r="C17" s="32" t="s">
        <v>58</v>
      </c>
      <c r="D17" s="53">
        <v>44847.0</v>
      </c>
      <c r="E17" s="45" t="s">
        <v>5932</v>
      </c>
      <c r="F17" s="13"/>
      <c r="G17" s="33" t="s">
        <v>5933</v>
      </c>
      <c r="H17" s="45" t="s">
        <v>5934</v>
      </c>
      <c r="I17" s="41"/>
      <c r="J17" s="35" t="s">
        <v>5935</v>
      </c>
      <c r="K17" s="13"/>
      <c r="L17" s="40" t="s">
        <v>5936</v>
      </c>
      <c r="M17" s="13"/>
      <c r="N17" s="45" t="s">
        <v>5937</v>
      </c>
      <c r="O17" s="13"/>
      <c r="P17" s="33" t="s">
        <v>5938</v>
      </c>
      <c r="Q17" s="34" t="s">
        <v>5939</v>
      </c>
      <c r="R17" s="326" t="s">
        <v>5940</v>
      </c>
      <c r="S17" s="92" t="s">
        <v>5941</v>
      </c>
      <c r="T17" s="93" t="s">
        <v>5942</v>
      </c>
      <c r="U17" s="36"/>
      <c r="V17" s="41"/>
      <c r="W17" s="26"/>
      <c r="X17" s="42" t="s">
        <v>58</v>
      </c>
      <c r="Y17" s="54">
        <v>44847.0</v>
      </c>
      <c r="Z17" s="48" t="s">
        <v>70</v>
      </c>
      <c r="AA17" s="85" t="str">
        <f>AA$7</f>
        <v/>
      </c>
      <c r="AB17" s="15" t="str">
        <f>IFERROR(__xludf.DUMMYFUNCTION("join("","",filter(split($H$83,"",""),ARRAYFORMULA(ISERROR(FIND(split($H$83,"",""),CONCATENATE(E17:V17))))=TRUE))"),"СЗ,206,403,408,410,АЗ")</f>
        <v>СЗ,206,403,408,410,АЗ</v>
      </c>
      <c r="AC17" s="14"/>
      <c r="AD17" s="14"/>
      <c r="AE17" s="14"/>
      <c r="AF17" s="29"/>
      <c r="AG17" s="29"/>
      <c r="AH17" s="29"/>
    </row>
    <row r="18" ht="40.5" hidden="1" customHeight="1">
      <c r="A18" s="30"/>
      <c r="B18" s="31">
        <v>6.0</v>
      </c>
      <c r="C18" s="55" t="s">
        <v>71</v>
      </c>
      <c r="D18" s="56" t="s">
        <v>72</v>
      </c>
      <c r="E18" s="45" t="s">
        <v>5943</v>
      </c>
      <c r="F18" s="13"/>
      <c r="G18" s="33" t="s">
        <v>5944</v>
      </c>
      <c r="H18" s="45" t="s">
        <v>5945</v>
      </c>
      <c r="I18" s="41"/>
      <c r="J18" s="35" t="s">
        <v>5946</v>
      </c>
      <c r="K18" s="13"/>
      <c r="L18" s="40" t="s">
        <v>5947</v>
      </c>
      <c r="M18" s="13"/>
      <c r="N18" s="45" t="s">
        <v>5948</v>
      </c>
      <c r="O18" s="13"/>
      <c r="P18" s="33" t="s">
        <v>5949</v>
      </c>
      <c r="Q18" s="34" t="s">
        <v>5950</v>
      </c>
      <c r="R18" s="326" t="s">
        <v>5951</v>
      </c>
      <c r="S18" s="92" t="s">
        <v>5952</v>
      </c>
      <c r="T18" s="93" t="s">
        <v>5953</v>
      </c>
      <c r="U18" s="36"/>
      <c r="V18" s="41"/>
      <c r="W18" s="26"/>
      <c r="X18" s="58" t="s">
        <v>71</v>
      </c>
      <c r="Y18" s="59" t="s">
        <v>72</v>
      </c>
      <c r="Z18" s="48" t="s">
        <v>84</v>
      </c>
      <c r="AA18" s="85" t="str">
        <f>AA$8</f>
        <v/>
      </c>
      <c r="AB18" s="15" t="str">
        <f>IFERROR(__xludf.DUMMYFUNCTION("join("","",filter(split($H$83,"",""),ARRAYFORMULA(ISERROR(FIND(split($H$83,"",""),CONCATENATE(E18:V18))))=TRUE))"),"СЗ,206,403,408,410,АЗ")</f>
        <v>СЗ,206,403,408,410,АЗ</v>
      </c>
      <c r="AC18" s="14"/>
      <c r="AD18" s="14"/>
      <c r="AE18" s="14"/>
      <c r="AF18" s="29"/>
      <c r="AG18" s="29"/>
      <c r="AH18" s="29"/>
    </row>
    <row r="19" ht="40.5" hidden="1" customHeight="1">
      <c r="A19" s="30"/>
      <c r="B19" s="31">
        <v>7.0</v>
      </c>
      <c r="C19" s="32" t="s">
        <v>85</v>
      </c>
      <c r="D19" s="32" t="s">
        <v>86</v>
      </c>
      <c r="E19" s="94" t="s">
        <v>5954</v>
      </c>
      <c r="F19" s="13"/>
      <c r="G19" s="33" t="s">
        <v>5955</v>
      </c>
      <c r="H19" s="45" t="s">
        <v>5956</v>
      </c>
      <c r="I19" s="41"/>
      <c r="J19" s="95" t="s">
        <v>5957</v>
      </c>
      <c r="K19" s="13"/>
      <c r="L19" s="45" t="s">
        <v>5958</v>
      </c>
      <c r="M19" s="13"/>
      <c r="N19" s="45" t="s">
        <v>5959</v>
      </c>
      <c r="O19" s="13"/>
      <c r="P19" s="37" t="s">
        <v>5960</v>
      </c>
      <c r="Q19" s="41"/>
      <c r="R19" s="96" t="s">
        <v>5961</v>
      </c>
      <c r="S19" s="97" t="s">
        <v>5962</v>
      </c>
      <c r="T19" s="93" t="s">
        <v>5963</v>
      </c>
      <c r="U19" s="36"/>
      <c r="V19" s="41"/>
      <c r="W19" s="26"/>
      <c r="X19" s="42" t="s">
        <v>85</v>
      </c>
      <c r="Y19" s="42" t="s">
        <v>86</v>
      </c>
      <c r="Z19" s="48" t="s">
        <v>97</v>
      </c>
      <c r="AA19" s="85" t="str">
        <f>AA$9</f>
        <v/>
      </c>
      <c r="AB19" s="15" t="str">
        <f>IFERROR(__xludf.DUMMYFUNCTION("join("","",filter(split($H$83,"",""),ARRAYFORMULA(ISERROR(FIND(split($H$83,"",""),CONCATENATE(E19:V19))))=TRUE))"),"СЗ,206,403,404,405,410,АЗ")</f>
        <v>СЗ,206,403,404,405,410,АЗ</v>
      </c>
      <c r="AC19" s="14"/>
      <c r="AD19" s="14"/>
      <c r="AE19" s="14"/>
      <c r="AF19" s="29"/>
      <c r="AG19" s="29"/>
      <c r="AH19" s="29"/>
    </row>
    <row r="20" ht="40.5" hidden="1" customHeight="1">
      <c r="A20" s="30"/>
      <c r="B20" s="31">
        <v>8.0</v>
      </c>
      <c r="C20" s="32" t="s">
        <v>98</v>
      </c>
      <c r="D20" s="32" t="s">
        <v>99</v>
      </c>
      <c r="E20" s="94" t="s">
        <v>5964</v>
      </c>
      <c r="F20" s="13"/>
      <c r="G20" s="33" t="s">
        <v>5965</v>
      </c>
      <c r="H20" s="45" t="s">
        <v>5966</v>
      </c>
      <c r="I20" s="41"/>
      <c r="J20" s="95" t="s">
        <v>5967</v>
      </c>
      <c r="K20" s="13"/>
      <c r="L20" s="45" t="s">
        <v>5968</v>
      </c>
      <c r="M20" s="13"/>
      <c r="N20" s="45" t="s">
        <v>5969</v>
      </c>
      <c r="O20" s="13"/>
      <c r="P20" s="37" t="s">
        <v>5970</v>
      </c>
      <c r="Q20" s="41"/>
      <c r="R20" s="96" t="s">
        <v>5971</v>
      </c>
      <c r="S20" s="97" t="s">
        <v>5972</v>
      </c>
      <c r="T20" s="93" t="s">
        <v>5973</v>
      </c>
      <c r="U20" s="36"/>
      <c r="V20" s="41"/>
      <c r="W20" s="26"/>
      <c r="X20" s="42" t="s">
        <v>98</v>
      </c>
      <c r="Y20" s="42" t="s">
        <v>99</v>
      </c>
      <c r="Z20" s="11"/>
      <c r="AA20" s="98"/>
      <c r="AB20" s="15" t="str">
        <f>IFERROR(__xludf.DUMMYFUNCTION("join("","",filter(split($H$83,"",""),ARRAYFORMULA(ISERROR(FIND(split($H$83,"",""),CONCATENATE(E20:V20))))=TRUE))"),"СЗ,206,403,404,405,410,АЗ")</f>
        <v>СЗ,206,403,404,405,410,АЗ</v>
      </c>
      <c r="AC20" s="14"/>
      <c r="AD20" s="14"/>
      <c r="AE20" s="14"/>
      <c r="AF20" s="29"/>
      <c r="AG20" s="29"/>
      <c r="AH20" s="29"/>
    </row>
    <row r="21" ht="40.5" hidden="1" customHeight="1">
      <c r="A21" s="30"/>
      <c r="B21" s="31">
        <v>9.0</v>
      </c>
      <c r="C21" s="65">
        <v>44697.0</v>
      </c>
      <c r="D21" s="44" t="s">
        <v>109</v>
      </c>
      <c r="E21" s="99" t="s">
        <v>206</v>
      </c>
      <c r="F21" s="4"/>
      <c r="G21" s="39" t="s">
        <v>5974</v>
      </c>
      <c r="H21" s="101" t="s">
        <v>208</v>
      </c>
      <c r="I21" s="36"/>
      <c r="J21" s="36"/>
      <c r="K21" s="36"/>
      <c r="L21" s="36"/>
      <c r="M21" s="13"/>
      <c r="N21" s="45" t="s">
        <v>5975</v>
      </c>
      <c r="O21" s="13"/>
      <c r="P21" s="102" t="s">
        <v>5976</v>
      </c>
      <c r="Q21" s="41"/>
      <c r="R21" s="35" t="s">
        <v>211</v>
      </c>
      <c r="S21" s="41"/>
      <c r="T21" s="103" t="s">
        <v>5977</v>
      </c>
      <c r="U21" s="36"/>
      <c r="V21" s="41"/>
      <c r="W21" s="26"/>
      <c r="X21" s="69">
        <v>44697.0</v>
      </c>
      <c r="Y21" s="70" t="s">
        <v>109</v>
      </c>
      <c r="Z21" s="28"/>
      <c r="AA21" s="98"/>
      <c r="AB21" s="15" t="str">
        <f>IFERROR(__xludf.DUMMYFUNCTION("join("","",filter(split($H$83,"",""),ARRAYFORMULA(ISERROR(FIND(split($H$83,"",""),CONCATENATE(E21:V21))))=TRUE))"),"201,206,210,401,403,404,405,406,408,АЗ")</f>
        <v>201,206,210,401,403,404,405,406,408,АЗ</v>
      </c>
      <c r="AC21" s="14"/>
      <c r="AD21" s="14"/>
      <c r="AE21" s="14"/>
      <c r="AF21" s="29"/>
      <c r="AG21" s="29"/>
      <c r="AH21" s="29"/>
    </row>
    <row r="22" ht="40.5" hidden="1" customHeight="1">
      <c r="A22" s="30"/>
      <c r="B22" s="31">
        <v>10.0</v>
      </c>
      <c r="C22" s="44" t="s">
        <v>120</v>
      </c>
      <c r="D22" s="44" t="s">
        <v>121</v>
      </c>
      <c r="E22" s="104"/>
      <c r="F22" s="72"/>
      <c r="G22" s="583" t="s">
        <v>5974</v>
      </c>
      <c r="H22" s="106" t="s">
        <v>3033</v>
      </c>
      <c r="I22" s="36"/>
      <c r="J22" s="36"/>
      <c r="K22" s="36"/>
      <c r="L22" s="36"/>
      <c r="M22" s="13"/>
      <c r="N22" s="45" t="s">
        <v>5978</v>
      </c>
      <c r="O22" s="13"/>
      <c r="P22" s="101" t="s">
        <v>215</v>
      </c>
      <c r="Q22" s="36"/>
      <c r="R22" s="36"/>
      <c r="S22" s="13"/>
      <c r="T22" s="107" t="s">
        <v>5979</v>
      </c>
      <c r="U22" s="36"/>
      <c r="V22" s="41"/>
      <c r="W22" s="26"/>
      <c r="X22" s="70" t="s">
        <v>120</v>
      </c>
      <c r="Y22" s="70" t="s">
        <v>121</v>
      </c>
      <c r="Z22" s="28"/>
      <c r="AA22" s="98"/>
      <c r="AB22" s="15" t="str">
        <f>IFERROR(__xludf.DUMMYFUNCTION("join("","",filter(split($H$83,"",""),ARRAYFORMULA(ISERROR(FIND(split($H$83,"",""),CONCATENATE(E22:V22))))=TRUE))"),"201,202,206,210,401,403,404,405,406,408,409,АЗ")</f>
        <v>201,202,206,210,401,403,404,405,406,408,409,АЗ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225"/>
      <c r="Q23" s="225"/>
      <c r="R23" s="114" t="s">
        <v>5980</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hidden="1" customHeight="1">
      <c r="A24" s="593">
        <v>44909.0</v>
      </c>
      <c r="B24" s="435">
        <v>1.0</v>
      </c>
      <c r="C24" s="20" t="s">
        <v>12</v>
      </c>
      <c r="D24" s="20" t="s">
        <v>13</v>
      </c>
      <c r="E24" s="21"/>
      <c r="F24" s="22"/>
      <c r="G24" s="116"/>
      <c r="H24" s="117"/>
      <c r="I24" s="22"/>
      <c r="J24" s="118" t="s">
        <v>221</v>
      </c>
      <c r="K24" s="24"/>
      <c r="L24" s="24"/>
      <c r="M24" s="25"/>
      <c r="N24" s="80" t="s">
        <v>5981</v>
      </c>
      <c r="O24" s="25"/>
      <c r="P24" s="39" t="s">
        <v>5982</v>
      </c>
      <c r="Q24" s="124"/>
      <c r="R24" s="120"/>
      <c r="S24" s="594"/>
      <c r="T24" s="121" t="s">
        <v>5983</v>
      </c>
      <c r="U24" s="24"/>
      <c r="V24" s="22"/>
      <c r="W24" s="26"/>
      <c r="X24" s="27" t="s">
        <v>12</v>
      </c>
      <c r="Y24" s="27" t="s">
        <v>13</v>
      </c>
      <c r="Z24" s="28"/>
      <c r="AA24" s="14"/>
      <c r="AB24" s="15" t="str">
        <f>IFERROR(__xludf.DUMMYFUNCTION("join("","",filter(split($H$83,"",""),ARRAYFORMULA(ISERROR(FIND(split($H$83,"",""),CONCATENATE(E24:V24))))=TRUE))"),"СЗ,КЗ,201,202,206,210,401,402,403,404,405,406,408,409,410,АЗ")</f>
        <v>СЗ,КЗ,201,202,206,210,401,402,403,404,405,406,408,409,410,АЗ</v>
      </c>
      <c r="AC24" s="14"/>
      <c r="AD24" s="14"/>
      <c r="AE24" s="14"/>
      <c r="AF24" s="29"/>
      <c r="AG24" s="29"/>
      <c r="AH24" s="29"/>
    </row>
    <row r="25" ht="40.5" hidden="1" customHeight="1">
      <c r="A25" s="30"/>
      <c r="B25" s="436">
        <v>2.0</v>
      </c>
      <c r="C25" s="32" t="s">
        <v>21</v>
      </c>
      <c r="D25" s="32" t="s">
        <v>22</v>
      </c>
      <c r="E25" s="51"/>
      <c r="F25" s="41"/>
      <c r="G25" s="21" t="s">
        <v>5984</v>
      </c>
      <c r="H25" s="24"/>
      <c r="I25" s="25"/>
      <c r="J25" s="35" t="s">
        <v>5985</v>
      </c>
      <c r="K25" s="13"/>
      <c r="L25" s="40" t="s">
        <v>5986</v>
      </c>
      <c r="M25" s="13"/>
      <c r="N25" s="40" t="s">
        <v>5987</v>
      </c>
      <c r="O25" s="13"/>
      <c r="P25" s="37" t="s">
        <v>5988</v>
      </c>
      <c r="Q25" s="13"/>
      <c r="R25" s="122" t="s">
        <v>5989</v>
      </c>
      <c r="S25" s="41"/>
      <c r="T25" s="103" t="s">
        <v>5990</v>
      </c>
      <c r="U25" s="36"/>
      <c r="V25" s="41"/>
      <c r="W25" s="26"/>
      <c r="X25" s="42" t="s">
        <v>21</v>
      </c>
      <c r="Y25" s="42" t="s">
        <v>22</v>
      </c>
      <c r="Z25" s="28"/>
      <c r="AA25" s="14"/>
      <c r="AB25" s="15" t="str">
        <f>IFERROR(__xludf.DUMMYFUNCTION("join("","",filter(split($H$83,"",""),ARRAYFORMULA(ISERROR(FIND(split($H$83,"",""),CONCATENATE(E25:V25))))=TRUE))"),"СЗ,КЗ,202,206,209,210,403,404,405,408,410,АЗ")</f>
        <v>СЗ,КЗ,202,206,209,210,403,404,405,408,410,АЗ</v>
      </c>
      <c r="AC25" s="14"/>
      <c r="AD25" s="14"/>
      <c r="AE25" s="14"/>
      <c r="AF25" s="29"/>
      <c r="AG25" s="29"/>
      <c r="AH25" s="29"/>
    </row>
    <row r="26" ht="40.5" hidden="1" customHeight="1">
      <c r="A26" s="30"/>
      <c r="B26" s="436">
        <v>3.0</v>
      </c>
      <c r="C26" s="32" t="s">
        <v>33</v>
      </c>
      <c r="D26" s="32" t="s">
        <v>34</v>
      </c>
      <c r="E26" s="37" t="s">
        <v>5991</v>
      </c>
      <c r="F26" s="41"/>
      <c r="G26" s="322" t="s">
        <v>5992</v>
      </c>
      <c r="H26" s="36"/>
      <c r="I26" s="13"/>
      <c r="J26" s="95" t="s">
        <v>5993</v>
      </c>
      <c r="K26" s="13"/>
      <c r="L26" s="123" t="s">
        <v>5984</v>
      </c>
      <c r="M26" s="41"/>
      <c r="N26" s="40" t="s">
        <v>5994</v>
      </c>
      <c r="O26" s="13"/>
      <c r="P26" s="37" t="s">
        <v>5995</v>
      </c>
      <c r="Q26" s="13"/>
      <c r="R26" s="89" t="s">
        <v>5996</v>
      </c>
      <c r="S26" s="41"/>
      <c r="T26" s="125" t="s">
        <v>5997</v>
      </c>
      <c r="U26" s="36"/>
      <c r="V26" s="41"/>
      <c r="W26" s="26"/>
      <c r="X26" s="42" t="s">
        <v>33</v>
      </c>
      <c r="Y26" s="42" t="s">
        <v>34</v>
      </c>
      <c r="Z26" s="48" t="s">
        <v>47</v>
      </c>
      <c r="AA26" s="85" t="str">
        <f>AA$5</f>
        <v/>
      </c>
      <c r="AB26" s="15" t="str">
        <f>IFERROR(__xludf.DUMMYFUNCTION("join("","",filter(split($H$83,"",""),ARRAYFORMULA(ISERROR(FIND(split($H$83,"",""),CONCATENATE(E26:V26))))=TRUE))"),"СЗ,КЗ,202,206,210,402,403,404,405,410,АЗ")</f>
        <v>СЗ,КЗ,202,206,210,402,403,404,405,410,АЗ</v>
      </c>
      <c r="AC26" s="14"/>
      <c r="AD26" s="14"/>
      <c r="AE26" s="14"/>
      <c r="AF26" s="29"/>
      <c r="AG26" s="29"/>
      <c r="AH26" s="29"/>
    </row>
    <row r="27" ht="54.0" hidden="1" customHeight="1">
      <c r="A27" s="30"/>
      <c r="B27" s="436">
        <v>4.0</v>
      </c>
      <c r="C27" s="32" t="s">
        <v>48</v>
      </c>
      <c r="D27" s="32" t="s">
        <v>49</v>
      </c>
      <c r="E27" s="33" t="s">
        <v>5998</v>
      </c>
      <c r="F27" s="286" t="s">
        <v>5999</v>
      </c>
      <c r="G27" s="37" t="s">
        <v>6000</v>
      </c>
      <c r="H27" s="13"/>
      <c r="I27" s="595" t="s">
        <v>6001</v>
      </c>
      <c r="J27" s="123" t="s">
        <v>5984</v>
      </c>
      <c r="K27" s="41"/>
      <c r="L27" s="45" t="s">
        <v>6002</v>
      </c>
      <c r="M27" s="13"/>
      <c r="N27" s="127" t="s">
        <v>6003</v>
      </c>
      <c r="O27" s="13"/>
      <c r="P27" s="37" t="s">
        <v>6004</v>
      </c>
      <c r="Q27" s="13"/>
      <c r="R27" s="132" t="s">
        <v>6005</v>
      </c>
      <c r="S27" s="34" t="s">
        <v>6006</v>
      </c>
      <c r="T27" s="125" t="s">
        <v>6007</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D27" s="14"/>
      <c r="AE27" s="14"/>
      <c r="AF27" s="29"/>
      <c r="AG27" s="29"/>
      <c r="AH27" s="29"/>
    </row>
    <row r="28" ht="53.25" hidden="1" customHeight="1">
      <c r="A28" s="30"/>
      <c r="B28" s="436">
        <v>5.0</v>
      </c>
      <c r="C28" s="32" t="s">
        <v>58</v>
      </c>
      <c r="D28" s="53">
        <v>44847.0</v>
      </c>
      <c r="E28" s="33" t="s">
        <v>6008</v>
      </c>
      <c r="F28" s="92" t="s">
        <v>6009</v>
      </c>
      <c r="G28" s="37" t="s">
        <v>6010</v>
      </c>
      <c r="H28" s="13"/>
      <c r="I28" s="40" t="s">
        <v>6011</v>
      </c>
      <c r="J28" s="123" t="s">
        <v>5984</v>
      </c>
      <c r="K28" s="41"/>
      <c r="L28" s="35" t="s">
        <v>6012</v>
      </c>
      <c r="M28" s="13"/>
      <c r="N28" s="130" t="s">
        <v>6013</v>
      </c>
      <c r="O28" s="13"/>
      <c r="P28" s="96" t="s">
        <v>6014</v>
      </c>
      <c r="Q28" s="124" t="s">
        <v>6015</v>
      </c>
      <c r="R28" s="132" t="s">
        <v>6016</v>
      </c>
      <c r="S28" s="34" t="s">
        <v>6017</v>
      </c>
      <c r="T28" s="128" t="s">
        <v>6018</v>
      </c>
      <c r="U28" s="8"/>
      <c r="V28" s="129"/>
      <c r="W28" s="26"/>
      <c r="X28" s="42" t="s">
        <v>58</v>
      </c>
      <c r="Y28" s="54">
        <v>44847.0</v>
      </c>
      <c r="Z28" s="48" t="s">
        <v>70</v>
      </c>
      <c r="AA28" s="85" t="str">
        <f>AA$7</f>
        <v/>
      </c>
      <c r="AB28" s="15" t="str">
        <f>IFERROR(__xludf.DUMMYFUNCTION("join("","",filter(split($H$83,"",""),ARRAYFORMULA(ISERROR(FIND(split($H$83,"",""),CONCATENATE(E28:V28))))=TRUE))"),"СЗ,202,206,209,403,404,405,410")</f>
        <v>СЗ,202,206,209,403,404,405,410</v>
      </c>
      <c r="AC28" s="14"/>
      <c r="AD28" s="14"/>
      <c r="AE28" s="14"/>
      <c r="AF28" s="29"/>
      <c r="AG28" s="29"/>
      <c r="AH28" s="29"/>
    </row>
    <row r="29" ht="40.5" hidden="1" customHeight="1">
      <c r="A29" s="30"/>
      <c r="B29" s="436">
        <v>6.0</v>
      </c>
      <c r="C29" s="55" t="s">
        <v>71</v>
      </c>
      <c r="D29" s="56" t="s">
        <v>72</v>
      </c>
      <c r="E29" s="39" t="s">
        <v>6019</v>
      </c>
      <c r="F29" s="34" t="s">
        <v>6020</v>
      </c>
      <c r="G29" s="596" t="s">
        <v>6021</v>
      </c>
      <c r="H29" s="41"/>
      <c r="I29" s="45" t="s">
        <v>6022</v>
      </c>
      <c r="J29" s="35" t="s">
        <v>6023</v>
      </c>
      <c r="K29" s="13"/>
      <c r="L29" s="123" t="s">
        <v>5984</v>
      </c>
      <c r="M29" s="41"/>
      <c r="N29" s="130" t="s">
        <v>6024</v>
      </c>
      <c r="O29" s="13"/>
      <c r="P29" s="597" t="s">
        <v>6025</v>
      </c>
      <c r="Q29" s="132" t="s">
        <v>6026</v>
      </c>
      <c r="R29" s="437" t="s">
        <v>6027</v>
      </c>
      <c r="S29" s="92" t="s">
        <v>6028</v>
      </c>
      <c r="V29" s="134"/>
      <c r="W29" s="26"/>
      <c r="X29" s="58" t="s">
        <v>71</v>
      </c>
      <c r="Y29" s="59" t="s">
        <v>72</v>
      </c>
      <c r="Z29" s="48" t="s">
        <v>84</v>
      </c>
      <c r="AA29" s="85" t="str">
        <f>AA$8</f>
        <v/>
      </c>
      <c r="AB29" s="15" t="str">
        <f>IFERROR(__xludf.DUMMYFUNCTION("join("","",filter(split($H$83,"",""),ARRAYFORMULA(ISERROR(FIND(split($H$83,"",""),CONCATENATE(E29:V29))))=TRUE))"),"СЗ,КЗ,202,206,403,404,410,АЗ")</f>
        <v>СЗ,КЗ,202,206,403,404,410,АЗ</v>
      </c>
      <c r="AC29" s="14"/>
      <c r="AD29" s="14"/>
      <c r="AE29" s="14"/>
      <c r="AF29" s="29"/>
      <c r="AG29" s="29"/>
      <c r="AH29" s="29"/>
    </row>
    <row r="30" ht="40.5" hidden="1" customHeight="1">
      <c r="A30" s="30"/>
      <c r="B30" s="436">
        <v>7.0</v>
      </c>
      <c r="C30" s="32" t="s">
        <v>85</v>
      </c>
      <c r="D30" s="32" t="s">
        <v>86</v>
      </c>
      <c r="E30" s="39" t="s">
        <v>6029</v>
      </c>
      <c r="F30" s="34" t="s">
        <v>6030</v>
      </c>
      <c r="G30" s="40" t="s">
        <v>6031</v>
      </c>
      <c r="H30" s="41"/>
      <c r="I30" s="34" t="s">
        <v>6032</v>
      </c>
      <c r="J30" s="334" t="s">
        <v>6033</v>
      </c>
      <c r="K30" s="36"/>
      <c r="L30" s="36"/>
      <c r="M30" s="13"/>
      <c r="N30" s="136" t="s">
        <v>6034</v>
      </c>
      <c r="O30" s="13"/>
      <c r="P30" s="597" t="s">
        <v>6035</v>
      </c>
      <c r="Q30" s="132" t="s">
        <v>6036</v>
      </c>
      <c r="R30" s="173"/>
      <c r="S30" s="92" t="s">
        <v>6037</v>
      </c>
      <c r="V30" s="134"/>
      <c r="W30" s="26"/>
      <c r="X30" s="42" t="s">
        <v>85</v>
      </c>
      <c r="Y30" s="42" t="s">
        <v>86</v>
      </c>
      <c r="Z30" s="48" t="s">
        <v>97</v>
      </c>
      <c r="AA30" s="85" t="str">
        <f>AA$9</f>
        <v/>
      </c>
      <c r="AB30" s="15" t="str">
        <f>IFERROR(__xludf.DUMMYFUNCTION("join("","",filter(split($H$83,"",""),ARRAYFORMULA(ISERROR(FIND(split($H$83,"",""),CONCATENATE(E30:V30))))=TRUE))"),"СЗ,КЗ,201,206,403,404,405,409,410,АЗ")</f>
        <v>СЗ,КЗ,201,206,403,404,405,409,410,АЗ</v>
      </c>
      <c r="AC30" s="14"/>
      <c r="AD30" s="14"/>
      <c r="AE30" s="14"/>
      <c r="AF30" s="29"/>
      <c r="AG30" s="29"/>
      <c r="AH30" s="29"/>
    </row>
    <row r="31" ht="52.5" hidden="1" customHeight="1">
      <c r="A31" s="30"/>
      <c r="B31" s="436">
        <v>8.0</v>
      </c>
      <c r="C31" s="32" t="s">
        <v>98</v>
      </c>
      <c r="D31" s="32" t="s">
        <v>99</v>
      </c>
      <c r="E31" s="46" t="s">
        <v>6038</v>
      </c>
      <c r="F31" s="41"/>
      <c r="G31" s="137" t="s">
        <v>6039</v>
      </c>
      <c r="H31" s="8"/>
      <c r="I31" s="129"/>
      <c r="J31" s="334" t="s">
        <v>6040</v>
      </c>
      <c r="K31" s="36"/>
      <c r="L31" s="36"/>
      <c r="M31" s="13"/>
      <c r="N31" s="45" t="s">
        <v>6041</v>
      </c>
      <c r="O31" s="13"/>
      <c r="P31" s="33" t="s">
        <v>6042</v>
      </c>
      <c r="Q31" s="408" t="s">
        <v>6043</v>
      </c>
      <c r="R31" s="144"/>
      <c r="S31" s="133"/>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hidden="1" customHeight="1">
      <c r="A32" s="30"/>
      <c r="B32" s="436">
        <v>9.0</v>
      </c>
      <c r="C32" s="65">
        <v>44697.0</v>
      </c>
      <c r="D32" s="44" t="s">
        <v>109</v>
      </c>
      <c r="E32" s="141" t="s">
        <v>6044</v>
      </c>
      <c r="F32" s="13"/>
      <c r="G32" s="142"/>
      <c r="H32" s="64"/>
      <c r="I32" s="88"/>
      <c r="J32" s="334"/>
      <c r="K32" s="36"/>
      <c r="L32" s="36"/>
      <c r="M32" s="13"/>
      <c r="N32" s="45" t="s">
        <v>6045</v>
      </c>
      <c r="O32" s="13"/>
      <c r="P32" s="33" t="s">
        <v>6046</v>
      </c>
      <c r="Q32" s="408" t="s">
        <v>6047</v>
      </c>
      <c r="R32" s="144"/>
      <c r="S32" s="92"/>
      <c r="T32" s="64"/>
      <c r="U32" s="64"/>
      <c r="V32" s="88"/>
      <c r="W32" s="26"/>
      <c r="X32" s="69">
        <v>44697.0</v>
      </c>
      <c r="Y32" s="70" t="s">
        <v>109</v>
      </c>
      <c r="Z32" s="28"/>
      <c r="AA32" s="14"/>
      <c r="AB32" s="15" t="str">
        <f>IFERROR(__xludf.DUMMYFUNCTION("join("","",filter(split($H$83,"",""),ARRAYFORMULA(ISERROR(FIND(split($H$83,"",""),CONCATENATE(E32:V32))))=TRUE))"),"СЗ,КЗ,201,202,206,401,402,403,404,405,406,408,409,АЗ")</f>
        <v>СЗ,КЗ,201,202,206,401,402,403,404,405,406,408,409,АЗ</v>
      </c>
      <c r="AC32" s="14"/>
      <c r="AD32" s="14"/>
      <c r="AE32" s="14"/>
      <c r="AF32" s="29"/>
      <c r="AG32" s="29"/>
      <c r="AH32" s="29"/>
    </row>
    <row r="33" ht="40.5" hidden="1" customHeight="1">
      <c r="A33" s="30"/>
      <c r="B33" s="436">
        <v>10.0</v>
      </c>
      <c r="C33" s="44" t="s">
        <v>120</v>
      </c>
      <c r="D33" s="44" t="s">
        <v>121</v>
      </c>
      <c r="E33" s="141" t="s">
        <v>6048</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6049</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593">
        <v>44910.0</v>
      </c>
      <c r="B35" s="19">
        <v>1.0</v>
      </c>
      <c r="C35" s="20" t="s">
        <v>12</v>
      </c>
      <c r="D35" s="20" t="s">
        <v>13</v>
      </c>
      <c r="E35" s="80"/>
      <c r="F35" s="25"/>
      <c r="G35" s="156" t="s">
        <v>6050</v>
      </c>
      <c r="H35" s="117" t="s">
        <v>6051</v>
      </c>
      <c r="I35" s="25"/>
      <c r="J35" s="157" t="s">
        <v>6052</v>
      </c>
      <c r="K35" s="13"/>
      <c r="L35" s="156" t="s">
        <v>6053</v>
      </c>
      <c r="M35" s="156" t="s">
        <v>6054</v>
      </c>
      <c r="N35" s="80" t="s">
        <v>6055</v>
      </c>
      <c r="O35" s="25"/>
      <c r="P35" s="156" t="s">
        <v>6056</v>
      </c>
      <c r="Q35" s="156" t="s">
        <v>6057</v>
      </c>
      <c r="R35" s="159" t="s">
        <v>6058</v>
      </c>
      <c r="S35" s="160"/>
      <c r="T35" s="161" t="s">
        <v>6059</v>
      </c>
      <c r="U35" s="24"/>
      <c r="V35" s="22"/>
      <c r="W35" s="26"/>
      <c r="X35" s="27" t="s">
        <v>12</v>
      </c>
      <c r="Y35" s="27" t="s">
        <v>13</v>
      </c>
      <c r="Z35" s="28"/>
      <c r="AA35" s="14"/>
      <c r="AB35" s="15" t="str">
        <f>IFERROR(__xludf.DUMMYFUNCTION("join("","",filter(split($H$83,"",""),ARRAYFORMULA(ISERROR(FIND(split($H$83,"",""),CONCATENATE(E35:V35))))=TRUE))"),"СЗ,КЗ,201,206,406,410,АЗ")</f>
        <v>СЗ,КЗ,201,206,406,410,АЗ</v>
      </c>
      <c r="AC35" s="14"/>
      <c r="AD35" s="14"/>
      <c r="AE35" s="14"/>
      <c r="AF35" s="29"/>
      <c r="AG35" s="29"/>
      <c r="AH35" s="29"/>
    </row>
    <row r="36" ht="54.0" hidden="1" customHeight="1">
      <c r="A36" s="30"/>
      <c r="B36" s="31">
        <v>2.0</v>
      </c>
      <c r="C36" s="32" t="s">
        <v>21</v>
      </c>
      <c r="D36" s="32" t="s">
        <v>22</v>
      </c>
      <c r="E36" s="45" t="s">
        <v>6060</v>
      </c>
      <c r="F36" s="13"/>
      <c r="G36" s="44" t="s">
        <v>6061</v>
      </c>
      <c r="H36" s="40" t="s">
        <v>312</v>
      </c>
      <c r="I36" s="13"/>
      <c r="J36" s="157" t="s">
        <v>313</v>
      </c>
      <c r="K36" s="13"/>
      <c r="L36" s="44" t="s">
        <v>6062</v>
      </c>
      <c r="M36" s="44" t="s">
        <v>6063</v>
      </c>
      <c r="N36" s="45" t="s">
        <v>316</v>
      </c>
      <c r="O36" s="13"/>
      <c r="P36" s="44" t="s">
        <v>6064</v>
      </c>
      <c r="Q36" s="44" t="s">
        <v>6065</v>
      </c>
      <c r="R36" s="162" t="s">
        <v>6066</v>
      </c>
      <c r="S36" s="90"/>
      <c r="T36" s="163" t="s">
        <v>6067</v>
      </c>
      <c r="U36" s="36"/>
      <c r="V36" s="41"/>
      <c r="W36" s="26"/>
      <c r="X36" s="42" t="s">
        <v>21</v>
      </c>
      <c r="Y36" s="42" t="s">
        <v>22</v>
      </c>
      <c r="Z36" s="28"/>
      <c r="AA36" s="14"/>
      <c r="AB36" s="15" t="str">
        <f>IFERROR(__xludf.DUMMYFUNCTION("join("","",filter(split($H$83,"",""),ARRAYFORMULA(ISERROR(FIND(split($H$83,"",""),CONCATENATE(E36:V36))))=TRUE))"),"СЗ,КЗ,206,406,410,АЗ")</f>
        <v>СЗ,КЗ,206,406,410,АЗ</v>
      </c>
      <c r="AC36" s="14"/>
      <c r="AD36" s="14"/>
      <c r="AE36" s="14"/>
      <c r="AF36" s="29"/>
      <c r="AG36" s="29"/>
      <c r="AH36" s="29"/>
    </row>
    <row r="37" ht="56.25" hidden="1" customHeight="1">
      <c r="A37" s="30"/>
      <c r="B37" s="31">
        <v>3.0</v>
      </c>
      <c r="C37" s="32" t="s">
        <v>33</v>
      </c>
      <c r="D37" s="32" t="s">
        <v>34</v>
      </c>
      <c r="E37" s="45" t="s">
        <v>6068</v>
      </c>
      <c r="F37" s="13"/>
      <c r="G37" s="132" t="s">
        <v>6069</v>
      </c>
      <c r="H37" s="45" t="s">
        <v>6070</v>
      </c>
      <c r="I37" s="13"/>
      <c r="J37" s="45" t="s">
        <v>6071</v>
      </c>
      <c r="K37" s="13"/>
      <c r="L37" s="44" t="s">
        <v>6072</v>
      </c>
      <c r="M37" s="44" t="s">
        <v>6073</v>
      </c>
      <c r="N37" s="164" t="s">
        <v>6074</v>
      </c>
      <c r="O37" s="36"/>
      <c r="P37" s="36"/>
      <c r="Q37" s="13"/>
      <c r="R37" s="44" t="s">
        <v>6075</v>
      </c>
      <c r="S37" s="44" t="s">
        <v>6076</v>
      </c>
      <c r="T37" s="87" t="s">
        <v>6077</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hidden="1" customHeight="1">
      <c r="A38" s="30"/>
      <c r="B38" s="31">
        <v>4.0</v>
      </c>
      <c r="C38" s="32" t="s">
        <v>48</v>
      </c>
      <c r="D38" s="32" t="s">
        <v>49</v>
      </c>
      <c r="E38" s="45" t="s">
        <v>6078</v>
      </c>
      <c r="F38" s="13"/>
      <c r="G38" s="132" t="s">
        <v>6079</v>
      </c>
      <c r="H38" s="45" t="s">
        <v>6080</v>
      </c>
      <c r="I38" s="13"/>
      <c r="J38" s="45" t="s">
        <v>6081</v>
      </c>
      <c r="K38" s="13"/>
      <c r="L38" s="44" t="s">
        <v>6082</v>
      </c>
      <c r="M38" s="44" t="s">
        <v>6083</v>
      </c>
      <c r="N38" s="164" t="s">
        <v>6084</v>
      </c>
      <c r="O38" s="36"/>
      <c r="P38" s="36"/>
      <c r="Q38" s="13"/>
      <c r="R38" s="44" t="s">
        <v>6085</v>
      </c>
      <c r="S38" s="44" t="s">
        <v>6086</v>
      </c>
      <c r="T38" s="87" t="s">
        <v>6087</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hidden="1" customHeight="1">
      <c r="A39" s="30"/>
      <c r="B39" s="31">
        <v>5.0</v>
      </c>
      <c r="C39" s="32" t="s">
        <v>58</v>
      </c>
      <c r="D39" s="53">
        <v>44847.0</v>
      </c>
      <c r="E39" s="45" t="s">
        <v>6088</v>
      </c>
      <c r="F39" s="13"/>
      <c r="G39" s="44" t="s">
        <v>6089</v>
      </c>
      <c r="H39" s="45" t="s">
        <v>6090</v>
      </c>
      <c r="I39" s="13"/>
      <c r="J39" s="44" t="s">
        <v>6091</v>
      </c>
      <c r="K39" s="44" t="s">
        <v>6092</v>
      </c>
      <c r="L39" s="45" t="s">
        <v>6093</v>
      </c>
      <c r="M39" s="13"/>
      <c r="N39" s="44" t="s">
        <v>6094</v>
      </c>
      <c r="O39" s="44" t="s">
        <v>6095</v>
      </c>
      <c r="P39" s="45" t="s">
        <v>6096</v>
      </c>
      <c r="Q39" s="13"/>
      <c r="R39" s="44" t="s">
        <v>6097</v>
      </c>
      <c r="S39" s="132" t="s">
        <v>6098</v>
      </c>
      <c r="T39" s="45" t="s">
        <v>6099</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hidden="1" customHeight="1">
      <c r="A40" s="30"/>
      <c r="B40" s="31">
        <v>6.0</v>
      </c>
      <c r="C40" s="55" t="s">
        <v>71</v>
      </c>
      <c r="D40" s="56" t="s">
        <v>72</v>
      </c>
      <c r="E40" s="45" t="s">
        <v>6100</v>
      </c>
      <c r="F40" s="13"/>
      <c r="G40" s="44" t="s">
        <v>355</v>
      </c>
      <c r="H40" s="45" t="s">
        <v>6101</v>
      </c>
      <c r="I40" s="13"/>
      <c r="J40" s="44" t="s">
        <v>6102</v>
      </c>
      <c r="K40" s="44" t="s">
        <v>6103</v>
      </c>
      <c r="L40" s="45" t="s">
        <v>6104</v>
      </c>
      <c r="M40" s="13"/>
      <c r="N40" s="44" t="s">
        <v>6105</v>
      </c>
      <c r="O40" s="44" t="s">
        <v>6106</v>
      </c>
      <c r="P40" s="45" t="s">
        <v>6107</v>
      </c>
      <c r="Q40" s="13"/>
      <c r="R40" s="44" t="s">
        <v>6108</v>
      </c>
      <c r="S40" s="132" t="s">
        <v>6109</v>
      </c>
      <c r="T40" s="45" t="s">
        <v>6110</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hidden="1" customHeight="1">
      <c r="A41" s="30"/>
      <c r="B41" s="31">
        <v>7.0</v>
      </c>
      <c r="C41" s="32" t="s">
        <v>85</v>
      </c>
      <c r="D41" s="32" t="s">
        <v>86</v>
      </c>
      <c r="E41" s="45" t="s">
        <v>6111</v>
      </c>
      <c r="F41" s="13"/>
      <c r="G41" s="44" t="s">
        <v>6112</v>
      </c>
      <c r="H41" s="45" t="s">
        <v>6113</v>
      </c>
      <c r="I41" s="13"/>
      <c r="J41" s="44" t="s">
        <v>6114</v>
      </c>
      <c r="K41" s="44" t="s">
        <v>6115</v>
      </c>
      <c r="L41" s="45" t="s">
        <v>6116</v>
      </c>
      <c r="M41" s="13"/>
      <c r="N41" s="87" t="s">
        <v>6117</v>
      </c>
      <c r="O41" s="13"/>
      <c r="P41" s="45" t="s">
        <v>6118</v>
      </c>
      <c r="Q41" s="13"/>
      <c r="R41" s="44" t="s">
        <v>6119</v>
      </c>
      <c r="S41" s="44" t="s">
        <v>6120</v>
      </c>
      <c r="T41" s="165" t="s">
        <v>6121</v>
      </c>
      <c r="U41" s="36"/>
      <c r="V41" s="41"/>
      <c r="W41" s="26"/>
      <c r="X41" s="42" t="s">
        <v>85</v>
      </c>
      <c r="Y41" s="42" t="s">
        <v>86</v>
      </c>
      <c r="Z41" s="48" t="s">
        <v>97</v>
      </c>
      <c r="AA41" s="85" t="str">
        <f>AA$9</f>
        <v/>
      </c>
      <c r="AB41" s="15" t="str">
        <f>IFERROR(__xludf.DUMMYFUNCTION("join("","",filter(split($H$83,"",""),ARRAYFORMULA(ISERROR(FIND(split($H$83,"",""),CONCATENATE(E41:V41))))=TRUE))"),"СЗ,КЗ,206,210,403,406,410,АЗ")</f>
        <v>СЗ,КЗ,206,210,403,406,410,АЗ</v>
      </c>
      <c r="AC41" s="14"/>
      <c r="AD41" s="14"/>
      <c r="AE41" s="14"/>
      <c r="AF41" s="29"/>
      <c r="AG41" s="29"/>
      <c r="AH41" s="29"/>
    </row>
    <row r="42" ht="52.5" hidden="1" customHeight="1">
      <c r="A42" s="30"/>
      <c r="B42" s="31">
        <v>8.0</v>
      </c>
      <c r="C42" s="32" t="s">
        <v>98</v>
      </c>
      <c r="D42" s="32" t="s">
        <v>99</v>
      </c>
      <c r="E42" s="45" t="s">
        <v>6122</v>
      </c>
      <c r="F42" s="13"/>
      <c r="G42" s="44" t="s">
        <v>6123</v>
      </c>
      <c r="H42" s="45" t="s">
        <v>6124</v>
      </c>
      <c r="I42" s="13"/>
      <c r="J42" s="44" t="s">
        <v>6125</v>
      </c>
      <c r="K42" s="44" t="s">
        <v>6126</v>
      </c>
      <c r="L42" s="45" t="s">
        <v>6127</v>
      </c>
      <c r="M42" s="13"/>
      <c r="N42" s="87" t="s">
        <v>6128</v>
      </c>
      <c r="O42" s="13"/>
      <c r="P42" s="45" t="s">
        <v>6129</v>
      </c>
      <c r="Q42" s="13"/>
      <c r="R42" s="166"/>
      <c r="S42" s="13"/>
      <c r="T42" s="165" t="s">
        <v>6130</v>
      </c>
      <c r="U42" s="36"/>
      <c r="V42" s="41"/>
      <c r="W42" s="26"/>
      <c r="X42" s="42" t="s">
        <v>98</v>
      </c>
      <c r="Y42" s="42" t="s">
        <v>99</v>
      </c>
      <c r="Z42" s="11"/>
      <c r="AA42" s="14"/>
      <c r="AB42" s="15" t="str">
        <f>IFERROR(__xludf.DUMMYFUNCTION("join("","",filter(split($H$83,"",""),ARRAYFORMULA(ISERROR(FIND(split($H$83,"",""),CONCATENATE(E42:V42))))=TRUE))"),"СЗ,КЗ,206,210,403,404,405,406,410,АЗ")</f>
        <v>СЗ,КЗ,206,210,403,404,405,406,410,АЗ</v>
      </c>
      <c r="AC42" s="14"/>
      <c r="AD42" s="14"/>
      <c r="AE42" s="14"/>
      <c r="AF42" s="29"/>
      <c r="AG42" s="29"/>
      <c r="AH42" s="29"/>
    </row>
    <row r="43" ht="40.5" hidden="1" customHeight="1">
      <c r="A43" s="30"/>
      <c r="B43" s="31">
        <v>9.0</v>
      </c>
      <c r="C43" s="65">
        <v>44697.0</v>
      </c>
      <c r="D43" s="44" t="s">
        <v>109</v>
      </c>
      <c r="E43" s="167" t="s">
        <v>6131</v>
      </c>
      <c r="F43" s="4"/>
      <c r="G43" s="168"/>
      <c r="H43" s="169" t="s">
        <v>6132</v>
      </c>
      <c r="I43" s="36"/>
      <c r="J43" s="13"/>
      <c r="K43" s="170"/>
      <c r="L43" s="4"/>
      <c r="M43" s="171"/>
      <c r="N43" s="45" t="s">
        <v>6133</v>
      </c>
      <c r="O43" s="13"/>
      <c r="P43" s="174"/>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IFERROR(__xludf.DUMMYFUNCTION("join("","",filter(split($H$83,"",""),ARRAYFORMULA(ISERROR(FIND(split($H$83,"",""),CONCATENATE(E43:V43))))=TRUE))"),"КЗ,202,206,209,210,401,403,404,405,406,408,409,АЗ")</f>
        <v>КЗ,202,206,209,210,401,403,404,405,406,408,409,АЗ</v>
      </c>
      <c r="AC43" s="14"/>
      <c r="AD43" s="14"/>
      <c r="AE43" s="14"/>
      <c r="AF43" s="29"/>
      <c r="AG43" s="29"/>
      <c r="AH43" s="29"/>
    </row>
    <row r="44" ht="40.5" hidden="1" customHeight="1">
      <c r="A44" s="30"/>
      <c r="B44" s="31">
        <v>10.0</v>
      </c>
      <c r="C44" s="44" t="s">
        <v>120</v>
      </c>
      <c r="D44" s="44" t="s">
        <v>121</v>
      </c>
      <c r="E44" s="104"/>
      <c r="F44" s="72"/>
      <c r="G44" s="173"/>
      <c r="H44" s="169" t="s">
        <v>6134</v>
      </c>
      <c r="I44" s="36"/>
      <c r="J44" s="13"/>
      <c r="K44" s="104"/>
      <c r="L44" s="72"/>
      <c r="M44" s="171"/>
      <c r="N44" s="45" t="s">
        <v>6135</v>
      </c>
      <c r="O44" s="13"/>
      <c r="P44" s="173"/>
      <c r="Q44" s="104"/>
      <c r="R44" s="64"/>
      <c r="S44" s="64"/>
      <c r="T44" s="64"/>
      <c r="U44" s="64"/>
      <c r="V44" s="88"/>
      <c r="W44" s="26"/>
      <c r="X44" s="70" t="s">
        <v>120</v>
      </c>
      <c r="Y44" s="70" t="s">
        <v>121</v>
      </c>
      <c r="Z44" s="28"/>
      <c r="AA44" s="14"/>
      <c r="AB44" s="15" t="str">
        <f>IFERROR(__xludf.DUMMYFUNCTION("join("","",filter(split($H$83,"",""),ARRAYFORMULA(ISERROR(FIND(split($H$83,"",""),CONCATENATE(E44:V44))))=TRUE))"),"КЗ,201,202,206,209,210,401,403,404,405,406,408,409,410,АЗ")</f>
        <v>КЗ,201,202,206,209,210,401,403,404,405,406,408,409,410,АЗ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593">
        <v>44911.0</v>
      </c>
      <c r="B46" s="19">
        <v>1.0</v>
      </c>
      <c r="C46" s="20" t="s">
        <v>12</v>
      </c>
      <c r="D46" s="20" t="s">
        <v>13</v>
      </c>
      <c r="E46" s="156" t="s">
        <v>6136</v>
      </c>
      <c r="F46" s="156" t="s">
        <v>6137</v>
      </c>
      <c r="G46" s="80" t="s">
        <v>6138</v>
      </c>
      <c r="H46" s="25"/>
      <c r="I46" s="174" t="s">
        <v>6139</v>
      </c>
      <c r="J46" s="175" t="s">
        <v>6140</v>
      </c>
      <c r="K46" s="25"/>
      <c r="L46" s="80" t="s">
        <v>6141</v>
      </c>
      <c r="M46" s="25"/>
      <c r="N46" s="156" t="s">
        <v>6142</v>
      </c>
      <c r="O46" s="156" t="s">
        <v>6143</v>
      </c>
      <c r="P46" s="80" t="s">
        <v>6144</v>
      </c>
      <c r="Q46" s="25"/>
      <c r="R46" s="80" t="s">
        <v>6145</v>
      </c>
      <c r="S46" s="25"/>
      <c r="T46" s="80"/>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6146</v>
      </c>
      <c r="F47" s="44" t="s">
        <v>6147</v>
      </c>
      <c r="G47" s="45" t="s">
        <v>6148</v>
      </c>
      <c r="H47" s="13"/>
      <c r="I47" s="173"/>
      <c r="J47" s="157" t="s">
        <v>6149</v>
      </c>
      <c r="K47" s="13"/>
      <c r="L47" s="80" t="s">
        <v>6150</v>
      </c>
      <c r="M47" s="25"/>
      <c r="N47" s="44" t="s">
        <v>6151</v>
      </c>
      <c r="O47" s="44" t="s">
        <v>6152</v>
      </c>
      <c r="P47" s="45" t="s">
        <v>6153</v>
      </c>
      <c r="Q47" s="13"/>
      <c r="R47" s="45" t="s">
        <v>6154</v>
      </c>
      <c r="S47" s="13"/>
      <c r="T47" s="45" t="s">
        <v>6155</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40" t="s">
        <v>6156</v>
      </c>
      <c r="F48" s="13"/>
      <c r="G48" s="176" t="s">
        <v>6157</v>
      </c>
      <c r="H48" s="4"/>
      <c r="I48" s="90" t="s">
        <v>6158</v>
      </c>
      <c r="J48" s="44" t="s">
        <v>6159</v>
      </c>
      <c r="K48" s="44" t="s">
        <v>6160</v>
      </c>
      <c r="L48" s="44" t="s">
        <v>6161</v>
      </c>
      <c r="M48" s="44" t="s">
        <v>6162</v>
      </c>
      <c r="N48" s="164" t="s">
        <v>6163</v>
      </c>
      <c r="O48" s="36"/>
      <c r="P48" s="36"/>
      <c r="Q48" s="13"/>
      <c r="R48" s="45" t="s">
        <v>6164</v>
      </c>
      <c r="S48" s="13"/>
      <c r="T48" s="45" t="s">
        <v>6165</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6166</v>
      </c>
      <c r="F49" s="13"/>
      <c r="G49" s="104"/>
      <c r="H49" s="72"/>
      <c r="I49" s="90" t="s">
        <v>6167</v>
      </c>
      <c r="J49" s="44" t="s">
        <v>6168</v>
      </c>
      <c r="K49" s="44" t="s">
        <v>6169</v>
      </c>
      <c r="L49" s="44" t="s">
        <v>6170</v>
      </c>
      <c r="M49" s="44" t="s">
        <v>6171</v>
      </c>
      <c r="N49" s="164" t="s">
        <v>6172</v>
      </c>
      <c r="O49" s="36"/>
      <c r="P49" s="36"/>
      <c r="Q49" s="13"/>
      <c r="R49" s="123" t="s">
        <v>6173</v>
      </c>
      <c r="S49" s="13"/>
      <c r="T49" s="45" t="s">
        <v>6174</v>
      </c>
      <c r="U49" s="36"/>
      <c r="V49" s="41"/>
      <c r="W49" s="26"/>
      <c r="X49" s="42" t="s">
        <v>48</v>
      </c>
      <c r="Y49" s="42" t="s">
        <v>49</v>
      </c>
      <c r="Z49" s="48" t="s">
        <v>57</v>
      </c>
      <c r="AA49" s="85" t="str">
        <f>AA$6</f>
        <v/>
      </c>
      <c r="AB49" s="15" t="str">
        <f>IFERROR(__xludf.DUMMYFUNCTION("join("","",filter(split($H$83,"",""),ARRAYFORMULA(ISERROR(FIND(split($H$83,"",""),CONCATENATE(E49:V49))))=TRUE))"),"СЗ,КЗ,201,206,209,410,АЗ")</f>
        <v>СЗ,КЗ,201,206,209,410,АЗ</v>
      </c>
      <c r="AC49" s="14"/>
      <c r="AD49" s="14"/>
      <c r="AE49" s="14"/>
      <c r="AF49" s="29"/>
      <c r="AG49" s="29"/>
      <c r="AH49" s="29"/>
    </row>
    <row r="50" ht="40.5" customHeight="1">
      <c r="A50" s="30"/>
      <c r="B50" s="31">
        <v>5.0</v>
      </c>
      <c r="C50" s="32" t="s">
        <v>58</v>
      </c>
      <c r="D50" s="53">
        <v>44847.0</v>
      </c>
      <c r="E50" s="45" t="s">
        <v>6175</v>
      </c>
      <c r="F50" s="13"/>
      <c r="G50" s="44" t="s">
        <v>6176</v>
      </c>
      <c r="H50" s="44" t="s">
        <v>6177</v>
      </c>
      <c r="I50" s="44" t="s">
        <v>6178</v>
      </c>
      <c r="J50" s="45" t="s">
        <v>6179</v>
      </c>
      <c r="K50" s="13"/>
      <c r="L50" s="45" t="s">
        <v>6180</v>
      </c>
      <c r="M50" s="13"/>
      <c r="N50" s="177" t="s">
        <v>6181</v>
      </c>
      <c r="O50" s="124" t="s">
        <v>6182</v>
      </c>
      <c r="P50" s="45" t="s">
        <v>6183</v>
      </c>
      <c r="Q50" s="13"/>
      <c r="R50" s="123" t="s">
        <v>6184</v>
      </c>
      <c r="S50" s="13"/>
      <c r="T50" s="45" t="s">
        <v>6185</v>
      </c>
      <c r="U50" s="36"/>
      <c r="V50" s="41"/>
      <c r="W50" s="26"/>
      <c r="X50" s="42" t="s">
        <v>58</v>
      </c>
      <c r="Y50" s="54">
        <v>44847.0</v>
      </c>
      <c r="Z50" s="48" t="s">
        <v>70</v>
      </c>
      <c r="AA50" s="85" t="str">
        <f>AA$7</f>
        <v/>
      </c>
      <c r="AB50" s="15" t="str">
        <f>IFERROR(__xludf.DUMMYFUNCTION("join("","",filter(split($H$83,"",""),ARRAYFORMULA(ISERROR(FIND(split($H$83,"",""),CONCATENATE(E50:V50))))=TRUE))"),"СЗ,КЗ,206,401,404,408,410")</f>
        <v>СЗ,КЗ,206,401,404,408,410</v>
      </c>
      <c r="AC50" s="14"/>
      <c r="AD50" s="14"/>
      <c r="AE50" s="14"/>
      <c r="AF50" s="29"/>
      <c r="AG50" s="29"/>
      <c r="AH50" s="29"/>
    </row>
    <row r="51" ht="48.75" customHeight="1">
      <c r="A51" s="30"/>
      <c r="B51" s="31">
        <v>6.0</v>
      </c>
      <c r="C51" s="55" t="s">
        <v>71</v>
      </c>
      <c r="D51" s="56" t="s">
        <v>72</v>
      </c>
      <c r="E51" s="45" t="s">
        <v>6186</v>
      </c>
      <c r="F51" s="13"/>
      <c r="G51" s="44" t="s">
        <v>6187</v>
      </c>
      <c r="H51" s="44" t="s">
        <v>6188</v>
      </c>
      <c r="I51" s="44" t="s">
        <v>6189</v>
      </c>
      <c r="J51" s="45" t="s">
        <v>6190</v>
      </c>
      <c r="K51" s="13"/>
      <c r="L51" s="45" t="s">
        <v>6191</v>
      </c>
      <c r="M51" s="13"/>
      <c r="N51" s="177" t="s">
        <v>6192</v>
      </c>
      <c r="O51" s="124" t="s">
        <v>6193</v>
      </c>
      <c r="P51" s="45" t="s">
        <v>6194</v>
      </c>
      <c r="Q51" s="13"/>
      <c r="R51" s="164" t="s">
        <v>6195</v>
      </c>
      <c r="S51" s="13"/>
      <c r="T51" s="44" t="s">
        <v>6196</v>
      </c>
      <c r="U51" s="44" t="s">
        <v>6197</v>
      </c>
      <c r="V51" s="34"/>
      <c r="W51" s="179"/>
      <c r="X51" s="58" t="s">
        <v>71</v>
      </c>
      <c r="Y51" s="59" t="s">
        <v>72</v>
      </c>
      <c r="Z51" s="48" t="s">
        <v>84</v>
      </c>
      <c r="AA51" s="85"/>
      <c r="AB51" s="15" t="str">
        <f>IFERROR(__xludf.DUMMYFUNCTION("join("","",filter(split($H$83,"",""),ARRAYFORMULA(ISERROR(FIND(split($H$83,"",""),CONCATENATE(E51:V51))))=TRUE))"),"СЗ,206,409,410")</f>
        <v>СЗ,206,409,410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6198</v>
      </c>
      <c r="F52" s="13"/>
      <c r="G52" s="44" t="s">
        <v>6199</v>
      </c>
      <c r="H52" s="44" t="s">
        <v>6200</v>
      </c>
      <c r="I52" s="44" t="s">
        <v>6201</v>
      </c>
      <c r="J52" s="45" t="s">
        <v>6202</v>
      </c>
      <c r="K52" s="13"/>
      <c r="L52" s="45" t="s">
        <v>6203</v>
      </c>
      <c r="M52" s="13"/>
      <c r="N52" s="563"/>
      <c r="O52" s="177" t="s">
        <v>6204</v>
      </c>
      <c r="P52" s="124" t="s">
        <v>6205</v>
      </c>
      <c r="Q52" s="90" t="s">
        <v>6206</v>
      </c>
      <c r="R52" s="598" t="s">
        <v>6207</v>
      </c>
      <c r="S52" s="72"/>
      <c r="T52" s="44" t="s">
        <v>2350</v>
      </c>
      <c r="U52" s="44"/>
      <c r="V52" s="34"/>
      <c r="W52" s="26"/>
      <c r="X52" s="42" t="s">
        <v>85</v>
      </c>
      <c r="Y52" s="42" t="s">
        <v>86</v>
      </c>
      <c r="Z52" s="48" t="s">
        <v>97</v>
      </c>
      <c r="AA52" s="85" t="str">
        <f>AA$9</f>
        <v/>
      </c>
      <c r="AB52" s="15" t="str">
        <f>IFERROR(__xludf.DUMMYFUNCTION("join("","",filter(split($H$83,"",""),ARRAYFORMULA(ISERROR(FIND(split($H$83,"",""),CONCATENATE(E52:V52))))=TRUE))"),"СЗ,КЗ,206,406,410")</f>
        <v>СЗ,КЗ,206,406,410</v>
      </c>
      <c r="AC52" s="14"/>
      <c r="AD52" s="14"/>
      <c r="AE52" s="14"/>
      <c r="AF52" s="29"/>
      <c r="AG52" s="29"/>
      <c r="AH52" s="29"/>
    </row>
    <row r="53" ht="51.75" customHeight="1">
      <c r="A53" s="30"/>
      <c r="B53" s="31">
        <v>8.0</v>
      </c>
      <c r="C53" s="32" t="s">
        <v>98</v>
      </c>
      <c r="D53" s="32" t="s">
        <v>99</v>
      </c>
      <c r="E53" s="44" t="s">
        <v>6208</v>
      </c>
      <c r="F53" s="44" t="s">
        <v>6209</v>
      </c>
      <c r="G53" s="416" t="s">
        <v>1913</v>
      </c>
      <c r="H53" s="86" t="s">
        <v>6210</v>
      </c>
      <c r="I53" s="13"/>
      <c r="J53" s="45" t="s">
        <v>6211</v>
      </c>
      <c r="K53" s="13"/>
      <c r="L53" s="45" t="s">
        <v>6212</v>
      </c>
      <c r="M53" s="13"/>
      <c r="N53" s="182"/>
      <c r="O53" s="177" t="s">
        <v>6213</v>
      </c>
      <c r="P53" s="124" t="s">
        <v>6214</v>
      </c>
      <c r="Q53" s="90" t="s">
        <v>6215</v>
      </c>
      <c r="R53" s="599" t="s">
        <v>6216</v>
      </c>
      <c r="S53" s="72"/>
      <c r="T53" s="144"/>
      <c r="U53" s="144"/>
      <c r="V53" s="184"/>
      <c r="W53" s="26"/>
      <c r="X53" s="42" t="s">
        <v>98</v>
      </c>
      <c r="Y53" s="42" t="s">
        <v>99</v>
      </c>
      <c r="Z53" s="11"/>
      <c r="AA53" s="14"/>
      <c r="AB53" s="15" t="str">
        <f>IFERROR(__xludf.DUMMYFUNCTION("join("","",filter(split($H$83,"",""),ARRAYFORMULA(ISERROR(FIND(split($H$83,"",""),CONCATENATE(E53:V53))))=TRUE))"),"СЗ,201,206,401,404,405,408,410")</f>
        <v>СЗ,201,206,401,404,405,408,410</v>
      </c>
      <c r="AC53" s="14"/>
      <c r="AD53" s="14"/>
      <c r="AE53" s="14"/>
      <c r="AF53" s="29"/>
      <c r="AG53" s="29"/>
      <c r="AH53" s="29"/>
    </row>
    <row r="54" ht="71.25" customHeight="1">
      <c r="A54" s="30"/>
      <c r="B54" s="31">
        <v>9.0</v>
      </c>
      <c r="C54" s="65">
        <v>44697.0</v>
      </c>
      <c r="D54" s="44" t="s">
        <v>109</v>
      </c>
      <c r="E54" s="187" t="s">
        <v>6217</v>
      </c>
      <c r="F54" s="8"/>
      <c r="G54" s="8"/>
      <c r="H54" s="8"/>
      <c r="I54" s="8"/>
      <c r="J54" s="8"/>
      <c r="K54" s="8"/>
      <c r="L54" s="8"/>
      <c r="M54" s="8"/>
      <c r="N54" s="163"/>
      <c r="O54" s="13"/>
      <c r="P54" s="187" t="s">
        <v>6217</v>
      </c>
      <c r="Q54" s="8"/>
      <c r="R54" s="8"/>
      <c r="S54" s="8"/>
      <c r="T54" s="8"/>
      <c r="U54" s="8"/>
      <c r="V54" s="8"/>
      <c r="W54" s="186"/>
      <c r="X54" s="69">
        <v>44697.0</v>
      </c>
      <c r="Y54" s="70" t="s">
        <v>109</v>
      </c>
      <c r="Z54" s="28"/>
      <c r="AA54" s="14"/>
      <c r="AB54" s="15" t="str">
        <f>IFERROR(__xludf.DUMMYFUNCTION("join("","",filter(split($H$83,"",""),ARRAYFORMULA(ISERROR(FIND(split($H$83,"",""),CONCATENATE(E54:V54))))=TRUE))"),"206,209,401,403,404,405,408,409,410,АЗ")</f>
        <v>206,209,401,403,404,405,408,409,410,АЗ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593">
        <v>44912.0</v>
      </c>
      <c r="B57" s="191">
        <v>1.0</v>
      </c>
      <c r="C57" s="192" t="str">
        <f>D$1</f>
        <v/>
      </c>
      <c r="D57" s="72"/>
      <c r="E57" s="193"/>
      <c r="F57" s="193"/>
      <c r="G57" s="194" t="s">
        <v>481</v>
      </c>
      <c r="H57" s="64"/>
      <c r="I57" s="72"/>
      <c r="J57" s="195"/>
      <c r="K57" s="64"/>
      <c r="L57" s="64"/>
      <c r="M57" s="72"/>
      <c r="N57" s="193"/>
      <c r="O57" s="193"/>
      <c r="P57" s="187" t="s">
        <v>482</v>
      </c>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5"/>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91">
    <mergeCell ref="G27:H27"/>
    <mergeCell ref="G28:H28"/>
    <mergeCell ref="G29:H29"/>
    <mergeCell ref="G30:H30"/>
    <mergeCell ref="E31:F31"/>
    <mergeCell ref="G31:I32"/>
    <mergeCell ref="E32:F32"/>
    <mergeCell ref="G33:Q34"/>
    <mergeCell ref="E34:F34"/>
    <mergeCell ref="E20:F20"/>
    <mergeCell ref="H20:I20"/>
    <mergeCell ref="A24:A34"/>
    <mergeCell ref="E24:F24"/>
    <mergeCell ref="H24:I24"/>
    <mergeCell ref="E25:F25"/>
    <mergeCell ref="G25:I25"/>
    <mergeCell ref="E33:F33"/>
    <mergeCell ref="E19:F19"/>
    <mergeCell ref="H19:I19"/>
    <mergeCell ref="J19:K19"/>
    <mergeCell ref="L19:M19"/>
    <mergeCell ref="J20:K20"/>
    <mergeCell ref="L20:M20"/>
    <mergeCell ref="E21:F22"/>
    <mergeCell ref="H21:M21"/>
    <mergeCell ref="H22:M22"/>
    <mergeCell ref="J10:K10"/>
    <mergeCell ref="L10:M10"/>
    <mergeCell ref="A13:A23"/>
    <mergeCell ref="E13:F13"/>
    <mergeCell ref="J13:K13"/>
    <mergeCell ref="L13:M13"/>
    <mergeCell ref="E14:F14"/>
    <mergeCell ref="E26:F26"/>
    <mergeCell ref="G26:I26"/>
    <mergeCell ref="J26:K26"/>
    <mergeCell ref="L26:M26"/>
    <mergeCell ref="J24:M24"/>
    <mergeCell ref="J25:K25"/>
    <mergeCell ref="L25:M25"/>
    <mergeCell ref="J27:K27"/>
    <mergeCell ref="L27:M27"/>
    <mergeCell ref="J28:K28"/>
    <mergeCell ref="L28:M28"/>
    <mergeCell ref="N41:O41"/>
    <mergeCell ref="P41:Q41"/>
    <mergeCell ref="N32:O32"/>
    <mergeCell ref="N35:O35"/>
    <mergeCell ref="N36:O36"/>
    <mergeCell ref="N37:Q37"/>
    <mergeCell ref="N38:Q38"/>
    <mergeCell ref="P39:Q39"/>
    <mergeCell ref="P40:Q40"/>
    <mergeCell ref="N16:O16"/>
    <mergeCell ref="P16:Q16"/>
    <mergeCell ref="T16:V16"/>
    <mergeCell ref="N17:O17"/>
    <mergeCell ref="T17:V17"/>
    <mergeCell ref="N18:O18"/>
    <mergeCell ref="T18:V18"/>
    <mergeCell ref="N19:O19"/>
    <mergeCell ref="P19:Q19"/>
    <mergeCell ref="T19:V19"/>
    <mergeCell ref="N20:O20"/>
    <mergeCell ref="P20:Q20"/>
    <mergeCell ref="T20:V20"/>
    <mergeCell ref="N21:O21"/>
    <mergeCell ref="T21:V21"/>
    <mergeCell ref="P21:Q21"/>
    <mergeCell ref="R21:S21"/>
    <mergeCell ref="N22:O22"/>
    <mergeCell ref="P22:S22"/>
    <mergeCell ref="T22:V22"/>
    <mergeCell ref="R23:V23"/>
    <mergeCell ref="T24:V24"/>
    <mergeCell ref="N24:O24"/>
    <mergeCell ref="N25:O25"/>
    <mergeCell ref="P25:Q25"/>
    <mergeCell ref="R25:S25"/>
    <mergeCell ref="T25:V25"/>
    <mergeCell ref="N26:O26"/>
    <mergeCell ref="P26:Q26"/>
    <mergeCell ref="N27:O27"/>
    <mergeCell ref="P27:Q27"/>
    <mergeCell ref="T27:V27"/>
    <mergeCell ref="N28:O28"/>
    <mergeCell ref="N29:O29"/>
    <mergeCell ref="N30:O30"/>
    <mergeCell ref="N31:O31"/>
    <mergeCell ref="T38:V38"/>
    <mergeCell ref="T39:V39"/>
    <mergeCell ref="T40:V40"/>
    <mergeCell ref="T41:V41"/>
    <mergeCell ref="R26:S26"/>
    <mergeCell ref="T26:V26"/>
    <mergeCell ref="T28:V32"/>
    <mergeCell ref="R29:R30"/>
    <mergeCell ref="T35:V35"/>
    <mergeCell ref="T36:V36"/>
    <mergeCell ref="T37:V37"/>
    <mergeCell ref="E41:F41"/>
    <mergeCell ref="H41:I41"/>
    <mergeCell ref="G46:H46"/>
    <mergeCell ref="I46:I47"/>
    <mergeCell ref="J46:K46"/>
    <mergeCell ref="G47:H47"/>
    <mergeCell ref="G48:H49"/>
    <mergeCell ref="E35:F35"/>
    <mergeCell ref="E37:F37"/>
    <mergeCell ref="E48:F48"/>
    <mergeCell ref="E49:F49"/>
    <mergeCell ref="E50:F50"/>
    <mergeCell ref="E51:F51"/>
    <mergeCell ref="E52:F52"/>
    <mergeCell ref="H35:I35"/>
    <mergeCell ref="J35:K35"/>
    <mergeCell ref="E36:F36"/>
    <mergeCell ref="H36:I36"/>
    <mergeCell ref="H37:I37"/>
    <mergeCell ref="J37:K37"/>
    <mergeCell ref="E38:F38"/>
    <mergeCell ref="H38:I38"/>
    <mergeCell ref="J38:K38"/>
    <mergeCell ref="E39:F39"/>
    <mergeCell ref="H39:I39"/>
    <mergeCell ref="A46:A56"/>
    <mergeCell ref="A57:A67"/>
    <mergeCell ref="C57:D57"/>
    <mergeCell ref="K66:L66"/>
    <mergeCell ref="K67:L67"/>
    <mergeCell ref="K68:L68"/>
    <mergeCell ref="J47:K47"/>
    <mergeCell ref="J50:K50"/>
    <mergeCell ref="J51:K51"/>
    <mergeCell ref="J52:K52"/>
    <mergeCell ref="H53:I53"/>
    <mergeCell ref="J53:K53"/>
    <mergeCell ref="G57:I57"/>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P15:Q15"/>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P7:Q7"/>
    <mergeCell ref="R7:S7"/>
    <mergeCell ref="H8:I8"/>
    <mergeCell ref="J8:K8"/>
    <mergeCell ref="L8:M8"/>
    <mergeCell ref="N8:O8"/>
    <mergeCell ref="P8:Q8"/>
    <mergeCell ref="R8:S8"/>
    <mergeCell ref="G9:I9"/>
    <mergeCell ref="J9:K9"/>
    <mergeCell ref="L9:M9"/>
    <mergeCell ref="N9:O9"/>
    <mergeCell ref="E10:F10"/>
    <mergeCell ref="H10:I10"/>
    <mergeCell ref="S10:V10"/>
    <mergeCell ref="T11:V11"/>
    <mergeCell ref="U13:V13"/>
    <mergeCell ref="U14:V14"/>
    <mergeCell ref="T15:V15"/>
    <mergeCell ref="R48:S48"/>
    <mergeCell ref="T48:V48"/>
    <mergeCell ref="P46:Q46"/>
    <mergeCell ref="R46:S46"/>
    <mergeCell ref="T46:V46"/>
    <mergeCell ref="P47:Q47"/>
    <mergeCell ref="R47:S47"/>
    <mergeCell ref="T47:V47"/>
    <mergeCell ref="N48:Q48"/>
    <mergeCell ref="L39:M39"/>
    <mergeCell ref="E40:F40"/>
    <mergeCell ref="H40:I40"/>
    <mergeCell ref="L40:M40"/>
    <mergeCell ref="L41:M41"/>
    <mergeCell ref="E42:F42"/>
    <mergeCell ref="H42:I42"/>
    <mergeCell ref="L42:M42"/>
    <mergeCell ref="N42:O42"/>
    <mergeCell ref="P42:Q42"/>
    <mergeCell ref="R42:S42"/>
    <mergeCell ref="T42:V42"/>
    <mergeCell ref="E43:F44"/>
    <mergeCell ref="G43:G44"/>
    <mergeCell ref="H43:J43"/>
    <mergeCell ref="K43:L44"/>
    <mergeCell ref="N43:O43"/>
    <mergeCell ref="P43:P44"/>
    <mergeCell ref="Q43:V44"/>
    <mergeCell ref="H44:J44"/>
    <mergeCell ref="N44:O44"/>
    <mergeCell ref="L46:M46"/>
    <mergeCell ref="L47:M47"/>
    <mergeCell ref="L50:M50"/>
    <mergeCell ref="L51:M51"/>
    <mergeCell ref="L52:M52"/>
    <mergeCell ref="L53:M53"/>
    <mergeCell ref="J57:M57"/>
    <mergeCell ref="J29:K29"/>
    <mergeCell ref="L29:M29"/>
    <mergeCell ref="J30:M30"/>
    <mergeCell ref="J31:M31"/>
    <mergeCell ref="J32:M32"/>
    <mergeCell ref="A35:A45"/>
    <mergeCell ref="J36:K36"/>
    <mergeCell ref="R51:S51"/>
    <mergeCell ref="R52:S52"/>
    <mergeCell ref="R53:S53"/>
    <mergeCell ref="E54:M55"/>
    <mergeCell ref="N54:O54"/>
    <mergeCell ref="P54:V55"/>
    <mergeCell ref="P57:S58"/>
    <mergeCell ref="X57:Y57"/>
    <mergeCell ref="N49:Q49"/>
    <mergeCell ref="R49:S49"/>
    <mergeCell ref="T49:V49"/>
    <mergeCell ref="P50:Q50"/>
    <mergeCell ref="R50:S50"/>
    <mergeCell ref="T50:V50"/>
    <mergeCell ref="P51:Q51"/>
  </mergeCells>
  <conditionalFormatting sqref="E1:T86 U1:U31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T53 U2:U31 V32:V34 U35:U53 V50:V52 W51 P57 K61:L68">
    <cfRule type="containsText" dxfId="2" priority="3" operator="containsText" text="Шерашова">
      <formula>NOT(ISERROR(SEARCH(("Шерашова"),(E2))))</formula>
    </cfRule>
  </conditionalFormatting>
  <conditionalFormatting sqref="E2:T53 U2:U31 V32:V34 U35:U53 V50:V52 W51 P57 K61:L68">
    <cfRule type="containsText" dxfId="3" priority="4" operator="containsText" text="Англ">
      <formula>NOT(ISERROR(SEARCH(("Англ"),(E2))))</formula>
    </cfRule>
  </conditionalFormatting>
  <conditionalFormatting sqref="E2:T53 U2:U31 V32:V34 U35:U53 V50:V52 W51 P57 K61:L68">
    <cfRule type="containsText" dxfId="4" priority="5" operator="containsText" text="Театр">
      <formula>NOT(ISERROR(SEARCH(("Театр"),(E2))))</formula>
    </cfRule>
  </conditionalFormatting>
  <conditionalFormatting sqref="E2:T53 U2:U31 V32:V34 U35:U53 V50:V52 W51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8 S10:S32 T10:V45 R11:R46 F15:F17 F19:F20 E24:F30 E32:E53 F32:F45 S35:S41 S43:S45 T47:T50 F48:F49 N48:N49 R49:R53 S49:S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G10 H17:H18 G19:G20 I29:I30 L50 J50:J51 R53">
      <formula1>IF(COUNTA(filter($E6:$W6,ARRAYFORMULA(ISERROR(FIND(join(",",filter(split($H$83,","),ARRAYFORMULA(ISERROR(FIND(split($H$83,","),G10)))=FALSE)),$E6:$W6))=FALSE)))&gt;1,FALSE,TRUE)</formula1>
    </dataValidation>
    <dataValidation type="custom" allowBlank="1" showDropDown="1" sqref="G31 Q31:Q32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8:N30 J52:J53 L52:L53">
      <formula1>IF(COUNTA(filter($E7:$W7,ARRAYFORMULA(ISERROR(FIND(join(",",filter(split($H$83,","),ARRAYFORMULA(ISERROR(FIND(split($H$83,","),J9)))=FALSE)),$E7:$W7))=FALSE)))&gt;1,FALSE,TRUE)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R24:S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4:H24 E26 G25:G26 F28 R27:S28 E29:E30 H35:H36 G37:G38 E48:E49 N52:N54">
      <formula1>IF(COUNTA(filter($E8:$W8,ARRAYFORMULA(ISERROR(FIND(join(",",filter(split($H$83,","),ARRAYFORMULA(ISERROR(FIND(split($H$83,","),E7)))=FALSE)),$E8:$W8))=FALSE)))&gt;1,FALSE,TRUE)</formula1>
    </dataValidation>
    <dataValidation type="custom" allowBlank="1" showDropDown="1" sqref="N2 R2 T2 G2:G3 J2:J3 L4 P2:P4 G5:H6 K5:M6 T5:T6 L7:L8 P7:P8 T7:U8 G7:G9 H10 J9:J10 N9:N10 Q9:Q10 S10 W2:W10 E12:W12 E13:E14 H13:H14 L13:L14 E17:E18 G15:G18 S17:S18 H19:H20 J15:J20 L17:L20 G21 R19:R21 T21 G22:H22 G23:R23 J24 Q24 R25 E27:F27 P25:P27 E28 I27:I28 Q28 T28 F29:G30 P29:Q30 J30:J32 W13:W32 R33:R34 T33:W34 G35:G36 L35:M36 P35:Q36 H37:H38 J37:J38 L37:N38 E37:E40 G39:G40 J39:K40 N39:P40 R37:S40 R41:T41 J41:L42 T42 E43 G41:H43 K43 Q43 H44 M43:N44 W35:W44 E45:W45 I46 F46:G47 L46:L47 N46:P47 G48 L48:M49 L51 N50:O51 I50:I52 G53:H53 O52:P53 E54 P54 N55:O55 W46:W55 E56:W56 E57:G57 J57 N57:O57 E58: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P43">
      <formula1>IF(COUNTA(filter($E40:$W40,ARRAYFORMULA(ISERROR(FIND(join(",",filter(split($H$83,","),ARRAYFORMULA(ISERROR(FIND(split($H$83,","),P43)))=FALSE)),$E40:$W40))=FALSE)))&gt;1,FALSE,TRUE)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P32">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4 P28 S29:S30 S32 R47:R48 T51:V52 P57">
      <formula1>IF(COUNTA(filter($E23:$W23,ARRAYFORMULA(ISERROR(FIND(join(",",filter(split($H$83,","),ARRAYFORMULA(ISERROR(FIND(split($H$83,","),P24)))=FALSE)),$E23:$W23))=FALSE)))&gt;1,FALSE,TRUE)</formula1>
    </dataValidation>
    <dataValidation type="custom" allowBlank="1" showDropDown="1" sqref="P13:P16 G27:G28 L27:L28 J29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18">
        <v>44935.0</v>
      </c>
      <c r="B2" s="19">
        <v>1.0</v>
      </c>
      <c r="C2" s="20" t="s">
        <v>12</v>
      </c>
      <c r="D2" s="20" t="s">
        <v>13</v>
      </c>
      <c r="E2" s="21" t="s">
        <v>6218</v>
      </c>
      <c r="F2" s="22"/>
      <c r="G2" s="23" t="s">
        <v>6219</v>
      </c>
      <c r="H2" s="24"/>
      <c r="I2" s="25"/>
      <c r="J2" s="21" t="s">
        <v>6220</v>
      </c>
      <c r="K2" s="24"/>
      <c r="L2" s="24"/>
      <c r="M2" s="25"/>
      <c r="N2" s="21" t="s">
        <v>6221</v>
      </c>
      <c r="O2" s="25"/>
      <c r="P2" s="21" t="s">
        <v>6222</v>
      </c>
      <c r="Q2" s="25"/>
      <c r="R2" s="21" t="s">
        <v>6223</v>
      </c>
      <c r="S2" s="25"/>
      <c r="T2" s="21" t="s">
        <v>6224</v>
      </c>
      <c r="U2" s="24"/>
      <c r="V2" s="22"/>
      <c r="W2" s="26"/>
      <c r="X2" s="27" t="s">
        <v>12</v>
      </c>
      <c r="Y2" s="27" t="s">
        <v>13</v>
      </c>
      <c r="Z2" s="28"/>
      <c r="AA2" s="14"/>
      <c r="AB2" s="15" t="str">
        <f>IFERROR(__xludf.DUMMYFUNCTION("join("","",filter(split($H$83,"",""),ARRAYFORMULA(ISERROR(FIND(split($H$83,"",""),CONCATENATE(E2:V2))))=TRUE))"),"СЗ,209,402,403,404,405,406,408,409,410")</f>
        <v>СЗ,209,402,403,404,405,406,408,409,410</v>
      </c>
      <c r="AC2" s="14"/>
      <c r="AD2" s="14"/>
      <c r="AE2" s="14"/>
      <c r="AF2" s="29"/>
      <c r="AG2" s="29"/>
      <c r="AH2" s="29"/>
    </row>
    <row r="3" ht="40.5" hidden="1" customHeight="1">
      <c r="A3" s="30"/>
      <c r="B3" s="31">
        <v>2.0</v>
      </c>
      <c r="C3" s="32" t="s">
        <v>21</v>
      </c>
      <c r="D3" s="32" t="s">
        <v>22</v>
      </c>
      <c r="E3" s="33" t="s">
        <v>6225</v>
      </c>
      <c r="F3" s="34" t="s">
        <v>6226</v>
      </c>
      <c r="G3" s="35" t="s">
        <v>25</v>
      </c>
      <c r="H3" s="36"/>
      <c r="I3" s="13"/>
      <c r="J3" s="37" t="s">
        <v>6227</v>
      </c>
      <c r="K3" s="13"/>
      <c r="L3" s="38" t="s">
        <v>6228</v>
      </c>
      <c r="M3" s="13"/>
      <c r="N3" s="37" t="s">
        <v>6229</v>
      </c>
      <c r="O3" s="13"/>
      <c r="P3" s="37" t="s">
        <v>6230</v>
      </c>
      <c r="Q3" s="13"/>
      <c r="R3" s="39" t="s">
        <v>6231</v>
      </c>
      <c r="S3" s="40" t="s">
        <v>6232</v>
      </c>
      <c r="T3" s="37" t="s">
        <v>6233</v>
      </c>
      <c r="U3" s="36"/>
      <c r="V3" s="41"/>
      <c r="W3" s="26"/>
      <c r="X3" s="42" t="s">
        <v>21</v>
      </c>
      <c r="Y3" s="42" t="s">
        <v>22</v>
      </c>
      <c r="Z3" s="28"/>
      <c r="AA3" s="14"/>
      <c r="AB3" s="15" t="str">
        <f>IFERROR(__xludf.DUMMYFUNCTION("join("","",filter(split($H$83,"",""),ARRAYFORMULA(ISERROR(FIND(split($H$83,"",""),CONCATENATE(E3:V3))))=TRUE))"),"201,206,404,405,406,410,АЗ")</f>
        <v>201,206,404,405,406,410,АЗ</v>
      </c>
      <c r="AC3" s="14"/>
      <c r="AD3" s="14"/>
      <c r="AE3" s="14"/>
      <c r="AF3" s="29"/>
      <c r="AG3" s="29"/>
      <c r="AH3" s="29"/>
    </row>
    <row r="4" ht="40.5" hidden="1" customHeight="1">
      <c r="A4" s="30"/>
      <c r="B4" s="31">
        <v>3.0</v>
      </c>
      <c r="C4" s="32" t="s">
        <v>33</v>
      </c>
      <c r="D4" s="32" t="s">
        <v>34</v>
      </c>
      <c r="E4" s="33" t="s">
        <v>6234</v>
      </c>
      <c r="F4" s="126" t="s">
        <v>6235</v>
      </c>
      <c r="G4" s="43" t="s">
        <v>6236</v>
      </c>
      <c r="H4" s="44" t="s">
        <v>6237</v>
      </c>
      <c r="I4" s="45" t="s">
        <v>6238</v>
      </c>
      <c r="J4" s="46" t="s">
        <v>6239</v>
      </c>
      <c r="K4" s="13"/>
      <c r="L4" s="45" t="s">
        <v>6240</v>
      </c>
      <c r="M4" s="13"/>
      <c r="N4" s="37" t="s">
        <v>6241</v>
      </c>
      <c r="O4" s="13"/>
      <c r="P4" s="37" t="s">
        <v>6242</v>
      </c>
      <c r="Q4" s="13"/>
      <c r="R4" s="39" t="s">
        <v>6243</v>
      </c>
      <c r="S4" s="40" t="s">
        <v>6244</v>
      </c>
      <c r="T4" s="37" t="s">
        <v>6245</v>
      </c>
      <c r="U4" s="36"/>
      <c r="V4" s="41"/>
      <c r="W4" s="26"/>
      <c r="X4" s="42" t="s">
        <v>33</v>
      </c>
      <c r="Y4" s="42" t="s">
        <v>34</v>
      </c>
      <c r="Z4" s="48" t="s">
        <v>47</v>
      </c>
      <c r="AA4" s="14"/>
      <c r="AB4" s="15" t="str">
        <f>IFERROR(__xludf.DUMMYFUNCTION("join("","",filter(split($H$83,"",""),ARRAYFORMULA(ISERROR(FIND(split($H$83,"",""),CONCATENATE(E4:V4))))=TRUE))"),"КЗ,201,206,404,406,АЗ")</f>
        <v>КЗ,201,206,404,406,АЗ</v>
      </c>
      <c r="AC4" s="14"/>
      <c r="AD4" s="14"/>
      <c r="AE4" s="14"/>
      <c r="AF4" s="29"/>
      <c r="AG4" s="29"/>
      <c r="AH4" s="29"/>
    </row>
    <row r="5" ht="40.5" hidden="1" customHeight="1">
      <c r="A5" s="30"/>
      <c r="B5" s="31">
        <v>4.0</v>
      </c>
      <c r="C5" s="32" t="s">
        <v>48</v>
      </c>
      <c r="D5" s="32" t="s">
        <v>49</v>
      </c>
      <c r="E5" s="33" t="s">
        <v>6246</v>
      </c>
      <c r="F5" s="126" t="s">
        <v>6247</v>
      </c>
      <c r="G5" s="43" t="s">
        <v>6248</v>
      </c>
      <c r="H5" s="45" t="s">
        <v>6249</v>
      </c>
      <c r="I5" s="13"/>
      <c r="J5" s="33" t="s">
        <v>6250</v>
      </c>
      <c r="K5" s="44" t="s">
        <v>6251</v>
      </c>
      <c r="L5" s="44" t="s">
        <v>6252</v>
      </c>
      <c r="M5" s="45" t="s">
        <v>6253</v>
      </c>
      <c r="N5" s="37" t="s">
        <v>6254</v>
      </c>
      <c r="O5" s="13"/>
      <c r="P5" s="37" t="s">
        <v>6255</v>
      </c>
      <c r="Q5" s="13"/>
      <c r="R5" s="51" t="s">
        <v>6256</v>
      </c>
      <c r="S5" s="13"/>
      <c r="T5" s="52" t="s">
        <v>6257</v>
      </c>
      <c r="U5" s="36"/>
      <c r="V5" s="41"/>
      <c r="W5" s="26"/>
      <c r="X5" s="42" t="s">
        <v>48</v>
      </c>
      <c r="Y5" s="42" t="s">
        <v>49</v>
      </c>
      <c r="Z5" s="48" t="s">
        <v>57</v>
      </c>
      <c r="AA5" s="14"/>
      <c r="AB5" s="15" t="str">
        <f>IFERROR(__xludf.DUMMYFUNCTION("join("","",filter(split($H$83,"",""),ARRAYFORMULA(ISERROR(FIND(split($H$83,"",""),CONCATENATE(E5:V5))))=TRUE))"),"СЗ,КЗ,206,401,406,408")</f>
        <v>СЗ,КЗ,206,401,406,408</v>
      </c>
      <c r="AC5" s="14"/>
      <c r="AD5" s="14"/>
      <c r="AE5" s="14"/>
      <c r="AF5" s="29"/>
      <c r="AG5" s="29"/>
      <c r="AH5" s="29"/>
    </row>
    <row r="6" ht="40.5" hidden="1" customHeight="1">
      <c r="A6" s="30"/>
      <c r="B6" s="31">
        <v>5.0</v>
      </c>
      <c r="C6" s="32" t="s">
        <v>58</v>
      </c>
      <c r="D6" s="53">
        <v>44847.0</v>
      </c>
      <c r="E6" s="316" t="s">
        <v>6258</v>
      </c>
      <c r="F6" s="34" t="s">
        <v>6259</v>
      </c>
      <c r="G6" s="43" t="s">
        <v>6260</v>
      </c>
      <c r="H6" s="45" t="s">
        <v>6261</v>
      </c>
      <c r="I6" s="13"/>
      <c r="J6" s="33" t="s">
        <v>6262</v>
      </c>
      <c r="K6" s="44" t="s">
        <v>6263</v>
      </c>
      <c r="L6" s="44" t="s">
        <v>6264</v>
      </c>
      <c r="M6" s="45" t="s">
        <v>6265</v>
      </c>
      <c r="N6" s="37" t="s">
        <v>6266</v>
      </c>
      <c r="O6" s="13"/>
      <c r="P6" s="37" t="s">
        <v>6267</v>
      </c>
      <c r="Q6" s="13"/>
      <c r="R6" s="51" t="s">
        <v>6268</v>
      </c>
      <c r="S6" s="13"/>
      <c r="T6" s="52" t="s">
        <v>6269</v>
      </c>
      <c r="U6" s="36"/>
      <c r="V6" s="41"/>
      <c r="W6" s="26"/>
      <c r="X6" s="42" t="s">
        <v>58</v>
      </c>
      <c r="Y6" s="54">
        <v>44847.0</v>
      </c>
      <c r="Z6" s="48" t="s">
        <v>70</v>
      </c>
      <c r="AA6" s="14"/>
      <c r="AB6" s="15" t="str">
        <f>IFERROR(__xludf.DUMMYFUNCTION("join("","",filter(split($H$83,"",""),ARRAYFORMULA(ISERROR(FIND(split($H$83,"",""),CONCATENATE(E6:V6))))=TRUE))"),"СЗ,КЗ,206,401,406,408")</f>
        <v>СЗ,КЗ,206,401,406,408</v>
      </c>
      <c r="AC6" s="14"/>
      <c r="AD6" s="14"/>
      <c r="AE6" s="14"/>
      <c r="AF6" s="29"/>
      <c r="AG6" s="29"/>
      <c r="AH6" s="29"/>
    </row>
    <row r="7" ht="42.0" hidden="1" customHeight="1">
      <c r="A7" s="30"/>
      <c r="B7" s="31">
        <v>6.0</v>
      </c>
      <c r="C7" s="55" t="s">
        <v>71</v>
      </c>
      <c r="D7" s="56" t="s">
        <v>72</v>
      </c>
      <c r="E7" s="316" t="s">
        <v>6270</v>
      </c>
      <c r="F7" s="34" t="s">
        <v>6271</v>
      </c>
      <c r="G7" s="43" t="s">
        <v>6272</v>
      </c>
      <c r="H7" s="45" t="s">
        <v>6273</v>
      </c>
      <c r="I7" s="13"/>
      <c r="J7" s="37" t="s">
        <v>6274</v>
      </c>
      <c r="K7" s="13"/>
      <c r="L7" s="45" t="s">
        <v>6275</v>
      </c>
      <c r="M7" s="13"/>
      <c r="N7" s="37" t="s">
        <v>6276</v>
      </c>
      <c r="O7" s="13"/>
      <c r="P7" s="37" t="s">
        <v>6277</v>
      </c>
      <c r="Q7" s="13"/>
      <c r="R7" s="57" t="s">
        <v>6278</v>
      </c>
      <c r="T7" s="33" t="s">
        <v>6279</v>
      </c>
      <c r="U7" s="45" t="s">
        <v>6280</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t="42.0" hidden="1" customHeight="1">
      <c r="A8" s="30"/>
      <c r="B8" s="31">
        <v>7.0</v>
      </c>
      <c r="C8" s="32" t="s">
        <v>85</v>
      </c>
      <c r="D8" s="32" t="s">
        <v>86</v>
      </c>
      <c r="E8" s="318" t="s">
        <v>6281</v>
      </c>
      <c r="F8" s="319" t="s">
        <v>6282</v>
      </c>
      <c r="G8" s="43" t="s">
        <v>6283</v>
      </c>
      <c r="H8" s="45" t="s">
        <v>6284</v>
      </c>
      <c r="I8" s="13"/>
      <c r="J8" s="37" t="s">
        <v>6285</v>
      </c>
      <c r="K8" s="13"/>
      <c r="L8" s="45" t="s">
        <v>6286</v>
      </c>
      <c r="M8" s="13"/>
      <c r="N8" s="37" t="s">
        <v>6287</v>
      </c>
      <c r="O8" s="13"/>
      <c r="P8" s="37" t="s">
        <v>6288</v>
      </c>
      <c r="Q8" s="13"/>
      <c r="R8" s="37" t="s">
        <v>6289</v>
      </c>
      <c r="S8" s="13"/>
      <c r="T8" s="43" t="s">
        <v>6290</v>
      </c>
      <c r="U8" s="45" t="s">
        <v>6291</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hidden="1" customHeight="1">
      <c r="A9" s="30"/>
      <c r="B9" s="31">
        <v>8.0</v>
      </c>
      <c r="C9" s="32" t="s">
        <v>98</v>
      </c>
      <c r="D9" s="32" t="s">
        <v>99</v>
      </c>
      <c r="E9" s="320" t="s">
        <v>6292</v>
      </c>
      <c r="F9" s="276" t="s">
        <v>6293</v>
      </c>
      <c r="G9" s="43" t="s">
        <v>6294</v>
      </c>
      <c r="H9" s="45" t="s">
        <v>6295</v>
      </c>
      <c r="I9" s="13"/>
      <c r="J9" s="37" t="s">
        <v>6296</v>
      </c>
      <c r="K9" s="13"/>
      <c r="L9" s="45" t="s">
        <v>6297</v>
      </c>
      <c r="M9" s="13"/>
      <c r="N9" s="61" t="s">
        <v>6298</v>
      </c>
      <c r="O9" s="13"/>
      <c r="P9" s="62" t="s">
        <v>6299</v>
      </c>
      <c r="Q9" s="45" t="s">
        <v>6300</v>
      </c>
      <c r="R9" s="63" t="s">
        <v>108</v>
      </c>
      <c r="S9" s="64"/>
      <c r="T9" s="64"/>
      <c r="U9" s="64"/>
      <c r="V9" s="64"/>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75.75" hidden="1" customHeight="1">
      <c r="A10" s="30"/>
      <c r="B10" s="31">
        <v>9.0</v>
      </c>
      <c r="C10" s="65">
        <v>44697.0</v>
      </c>
      <c r="D10" s="44" t="s">
        <v>109</v>
      </c>
      <c r="E10" s="66" t="s">
        <v>6301</v>
      </c>
      <c r="F10" s="67"/>
      <c r="G10" s="43" t="s">
        <v>6302</v>
      </c>
      <c r="H10" s="45" t="s">
        <v>6303</v>
      </c>
      <c r="I10" s="13"/>
      <c r="J10" s="37" t="s">
        <v>6304</v>
      </c>
      <c r="K10" s="13"/>
      <c r="L10" s="45" t="s">
        <v>6305</v>
      </c>
      <c r="M10" s="13"/>
      <c r="N10" s="61" t="s">
        <v>6306</v>
      </c>
      <c r="O10" s="13"/>
      <c r="P10" s="62" t="s">
        <v>6307</v>
      </c>
      <c r="Q10" s="68" t="s">
        <v>117</v>
      </c>
      <c r="R10" s="37" t="s">
        <v>6308</v>
      </c>
      <c r="S10" s="68" t="s">
        <v>6309</v>
      </c>
      <c r="T10" s="36"/>
      <c r="U10" s="36"/>
      <c r="V10" s="41"/>
      <c r="W10" s="26"/>
      <c r="X10" s="69">
        <v>44697.0</v>
      </c>
      <c r="Y10" s="70" t="s">
        <v>109</v>
      </c>
      <c r="Z10" s="28"/>
      <c r="AA10" s="14"/>
      <c r="AB10" s="15" t="str">
        <f>IFERROR(__xludf.DUMMYFUNCTION("join("","",filter(split($H$83,"",""),ARRAYFORMULA(ISERROR(FIND(split($H$83,"",""),CONCATENATE(E10:V10))))=TRUE))"),"КЗ,206,210,403,405,406,408,409,АЗ")</f>
        <v>КЗ,206,210,403,405,406,408,409,АЗ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6310</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18">
        <v>44936.0</v>
      </c>
      <c r="B13" s="19">
        <v>1.0</v>
      </c>
      <c r="C13" s="20" t="s">
        <v>12</v>
      </c>
      <c r="D13" s="20" t="s">
        <v>13</v>
      </c>
      <c r="E13" s="80" t="s">
        <v>6311</v>
      </c>
      <c r="F13" s="25"/>
      <c r="G13" s="81" t="s">
        <v>6312</v>
      </c>
      <c r="H13" s="80" t="s">
        <v>6313</v>
      </c>
      <c r="I13" s="22"/>
      <c r="J13" s="23" t="s">
        <v>6314</v>
      </c>
      <c r="K13" s="25"/>
      <c r="L13" s="80" t="s">
        <v>6315</v>
      </c>
      <c r="M13" s="25"/>
      <c r="N13" s="82" t="s">
        <v>6316</v>
      </c>
      <c r="O13" s="25"/>
      <c r="P13" s="21" t="s">
        <v>6317</v>
      </c>
      <c r="Q13" s="22"/>
      <c r="R13" s="23" t="s">
        <v>6318</v>
      </c>
      <c r="S13" s="22"/>
      <c r="T13" s="84" t="s">
        <v>6319</v>
      </c>
      <c r="U13" s="80" t="s">
        <v>6320</v>
      </c>
      <c r="V13" s="22"/>
      <c r="W13" s="26"/>
      <c r="X13" s="27" t="s">
        <v>12</v>
      </c>
      <c r="Y13" s="27" t="s">
        <v>13</v>
      </c>
      <c r="Z13" s="28"/>
      <c r="AA13" s="85"/>
      <c r="AB13" s="15" t="str">
        <f>IFERROR(__xludf.DUMMYFUNCTION("join("","",filter(split($H$83,"",""),ARRAYFORMULA(ISERROR(FIND(split($H$83,"",""),CONCATENATE(E13:V13))))=TRUE))"),"СЗ,КЗ,202,206,403,410,АЗ")</f>
        <v>СЗ,КЗ,202,206,403,410,АЗ</v>
      </c>
      <c r="AC13" s="14"/>
      <c r="AD13" s="14"/>
      <c r="AE13" s="14"/>
      <c r="AF13" s="29"/>
      <c r="AG13" s="29"/>
      <c r="AH13" s="29"/>
    </row>
    <row r="14" ht="40.5" hidden="1" customHeight="1">
      <c r="A14" s="30"/>
      <c r="B14" s="31">
        <v>2.0</v>
      </c>
      <c r="C14" s="32" t="s">
        <v>21</v>
      </c>
      <c r="D14" s="32" t="s">
        <v>22</v>
      </c>
      <c r="E14" s="45" t="s">
        <v>6321</v>
      </c>
      <c r="F14" s="13"/>
      <c r="G14" s="46" t="s">
        <v>6322</v>
      </c>
      <c r="H14" s="86" t="s">
        <v>6323</v>
      </c>
      <c r="I14" s="41"/>
      <c r="J14" s="35" t="s">
        <v>6324</v>
      </c>
      <c r="K14" s="13"/>
      <c r="L14" s="45" t="s">
        <v>6325</v>
      </c>
      <c r="M14" s="13"/>
      <c r="N14" s="87" t="s">
        <v>6326</v>
      </c>
      <c r="O14" s="13"/>
      <c r="P14" s="37" t="s">
        <v>6327</v>
      </c>
      <c r="Q14" s="41"/>
      <c r="R14" s="35" t="s">
        <v>6328</v>
      </c>
      <c r="S14" s="41"/>
      <c r="T14" s="43" t="s">
        <v>6329</v>
      </c>
      <c r="U14" s="45" t="s">
        <v>6330</v>
      </c>
      <c r="V14" s="41"/>
      <c r="W14" s="26"/>
      <c r="X14" s="42" t="s">
        <v>21</v>
      </c>
      <c r="Y14" s="42" t="s">
        <v>22</v>
      </c>
      <c r="Z14" s="28"/>
      <c r="AA14" s="85"/>
      <c r="AB14" s="15" t="str">
        <f>IFERROR(__xludf.DUMMYFUNCTION("join("","",filter(split($H$83,"",""),ARRAYFORMULA(ISERROR(FIND(split($H$83,"",""),CONCATENATE(E14:V14))))=TRUE))"),"СЗ,КЗ,202,206,403,410,АЗ")</f>
        <v>СЗ,КЗ,202,206,403,410,АЗ</v>
      </c>
      <c r="AC14" s="14"/>
      <c r="AD14" s="14"/>
      <c r="AE14" s="14"/>
      <c r="AF14" s="29"/>
      <c r="AG14" s="29"/>
      <c r="AH14" s="29"/>
    </row>
    <row r="15" ht="40.5" hidden="1" customHeight="1">
      <c r="A15" s="30"/>
      <c r="B15" s="31">
        <v>3.0</v>
      </c>
      <c r="C15" s="32" t="s">
        <v>33</v>
      </c>
      <c r="D15" s="32" t="s">
        <v>34</v>
      </c>
      <c r="E15" s="40" t="s">
        <v>6331</v>
      </c>
      <c r="F15" s="13"/>
      <c r="G15" s="37" t="s">
        <v>6332</v>
      </c>
      <c r="H15" s="36"/>
      <c r="I15" s="41"/>
      <c r="J15" s="35" t="s">
        <v>6333</v>
      </c>
      <c r="K15" s="13"/>
      <c r="L15" s="45" t="s">
        <v>6334</v>
      </c>
      <c r="M15" s="13"/>
      <c r="N15" s="89" t="s">
        <v>6335</v>
      </c>
      <c r="O15" s="13"/>
      <c r="P15" s="37" t="s">
        <v>6336</v>
      </c>
      <c r="Q15" s="41"/>
      <c r="R15" s="43" t="s">
        <v>6337</v>
      </c>
      <c r="S15" s="34" t="s">
        <v>6338</v>
      </c>
      <c r="T15" s="91" t="s">
        <v>6339</v>
      </c>
      <c r="U15" s="36"/>
      <c r="V15" s="41"/>
      <c r="W15" s="26"/>
      <c r="X15" s="42" t="s">
        <v>33</v>
      </c>
      <c r="Y15" s="42" t="s">
        <v>34</v>
      </c>
      <c r="Z15" s="48" t="s">
        <v>47</v>
      </c>
      <c r="AA15" s="85" t="str">
        <f>AA$5</f>
        <v/>
      </c>
      <c r="AB15" s="15" t="str">
        <f>IFERROR(__xludf.DUMMYFUNCTION("join("","",filter(split($H$83,"",""),ARRAYFORMULA(ISERROR(FIND(split($H$83,"",""),CONCATENATE(E15:V15))))=TRUE))"),"КЗ,201,206,403,406,408,410,АЗ")</f>
        <v>КЗ,201,206,403,406,408,410,АЗ</v>
      </c>
      <c r="AC15" s="14"/>
      <c r="AD15" s="14"/>
      <c r="AE15" s="14"/>
      <c r="AF15" s="29"/>
      <c r="AG15" s="29"/>
      <c r="AH15" s="29"/>
    </row>
    <row r="16" ht="40.5" hidden="1" customHeight="1">
      <c r="A16" s="30"/>
      <c r="B16" s="31">
        <v>4.0</v>
      </c>
      <c r="C16" s="32" t="s">
        <v>48</v>
      </c>
      <c r="D16" s="32" t="s">
        <v>49</v>
      </c>
      <c r="E16" s="40" t="s">
        <v>6340</v>
      </c>
      <c r="F16" s="13"/>
      <c r="G16" s="37" t="s">
        <v>6341</v>
      </c>
      <c r="H16" s="36"/>
      <c r="I16" s="41"/>
      <c r="J16" s="35" t="s">
        <v>6342</v>
      </c>
      <c r="K16" s="13"/>
      <c r="L16" s="45" t="s">
        <v>6343</v>
      </c>
      <c r="M16" s="13"/>
      <c r="N16" s="89" t="s">
        <v>6344</v>
      </c>
      <c r="O16" s="13"/>
      <c r="P16" s="37" t="s">
        <v>160</v>
      </c>
      <c r="Q16" s="41"/>
      <c r="R16" s="43" t="s">
        <v>6345</v>
      </c>
      <c r="S16" s="34" t="s">
        <v>6346</v>
      </c>
      <c r="T16" s="91" t="s">
        <v>6347</v>
      </c>
      <c r="U16" s="36"/>
      <c r="V16" s="41"/>
      <c r="W16" s="26"/>
      <c r="X16" s="42" t="s">
        <v>48</v>
      </c>
      <c r="Y16" s="42" t="s">
        <v>49</v>
      </c>
      <c r="Z16" s="48" t="s">
        <v>57</v>
      </c>
      <c r="AA16" s="85" t="str">
        <f>AA$6</f>
        <v/>
      </c>
      <c r="AB16" s="15" t="str">
        <f>IFERROR(__xludf.DUMMYFUNCTION("join("","",filter(split($H$83,"",""),ARRAYFORMULA(ISERROR(FIND(split($H$83,"",""),CONCATENATE(E16:V16))))=TRUE))"),"КЗ,201,206,403,406,408,410,АЗ")</f>
        <v>КЗ,201,206,403,406,408,410,АЗ</v>
      </c>
      <c r="AC16" s="14"/>
      <c r="AD16" s="14"/>
      <c r="AE16" s="14"/>
      <c r="AF16" s="29"/>
      <c r="AG16" s="29"/>
      <c r="AH16" s="29"/>
    </row>
    <row r="17" ht="40.5" hidden="1" customHeight="1">
      <c r="A17" s="30"/>
      <c r="B17" s="31">
        <v>5.0</v>
      </c>
      <c r="C17" s="32" t="s">
        <v>58</v>
      </c>
      <c r="D17" s="53">
        <v>44847.0</v>
      </c>
      <c r="E17" s="45" t="s">
        <v>6348</v>
      </c>
      <c r="F17" s="13"/>
      <c r="G17" s="33" t="s">
        <v>6349</v>
      </c>
      <c r="H17" s="45" t="s">
        <v>6350</v>
      </c>
      <c r="I17" s="41"/>
      <c r="J17" s="35" t="s">
        <v>6351</v>
      </c>
      <c r="K17" s="13"/>
      <c r="L17" s="40" t="s">
        <v>6352</v>
      </c>
      <c r="M17" s="13"/>
      <c r="N17" s="45" t="s">
        <v>6353</v>
      </c>
      <c r="O17" s="13"/>
      <c r="P17" s="33" t="s">
        <v>6354</v>
      </c>
      <c r="Q17" s="34" t="s">
        <v>6355</v>
      </c>
      <c r="R17" s="326" t="s">
        <v>6356</v>
      </c>
      <c r="S17" s="92" t="s">
        <v>6357</v>
      </c>
      <c r="T17" s="93" t="s">
        <v>6358</v>
      </c>
      <c r="U17" s="36"/>
      <c r="V17" s="41"/>
      <c r="W17" s="26"/>
      <c r="X17" s="42" t="s">
        <v>58</v>
      </c>
      <c r="Y17" s="54">
        <v>44847.0</v>
      </c>
      <c r="Z17" s="48" t="s">
        <v>70</v>
      </c>
      <c r="AA17" s="85" t="str">
        <f>AA$7</f>
        <v/>
      </c>
      <c r="AB17" s="15" t="str">
        <f>IFERROR(__xludf.DUMMYFUNCTION("join("","",filter(split($H$83,"",""),ARRAYFORMULA(ISERROR(FIND(split($H$83,"",""),CONCATENATE(E17:V17))))=TRUE))"),"СЗ,206,403,408,410,АЗ")</f>
        <v>СЗ,206,403,408,410,АЗ</v>
      </c>
      <c r="AC17" s="14"/>
      <c r="AD17" s="14"/>
      <c r="AE17" s="14"/>
      <c r="AF17" s="29"/>
      <c r="AG17" s="29"/>
      <c r="AH17" s="29"/>
    </row>
    <row r="18" ht="40.5" hidden="1" customHeight="1">
      <c r="A18" s="30"/>
      <c r="B18" s="31">
        <v>6.0</v>
      </c>
      <c r="C18" s="55" t="s">
        <v>71</v>
      </c>
      <c r="D18" s="56" t="s">
        <v>72</v>
      </c>
      <c r="E18" s="45" t="s">
        <v>6359</v>
      </c>
      <c r="F18" s="13"/>
      <c r="G18" s="33" t="s">
        <v>6360</v>
      </c>
      <c r="H18" s="45" t="s">
        <v>6361</v>
      </c>
      <c r="I18" s="41"/>
      <c r="J18" s="35" t="s">
        <v>6362</v>
      </c>
      <c r="K18" s="13"/>
      <c r="L18" s="40" t="s">
        <v>6363</v>
      </c>
      <c r="M18" s="13"/>
      <c r="N18" s="45" t="s">
        <v>6364</v>
      </c>
      <c r="O18" s="13"/>
      <c r="P18" s="33" t="s">
        <v>6365</v>
      </c>
      <c r="Q18" s="34" t="s">
        <v>6366</v>
      </c>
      <c r="R18" s="326" t="s">
        <v>6367</v>
      </c>
      <c r="S18" s="92" t="s">
        <v>6368</v>
      </c>
      <c r="T18" s="93" t="s">
        <v>6369</v>
      </c>
      <c r="U18" s="36"/>
      <c r="V18" s="41"/>
      <c r="W18" s="26"/>
      <c r="X18" s="58" t="s">
        <v>71</v>
      </c>
      <c r="Y18" s="59" t="s">
        <v>72</v>
      </c>
      <c r="Z18" s="48" t="s">
        <v>84</v>
      </c>
      <c r="AA18" s="85" t="str">
        <f>AA$8</f>
        <v/>
      </c>
      <c r="AB18" s="15" t="str">
        <f>IFERROR(__xludf.DUMMYFUNCTION("join("","",filter(split($H$83,"",""),ARRAYFORMULA(ISERROR(FIND(split($H$83,"",""),CONCATENATE(E18:V18))))=TRUE))"),"СЗ,206,403,408,410,АЗ")</f>
        <v>СЗ,206,403,408,410,АЗ</v>
      </c>
      <c r="AC18" s="14"/>
      <c r="AD18" s="14"/>
      <c r="AE18" s="14"/>
      <c r="AF18" s="29"/>
      <c r="AG18" s="29"/>
      <c r="AH18" s="29"/>
    </row>
    <row r="19" ht="40.5" hidden="1" customHeight="1">
      <c r="A19" s="30"/>
      <c r="B19" s="31">
        <v>7.0</v>
      </c>
      <c r="C19" s="32" t="s">
        <v>85</v>
      </c>
      <c r="D19" s="32" t="s">
        <v>86</v>
      </c>
      <c r="E19" s="94" t="s">
        <v>6370</v>
      </c>
      <c r="F19" s="13"/>
      <c r="G19" s="33" t="s">
        <v>6371</v>
      </c>
      <c r="H19" s="45" t="s">
        <v>6372</v>
      </c>
      <c r="I19" s="41"/>
      <c r="J19" s="95" t="s">
        <v>6373</v>
      </c>
      <c r="K19" s="13"/>
      <c r="L19" s="45" t="s">
        <v>6374</v>
      </c>
      <c r="M19" s="13"/>
      <c r="N19" s="45" t="s">
        <v>6375</v>
      </c>
      <c r="O19" s="13"/>
      <c r="P19" s="37" t="s">
        <v>6376</v>
      </c>
      <c r="Q19" s="41"/>
      <c r="R19" s="96" t="s">
        <v>6377</v>
      </c>
      <c r="S19" s="97" t="s">
        <v>6378</v>
      </c>
      <c r="T19" s="93" t="s">
        <v>6379</v>
      </c>
      <c r="U19" s="36"/>
      <c r="V19" s="41"/>
      <c r="W19" s="26"/>
      <c r="X19" s="42" t="s">
        <v>85</v>
      </c>
      <c r="Y19" s="42" t="s">
        <v>86</v>
      </c>
      <c r="Z19" s="48" t="s">
        <v>97</v>
      </c>
      <c r="AA19" s="85" t="str">
        <f>AA$9</f>
        <v/>
      </c>
      <c r="AB19" s="15" t="str">
        <f>IFERROR(__xludf.DUMMYFUNCTION("join("","",filter(split($H$83,"",""),ARRAYFORMULA(ISERROR(FIND(split($H$83,"",""),CONCATENATE(E19:V19))))=TRUE))"),"СЗ,206,403,404,405,410,АЗ")</f>
        <v>СЗ,206,403,404,405,410,АЗ</v>
      </c>
      <c r="AC19" s="14"/>
      <c r="AD19" s="14"/>
      <c r="AE19" s="14"/>
      <c r="AF19" s="29"/>
      <c r="AG19" s="29"/>
      <c r="AH19" s="29"/>
    </row>
    <row r="20" ht="40.5" hidden="1" customHeight="1">
      <c r="A20" s="30"/>
      <c r="B20" s="31">
        <v>8.0</v>
      </c>
      <c r="C20" s="32" t="s">
        <v>98</v>
      </c>
      <c r="D20" s="32" t="s">
        <v>99</v>
      </c>
      <c r="E20" s="94" t="s">
        <v>6380</v>
      </c>
      <c r="F20" s="13"/>
      <c r="G20" s="33" t="s">
        <v>6381</v>
      </c>
      <c r="H20" s="45" t="s">
        <v>6382</v>
      </c>
      <c r="I20" s="41"/>
      <c r="J20" s="95" t="s">
        <v>6383</v>
      </c>
      <c r="K20" s="13"/>
      <c r="L20" s="45" t="s">
        <v>6384</v>
      </c>
      <c r="M20" s="13"/>
      <c r="N20" s="45" t="s">
        <v>6385</v>
      </c>
      <c r="O20" s="13"/>
      <c r="P20" s="37" t="s">
        <v>6386</v>
      </c>
      <c r="Q20" s="41"/>
      <c r="R20" s="96" t="s">
        <v>6387</v>
      </c>
      <c r="S20" s="97" t="s">
        <v>6388</v>
      </c>
      <c r="T20" s="93" t="s">
        <v>6389</v>
      </c>
      <c r="U20" s="36"/>
      <c r="V20" s="41"/>
      <c r="W20" s="26"/>
      <c r="X20" s="42" t="s">
        <v>98</v>
      </c>
      <c r="Y20" s="42" t="s">
        <v>99</v>
      </c>
      <c r="Z20" s="11"/>
      <c r="AA20" s="98"/>
      <c r="AB20" s="15" t="str">
        <f>IFERROR(__xludf.DUMMYFUNCTION("join("","",filter(split($H$83,"",""),ARRAYFORMULA(ISERROR(FIND(split($H$83,"",""),CONCATENATE(E20:V20))))=TRUE))"),"СЗ,206,403,404,405,410,АЗ")</f>
        <v>СЗ,206,403,404,405,410,АЗ</v>
      </c>
      <c r="AC20" s="14"/>
      <c r="AD20" s="14"/>
      <c r="AE20" s="14"/>
      <c r="AF20" s="29"/>
      <c r="AG20" s="29"/>
      <c r="AH20" s="29"/>
    </row>
    <row r="21" ht="40.5" hidden="1" customHeight="1">
      <c r="A21" s="30"/>
      <c r="B21" s="31">
        <v>9.0</v>
      </c>
      <c r="C21" s="65">
        <v>44697.0</v>
      </c>
      <c r="D21" s="44" t="s">
        <v>109</v>
      </c>
      <c r="E21" s="99" t="s">
        <v>206</v>
      </c>
      <c r="F21" s="4"/>
      <c r="G21" s="100" t="s">
        <v>6390</v>
      </c>
      <c r="H21" s="101" t="s">
        <v>208</v>
      </c>
      <c r="I21" s="36"/>
      <c r="J21" s="36"/>
      <c r="K21" s="36"/>
      <c r="L21" s="36"/>
      <c r="M21" s="13"/>
      <c r="N21" s="45" t="s">
        <v>6391</v>
      </c>
      <c r="O21" s="13"/>
      <c r="P21" s="102" t="s">
        <v>6392</v>
      </c>
      <c r="Q21" s="41"/>
      <c r="R21" s="35" t="s">
        <v>211</v>
      </c>
      <c r="S21" s="41"/>
      <c r="T21" s="103" t="s">
        <v>6393</v>
      </c>
      <c r="U21" s="36"/>
      <c r="V21" s="41"/>
      <c r="W21" s="26"/>
      <c r="X21" s="69">
        <v>44697.0</v>
      </c>
      <c r="Y21" s="70" t="s">
        <v>109</v>
      </c>
      <c r="Z21" s="28"/>
      <c r="AA21" s="98"/>
      <c r="AB21" s="15" t="str">
        <f>IFERROR(__xludf.DUMMYFUNCTION("join("","",filter(split($H$83,"",""),ARRAYFORMULA(ISERROR(FIND(split($H$83,"",""),CONCATENATE(E21:V21))))=TRUE))"),"201,206,210,401,403,404,405,406,408,АЗ")</f>
        <v>201,206,210,401,403,404,405,406,408,АЗ</v>
      </c>
      <c r="AC21" s="14"/>
      <c r="AD21" s="14"/>
      <c r="AE21" s="14"/>
      <c r="AF21" s="29"/>
      <c r="AG21" s="29"/>
      <c r="AH21" s="29"/>
    </row>
    <row r="22" ht="40.5" hidden="1" customHeight="1">
      <c r="A22" s="30"/>
      <c r="B22" s="31">
        <v>10.0</v>
      </c>
      <c r="C22" s="44" t="s">
        <v>120</v>
      </c>
      <c r="D22" s="44" t="s">
        <v>121</v>
      </c>
      <c r="E22" s="104"/>
      <c r="F22" s="72"/>
      <c r="G22" s="105"/>
      <c r="H22" s="106" t="s">
        <v>3033</v>
      </c>
      <c r="I22" s="36"/>
      <c r="J22" s="36"/>
      <c r="K22" s="36"/>
      <c r="L22" s="36"/>
      <c r="M22" s="13"/>
      <c r="N22" s="45" t="s">
        <v>6394</v>
      </c>
      <c r="O22" s="13"/>
      <c r="P22" s="101" t="s">
        <v>215</v>
      </c>
      <c r="Q22" s="36"/>
      <c r="R22" s="36"/>
      <c r="S22" s="13"/>
      <c r="T22" s="107" t="s">
        <v>6395</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6396</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hidden="1" customHeight="1">
      <c r="A24" s="18">
        <v>44937.0</v>
      </c>
      <c r="B24" s="435">
        <v>1.0</v>
      </c>
      <c r="C24" s="20" t="s">
        <v>12</v>
      </c>
      <c r="D24" s="20" t="s">
        <v>13</v>
      </c>
      <c r="E24" s="21" t="s">
        <v>6397</v>
      </c>
      <c r="F24" s="22"/>
      <c r="G24" s="116" t="s">
        <v>6398</v>
      </c>
      <c r="H24" s="117" t="s">
        <v>6399</v>
      </c>
      <c r="I24" s="22"/>
      <c r="J24" s="118" t="s">
        <v>221</v>
      </c>
      <c r="K24" s="24"/>
      <c r="L24" s="24"/>
      <c r="M24" s="25"/>
      <c r="N24" s="80" t="s">
        <v>6400</v>
      </c>
      <c r="O24" s="25"/>
      <c r="P24" s="585" t="s">
        <v>6401</v>
      </c>
      <c r="Q24" s="24"/>
      <c r="R24" s="24"/>
      <c r="S24" s="22"/>
      <c r="T24" s="121" t="s">
        <v>6402</v>
      </c>
      <c r="U24" s="24"/>
      <c r="V24" s="22"/>
      <c r="W24" s="26"/>
      <c r="X24" s="27" t="s">
        <v>12</v>
      </c>
      <c r="Y24" s="27" t="s">
        <v>13</v>
      </c>
      <c r="Z24" s="28"/>
      <c r="AA24" s="14"/>
      <c r="AB24" s="15" t="str">
        <f>IFERROR(__xludf.DUMMYFUNCTION("join("","",filter(split($H$83,"",""),ARRAYFORMULA(ISERROR(FIND(split($H$83,"",""),CONCATENATE(E24:V24))))=TRUE))"),"СЗ,206,210,401,402,403,404,405,406,409,410,АЗ")</f>
        <v>СЗ,206,210,401,402,403,404,405,406,409,410,АЗ</v>
      </c>
      <c r="AC24" s="14"/>
      <c r="AD24" s="14"/>
      <c r="AE24" s="14"/>
      <c r="AF24" s="29"/>
      <c r="AG24" s="29"/>
      <c r="AH24" s="29"/>
    </row>
    <row r="25" ht="40.5" hidden="1" customHeight="1">
      <c r="A25" s="30"/>
      <c r="B25" s="436">
        <v>2.0</v>
      </c>
      <c r="C25" s="32" t="s">
        <v>21</v>
      </c>
      <c r="D25" s="32" t="s">
        <v>22</v>
      </c>
      <c r="E25" s="51" t="s">
        <v>6403</v>
      </c>
      <c r="F25" s="41"/>
      <c r="G25" s="39" t="s">
        <v>6404</v>
      </c>
      <c r="H25" s="89" t="s">
        <v>6405</v>
      </c>
      <c r="I25" s="41"/>
      <c r="J25" s="35" t="s">
        <v>6406</v>
      </c>
      <c r="K25" s="13"/>
      <c r="L25" s="40" t="s">
        <v>6407</v>
      </c>
      <c r="M25" s="13"/>
      <c r="N25" s="40" t="s">
        <v>6408</v>
      </c>
      <c r="O25" s="13"/>
      <c r="P25" s="37" t="s">
        <v>6409</v>
      </c>
      <c r="Q25" s="13"/>
      <c r="R25" s="122" t="s">
        <v>6410</v>
      </c>
      <c r="S25" s="41"/>
      <c r="T25" s="103" t="s">
        <v>6411</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hidden="1" customHeight="1">
      <c r="A26" s="30"/>
      <c r="B26" s="436">
        <v>3.0</v>
      </c>
      <c r="C26" s="32" t="s">
        <v>33</v>
      </c>
      <c r="D26" s="32" t="s">
        <v>34</v>
      </c>
      <c r="E26" s="37" t="s">
        <v>6412</v>
      </c>
      <c r="F26" s="41"/>
      <c r="G26" s="51" t="s">
        <v>6413</v>
      </c>
      <c r="H26" s="36"/>
      <c r="I26" s="41"/>
      <c r="J26" s="95" t="s">
        <v>6414</v>
      </c>
      <c r="K26" s="13"/>
      <c r="L26" s="123" t="s">
        <v>6415</v>
      </c>
      <c r="M26" s="41"/>
      <c r="N26" s="40" t="s">
        <v>6416</v>
      </c>
      <c r="O26" s="13"/>
      <c r="P26" s="39" t="s">
        <v>6417</v>
      </c>
      <c r="Q26" s="124" t="s">
        <v>6418</v>
      </c>
      <c r="R26" s="89" t="s">
        <v>6419</v>
      </c>
      <c r="S26" s="41"/>
      <c r="T26" s="125" t="s">
        <v>6420</v>
      </c>
      <c r="U26" s="36"/>
      <c r="V26" s="41"/>
      <c r="W26" s="26"/>
      <c r="X26" s="42" t="s">
        <v>33</v>
      </c>
      <c r="Y26" s="42" t="s">
        <v>34</v>
      </c>
      <c r="Z26" s="48" t="s">
        <v>47</v>
      </c>
      <c r="AA26" s="85" t="str">
        <f>AA$5</f>
        <v/>
      </c>
      <c r="AB26" s="15" t="str">
        <f>IFERROR(__xludf.DUMMYFUNCTION("join("","",filter(split($H$83,"",""),ARRAYFORMULA(ISERROR(FIND(split($H$83,"",""),CONCATENATE(E26:V26))))=TRUE))"),"СЗ,КЗ,206,210,403,404,405,408,410,АЗ")</f>
        <v>СЗ,КЗ,206,210,403,404,405,408,410,АЗ</v>
      </c>
      <c r="AC26" s="14"/>
      <c r="AD26" s="14"/>
      <c r="AE26" s="14"/>
      <c r="AF26" s="29"/>
      <c r="AG26" s="29"/>
      <c r="AH26" s="29"/>
    </row>
    <row r="27" ht="54.0" hidden="1" customHeight="1">
      <c r="A27" s="30"/>
      <c r="B27" s="436">
        <v>4.0</v>
      </c>
      <c r="C27" s="32" t="s">
        <v>48</v>
      </c>
      <c r="D27" s="32" t="s">
        <v>49</v>
      </c>
      <c r="E27" s="33" t="s">
        <v>6421</v>
      </c>
      <c r="F27" s="286" t="s">
        <v>6422</v>
      </c>
      <c r="G27" s="37" t="s">
        <v>6423</v>
      </c>
      <c r="H27" s="13"/>
      <c r="I27" s="92" t="s">
        <v>6424</v>
      </c>
      <c r="J27" s="107" t="s">
        <v>6425</v>
      </c>
      <c r="K27" s="13"/>
      <c r="L27" s="45" t="s">
        <v>6426</v>
      </c>
      <c r="M27" s="13"/>
      <c r="N27" s="127" t="s">
        <v>6427</v>
      </c>
      <c r="O27" s="13"/>
      <c r="P27" s="37" t="s">
        <v>6428</v>
      </c>
      <c r="Q27" s="13"/>
      <c r="R27" s="34" t="s">
        <v>6429</v>
      </c>
      <c r="S27" s="132" t="s">
        <v>6430</v>
      </c>
      <c r="T27" s="125" t="s">
        <v>6431</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E27" s="14"/>
      <c r="AF27" s="29"/>
      <c r="AG27" s="29"/>
      <c r="AH27" s="29"/>
    </row>
    <row r="28" ht="53.25" hidden="1" customHeight="1">
      <c r="A28" s="30"/>
      <c r="B28" s="436">
        <v>5.0</v>
      </c>
      <c r="C28" s="32" t="s">
        <v>58</v>
      </c>
      <c r="D28" s="53">
        <v>44847.0</v>
      </c>
      <c r="E28" s="33" t="s">
        <v>6432</v>
      </c>
      <c r="F28" s="92" t="s">
        <v>6433</v>
      </c>
      <c r="G28" s="37" t="s">
        <v>6434</v>
      </c>
      <c r="H28" s="13"/>
      <c r="I28" s="92" t="s">
        <v>6435</v>
      </c>
      <c r="J28" s="123" t="s">
        <v>6436</v>
      </c>
      <c r="K28" s="41"/>
      <c r="L28" s="45" t="s">
        <v>6437</v>
      </c>
      <c r="M28" s="13"/>
      <c r="N28" s="89" t="s">
        <v>6438</v>
      </c>
      <c r="O28" s="13"/>
      <c r="P28" s="39" t="s">
        <v>6439</v>
      </c>
      <c r="Q28" s="124" t="s">
        <v>6440</v>
      </c>
      <c r="R28" s="34" t="s">
        <v>6441</v>
      </c>
      <c r="S28" s="132" t="s">
        <v>6442</v>
      </c>
      <c r="T28" s="128" t="s">
        <v>6443</v>
      </c>
      <c r="U28" s="8"/>
      <c r="V28" s="129"/>
      <c r="W28" s="26"/>
      <c r="X28" s="42" t="s">
        <v>58</v>
      </c>
      <c r="Y28" s="54">
        <v>44847.0</v>
      </c>
      <c r="Z28" s="48" t="s">
        <v>70</v>
      </c>
      <c r="AA28" s="85" t="str">
        <f>AA$7</f>
        <v/>
      </c>
      <c r="AB28" s="15" t="str">
        <f>IFERROR(__xludf.DUMMYFUNCTION("join("","",filter(split($H$83,"",""),ARRAYFORMULA(ISERROR(FIND(split($H$83,"",""),CONCATENATE(E28:V28))))=TRUE))"),"СЗ,206,209,403,404,405,410")</f>
        <v>СЗ,206,209,403,404,405,410</v>
      </c>
      <c r="AC28" s="14"/>
      <c r="AE28" s="14"/>
      <c r="AF28" s="29"/>
      <c r="AG28" s="29"/>
      <c r="AH28" s="29"/>
    </row>
    <row r="29" ht="40.5" hidden="1" customHeight="1">
      <c r="A29" s="30"/>
      <c r="B29" s="436">
        <v>6.0</v>
      </c>
      <c r="C29" s="55" t="s">
        <v>71</v>
      </c>
      <c r="D29" s="56" t="s">
        <v>72</v>
      </c>
      <c r="E29" s="39" t="s">
        <v>6444</v>
      </c>
      <c r="F29" s="34" t="s">
        <v>6445</v>
      </c>
      <c r="G29" s="40" t="s">
        <v>6446</v>
      </c>
      <c r="H29" s="41"/>
      <c r="I29" s="34" t="s">
        <v>6447</v>
      </c>
      <c r="J29" s="123" t="s">
        <v>6448</v>
      </c>
      <c r="K29" s="41"/>
      <c r="L29" s="89" t="s">
        <v>6449</v>
      </c>
      <c r="M29" s="13"/>
      <c r="N29" s="130" t="s">
        <v>6450</v>
      </c>
      <c r="O29" s="13"/>
      <c r="P29" s="131" t="s">
        <v>6451</v>
      </c>
      <c r="Q29" s="132" t="s">
        <v>6452</v>
      </c>
      <c r="R29" s="92" t="s">
        <v>6453</v>
      </c>
      <c r="V29" s="134"/>
      <c r="W29" s="26"/>
      <c r="X29" s="58" t="s">
        <v>71</v>
      </c>
      <c r="Y29" s="59" t="s">
        <v>72</v>
      </c>
      <c r="Z29" s="48" t="s">
        <v>84</v>
      </c>
      <c r="AA29" s="85" t="str">
        <f>AA$8</f>
        <v/>
      </c>
      <c r="AB29" s="15" t="str">
        <f>IFERROR(__xludf.DUMMYFUNCTION("join("","",filter(split($H$83,"",""),ARRAYFORMULA(ISERROR(FIND(split($H$83,"",""),CONCATENATE(E29:V29))))=TRUE))"),"СЗ,КЗ,201,206,403,404,405,410,АЗ")</f>
        <v>СЗ,КЗ,201,206,403,404,405,410,АЗ</v>
      </c>
      <c r="AC29" s="14"/>
      <c r="AE29" s="14"/>
      <c r="AF29" s="29"/>
      <c r="AG29" s="29"/>
      <c r="AH29" s="29"/>
    </row>
    <row r="30" ht="40.5" hidden="1" customHeight="1">
      <c r="A30" s="30"/>
      <c r="B30" s="436">
        <v>7.0</v>
      </c>
      <c r="C30" s="32" t="s">
        <v>85</v>
      </c>
      <c r="D30" s="32" t="s">
        <v>86</v>
      </c>
      <c r="E30" s="39" t="s">
        <v>6454</v>
      </c>
      <c r="F30" s="34" t="s">
        <v>6455</v>
      </c>
      <c r="G30" s="40" t="s">
        <v>6456</v>
      </c>
      <c r="H30" s="41"/>
      <c r="I30" s="34" t="s">
        <v>6457</v>
      </c>
      <c r="J30" s="35" t="s">
        <v>6458</v>
      </c>
      <c r="K30" s="13"/>
      <c r="L30" s="123" t="s">
        <v>6459</v>
      </c>
      <c r="M30" s="41"/>
      <c r="N30" s="130" t="s">
        <v>6460</v>
      </c>
      <c r="O30" s="13"/>
      <c r="P30" s="131" t="s">
        <v>6461</v>
      </c>
      <c r="Q30" s="132" t="s">
        <v>6462</v>
      </c>
      <c r="R30" s="92" t="s">
        <v>6463</v>
      </c>
      <c r="V30" s="134"/>
      <c r="W30" s="26"/>
      <c r="X30" s="42" t="s">
        <v>85</v>
      </c>
      <c r="Y30" s="42" t="s">
        <v>86</v>
      </c>
      <c r="Z30" s="48" t="s">
        <v>97</v>
      </c>
      <c r="AA30" s="85" t="str">
        <f>AA$9</f>
        <v/>
      </c>
      <c r="AB30" s="15" t="str">
        <f>IFERROR(__xludf.DUMMYFUNCTION("join("","",filter(split($H$83,"",""),ARRAYFORMULA(ISERROR(FIND(split($H$83,"",""),CONCATENATE(E30:V30))))=TRUE))"),"СЗ,КЗ,206,403,404,405,409,410,АЗ")</f>
        <v>СЗ,КЗ,206,403,404,405,409,410,АЗ</v>
      </c>
      <c r="AC30" s="14"/>
      <c r="AE30" s="14"/>
      <c r="AF30" s="29"/>
      <c r="AG30" s="29"/>
      <c r="AH30" s="29"/>
    </row>
    <row r="31" ht="52.5" hidden="1" customHeight="1">
      <c r="A31" s="30"/>
      <c r="B31" s="436">
        <v>8.0</v>
      </c>
      <c r="C31" s="32" t="s">
        <v>98</v>
      </c>
      <c r="D31" s="32" t="s">
        <v>99</v>
      </c>
      <c r="E31" s="46" t="s">
        <v>6464</v>
      </c>
      <c r="F31" s="41"/>
      <c r="G31" s="137" t="s">
        <v>6465</v>
      </c>
      <c r="H31" s="8"/>
      <c r="I31" s="129"/>
      <c r="J31" s="334" t="s">
        <v>6466</v>
      </c>
      <c r="K31" s="36"/>
      <c r="L31" s="36"/>
      <c r="M31" s="13"/>
      <c r="N31" s="45" t="s">
        <v>6467</v>
      </c>
      <c r="O31" s="13"/>
      <c r="P31" s="140" t="s">
        <v>6468</v>
      </c>
      <c r="Q31" s="4"/>
      <c r="R31" s="437"/>
      <c r="S31" s="133"/>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hidden="1" customHeight="1">
      <c r="A32" s="30"/>
      <c r="B32" s="436">
        <v>9.0</v>
      </c>
      <c r="C32" s="65">
        <v>44697.0</v>
      </c>
      <c r="D32" s="44" t="s">
        <v>109</v>
      </c>
      <c r="E32" s="141" t="s">
        <v>6469</v>
      </c>
      <c r="F32" s="13"/>
      <c r="G32" s="142"/>
      <c r="H32" s="64"/>
      <c r="I32" s="88"/>
      <c r="J32" s="334" t="s">
        <v>6470</v>
      </c>
      <c r="K32" s="36"/>
      <c r="L32" s="36"/>
      <c r="M32" s="13"/>
      <c r="N32" s="45" t="s">
        <v>6471</v>
      </c>
      <c r="O32" s="13"/>
      <c r="P32" s="142"/>
      <c r="Q32" s="72"/>
      <c r="R32" s="173"/>
      <c r="S32" s="92"/>
      <c r="T32" s="64"/>
      <c r="U32" s="64"/>
      <c r="V32" s="88"/>
      <c r="W32" s="26"/>
      <c r="X32" s="69">
        <v>44697.0</v>
      </c>
      <c r="Y32" s="70" t="s">
        <v>109</v>
      </c>
      <c r="Z32" s="28"/>
      <c r="AA32" s="14"/>
      <c r="AB32" s="15" t="str">
        <f>IFERROR(__xludf.DUMMYFUNCTION("join("","",filter(split($H$83,"",""),ARRAYFORMULA(ISERROR(FIND(split($H$83,"",""),CONCATENATE(E32:V32))))=TRUE))"),"СЗ,КЗ,201,202,206,210,401,402,403,404,405,406,408,409,АЗ")</f>
        <v>СЗ,КЗ,201,202,206,210,401,402,403,404,405,406,408,409,АЗ</v>
      </c>
      <c r="AC32" s="14"/>
      <c r="AD32" s="14"/>
      <c r="AE32" s="14"/>
      <c r="AF32" s="29"/>
      <c r="AG32" s="29"/>
      <c r="AH32" s="29"/>
    </row>
    <row r="33" ht="40.5" hidden="1" customHeight="1">
      <c r="A33" s="30"/>
      <c r="B33" s="436">
        <v>10.0</v>
      </c>
      <c r="C33" s="44" t="s">
        <v>120</v>
      </c>
      <c r="D33" s="44" t="s">
        <v>121</v>
      </c>
      <c r="E33" s="141" t="s">
        <v>6472</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6473</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18">
        <v>44938.0</v>
      </c>
      <c r="B35" s="19">
        <v>1.0</v>
      </c>
      <c r="C35" s="20" t="s">
        <v>12</v>
      </c>
      <c r="D35" s="20" t="s">
        <v>13</v>
      </c>
      <c r="E35" s="80"/>
      <c r="F35" s="25"/>
      <c r="G35" s="156" t="s">
        <v>6474</v>
      </c>
      <c r="H35" s="117" t="s">
        <v>6475</v>
      </c>
      <c r="I35" s="25"/>
      <c r="J35" s="157" t="s">
        <v>6476</v>
      </c>
      <c r="K35" s="13"/>
      <c r="L35" s="156" t="s">
        <v>6477</v>
      </c>
      <c r="M35" s="156" t="s">
        <v>6478</v>
      </c>
      <c r="N35" s="80" t="s">
        <v>6479</v>
      </c>
      <c r="O35" s="25"/>
      <c r="P35" s="156" t="s">
        <v>6480</v>
      </c>
      <c r="Q35" s="156" t="s">
        <v>6481</v>
      </c>
      <c r="R35" s="600"/>
      <c r="S35" s="160" t="s">
        <v>6482</v>
      </c>
      <c r="T35" s="161" t="s">
        <v>6483</v>
      </c>
      <c r="U35" s="24"/>
      <c r="V35" s="22"/>
      <c r="W35" s="26"/>
      <c r="X35" s="27" t="s">
        <v>12</v>
      </c>
      <c r="Y35" s="27" t="s">
        <v>13</v>
      </c>
      <c r="Z35" s="28"/>
      <c r="AA35" s="14"/>
      <c r="AB35" s="15" t="str">
        <f>IFERROR(__xludf.DUMMYFUNCTION("join("","",filter(split($H$83,"",""),ARRAYFORMULA(ISERROR(FIND(split($H$83,"",""),CONCATENATE(E35:V35))))=TRUE))"),"СЗ,201,206,402,406,410,АЗ")</f>
        <v>СЗ,201,206,402,406,410,АЗ</v>
      </c>
      <c r="AC35" s="14"/>
      <c r="AD35" s="14"/>
      <c r="AE35" s="14"/>
      <c r="AF35" s="29"/>
      <c r="AG35" s="29"/>
      <c r="AH35" s="29"/>
    </row>
    <row r="36" ht="54.0" hidden="1" customHeight="1">
      <c r="A36" s="30"/>
      <c r="B36" s="31">
        <v>2.0</v>
      </c>
      <c r="C36" s="32" t="s">
        <v>21</v>
      </c>
      <c r="D36" s="32" t="s">
        <v>22</v>
      </c>
      <c r="E36" s="45" t="s">
        <v>6484</v>
      </c>
      <c r="F36" s="13"/>
      <c r="G36" s="44" t="s">
        <v>6485</v>
      </c>
      <c r="H36" s="40" t="s">
        <v>312</v>
      </c>
      <c r="I36" s="13"/>
      <c r="J36" s="157" t="s">
        <v>313</v>
      </c>
      <c r="K36" s="13"/>
      <c r="L36" s="44" t="s">
        <v>6486</v>
      </c>
      <c r="M36" s="44" t="s">
        <v>6487</v>
      </c>
      <c r="N36" s="45" t="s">
        <v>316</v>
      </c>
      <c r="O36" s="13"/>
      <c r="P36" s="44" t="s">
        <v>6488</v>
      </c>
      <c r="Q36" s="44" t="s">
        <v>6489</v>
      </c>
      <c r="R36" s="601"/>
      <c r="S36" s="90" t="s">
        <v>320</v>
      </c>
      <c r="T36" s="163" t="s">
        <v>6490</v>
      </c>
      <c r="U36" s="36"/>
      <c r="V36" s="41"/>
      <c r="W36" s="26"/>
      <c r="X36" s="42" t="s">
        <v>21</v>
      </c>
      <c r="Y36" s="42" t="s">
        <v>22</v>
      </c>
      <c r="Z36" s="28"/>
      <c r="AA36" s="14"/>
      <c r="AB36" s="15" t="str">
        <f>IFERROR(__xludf.DUMMYFUNCTION("join("","",filter(split($H$83,"",""),ARRAYFORMULA(ISERROR(FIND(split($H$83,"",""),CONCATENATE(E36:V36))))=TRUE))"),"СЗ,206,402,406,410,АЗ")</f>
        <v>СЗ,206,402,406,410,АЗ</v>
      </c>
      <c r="AC36" s="14"/>
      <c r="AD36" s="14"/>
      <c r="AE36" s="14"/>
      <c r="AF36" s="29"/>
      <c r="AG36" s="29"/>
      <c r="AH36" s="29"/>
    </row>
    <row r="37" ht="56.25" hidden="1" customHeight="1">
      <c r="A37" s="30"/>
      <c r="B37" s="31">
        <v>3.0</v>
      </c>
      <c r="C37" s="32" t="s">
        <v>33</v>
      </c>
      <c r="D37" s="32" t="s">
        <v>34</v>
      </c>
      <c r="E37" s="45" t="s">
        <v>6491</v>
      </c>
      <c r="F37" s="13"/>
      <c r="G37" s="132" t="s">
        <v>6492</v>
      </c>
      <c r="H37" s="45" t="s">
        <v>6493</v>
      </c>
      <c r="I37" s="13"/>
      <c r="J37" s="45" t="s">
        <v>6494</v>
      </c>
      <c r="K37" s="13"/>
      <c r="L37" s="44" t="s">
        <v>6495</v>
      </c>
      <c r="M37" s="44" t="s">
        <v>6496</v>
      </c>
      <c r="N37" s="164" t="s">
        <v>6497</v>
      </c>
      <c r="O37" s="36"/>
      <c r="P37" s="36"/>
      <c r="Q37" s="13"/>
      <c r="R37" s="44" t="s">
        <v>6498</v>
      </c>
      <c r="S37" s="44" t="s">
        <v>6499</v>
      </c>
      <c r="T37" s="87" t="s">
        <v>6500</v>
      </c>
      <c r="U37" s="36"/>
      <c r="V37" s="41"/>
      <c r="W37" s="26"/>
      <c r="X37" s="42" t="s">
        <v>33</v>
      </c>
      <c r="Y37" s="42" t="s">
        <v>34</v>
      </c>
      <c r="Z37" s="48" t="s">
        <v>47</v>
      </c>
      <c r="AA37" s="85" t="str">
        <f>AA$5</f>
        <v/>
      </c>
      <c r="AB37" s="15" t="str">
        <f>IFERROR(__xludf.DUMMYFUNCTION("join("","",filter(split($H$83,"",""),ARRAYFORMULA(ISERROR(FIND(split($H$83,"",""),CONCATENATE(E37:V37))))=TRUE))"),"КЗ,201,206,403,406,410,АЗ")</f>
        <v>КЗ,201,206,403,406,410,АЗ</v>
      </c>
      <c r="AC37" s="14"/>
      <c r="AD37" s="14"/>
      <c r="AE37" s="14"/>
      <c r="AF37" s="29"/>
      <c r="AG37" s="29"/>
      <c r="AH37" s="29"/>
    </row>
    <row r="38" ht="51.75" hidden="1" customHeight="1">
      <c r="A38" s="30"/>
      <c r="B38" s="31">
        <v>4.0</v>
      </c>
      <c r="C38" s="32" t="s">
        <v>48</v>
      </c>
      <c r="D38" s="32" t="s">
        <v>49</v>
      </c>
      <c r="E38" s="45" t="s">
        <v>6501</v>
      </c>
      <c r="F38" s="13"/>
      <c r="G38" s="132" t="s">
        <v>6502</v>
      </c>
      <c r="H38" s="45" t="s">
        <v>6503</v>
      </c>
      <c r="I38" s="13"/>
      <c r="J38" s="45" t="s">
        <v>6504</v>
      </c>
      <c r="K38" s="13"/>
      <c r="L38" s="44" t="s">
        <v>6505</v>
      </c>
      <c r="M38" s="44" t="s">
        <v>6506</v>
      </c>
      <c r="N38" s="164" t="s">
        <v>6507</v>
      </c>
      <c r="O38" s="36"/>
      <c r="P38" s="36"/>
      <c r="Q38" s="13"/>
      <c r="R38" s="44" t="s">
        <v>6508</v>
      </c>
      <c r="S38" s="44" t="s">
        <v>6509</v>
      </c>
      <c r="T38" s="87" t="s">
        <v>6510</v>
      </c>
      <c r="U38" s="36"/>
      <c r="V38" s="41"/>
      <c r="W38" s="26"/>
      <c r="X38" s="42" t="s">
        <v>48</v>
      </c>
      <c r="Y38" s="42" t="s">
        <v>49</v>
      </c>
      <c r="Z38" s="48" t="s">
        <v>57</v>
      </c>
      <c r="AA38" s="85" t="str">
        <f>AA$6</f>
        <v/>
      </c>
      <c r="AB38" s="15" t="str">
        <f>IFERROR(__xludf.DUMMYFUNCTION("join("","",filter(split($H$83,"",""),ARRAYFORMULA(ISERROR(FIND(split($H$83,"",""),CONCATENATE(E38:V38))))=TRUE))"),"КЗ,201,206,403,406,410,АЗ")</f>
        <v>КЗ,201,206,403,406,410,АЗ</v>
      </c>
      <c r="AC38" s="14"/>
      <c r="AD38" s="14"/>
      <c r="AE38" s="14"/>
      <c r="AF38" s="29"/>
      <c r="AG38" s="29"/>
      <c r="AH38" s="29"/>
    </row>
    <row r="39" ht="58.5" hidden="1" customHeight="1">
      <c r="A39" s="30"/>
      <c r="B39" s="31">
        <v>5.0</v>
      </c>
      <c r="C39" s="32" t="s">
        <v>58</v>
      </c>
      <c r="D39" s="53">
        <v>44847.0</v>
      </c>
      <c r="E39" s="45" t="s">
        <v>6511</v>
      </c>
      <c r="F39" s="13"/>
      <c r="G39" s="44" t="s">
        <v>6512</v>
      </c>
      <c r="H39" s="45" t="s">
        <v>6513</v>
      </c>
      <c r="I39" s="13"/>
      <c r="J39" s="44" t="s">
        <v>6514</v>
      </c>
      <c r="K39" s="44" t="s">
        <v>6515</v>
      </c>
      <c r="L39" s="45" t="s">
        <v>6516</v>
      </c>
      <c r="M39" s="13"/>
      <c r="N39" s="44" t="s">
        <v>6517</v>
      </c>
      <c r="O39" s="44" t="s">
        <v>6518</v>
      </c>
      <c r="P39" s="45" t="s">
        <v>6519</v>
      </c>
      <c r="Q39" s="13"/>
      <c r="R39" s="44" t="s">
        <v>6520</v>
      </c>
      <c r="S39" s="132" t="s">
        <v>6521</v>
      </c>
      <c r="T39" s="45" t="s">
        <v>6522</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hidden="1" customHeight="1">
      <c r="A40" s="30"/>
      <c r="B40" s="31">
        <v>6.0</v>
      </c>
      <c r="C40" s="55" t="s">
        <v>71</v>
      </c>
      <c r="D40" s="56" t="s">
        <v>72</v>
      </c>
      <c r="E40" s="45" t="s">
        <v>6523</v>
      </c>
      <c r="F40" s="13"/>
      <c r="G40" s="44" t="s">
        <v>355</v>
      </c>
      <c r="H40" s="45" t="s">
        <v>6524</v>
      </c>
      <c r="I40" s="13"/>
      <c r="J40" s="44" t="s">
        <v>6525</v>
      </c>
      <c r="K40" s="44" t="s">
        <v>6526</v>
      </c>
      <c r="L40" s="45" t="s">
        <v>6527</v>
      </c>
      <c r="M40" s="13"/>
      <c r="N40" s="44" t="s">
        <v>6528</v>
      </c>
      <c r="O40" s="44" t="s">
        <v>6529</v>
      </c>
      <c r="P40" s="45" t="s">
        <v>6530</v>
      </c>
      <c r="Q40" s="13"/>
      <c r="R40" s="44" t="s">
        <v>6531</v>
      </c>
      <c r="S40" s="132" t="s">
        <v>6532</v>
      </c>
      <c r="T40" s="45" t="s">
        <v>6533</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hidden="1" customHeight="1">
      <c r="A41" s="30"/>
      <c r="B41" s="31">
        <v>7.0</v>
      </c>
      <c r="C41" s="32" t="s">
        <v>85</v>
      </c>
      <c r="D41" s="32" t="s">
        <v>86</v>
      </c>
      <c r="E41" s="45" t="s">
        <v>6534</v>
      </c>
      <c r="F41" s="13"/>
      <c r="G41" s="44" t="s">
        <v>6535</v>
      </c>
      <c r="H41" s="45" t="s">
        <v>6536</v>
      </c>
      <c r="I41" s="13"/>
      <c r="J41" s="44" t="s">
        <v>6537</v>
      </c>
      <c r="K41" s="44" t="s">
        <v>6538</v>
      </c>
      <c r="L41" s="45" t="s">
        <v>6539</v>
      </c>
      <c r="M41" s="13"/>
      <c r="N41" s="87" t="s">
        <v>6540</v>
      </c>
      <c r="O41" s="13"/>
      <c r="P41" s="45" t="s">
        <v>6541</v>
      </c>
      <c r="Q41" s="13"/>
      <c r="R41" s="44" t="s">
        <v>6542</v>
      </c>
      <c r="S41" s="44" t="s">
        <v>6543</v>
      </c>
      <c r="T41" s="165" t="s">
        <v>6544</v>
      </c>
      <c r="U41" s="36"/>
      <c r="V41" s="41"/>
      <c r="W41" s="26"/>
      <c r="X41" s="42" t="s">
        <v>85</v>
      </c>
      <c r="Y41" s="42" t="s">
        <v>86</v>
      </c>
      <c r="Z41" s="48" t="s">
        <v>97</v>
      </c>
      <c r="AA41" s="85" t="str">
        <f>AA$9</f>
        <v/>
      </c>
      <c r="AB41" s="15" t="str">
        <f>IFERROR(__xludf.DUMMYFUNCTION("join("","",filter(split($H$83,"",""),ARRAYFORMULA(ISERROR(FIND(split($H$83,"",""),CONCATENATE(E41:V41))))=TRUE))"),"СЗ,КЗ,206,210,403,406,410,АЗ")</f>
        <v>СЗ,КЗ,206,210,403,406,410,АЗ</v>
      </c>
      <c r="AC41" s="14"/>
      <c r="AD41" s="14"/>
      <c r="AE41" s="14"/>
      <c r="AF41" s="29"/>
      <c r="AG41" s="29"/>
      <c r="AH41" s="29"/>
    </row>
    <row r="42" ht="52.5" hidden="1" customHeight="1">
      <c r="A42" s="30"/>
      <c r="B42" s="31">
        <v>8.0</v>
      </c>
      <c r="C42" s="32" t="s">
        <v>98</v>
      </c>
      <c r="D42" s="32" t="s">
        <v>99</v>
      </c>
      <c r="E42" s="45" t="s">
        <v>6545</v>
      </c>
      <c r="F42" s="13"/>
      <c r="G42" s="44" t="s">
        <v>6546</v>
      </c>
      <c r="H42" s="45" t="s">
        <v>6547</v>
      </c>
      <c r="I42" s="13"/>
      <c r="J42" s="44" t="s">
        <v>6548</v>
      </c>
      <c r="K42" s="44" t="s">
        <v>6549</v>
      </c>
      <c r="L42" s="45" t="s">
        <v>6550</v>
      </c>
      <c r="M42" s="13"/>
      <c r="N42" s="87" t="s">
        <v>6551</v>
      </c>
      <c r="O42" s="13"/>
      <c r="P42" s="45" t="s">
        <v>6552</v>
      </c>
      <c r="Q42" s="13"/>
      <c r="R42" s="166"/>
      <c r="S42" s="13"/>
      <c r="T42" s="165" t="s">
        <v>6553</v>
      </c>
      <c r="U42" s="36"/>
      <c r="V42" s="41"/>
      <c r="W42" s="26"/>
      <c r="X42" s="42" t="s">
        <v>98</v>
      </c>
      <c r="Y42" s="42" t="s">
        <v>99</v>
      </c>
      <c r="Z42" s="11"/>
      <c r="AA42" s="14"/>
      <c r="AB42" s="15" t="str">
        <f>IFERROR(__xludf.DUMMYFUNCTION("join("","",filter(split($H$83,"",""),ARRAYFORMULA(ISERROR(FIND(split($H$83,"",""),CONCATENATE(E42:V42))))=TRUE))"),"СЗ,КЗ,206,210,403,404,405,406,410,АЗ")</f>
        <v>СЗ,КЗ,206,210,403,404,405,406,410,АЗ</v>
      </c>
      <c r="AC42" s="14"/>
      <c r="AD42" s="14"/>
      <c r="AE42" s="14"/>
      <c r="AF42" s="29"/>
      <c r="AG42" s="29"/>
      <c r="AH42" s="29"/>
    </row>
    <row r="43" ht="53.25" hidden="1" customHeight="1">
      <c r="A43" s="30"/>
      <c r="B43" s="31">
        <v>9.0</v>
      </c>
      <c r="C43" s="65">
        <v>44697.0</v>
      </c>
      <c r="D43" s="44" t="s">
        <v>109</v>
      </c>
      <c r="E43" s="167" t="s">
        <v>6554</v>
      </c>
      <c r="F43" s="4"/>
      <c r="G43" s="168"/>
      <c r="H43" s="169" t="s">
        <v>6555</v>
      </c>
      <c r="I43" s="36"/>
      <c r="J43" s="13"/>
      <c r="K43" s="170"/>
      <c r="L43" s="4"/>
      <c r="M43" s="171"/>
      <c r="N43" s="45" t="s">
        <v>6556</v>
      </c>
      <c r="O43" s="13"/>
      <c r="P43" s="602" t="s">
        <v>6557</v>
      </c>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IFERROR(__xludf.DUMMYFUNCTION("join("","",filter(split($H$83,"",""),ARRAYFORMULA(ISERROR(FIND(split($H$83,"",""),CONCATENATE(E43:V43))))=TRUE))"),"КЗ,202,206,209,401,403,404,405,406,408,409,АЗ")</f>
        <v>КЗ,202,206,209,401,403,404,405,406,408,409,АЗ</v>
      </c>
      <c r="AC43" s="14"/>
      <c r="AD43" s="14"/>
      <c r="AE43" s="14"/>
      <c r="AF43" s="29"/>
      <c r="AG43" s="29"/>
      <c r="AH43" s="29"/>
    </row>
    <row r="44" ht="53.25" hidden="1" customHeight="1">
      <c r="A44" s="30"/>
      <c r="B44" s="31">
        <v>10.0</v>
      </c>
      <c r="C44" s="44" t="s">
        <v>120</v>
      </c>
      <c r="D44" s="44" t="s">
        <v>121</v>
      </c>
      <c r="E44" s="104"/>
      <c r="F44" s="72"/>
      <c r="G44" s="173"/>
      <c r="H44" s="169" t="s">
        <v>6558</v>
      </c>
      <c r="I44" s="36"/>
      <c r="J44" s="13"/>
      <c r="K44" s="104"/>
      <c r="L44" s="72"/>
      <c r="M44" s="171"/>
      <c r="N44" s="45" t="s">
        <v>6559</v>
      </c>
      <c r="O44" s="13"/>
      <c r="P44" s="603" t="s">
        <v>6560</v>
      </c>
      <c r="Q44" s="104"/>
      <c r="R44" s="64"/>
      <c r="S44" s="64"/>
      <c r="T44" s="64"/>
      <c r="U44" s="64"/>
      <c r="V44" s="88"/>
      <c r="W44" s="26"/>
      <c r="X44" s="70" t="s">
        <v>120</v>
      </c>
      <c r="Y44" s="70" t="s">
        <v>121</v>
      </c>
      <c r="Z44" s="28"/>
      <c r="AA44" s="14"/>
      <c r="AB44" s="15" t="str">
        <f>IFERROR(__xludf.DUMMYFUNCTION("join("","",filter(split($H$83,"",""),ARRAYFORMULA(ISERROR(FIND(split($H$83,"",""),CONCATENATE(E44:V44))))=TRUE))"),"КЗ,201,202,206,209,401,403,404,405,406,408,409,410,АЗ")</f>
        <v>КЗ,201,202,206,209,401,403,404,405,406,408,409,410,АЗ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18">
        <v>44939.0</v>
      </c>
      <c r="B46" s="19">
        <v>1.0</v>
      </c>
      <c r="C46" s="20" t="s">
        <v>12</v>
      </c>
      <c r="D46" s="20" t="s">
        <v>13</v>
      </c>
      <c r="E46" s="156" t="s">
        <v>6561</v>
      </c>
      <c r="F46" s="156" t="s">
        <v>6562</v>
      </c>
      <c r="G46" s="80" t="s">
        <v>6563</v>
      </c>
      <c r="H46" s="25"/>
      <c r="I46" s="174" t="s">
        <v>6564</v>
      </c>
      <c r="J46" s="175" t="s">
        <v>6565</v>
      </c>
      <c r="K46" s="25"/>
      <c r="L46" s="80"/>
      <c r="M46" s="25"/>
      <c r="N46" s="156" t="s">
        <v>6566</v>
      </c>
      <c r="O46" s="156" t="s">
        <v>6567</v>
      </c>
      <c r="P46" s="80" t="s">
        <v>6568</v>
      </c>
      <c r="Q46" s="25"/>
      <c r="R46" s="80" t="s">
        <v>6569</v>
      </c>
      <c r="S46" s="25"/>
      <c r="T46" s="80" t="s">
        <v>6570</v>
      </c>
      <c r="U46" s="24"/>
      <c r="V46" s="22"/>
      <c r="W46" s="26"/>
      <c r="X46" s="27" t="s">
        <v>12</v>
      </c>
      <c r="Y46" s="27" t="s">
        <v>13</v>
      </c>
      <c r="Z46" s="28"/>
      <c r="AA46" s="14"/>
      <c r="AB46" s="15" t="str">
        <f>IFERROR(__xludf.DUMMYFUNCTION("join("","",filter(split($H$83,"",""),ARRAYFORMULA(ISERROR(FIND(split($H$83,"",""),CONCATENATE(E46:V46))))=TRUE))"),"СЗ,КЗ,206,402,406,408,409,410")</f>
        <v>СЗ,КЗ,206,402,406,408,409,410</v>
      </c>
      <c r="AC46" s="14"/>
      <c r="AD46" s="14"/>
      <c r="AE46" s="14"/>
      <c r="AF46" s="29"/>
      <c r="AG46" s="29"/>
      <c r="AH46" s="29"/>
    </row>
    <row r="47" ht="40.5" customHeight="1">
      <c r="A47" s="30"/>
      <c r="B47" s="31">
        <v>2.0</v>
      </c>
      <c r="C47" s="32" t="s">
        <v>21</v>
      </c>
      <c r="D47" s="32" t="s">
        <v>22</v>
      </c>
      <c r="E47" s="44" t="s">
        <v>6571</v>
      </c>
      <c r="F47" s="44" t="s">
        <v>6572</v>
      </c>
      <c r="G47" s="45" t="s">
        <v>6573</v>
      </c>
      <c r="H47" s="13"/>
      <c r="I47" s="173"/>
      <c r="J47" s="157" t="s">
        <v>6574</v>
      </c>
      <c r="K47" s="13"/>
      <c r="L47" s="80"/>
      <c r="M47" s="25"/>
      <c r="N47" s="44" t="s">
        <v>6575</v>
      </c>
      <c r="O47" s="44" t="s">
        <v>6576</v>
      </c>
      <c r="P47" s="45" t="s">
        <v>6577</v>
      </c>
      <c r="Q47" s="13"/>
      <c r="R47" s="44" t="s">
        <v>6578</v>
      </c>
      <c r="S47" s="90" t="s">
        <v>6579</v>
      </c>
      <c r="T47" s="45" t="s">
        <v>6580</v>
      </c>
      <c r="U47" s="36"/>
      <c r="V47" s="41"/>
      <c r="W47" s="26"/>
      <c r="X47" s="42" t="s">
        <v>21</v>
      </c>
      <c r="Y47" s="42" t="s">
        <v>22</v>
      </c>
      <c r="Z47" s="28"/>
      <c r="AA47" s="14"/>
      <c r="AB47" s="15" t="str">
        <f>IFERROR(__xludf.DUMMYFUNCTION("join("","",filter(split($H$83,"",""),ARRAYFORMULA(ISERROR(FIND(split($H$83,"",""),CONCATENATE(E47:V47))))=TRUE))"),"СЗ,КЗ,206,406,408,409,410,АЗ")</f>
        <v>СЗ,КЗ,206,406,408,409,410,АЗ</v>
      </c>
      <c r="AC47" s="14"/>
      <c r="AD47" s="14"/>
      <c r="AE47" s="14"/>
      <c r="AF47" s="29"/>
      <c r="AG47" s="29"/>
      <c r="AH47" s="29"/>
    </row>
    <row r="48" ht="40.5" customHeight="1">
      <c r="A48" s="30"/>
      <c r="B48" s="31">
        <v>3.0</v>
      </c>
      <c r="C48" s="32" t="s">
        <v>33</v>
      </c>
      <c r="D48" s="32" t="s">
        <v>34</v>
      </c>
      <c r="E48" s="40" t="s">
        <v>6581</v>
      </c>
      <c r="F48" s="13"/>
      <c r="G48" s="176" t="s">
        <v>6582</v>
      </c>
      <c r="H48" s="4"/>
      <c r="I48" s="90" t="s">
        <v>6583</v>
      </c>
      <c r="J48" s="44" t="s">
        <v>6584</v>
      </c>
      <c r="K48" s="44" t="s">
        <v>6585</v>
      </c>
      <c r="L48" s="44" t="s">
        <v>6586</v>
      </c>
      <c r="M48" s="44" t="s">
        <v>6587</v>
      </c>
      <c r="N48" s="164" t="s">
        <v>6588</v>
      </c>
      <c r="O48" s="36"/>
      <c r="P48" s="36"/>
      <c r="Q48" s="13"/>
      <c r="R48" s="44" t="s">
        <v>6589</v>
      </c>
      <c r="S48" s="90" t="s">
        <v>6590</v>
      </c>
      <c r="T48" s="45" t="s">
        <v>6591</v>
      </c>
      <c r="U48" s="36"/>
      <c r="V48" s="41"/>
      <c r="W48" s="26"/>
      <c r="X48" s="42" t="s">
        <v>33</v>
      </c>
      <c r="Y48" s="42" t="s">
        <v>34</v>
      </c>
      <c r="Z48" s="48" t="s">
        <v>47</v>
      </c>
      <c r="AA48" s="85" t="str">
        <f>AA$5</f>
        <v/>
      </c>
      <c r="AB48" s="15" t="str">
        <f>IFERROR(__xludf.DUMMYFUNCTION("join("","",filter(split($H$83,"",""),ARRAYFORMULA(ISERROR(FIND(split($H$83,"",""),CONCATENATE(E48:V48))))=TRUE))"),"СЗ,КЗ,206,209,401,409,410")</f>
        <v>СЗ,КЗ,206,209,401,409,410</v>
      </c>
      <c r="AC48" s="14"/>
      <c r="AD48" s="14"/>
      <c r="AE48" s="14"/>
      <c r="AF48" s="29"/>
      <c r="AG48" s="29"/>
      <c r="AH48" s="29"/>
    </row>
    <row r="49" ht="40.5" customHeight="1">
      <c r="A49" s="30"/>
      <c r="B49" s="31">
        <v>4.0</v>
      </c>
      <c r="C49" s="32" t="s">
        <v>48</v>
      </c>
      <c r="D49" s="32" t="s">
        <v>49</v>
      </c>
      <c r="E49" s="40" t="s">
        <v>6592</v>
      </c>
      <c r="F49" s="13"/>
      <c r="G49" s="104"/>
      <c r="H49" s="72"/>
      <c r="I49" s="90" t="s">
        <v>6593</v>
      </c>
      <c r="J49" s="44" t="s">
        <v>6594</v>
      </c>
      <c r="K49" s="44" t="s">
        <v>6595</v>
      </c>
      <c r="L49" s="44" t="s">
        <v>6596</v>
      </c>
      <c r="M49" s="44" t="s">
        <v>6597</v>
      </c>
      <c r="N49" s="164" t="s">
        <v>6598</v>
      </c>
      <c r="O49" s="36"/>
      <c r="P49" s="36"/>
      <c r="Q49" s="13"/>
      <c r="R49" s="90" t="s">
        <v>6599</v>
      </c>
      <c r="S49" s="133" t="s">
        <v>6600</v>
      </c>
      <c r="T49" s="45" t="s">
        <v>6601</v>
      </c>
      <c r="U49" s="36"/>
      <c r="V49" s="41"/>
      <c r="W49" s="26"/>
      <c r="X49" s="42" t="s">
        <v>48</v>
      </c>
      <c r="Y49" s="42" t="s">
        <v>49</v>
      </c>
      <c r="Z49" s="48" t="s">
        <v>57</v>
      </c>
      <c r="AA49" s="85" t="str">
        <f>AA$6</f>
        <v/>
      </c>
      <c r="AB49" s="15" t="str">
        <f>IFERROR(__xludf.DUMMYFUNCTION("join("","",filter(split($H$83,"",""),ARRAYFORMULA(ISERROR(FIND(split($H$83,"",""),CONCATENATE(E49:V49))))=TRUE))"),"СЗ,КЗ,201,206,209,401,410,АЗ")</f>
        <v>СЗ,КЗ,201,206,209,401,410,АЗ</v>
      </c>
      <c r="AC49" s="14"/>
      <c r="AD49" s="14"/>
      <c r="AE49" s="14"/>
      <c r="AF49" s="29"/>
      <c r="AG49" s="29"/>
      <c r="AH49" s="29"/>
    </row>
    <row r="50" ht="40.5" customHeight="1">
      <c r="A50" s="30"/>
      <c r="B50" s="31">
        <v>5.0</v>
      </c>
      <c r="C50" s="32" t="s">
        <v>58</v>
      </c>
      <c r="D50" s="53">
        <v>44847.0</v>
      </c>
      <c r="E50" s="45" t="s">
        <v>6602</v>
      </c>
      <c r="F50" s="13"/>
      <c r="G50" s="44" t="s">
        <v>6603</v>
      </c>
      <c r="H50" s="44" t="s">
        <v>6604</v>
      </c>
      <c r="I50" s="44" t="s">
        <v>6605</v>
      </c>
      <c r="J50" s="45" t="s">
        <v>6606</v>
      </c>
      <c r="K50" s="13"/>
      <c r="L50" s="45" t="s">
        <v>6607</v>
      </c>
      <c r="M50" s="13"/>
      <c r="N50" s="177" t="s">
        <v>6608</v>
      </c>
      <c r="O50" s="124" t="s">
        <v>6609</v>
      </c>
      <c r="P50" s="45" t="s">
        <v>6610</v>
      </c>
      <c r="Q50" s="13"/>
      <c r="R50" s="90" t="s">
        <v>6611</v>
      </c>
      <c r="S50" s="133" t="s">
        <v>6612</v>
      </c>
      <c r="T50" s="45" t="s">
        <v>6613</v>
      </c>
      <c r="U50" s="36"/>
      <c r="V50" s="41"/>
      <c r="W50" s="26"/>
      <c r="X50" s="42" t="s">
        <v>58</v>
      </c>
      <c r="Y50" s="54">
        <v>44847.0</v>
      </c>
      <c r="Z50" s="48" t="s">
        <v>70</v>
      </c>
      <c r="AA50" s="85" t="str">
        <f>AA$7</f>
        <v/>
      </c>
      <c r="AB50" s="15" t="str">
        <f>IFERROR(__xludf.DUMMYFUNCTION("join("","",filter(split($H$83,"",""),ARRAYFORMULA(ISERROR(FIND(split($H$83,"",""),CONCATENATE(E50:V50))))=TRUE))"),"СЗ,КЗ,206,401,404,408,410")</f>
        <v>СЗ,КЗ,206,401,404,408,410</v>
      </c>
      <c r="AC50" s="14"/>
      <c r="AD50" s="14"/>
      <c r="AE50" s="14"/>
      <c r="AF50" s="29"/>
      <c r="AG50" s="29"/>
      <c r="AH50" s="29"/>
    </row>
    <row r="51" ht="48.75" customHeight="1">
      <c r="A51" s="30"/>
      <c r="B51" s="31">
        <v>6.0</v>
      </c>
      <c r="C51" s="55" t="s">
        <v>71</v>
      </c>
      <c r="D51" s="56" t="s">
        <v>72</v>
      </c>
      <c r="E51" s="45" t="s">
        <v>6614</v>
      </c>
      <c r="F51" s="13"/>
      <c r="G51" s="44" t="s">
        <v>6615</v>
      </c>
      <c r="H51" s="44" t="s">
        <v>6616</v>
      </c>
      <c r="I51" s="44" t="s">
        <v>6617</v>
      </c>
      <c r="J51" s="45" t="s">
        <v>6618</v>
      </c>
      <c r="K51" s="13"/>
      <c r="L51" s="45" t="s">
        <v>6619</v>
      </c>
      <c r="M51" s="13"/>
      <c r="N51" s="177" t="s">
        <v>6620</v>
      </c>
      <c r="O51" s="124" t="s">
        <v>6621</v>
      </c>
      <c r="P51" s="45" t="s">
        <v>6622</v>
      </c>
      <c r="Q51" s="13"/>
      <c r="R51" s="162" t="s">
        <v>6623</v>
      </c>
      <c r="S51" s="178" t="s">
        <v>6624</v>
      </c>
      <c r="T51" s="44" t="s">
        <v>6625</v>
      </c>
      <c r="U51" s="44" t="s">
        <v>6626</v>
      </c>
      <c r="V51" s="34"/>
      <c r="W51" s="179"/>
      <c r="X51" s="58" t="s">
        <v>71</v>
      </c>
      <c r="Y51" s="59" t="s">
        <v>72</v>
      </c>
      <c r="Z51" s="48" t="s">
        <v>84</v>
      </c>
      <c r="AA51" s="85"/>
      <c r="AB51" s="15" t="str">
        <f>IFERROR(__xludf.DUMMYFUNCTION("join("","",filter(split($H$83,"",""),ARRAYFORMULA(ISERROR(FIND(split($H$83,"",""),CONCATENATE(E51:V51))))=TRUE))"),"СЗ,206,401,409,410")</f>
        <v>СЗ,206,401,409,410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6627</v>
      </c>
      <c r="F52" s="13"/>
      <c r="G52" s="44" t="s">
        <v>6628</v>
      </c>
      <c r="H52" s="44" t="s">
        <v>6629</v>
      </c>
      <c r="I52" s="44" t="s">
        <v>6630</v>
      </c>
      <c r="J52" s="45" t="s">
        <v>6631</v>
      </c>
      <c r="K52" s="13"/>
      <c r="L52" s="45" t="s">
        <v>6632</v>
      </c>
      <c r="M52" s="13"/>
      <c r="N52" s="177"/>
      <c r="O52" s="177" t="s">
        <v>6633</v>
      </c>
      <c r="P52" s="124" t="s">
        <v>6634</v>
      </c>
      <c r="Q52" s="90" t="s">
        <v>6635</v>
      </c>
      <c r="R52" s="180" t="s">
        <v>6636</v>
      </c>
      <c r="S52" s="181" t="s">
        <v>6637</v>
      </c>
      <c r="T52" s="44" t="s">
        <v>2350</v>
      </c>
      <c r="U52" s="44"/>
      <c r="V52" s="34"/>
      <c r="W52" s="26"/>
      <c r="X52" s="42" t="s">
        <v>85</v>
      </c>
      <c r="Y52" s="42" t="s">
        <v>86</v>
      </c>
      <c r="Z52" s="48" t="s">
        <v>97</v>
      </c>
      <c r="AA52" s="85" t="str">
        <f>AA$9</f>
        <v/>
      </c>
      <c r="AB52" s="15" t="str">
        <f>IFERROR(__xludf.DUMMYFUNCTION("join("","",filter(split($H$83,"",""),ARRAYFORMULA(ISERROR(FIND(split($H$83,"",""),CONCATENATE(E52:V52))))=TRUE))"),"СЗ,206,401,406,410")</f>
        <v>СЗ,206,401,406,410</v>
      </c>
      <c r="AC52" s="14"/>
      <c r="AD52" s="14"/>
      <c r="AE52" s="14"/>
      <c r="AF52" s="29"/>
      <c r="AG52" s="29"/>
      <c r="AH52" s="29"/>
    </row>
    <row r="53" ht="51.75" customHeight="1">
      <c r="A53" s="30"/>
      <c r="B53" s="31">
        <v>8.0</v>
      </c>
      <c r="C53" s="32" t="s">
        <v>98</v>
      </c>
      <c r="D53" s="32" t="s">
        <v>99</v>
      </c>
      <c r="E53" s="44" t="s">
        <v>6638</v>
      </c>
      <c r="F53" s="44" t="s">
        <v>6639</v>
      </c>
      <c r="G53" s="416" t="s">
        <v>1913</v>
      </c>
      <c r="H53" s="86" t="s">
        <v>6640</v>
      </c>
      <c r="I53" s="13"/>
      <c r="J53" s="45" t="s">
        <v>6641</v>
      </c>
      <c r="K53" s="13"/>
      <c r="L53" s="45" t="s">
        <v>6642</v>
      </c>
      <c r="M53" s="13"/>
      <c r="N53" s="177"/>
      <c r="O53" s="177" t="s">
        <v>6643</v>
      </c>
      <c r="P53" s="124" t="s">
        <v>6644</v>
      </c>
      <c r="Q53" s="90" t="s">
        <v>6645</v>
      </c>
      <c r="R53" s="183" t="s">
        <v>6646</v>
      </c>
      <c r="S53" s="181" t="s">
        <v>6647</v>
      </c>
      <c r="T53" s="144"/>
      <c r="U53" s="144"/>
      <c r="V53" s="184"/>
      <c r="W53" s="26"/>
      <c r="X53" s="42" t="s">
        <v>98</v>
      </c>
      <c r="Y53" s="42" t="s">
        <v>99</v>
      </c>
      <c r="Z53" s="11"/>
      <c r="AA53" s="14"/>
      <c r="AB53" s="15" t="str">
        <f>IFERROR(__xludf.DUMMYFUNCTION("join("","",filter(split($H$83,"",""),ARRAYFORMULA(ISERROR(FIND(split($H$83,"",""),CONCATENATE(E53:V53))))=TRUE))"),"СЗ,201,206,401,404,405,408,410")</f>
        <v>СЗ,201,206,401,404,405,408,410</v>
      </c>
      <c r="AC53" s="14"/>
      <c r="AD53" s="14"/>
      <c r="AE53" s="14"/>
      <c r="AF53" s="29"/>
      <c r="AG53" s="29"/>
      <c r="AH53" s="29"/>
    </row>
    <row r="54" ht="71.25" customHeight="1">
      <c r="A54" s="30"/>
      <c r="B54" s="31">
        <v>9.0</v>
      </c>
      <c r="C54" s="65">
        <v>44697.0</v>
      </c>
      <c r="D54" s="44" t="s">
        <v>109</v>
      </c>
      <c r="E54" s="187" t="s">
        <v>6217</v>
      </c>
      <c r="F54" s="8"/>
      <c r="G54" s="8"/>
      <c r="H54" s="8"/>
      <c r="I54" s="8"/>
      <c r="J54" s="8"/>
      <c r="K54" s="8"/>
      <c r="L54" s="8"/>
      <c r="M54" s="8"/>
      <c r="N54" s="86" t="s">
        <v>6648</v>
      </c>
      <c r="O54" s="13"/>
      <c r="P54" s="187" t="s">
        <v>6217</v>
      </c>
      <c r="Q54" s="8"/>
      <c r="R54" s="8"/>
      <c r="S54" s="8"/>
      <c r="T54" s="8"/>
      <c r="U54" s="8"/>
      <c r="V54" s="8"/>
      <c r="W54" s="186"/>
      <c r="X54" s="69">
        <v>44697.0</v>
      </c>
      <c r="Y54" s="70" t="s">
        <v>109</v>
      </c>
      <c r="Z54" s="28"/>
      <c r="AA54" s="14"/>
      <c r="AB54" s="15" t="str">
        <f>IFERROR(__xludf.DUMMYFUNCTION("join("","",filter(split($H$83,"",""),ARRAYFORMULA(ISERROR(FIND(split($H$83,"",""),CONCATENATE(E54:V54))))=TRUE))"),"206,209,401,403,404,405,408,410,АЗ")</f>
        <v>206,209,401,403,404,405,408,410,АЗ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18">
        <v>44940.0</v>
      </c>
      <c r="B57" s="191">
        <v>1.0</v>
      </c>
      <c r="C57" s="192" t="str">
        <f>D$1</f>
        <v/>
      </c>
      <c r="D57" s="72"/>
      <c r="E57" s="193"/>
      <c r="F57" s="193"/>
      <c r="G57" s="194" t="s">
        <v>481</v>
      </c>
      <c r="H57" s="64"/>
      <c r="I57" s="72"/>
      <c r="J57" s="195"/>
      <c r="K57" s="64"/>
      <c r="L57" s="64"/>
      <c r="M57" s="72"/>
      <c r="N57" s="193"/>
      <c r="O57" s="193"/>
      <c r="P57" s="187" t="s">
        <v>482</v>
      </c>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5"/>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4"/>
      <c r="L66" s="44"/>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4"/>
      <c r="L67" s="44"/>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4"/>
      <c r="L68" s="44"/>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83">
    <mergeCell ref="E21:F22"/>
    <mergeCell ref="G21:G22"/>
    <mergeCell ref="A24:A34"/>
    <mergeCell ref="E24:F24"/>
    <mergeCell ref="E25:F25"/>
    <mergeCell ref="E26:F26"/>
    <mergeCell ref="G29:H29"/>
    <mergeCell ref="H38:I38"/>
    <mergeCell ref="H39:I39"/>
    <mergeCell ref="H40:I40"/>
    <mergeCell ref="H41:I41"/>
    <mergeCell ref="H42:I42"/>
    <mergeCell ref="I46:I47"/>
    <mergeCell ref="H53:I53"/>
    <mergeCell ref="G30:H30"/>
    <mergeCell ref="E31:F31"/>
    <mergeCell ref="G31:I32"/>
    <mergeCell ref="E32:F32"/>
    <mergeCell ref="H35:I35"/>
    <mergeCell ref="H36:I36"/>
    <mergeCell ref="H37:I37"/>
    <mergeCell ref="E39:F39"/>
    <mergeCell ref="E40:F40"/>
    <mergeCell ref="A35:A45"/>
    <mergeCell ref="A46:A56"/>
    <mergeCell ref="A57:A67"/>
    <mergeCell ref="E33:F33"/>
    <mergeCell ref="E34:F34"/>
    <mergeCell ref="E35:F35"/>
    <mergeCell ref="E36:F36"/>
    <mergeCell ref="E37:F37"/>
    <mergeCell ref="E38:F38"/>
    <mergeCell ref="E43:F44"/>
    <mergeCell ref="E49:F49"/>
    <mergeCell ref="E50:F50"/>
    <mergeCell ref="E51:F51"/>
    <mergeCell ref="E52:F52"/>
    <mergeCell ref="C57:D57"/>
    <mergeCell ref="G57:I57"/>
    <mergeCell ref="E41:F41"/>
    <mergeCell ref="E42:F42"/>
    <mergeCell ref="G43:G44"/>
    <mergeCell ref="G46:H46"/>
    <mergeCell ref="G47:H47"/>
    <mergeCell ref="E48:F48"/>
    <mergeCell ref="G48:H49"/>
    <mergeCell ref="J29:K29"/>
    <mergeCell ref="L29:M29"/>
    <mergeCell ref="J30:K30"/>
    <mergeCell ref="L30:M30"/>
    <mergeCell ref="J31:M31"/>
    <mergeCell ref="J32:M32"/>
    <mergeCell ref="J35:K35"/>
    <mergeCell ref="J36:K36"/>
    <mergeCell ref="J37:K37"/>
    <mergeCell ref="J38:K38"/>
    <mergeCell ref="L39:M39"/>
    <mergeCell ref="L40:M40"/>
    <mergeCell ref="L41:M41"/>
    <mergeCell ref="L42:M42"/>
    <mergeCell ref="J51:K51"/>
    <mergeCell ref="J52:K52"/>
    <mergeCell ref="J53:K53"/>
    <mergeCell ref="L52:M52"/>
    <mergeCell ref="L53:M53"/>
    <mergeCell ref="J57:M57"/>
    <mergeCell ref="J46:K46"/>
    <mergeCell ref="L46:M46"/>
    <mergeCell ref="J47:K47"/>
    <mergeCell ref="L47:M47"/>
    <mergeCell ref="J50:K50"/>
    <mergeCell ref="L50:M50"/>
    <mergeCell ref="L51:M51"/>
    <mergeCell ref="E19:F19"/>
    <mergeCell ref="H19:I19"/>
    <mergeCell ref="J19:K19"/>
    <mergeCell ref="L19:M19"/>
    <mergeCell ref="E20:F20"/>
    <mergeCell ref="H20:I20"/>
    <mergeCell ref="J20:K20"/>
    <mergeCell ref="L20:M20"/>
    <mergeCell ref="J10:K10"/>
    <mergeCell ref="L10:M10"/>
    <mergeCell ref="A13:A23"/>
    <mergeCell ref="E13:F13"/>
    <mergeCell ref="J13:K13"/>
    <mergeCell ref="L13:M13"/>
    <mergeCell ref="E14:F14"/>
    <mergeCell ref="H21:M21"/>
    <mergeCell ref="H22:M22"/>
    <mergeCell ref="H24:I24"/>
    <mergeCell ref="J24:M24"/>
    <mergeCell ref="H25:I25"/>
    <mergeCell ref="J25:K25"/>
    <mergeCell ref="L25:M25"/>
    <mergeCell ref="H43:J43"/>
    <mergeCell ref="K43:L44"/>
    <mergeCell ref="H44:J44"/>
    <mergeCell ref="E54:M55"/>
    <mergeCell ref="P31:Q32"/>
    <mergeCell ref="R31:R32"/>
    <mergeCell ref="N36:O36"/>
    <mergeCell ref="N37:Q37"/>
    <mergeCell ref="N38:Q38"/>
    <mergeCell ref="P39:Q39"/>
    <mergeCell ref="P40:Q40"/>
    <mergeCell ref="P47:Q47"/>
    <mergeCell ref="N48:Q48"/>
    <mergeCell ref="N49:Q49"/>
    <mergeCell ref="P50:Q50"/>
    <mergeCell ref="P51:Q51"/>
    <mergeCell ref="N54:O54"/>
    <mergeCell ref="P57:S58"/>
    <mergeCell ref="N41:O41"/>
    <mergeCell ref="P41:Q41"/>
    <mergeCell ref="N42:O42"/>
    <mergeCell ref="P42:Q42"/>
    <mergeCell ref="N43:O43"/>
    <mergeCell ref="P46:Q46"/>
    <mergeCell ref="R46:S46"/>
    <mergeCell ref="N16:O16"/>
    <mergeCell ref="P16:Q16"/>
    <mergeCell ref="T16:V16"/>
    <mergeCell ref="N17:O17"/>
    <mergeCell ref="T17:V17"/>
    <mergeCell ref="N18:O18"/>
    <mergeCell ref="T18:V18"/>
    <mergeCell ref="N19:O19"/>
    <mergeCell ref="P19:Q19"/>
    <mergeCell ref="T19:V19"/>
    <mergeCell ref="N20:O20"/>
    <mergeCell ref="P20:Q20"/>
    <mergeCell ref="T20:V20"/>
    <mergeCell ref="N21:O21"/>
    <mergeCell ref="T21:V21"/>
    <mergeCell ref="P24:S24"/>
    <mergeCell ref="T24:V24"/>
    <mergeCell ref="P21:Q21"/>
    <mergeCell ref="R21:S21"/>
    <mergeCell ref="N22:O22"/>
    <mergeCell ref="P22:S22"/>
    <mergeCell ref="T22:V22"/>
    <mergeCell ref="R23:V23"/>
    <mergeCell ref="N24:O24"/>
    <mergeCell ref="N25:O25"/>
    <mergeCell ref="P25:Q25"/>
    <mergeCell ref="R25:S25"/>
    <mergeCell ref="T25:V25"/>
    <mergeCell ref="N26:O26"/>
    <mergeCell ref="R26:S26"/>
    <mergeCell ref="T26:V26"/>
    <mergeCell ref="N27:O27"/>
    <mergeCell ref="P27:Q27"/>
    <mergeCell ref="T27:V27"/>
    <mergeCell ref="N29:O29"/>
    <mergeCell ref="N30:O30"/>
    <mergeCell ref="N31:O31"/>
    <mergeCell ref="N32:O32"/>
    <mergeCell ref="T50:V50"/>
    <mergeCell ref="P54:V55"/>
    <mergeCell ref="X57:Y57"/>
    <mergeCell ref="T41:V41"/>
    <mergeCell ref="R42:S42"/>
    <mergeCell ref="T42:V42"/>
    <mergeCell ref="Q43:V44"/>
    <mergeCell ref="N44:O44"/>
    <mergeCell ref="T48:V48"/>
    <mergeCell ref="T49:V49"/>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P15:Q15"/>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P7:Q7"/>
    <mergeCell ref="R7:S7"/>
    <mergeCell ref="H8:I8"/>
    <mergeCell ref="J8:K8"/>
    <mergeCell ref="L8:M8"/>
    <mergeCell ref="N8:O8"/>
    <mergeCell ref="P8:Q8"/>
    <mergeCell ref="R8:S8"/>
    <mergeCell ref="H9:I9"/>
    <mergeCell ref="J9:K9"/>
    <mergeCell ref="L9:M9"/>
    <mergeCell ref="N9:O9"/>
    <mergeCell ref="E10:F10"/>
    <mergeCell ref="H10:I10"/>
    <mergeCell ref="S10:V10"/>
    <mergeCell ref="T11:V11"/>
    <mergeCell ref="U13:V13"/>
    <mergeCell ref="U14:V14"/>
    <mergeCell ref="T15:V15"/>
    <mergeCell ref="J28:K28"/>
    <mergeCell ref="L28:M28"/>
    <mergeCell ref="N28:O28"/>
    <mergeCell ref="G33:Q34"/>
    <mergeCell ref="N35:O35"/>
    <mergeCell ref="G26:I26"/>
    <mergeCell ref="J26:K26"/>
    <mergeCell ref="L26:M26"/>
    <mergeCell ref="G27:H27"/>
    <mergeCell ref="J27:K27"/>
    <mergeCell ref="L27:M27"/>
    <mergeCell ref="G28:H28"/>
    <mergeCell ref="T46:V46"/>
    <mergeCell ref="T47:V47"/>
    <mergeCell ref="T28:V32"/>
    <mergeCell ref="T35:V35"/>
    <mergeCell ref="T36:V36"/>
    <mergeCell ref="T37:V37"/>
    <mergeCell ref="T38:V38"/>
    <mergeCell ref="T39:V39"/>
    <mergeCell ref="T40:V40"/>
  </mergeCells>
  <conditionalFormatting sqref="E1:T86 U1:U31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T53 U2:U31 V32:V34 U35:U53 V50:V52 W51 P57 K61:L68">
    <cfRule type="containsText" dxfId="2" priority="3" operator="containsText" text="Шерашова">
      <formula>NOT(ISERROR(SEARCH(("Шерашова"),(E2))))</formula>
    </cfRule>
  </conditionalFormatting>
  <conditionalFormatting sqref="E2:T53 U2:U31 V32:V34 U35:U53 V50:V52 W51 P57 K61:L68">
    <cfRule type="containsText" dxfId="3" priority="4" operator="containsText" text="Англ">
      <formula>NOT(ISERROR(SEARCH(("Англ"),(E2))))</formula>
    </cfRule>
  </conditionalFormatting>
  <conditionalFormatting sqref="E2:T53 U2:U31 V32:V34 U35:U53 V50:V52 W51 P57 K61:L68">
    <cfRule type="containsText" dxfId="4" priority="5" operator="containsText" text="Театр">
      <formula>NOT(ISERROR(SEARCH(("Театр"),(E2))))</formula>
    </cfRule>
  </conditionalFormatting>
  <conditionalFormatting sqref="E2:T53 U2:U31 V32:V34 U35:U53 V50:V52 W51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8 S10:S32 T10:V45 R11:R46 F15:F17 F19:F20 E24:F30 E32:E53 F32:F45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formula1>IF(COUNTA(filter($E1:$W1,ARRAYFORMULA(ISERROR(FIND(join(",",filter(split($H$83,","),ARRAYFORMULA(ISERROR(FIND(split($H$83,","),L39)))=FALSE)),$E1:$W1))=FALSE)))&gt;1,FALSE,TRUE)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9:N30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4:H24 G25 E26 F28 R27:S28 E29:E30 H35:H36 G37:G38 E48:E49 N52:N54">
      <formula1>IF(COUNTA(filter($E8:$W8,ARRAYFORMULA(ISERROR(FIND(join(",",filter(split($H$83,","),ARRAYFORMULA(ISERROR(FIND(split($H$83,","),E7)))=FALSE)),$E8:$W8))=FALSE)))&gt;1,FALSE,TRUE)</formula1>
    </dataValidation>
    <dataValidation type="custom" allowBlank="1" showDropDown="1" sqref="N2 R2 T2 G2:G3 J2:J3 L4 P2:P4 G5:H6 K5:M6 T5:T6 L7:L8 P7:P8 T7:U8 G7:G9 H10 J9:J10 N9:N10 Q9:Q10 S10 W2:W10 E12:W12 E13:E14 H13:H14 L13:L14 E17:E18 G15:G18 S17:S18 H19:H20 J15:J20 L17:L20 G21 R19:R21 T21 H22 G23:R23 J24 P25 R25 Q26 E27:F27 P27 E28 I27:I28 Q28 T28 F29:G30 P29:Q30 J31:J32 W13:W32 R33:R34 T33:W34 G35:G36 L35:M36 P35:Q36 H37:H38 J37:J38 L37:N38 E37:E40 G39:G40 J39:K40 N39:P40 R37:S40 R41:T41 J41:L42 T42 E43 G41:H43 K43 Q43 H44 M43:N44 W35:W44 E45:W45 I46 F46:G47 L46:L47 N46:P47 G48 L48:M49 L51 N50:O51 I50:I52 G53:H53 O52:P53 E54 P54 N55:O55 W46:W55 E56:W56 E57:G57 J57 N57:O57 E58:O60 T57:W60 E61:W65 K66:L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R31">
      <formula1>IF(COUNTA(filter($E29:$W29,ARRAYFORMULA(ISERROR(FIND(join(",",filter(split($H$82,","),ARRAYFORMULA(ISERROR(FIND(split($H$82,","),R31)))=FALSE)),$E29:$W29))=FALSE)))&gt;1,FALSE,TRUE)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 P43:P44">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R29:R30 S32 R47:R48 T51:V52 P57">
      <formula1>IF(COUNTA(filter($E25:$W25,ARRAYFORMULA(ISERROR(FIND(join(",",filter(split($H$83,","),ARRAYFORMULA(ISERROR(FIND(split($H$83,","),P26)))=FALSE)),$E25:$W25))=FALSE)))&gt;1,FALSE,TRUE)</formula1>
    </dataValidation>
    <dataValidation type="custom" allowBlank="1" showDropDown="1" sqref="P13:P1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17.63"/>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429" t="s">
        <v>6649</v>
      </c>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18">
        <v>44942.0</v>
      </c>
      <c r="B2" s="19">
        <v>1.0</v>
      </c>
      <c r="C2" s="20" t="s">
        <v>12</v>
      </c>
      <c r="D2" s="20" t="s">
        <v>13</v>
      </c>
      <c r="E2" s="21" t="s">
        <v>6650</v>
      </c>
      <c r="F2" s="22"/>
      <c r="G2" s="23" t="s">
        <v>6651</v>
      </c>
      <c r="H2" s="24"/>
      <c r="I2" s="25"/>
      <c r="J2" s="21" t="s">
        <v>6652</v>
      </c>
      <c r="K2" s="24"/>
      <c r="L2" s="24"/>
      <c r="M2" s="25"/>
      <c r="N2" s="21" t="s">
        <v>6653</v>
      </c>
      <c r="O2" s="25"/>
      <c r="P2" s="21" t="s">
        <v>6654</v>
      </c>
      <c r="Q2" s="25"/>
      <c r="R2" s="21" t="s">
        <v>6655</v>
      </c>
      <c r="S2" s="25"/>
      <c r="T2" s="21" t="s">
        <v>6656</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6657</v>
      </c>
      <c r="F3" s="34" t="s">
        <v>6658</v>
      </c>
      <c r="G3" s="35" t="s">
        <v>25</v>
      </c>
      <c r="H3" s="36"/>
      <c r="I3" s="13"/>
      <c r="J3" s="37" t="s">
        <v>6659</v>
      </c>
      <c r="K3" s="13"/>
      <c r="L3" s="38" t="s">
        <v>6660</v>
      </c>
      <c r="M3" s="13"/>
      <c r="N3" s="37" t="s">
        <v>6661</v>
      </c>
      <c r="O3" s="13"/>
      <c r="P3" s="37" t="s">
        <v>6662</v>
      </c>
      <c r="Q3" s="13"/>
      <c r="R3" s="39" t="s">
        <v>6663</v>
      </c>
      <c r="S3" s="40" t="s">
        <v>6664</v>
      </c>
      <c r="T3" s="37" t="s">
        <v>6665</v>
      </c>
      <c r="U3" s="36"/>
      <c r="V3" s="41"/>
      <c r="W3" s="26"/>
      <c r="X3" s="42" t="s">
        <v>21</v>
      </c>
      <c r="Y3" s="42" t="s">
        <v>22</v>
      </c>
      <c r="Z3" s="28"/>
      <c r="AA3" s="14"/>
      <c r="AB3" s="15" t="str">
        <f>IFERROR(__xludf.DUMMYFUNCTION("join("","",filter(split($H$83,"",""),ARRAYFORMULA(ISERROR(FIND(split($H$83,"",""),CONCATENATE(E3:V3))))=TRUE))"),"201,206,404,405,406,410,АЗ")</f>
        <v>201,206,404,405,406,410,АЗ</v>
      </c>
      <c r="AC3" s="14"/>
      <c r="AD3" s="14"/>
      <c r="AE3" s="14"/>
      <c r="AF3" s="29"/>
      <c r="AG3" s="29"/>
      <c r="AH3" s="29"/>
    </row>
    <row r="4" ht="40.5" hidden="1" customHeight="1">
      <c r="A4" s="30"/>
      <c r="B4" s="31">
        <v>3.0</v>
      </c>
      <c r="C4" s="32" t="s">
        <v>33</v>
      </c>
      <c r="D4" s="32" t="s">
        <v>34</v>
      </c>
      <c r="E4" s="33" t="s">
        <v>6666</v>
      </c>
      <c r="F4" s="126" t="s">
        <v>6667</v>
      </c>
      <c r="G4" s="43" t="s">
        <v>6668</v>
      </c>
      <c r="H4" s="44" t="s">
        <v>6669</v>
      </c>
      <c r="I4" s="45" t="s">
        <v>6670</v>
      </c>
      <c r="J4" s="46" t="s">
        <v>6671</v>
      </c>
      <c r="K4" s="13"/>
      <c r="L4" s="45" t="s">
        <v>6672</v>
      </c>
      <c r="M4" s="13"/>
      <c r="N4" s="37" t="s">
        <v>6673</v>
      </c>
      <c r="O4" s="13"/>
      <c r="P4" s="37" t="s">
        <v>6674</v>
      </c>
      <c r="Q4" s="13"/>
      <c r="R4" s="39" t="s">
        <v>6675</v>
      </c>
      <c r="S4" s="40" t="s">
        <v>6676</v>
      </c>
      <c r="T4" s="37" t="s">
        <v>6677</v>
      </c>
      <c r="U4" s="36"/>
      <c r="V4" s="41"/>
      <c r="W4" s="26"/>
      <c r="X4" s="42" t="s">
        <v>33</v>
      </c>
      <c r="Y4" s="42" t="s">
        <v>34</v>
      </c>
      <c r="Z4" s="48" t="s">
        <v>47</v>
      </c>
      <c r="AA4" s="14"/>
      <c r="AB4" s="15" t="str">
        <f>IFERROR(__xludf.DUMMYFUNCTION("join("","",filter(split($H$83,"",""),ARRAYFORMULA(ISERROR(FIND(split($H$83,"",""),CONCATENATE(E4:V4))))=TRUE))"),"КЗ,201,206,404,406,АЗ")</f>
        <v>КЗ,201,206,404,406,АЗ</v>
      </c>
      <c r="AC4" s="14"/>
      <c r="AD4" s="14"/>
      <c r="AE4" s="14"/>
      <c r="AF4" s="29"/>
      <c r="AG4" s="29"/>
      <c r="AH4" s="29"/>
    </row>
    <row r="5" ht="40.5" hidden="1" customHeight="1">
      <c r="A5" s="30"/>
      <c r="B5" s="31">
        <v>4.0</v>
      </c>
      <c r="C5" s="32" t="s">
        <v>48</v>
      </c>
      <c r="D5" s="32" t="s">
        <v>49</v>
      </c>
      <c r="E5" s="33" t="s">
        <v>6678</v>
      </c>
      <c r="F5" s="126" t="s">
        <v>6679</v>
      </c>
      <c r="G5" s="43" t="s">
        <v>6680</v>
      </c>
      <c r="H5" s="45" t="s">
        <v>6681</v>
      </c>
      <c r="I5" s="13"/>
      <c r="J5" s="33" t="s">
        <v>6682</v>
      </c>
      <c r="K5" s="44" t="s">
        <v>6683</v>
      </c>
      <c r="L5" s="44" t="s">
        <v>6684</v>
      </c>
      <c r="M5" s="45" t="s">
        <v>6685</v>
      </c>
      <c r="N5" s="37" t="s">
        <v>6686</v>
      </c>
      <c r="O5" s="13"/>
      <c r="P5" s="37" t="s">
        <v>6687</v>
      </c>
      <c r="Q5" s="13"/>
      <c r="R5" s="51" t="s">
        <v>6688</v>
      </c>
      <c r="S5" s="13"/>
      <c r="T5" s="52" t="s">
        <v>6689</v>
      </c>
      <c r="U5" s="36"/>
      <c r="V5" s="41"/>
      <c r="W5" s="26"/>
      <c r="X5" s="42" t="s">
        <v>48</v>
      </c>
      <c r="Y5" s="42" t="s">
        <v>49</v>
      </c>
      <c r="Z5" s="48" t="s">
        <v>57</v>
      </c>
      <c r="AA5" s="14"/>
      <c r="AB5" s="15" t="str">
        <f>IFERROR(__xludf.DUMMYFUNCTION("join("","",filter(split($H$83,"",""),ARRAYFORMULA(ISERROR(FIND(split($H$83,"",""),CONCATENATE(E5:V5))))=TRUE))"),"СЗ,КЗ,206,401,406,408")</f>
        <v>СЗ,КЗ,206,401,406,408</v>
      </c>
      <c r="AC5" s="14"/>
      <c r="AD5" s="14"/>
      <c r="AE5" s="14"/>
      <c r="AF5" s="29"/>
      <c r="AG5" s="29"/>
      <c r="AH5" s="29"/>
    </row>
    <row r="6" ht="40.5" hidden="1" customHeight="1">
      <c r="A6" s="30"/>
      <c r="B6" s="31">
        <v>5.0</v>
      </c>
      <c r="C6" s="32" t="s">
        <v>58</v>
      </c>
      <c r="D6" s="53">
        <v>44847.0</v>
      </c>
      <c r="E6" s="316" t="s">
        <v>6690</v>
      </c>
      <c r="F6" s="34" t="s">
        <v>6691</v>
      </c>
      <c r="G6" s="43" t="s">
        <v>6692</v>
      </c>
      <c r="H6" s="45" t="s">
        <v>6693</v>
      </c>
      <c r="I6" s="13"/>
      <c r="J6" s="33" t="s">
        <v>6694</v>
      </c>
      <c r="K6" s="44" t="s">
        <v>64</v>
      </c>
      <c r="L6" s="44" t="s">
        <v>6695</v>
      </c>
      <c r="M6" s="45" t="s">
        <v>6696</v>
      </c>
      <c r="N6" s="37" t="s">
        <v>6697</v>
      </c>
      <c r="O6" s="13"/>
      <c r="P6" s="37" t="s">
        <v>6698</v>
      </c>
      <c r="Q6" s="13"/>
      <c r="R6" s="51" t="s">
        <v>6699</v>
      </c>
      <c r="S6" s="13"/>
      <c r="T6" s="52" t="s">
        <v>6700</v>
      </c>
      <c r="U6" s="36"/>
      <c r="V6" s="41"/>
      <c r="W6" s="26"/>
      <c r="X6" s="42" t="s">
        <v>58</v>
      </c>
      <c r="Y6" s="54">
        <v>44847.0</v>
      </c>
      <c r="Z6" s="48" t="s">
        <v>70</v>
      </c>
      <c r="AA6" s="14"/>
      <c r="AB6" s="15" t="str">
        <f>IFERROR(__xludf.DUMMYFUNCTION("join("","",filter(split($H$83,"",""),ARRAYFORMULA(ISERROR(FIND(split($H$83,"",""),CONCATENATE(E6:V6))))=TRUE))"),"СЗ,КЗ,206,401,406,408")</f>
        <v>СЗ,КЗ,206,401,406,408</v>
      </c>
      <c r="AC6" s="14"/>
      <c r="AD6" s="14"/>
      <c r="AE6" s="14"/>
      <c r="AF6" s="29"/>
      <c r="AG6" s="29"/>
      <c r="AH6" s="29"/>
    </row>
    <row r="7" ht="42.0" hidden="1" customHeight="1">
      <c r="A7" s="30"/>
      <c r="B7" s="31">
        <v>6.0</v>
      </c>
      <c r="C7" s="55" t="s">
        <v>71</v>
      </c>
      <c r="D7" s="56" t="s">
        <v>72</v>
      </c>
      <c r="E7" s="316" t="s">
        <v>6701</v>
      </c>
      <c r="F7" s="34" t="s">
        <v>6702</v>
      </c>
      <c r="G7" s="43" t="s">
        <v>6703</v>
      </c>
      <c r="H7" s="45" t="s">
        <v>6704</v>
      </c>
      <c r="I7" s="13"/>
      <c r="J7" s="37" t="s">
        <v>6705</v>
      </c>
      <c r="K7" s="13"/>
      <c r="L7" s="45" t="s">
        <v>6706</v>
      </c>
      <c r="M7" s="13"/>
      <c r="N7" s="37" t="s">
        <v>6707</v>
      </c>
      <c r="O7" s="13"/>
      <c r="P7" s="37" t="s">
        <v>6708</v>
      </c>
      <c r="Q7" s="13"/>
      <c r="R7" s="57" t="s">
        <v>6709</v>
      </c>
      <c r="T7" s="33" t="s">
        <v>6710</v>
      </c>
      <c r="U7" s="45" t="s">
        <v>6711</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t="42.0" hidden="1" customHeight="1">
      <c r="A8" s="30"/>
      <c r="B8" s="31">
        <v>7.0</v>
      </c>
      <c r="C8" s="32" t="s">
        <v>85</v>
      </c>
      <c r="D8" s="32" t="s">
        <v>86</v>
      </c>
      <c r="E8" s="318" t="s">
        <v>6712</v>
      </c>
      <c r="F8" s="319" t="s">
        <v>6713</v>
      </c>
      <c r="G8" s="43" t="s">
        <v>6714</v>
      </c>
      <c r="H8" s="45" t="s">
        <v>6715</v>
      </c>
      <c r="I8" s="13"/>
      <c r="J8" s="37" t="s">
        <v>6716</v>
      </c>
      <c r="K8" s="13"/>
      <c r="L8" s="45" t="s">
        <v>6717</v>
      </c>
      <c r="M8" s="13"/>
      <c r="N8" s="37" t="s">
        <v>6718</v>
      </c>
      <c r="O8" s="13"/>
      <c r="P8" s="37" t="s">
        <v>6719</v>
      </c>
      <c r="Q8" s="13"/>
      <c r="R8" s="37" t="s">
        <v>6720</v>
      </c>
      <c r="S8" s="13"/>
      <c r="T8" s="43" t="s">
        <v>6721</v>
      </c>
      <c r="U8" s="45" t="s">
        <v>6722</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hidden="1" customHeight="1">
      <c r="A9" s="30"/>
      <c r="B9" s="31">
        <v>8.0</v>
      </c>
      <c r="C9" s="32" t="s">
        <v>98</v>
      </c>
      <c r="D9" s="32" t="s">
        <v>99</v>
      </c>
      <c r="E9" s="320" t="s">
        <v>6723</v>
      </c>
      <c r="F9" s="276" t="s">
        <v>6724</v>
      </c>
      <c r="G9" s="43" t="s">
        <v>6725</v>
      </c>
      <c r="H9" s="45" t="s">
        <v>6726</v>
      </c>
      <c r="I9" s="13"/>
      <c r="J9" s="37" t="s">
        <v>6727</v>
      </c>
      <c r="K9" s="13"/>
      <c r="L9" s="45" t="s">
        <v>6728</v>
      </c>
      <c r="M9" s="13"/>
      <c r="N9" s="61" t="s">
        <v>6729</v>
      </c>
      <c r="O9" s="13"/>
      <c r="P9" s="62" t="s">
        <v>6730</v>
      </c>
      <c r="Q9" s="45" t="s">
        <v>6731</v>
      </c>
      <c r="R9" s="63" t="s">
        <v>108</v>
      </c>
      <c r="S9" s="64"/>
      <c r="T9" s="64"/>
      <c r="U9" s="64"/>
      <c r="V9" s="64"/>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75.75" hidden="1" customHeight="1">
      <c r="A10" s="30"/>
      <c r="B10" s="31">
        <v>9.0</v>
      </c>
      <c r="C10" s="65">
        <v>44697.0</v>
      </c>
      <c r="D10" s="44" t="s">
        <v>109</v>
      </c>
      <c r="E10" s="66" t="s">
        <v>6732</v>
      </c>
      <c r="F10" s="67"/>
      <c r="G10" s="43" t="s">
        <v>6733</v>
      </c>
      <c r="H10" s="45" t="s">
        <v>6734</v>
      </c>
      <c r="I10" s="13"/>
      <c r="J10" s="37" t="s">
        <v>6735</v>
      </c>
      <c r="K10" s="13"/>
      <c r="L10" s="45" t="s">
        <v>6736</v>
      </c>
      <c r="M10" s="13"/>
      <c r="N10" s="61" t="s">
        <v>6737</v>
      </c>
      <c r="O10" s="13"/>
      <c r="P10" s="62" t="s">
        <v>6738</v>
      </c>
      <c r="Q10" s="68" t="s">
        <v>117</v>
      </c>
      <c r="R10" s="37" t="s">
        <v>6739</v>
      </c>
      <c r="S10" s="68" t="s">
        <v>6740</v>
      </c>
      <c r="T10" s="36"/>
      <c r="U10" s="36"/>
      <c r="V10" s="41"/>
      <c r="W10" s="26"/>
      <c r="X10" s="69">
        <v>44697.0</v>
      </c>
      <c r="Y10" s="70" t="s">
        <v>109</v>
      </c>
      <c r="Z10" s="28"/>
      <c r="AA10" s="14"/>
      <c r="AB10" s="15" t="str">
        <f>IFERROR(__xludf.DUMMYFUNCTION("join("","",filter(split($H$83,"",""),ARRAYFORMULA(ISERROR(FIND(split($H$83,"",""),CONCATENATE(E10:V10))))=TRUE))"),"КЗ,206,210,403,405,406,408,409,АЗ")</f>
        <v>КЗ,206,210,403,405,406,408,409,АЗ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6741</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18">
        <v>44943.0</v>
      </c>
      <c r="B13" s="19">
        <v>1.0</v>
      </c>
      <c r="C13" s="20" t="s">
        <v>12</v>
      </c>
      <c r="D13" s="20" t="s">
        <v>13</v>
      </c>
      <c r="E13" s="80" t="s">
        <v>6742</v>
      </c>
      <c r="F13" s="25"/>
      <c r="G13" s="81" t="s">
        <v>6743</v>
      </c>
      <c r="H13" s="604" t="s">
        <v>6744</v>
      </c>
      <c r="I13" s="22"/>
      <c r="J13" s="23" t="s">
        <v>6745</v>
      </c>
      <c r="K13" s="25"/>
      <c r="L13" s="80" t="s">
        <v>6746</v>
      </c>
      <c r="M13" s="25"/>
      <c r="N13" s="82" t="s">
        <v>6747</v>
      </c>
      <c r="O13" s="25"/>
      <c r="P13" s="21" t="s">
        <v>6748</v>
      </c>
      <c r="Q13" s="22"/>
      <c r="R13" s="23" t="s">
        <v>6749</v>
      </c>
      <c r="S13" s="22"/>
      <c r="T13" s="84" t="s">
        <v>6750</v>
      </c>
      <c r="U13" s="80" t="s">
        <v>6751</v>
      </c>
      <c r="V13" s="22"/>
      <c r="W13" s="26"/>
      <c r="X13" s="27" t="s">
        <v>12</v>
      </c>
      <c r="Y13" s="27" t="s">
        <v>13</v>
      </c>
      <c r="Z13" s="28"/>
      <c r="AA13" s="85"/>
      <c r="AB13" s="15" t="str">
        <f>IFERROR(__xludf.DUMMYFUNCTION("join("","",filter(split($H$83,"",""),ARRAYFORMULA(ISERROR(FIND(split($H$83,"",""),CONCATENATE(E13:V13))))=TRUE))"),"СЗ,КЗ,206,403,410,АЗ")</f>
        <v>СЗ,КЗ,206,403,410,АЗ</v>
      </c>
      <c r="AC13" s="14"/>
      <c r="AD13" s="14"/>
      <c r="AE13" s="14"/>
      <c r="AF13" s="29"/>
      <c r="AG13" s="29"/>
      <c r="AH13" s="29"/>
    </row>
    <row r="14" ht="40.5" hidden="1" customHeight="1">
      <c r="A14" s="30"/>
      <c r="B14" s="31">
        <v>2.0</v>
      </c>
      <c r="C14" s="32" t="s">
        <v>21</v>
      </c>
      <c r="D14" s="32" t="s">
        <v>22</v>
      </c>
      <c r="E14" s="45" t="s">
        <v>6752</v>
      </c>
      <c r="F14" s="13"/>
      <c r="G14" s="605" t="s">
        <v>6753</v>
      </c>
      <c r="H14" s="86" t="s">
        <v>6754</v>
      </c>
      <c r="I14" s="41"/>
      <c r="J14" s="35" t="s">
        <v>6755</v>
      </c>
      <c r="K14" s="13"/>
      <c r="L14" s="45" t="s">
        <v>6756</v>
      </c>
      <c r="M14" s="13"/>
      <c r="N14" s="87" t="s">
        <v>6757</v>
      </c>
      <c r="O14" s="13"/>
      <c r="P14" s="37" t="s">
        <v>6758</v>
      </c>
      <c r="Q14" s="41"/>
      <c r="R14" s="35" t="s">
        <v>6759</v>
      </c>
      <c r="S14" s="41"/>
      <c r="T14" s="43" t="s">
        <v>6760</v>
      </c>
      <c r="U14" s="45" t="s">
        <v>6761</v>
      </c>
      <c r="V14" s="41"/>
      <c r="W14" s="26"/>
      <c r="X14" s="42" t="s">
        <v>21</v>
      </c>
      <c r="Y14" s="42" t="s">
        <v>22</v>
      </c>
      <c r="Z14" s="28"/>
      <c r="AA14" s="85"/>
      <c r="AB14" s="15" t="str">
        <f>IFERROR(__xludf.DUMMYFUNCTION("join("","",filter(split($H$83,"",""),ARRAYFORMULA(ISERROR(FIND(split($H$83,"",""),CONCATENATE(E14:V14))))=TRUE))"),"СЗ,КЗ,206,403,410,АЗ")</f>
        <v>СЗ,КЗ,206,403,410,АЗ</v>
      </c>
      <c r="AC14" s="14"/>
      <c r="AD14" s="14"/>
      <c r="AE14" s="14"/>
      <c r="AF14" s="29"/>
      <c r="AG14" s="29"/>
      <c r="AH14" s="29"/>
    </row>
    <row r="15" ht="40.5" hidden="1" customHeight="1">
      <c r="A15" s="30"/>
      <c r="B15" s="31">
        <v>3.0</v>
      </c>
      <c r="C15" s="32" t="s">
        <v>33</v>
      </c>
      <c r="D15" s="32" t="s">
        <v>34</v>
      </c>
      <c r="E15" s="40" t="s">
        <v>6762</v>
      </c>
      <c r="F15" s="13"/>
      <c r="G15" s="37" t="s">
        <v>6763</v>
      </c>
      <c r="H15" s="36"/>
      <c r="I15" s="41"/>
      <c r="J15" s="35" t="s">
        <v>6764</v>
      </c>
      <c r="K15" s="13"/>
      <c r="L15" s="45" t="s">
        <v>6765</v>
      </c>
      <c r="M15" s="13"/>
      <c r="N15" s="89" t="s">
        <v>6766</v>
      </c>
      <c r="O15" s="13"/>
      <c r="P15" s="37" t="s">
        <v>6767</v>
      </c>
      <c r="Q15" s="41"/>
      <c r="R15" s="43" t="s">
        <v>6768</v>
      </c>
      <c r="S15" s="34" t="s">
        <v>6769</v>
      </c>
      <c r="T15" s="91" t="s">
        <v>6770</v>
      </c>
      <c r="U15" s="36"/>
      <c r="V15" s="41"/>
      <c r="W15" s="26"/>
      <c r="X15" s="42" t="s">
        <v>33</v>
      </c>
      <c r="Y15" s="42" t="s">
        <v>34</v>
      </c>
      <c r="Z15" s="48" t="s">
        <v>47</v>
      </c>
      <c r="AA15" s="85" t="str">
        <f>AA$5</f>
        <v/>
      </c>
      <c r="AB15" s="15" t="str">
        <f>IFERROR(__xludf.DUMMYFUNCTION("join("","",filter(split($H$83,"",""),ARRAYFORMULA(ISERROR(FIND(split($H$83,"",""),CONCATENATE(E15:V15))))=TRUE))"),"КЗ,201,206,403,406,408,410,АЗ")</f>
        <v>КЗ,201,206,403,406,408,410,АЗ</v>
      </c>
      <c r="AC15" s="14"/>
      <c r="AD15" s="14"/>
      <c r="AE15" s="14"/>
      <c r="AF15" s="29"/>
      <c r="AG15" s="29"/>
      <c r="AH15" s="29"/>
    </row>
    <row r="16" ht="40.5" hidden="1" customHeight="1">
      <c r="A16" s="30"/>
      <c r="B16" s="31">
        <v>4.0</v>
      </c>
      <c r="C16" s="32" t="s">
        <v>48</v>
      </c>
      <c r="D16" s="32" t="s">
        <v>49</v>
      </c>
      <c r="E16" s="40" t="s">
        <v>6771</v>
      </c>
      <c r="F16" s="13"/>
      <c r="G16" s="37" t="s">
        <v>6772</v>
      </c>
      <c r="H16" s="36"/>
      <c r="I16" s="41"/>
      <c r="J16" s="35" t="s">
        <v>6773</v>
      </c>
      <c r="K16" s="13"/>
      <c r="L16" s="45" t="s">
        <v>6774</v>
      </c>
      <c r="M16" s="13"/>
      <c r="N16" s="89" t="s">
        <v>6775</v>
      </c>
      <c r="O16" s="13"/>
      <c r="P16" s="37" t="s">
        <v>160</v>
      </c>
      <c r="Q16" s="41"/>
      <c r="R16" s="43" t="s">
        <v>6776</v>
      </c>
      <c r="S16" s="34" t="s">
        <v>6777</v>
      </c>
      <c r="T16" s="91" t="s">
        <v>6778</v>
      </c>
      <c r="U16" s="36"/>
      <c r="V16" s="41"/>
      <c r="W16" s="26"/>
      <c r="X16" s="42" t="s">
        <v>48</v>
      </c>
      <c r="Y16" s="42" t="s">
        <v>49</v>
      </c>
      <c r="Z16" s="48" t="s">
        <v>57</v>
      </c>
      <c r="AA16" s="85" t="str">
        <f>AA$6</f>
        <v/>
      </c>
      <c r="AB16" s="15" t="str">
        <f>IFERROR(__xludf.DUMMYFUNCTION("join("","",filter(split($H$83,"",""),ARRAYFORMULA(ISERROR(FIND(split($H$83,"",""),CONCATENATE(E16:V16))))=TRUE))"),"КЗ,201,206,403,406,408,410,АЗ")</f>
        <v>КЗ,201,206,403,406,408,410,АЗ</v>
      </c>
      <c r="AC16" s="14"/>
      <c r="AD16" s="14"/>
      <c r="AE16" s="14"/>
      <c r="AF16" s="29"/>
      <c r="AG16" s="29"/>
      <c r="AH16" s="29"/>
    </row>
    <row r="17" ht="40.5" hidden="1" customHeight="1">
      <c r="A17" s="30"/>
      <c r="B17" s="31">
        <v>5.0</v>
      </c>
      <c r="C17" s="32" t="s">
        <v>58</v>
      </c>
      <c r="D17" s="53">
        <v>44847.0</v>
      </c>
      <c r="E17" s="45" t="s">
        <v>6779</v>
      </c>
      <c r="F17" s="13"/>
      <c r="G17" s="33" t="s">
        <v>6780</v>
      </c>
      <c r="H17" s="45" t="s">
        <v>6781</v>
      </c>
      <c r="I17" s="41"/>
      <c r="J17" s="35" t="s">
        <v>6782</v>
      </c>
      <c r="K17" s="13"/>
      <c r="L17" s="606" t="s">
        <v>6783</v>
      </c>
      <c r="M17" s="13"/>
      <c r="N17" s="45" t="s">
        <v>6784</v>
      </c>
      <c r="O17" s="13"/>
      <c r="P17" s="33" t="s">
        <v>6785</v>
      </c>
      <c r="Q17" s="34" t="s">
        <v>6786</v>
      </c>
      <c r="R17" s="326" t="s">
        <v>6787</v>
      </c>
      <c r="S17" s="92" t="s">
        <v>6788</v>
      </c>
      <c r="T17" s="93" t="s">
        <v>6789</v>
      </c>
      <c r="U17" s="36"/>
      <c r="V17" s="41"/>
      <c r="W17" s="26"/>
      <c r="X17" s="42" t="s">
        <v>58</v>
      </c>
      <c r="Y17" s="54">
        <v>44847.0</v>
      </c>
      <c r="Z17" s="48" t="s">
        <v>70</v>
      </c>
      <c r="AA17" s="85" t="str">
        <f>AA$7</f>
        <v/>
      </c>
      <c r="AB17" s="15" t="str">
        <f>IFERROR(__xludf.DUMMYFUNCTION("join("","",filter(split($H$83,"",""),ARRAYFORMULA(ISERROR(FIND(split($H$83,"",""),CONCATENATE(E17:V17))))=TRUE))"),"СЗ,206,403,408,410,АЗ")</f>
        <v>СЗ,206,403,408,410,АЗ</v>
      </c>
      <c r="AC17" s="14"/>
      <c r="AD17" s="14"/>
      <c r="AE17" s="14"/>
      <c r="AF17" s="29"/>
      <c r="AG17" s="29"/>
      <c r="AH17" s="29"/>
    </row>
    <row r="18" ht="40.5" hidden="1" customHeight="1">
      <c r="A18" s="30"/>
      <c r="B18" s="31">
        <v>6.0</v>
      </c>
      <c r="C18" s="55" t="s">
        <v>71</v>
      </c>
      <c r="D18" s="56" t="s">
        <v>72</v>
      </c>
      <c r="E18" s="45" t="s">
        <v>6790</v>
      </c>
      <c r="F18" s="13"/>
      <c r="G18" s="33" t="s">
        <v>6791</v>
      </c>
      <c r="H18" s="45" t="s">
        <v>6792</v>
      </c>
      <c r="I18" s="41"/>
      <c r="J18" s="35" t="s">
        <v>6793</v>
      </c>
      <c r="K18" s="13"/>
      <c r="L18" s="40" t="s">
        <v>6794</v>
      </c>
      <c r="M18" s="13"/>
      <c r="N18" s="45" t="s">
        <v>6795</v>
      </c>
      <c r="O18" s="13"/>
      <c r="P18" s="33" t="s">
        <v>6796</v>
      </c>
      <c r="Q18" s="34" t="s">
        <v>6797</v>
      </c>
      <c r="R18" s="326" t="s">
        <v>6798</v>
      </c>
      <c r="S18" s="92" t="s">
        <v>6799</v>
      </c>
      <c r="T18" s="93" t="s">
        <v>6800</v>
      </c>
      <c r="U18" s="36"/>
      <c r="V18" s="41"/>
      <c r="W18" s="26"/>
      <c r="X18" s="58" t="s">
        <v>71</v>
      </c>
      <c r="Y18" s="59" t="s">
        <v>72</v>
      </c>
      <c r="Z18" s="48" t="s">
        <v>84</v>
      </c>
      <c r="AA18" s="85" t="str">
        <f>AA$8</f>
        <v/>
      </c>
      <c r="AB18" s="15" t="str">
        <f>IFERROR(__xludf.DUMMYFUNCTION("join("","",filter(split($H$83,"",""),ARRAYFORMULA(ISERROR(FIND(split($H$83,"",""),CONCATENATE(E18:V18))))=TRUE))"),"СЗ,206,403,408,410,АЗ")</f>
        <v>СЗ,206,403,408,410,АЗ</v>
      </c>
      <c r="AC18" s="14"/>
      <c r="AD18" s="14"/>
      <c r="AE18" s="14"/>
      <c r="AF18" s="29"/>
      <c r="AG18" s="29"/>
      <c r="AH18" s="29"/>
    </row>
    <row r="19" ht="40.5" hidden="1" customHeight="1">
      <c r="A19" s="30"/>
      <c r="B19" s="31">
        <v>7.0</v>
      </c>
      <c r="C19" s="32" t="s">
        <v>85</v>
      </c>
      <c r="D19" s="32" t="s">
        <v>86</v>
      </c>
      <c r="E19" s="94" t="s">
        <v>6801</v>
      </c>
      <c r="F19" s="13"/>
      <c r="G19" s="33" t="s">
        <v>6802</v>
      </c>
      <c r="H19" s="45" t="s">
        <v>6803</v>
      </c>
      <c r="I19" s="41"/>
      <c r="J19" s="607" t="s">
        <v>6804</v>
      </c>
      <c r="K19" s="13"/>
      <c r="L19" s="45" t="s">
        <v>6805</v>
      </c>
      <c r="M19" s="13"/>
      <c r="N19" s="45" t="s">
        <v>6806</v>
      </c>
      <c r="O19" s="13"/>
      <c r="P19" s="37" t="s">
        <v>6807</v>
      </c>
      <c r="Q19" s="41"/>
      <c r="R19" s="96" t="s">
        <v>6808</v>
      </c>
      <c r="S19" s="97" t="s">
        <v>6809</v>
      </c>
      <c r="T19" s="93" t="s">
        <v>6810</v>
      </c>
      <c r="U19" s="36"/>
      <c r="V19" s="41"/>
      <c r="W19" s="26"/>
      <c r="X19" s="42" t="s">
        <v>85</v>
      </c>
      <c r="Y19" s="42" t="s">
        <v>86</v>
      </c>
      <c r="Z19" s="48" t="s">
        <v>97</v>
      </c>
      <c r="AA19" s="85" t="str">
        <f>AA$9</f>
        <v/>
      </c>
      <c r="AB19" s="15" t="str">
        <f>IFERROR(__xludf.DUMMYFUNCTION("join("","",filter(split($H$83,"",""),ARRAYFORMULA(ISERROR(FIND(split($H$83,"",""),CONCATENATE(E19:V19))))=TRUE))"),"СЗ,206,403,404,405,410,АЗ")</f>
        <v>СЗ,206,403,404,405,410,АЗ</v>
      </c>
      <c r="AC19" s="14"/>
      <c r="AD19" s="14"/>
      <c r="AE19" s="14"/>
      <c r="AF19" s="29"/>
      <c r="AG19" s="29"/>
      <c r="AH19" s="29"/>
    </row>
    <row r="20" ht="40.5" hidden="1" customHeight="1">
      <c r="A20" s="30"/>
      <c r="B20" s="31">
        <v>8.0</v>
      </c>
      <c r="C20" s="32" t="s">
        <v>98</v>
      </c>
      <c r="D20" s="32" t="s">
        <v>99</v>
      </c>
      <c r="E20" s="94" t="s">
        <v>6811</v>
      </c>
      <c r="F20" s="13"/>
      <c r="G20" s="33" t="s">
        <v>6812</v>
      </c>
      <c r="H20" s="45" t="s">
        <v>6813</v>
      </c>
      <c r="I20" s="41"/>
      <c r="J20" s="95" t="s">
        <v>6814</v>
      </c>
      <c r="K20" s="13"/>
      <c r="L20" s="45" t="s">
        <v>6815</v>
      </c>
      <c r="M20" s="13"/>
      <c r="N20" s="45" t="s">
        <v>6816</v>
      </c>
      <c r="O20" s="13"/>
      <c r="P20" s="37" t="s">
        <v>6817</v>
      </c>
      <c r="Q20" s="41"/>
      <c r="R20" s="96" t="s">
        <v>6818</v>
      </c>
      <c r="S20" s="97" t="s">
        <v>6819</v>
      </c>
      <c r="T20" s="93" t="s">
        <v>6820</v>
      </c>
      <c r="U20" s="36"/>
      <c r="V20" s="41"/>
      <c r="W20" s="26"/>
      <c r="X20" s="42" t="s">
        <v>98</v>
      </c>
      <c r="Y20" s="42" t="s">
        <v>99</v>
      </c>
      <c r="Z20" s="11"/>
      <c r="AA20" s="98"/>
      <c r="AB20" s="15" t="str">
        <f>IFERROR(__xludf.DUMMYFUNCTION("join("","",filter(split($H$83,"",""),ARRAYFORMULA(ISERROR(FIND(split($H$83,"",""),CONCATENATE(E20:V20))))=TRUE))"),"СЗ,206,403,404,405,410,АЗ")</f>
        <v>СЗ,206,403,404,405,410,АЗ</v>
      </c>
      <c r="AC20" s="14"/>
      <c r="AD20" s="14"/>
      <c r="AE20" s="14"/>
      <c r="AF20" s="29"/>
      <c r="AG20" s="29"/>
      <c r="AH20" s="29"/>
    </row>
    <row r="21" ht="40.5" hidden="1" customHeight="1">
      <c r="A21" s="30"/>
      <c r="B21" s="31">
        <v>9.0</v>
      </c>
      <c r="C21" s="65">
        <v>44697.0</v>
      </c>
      <c r="D21" s="44" t="s">
        <v>109</v>
      </c>
      <c r="E21" s="99" t="s">
        <v>206</v>
      </c>
      <c r="F21" s="4"/>
      <c r="G21" s="100" t="s">
        <v>207</v>
      </c>
      <c r="H21" s="101" t="s">
        <v>208</v>
      </c>
      <c r="I21" s="36"/>
      <c r="J21" s="36"/>
      <c r="K21" s="36"/>
      <c r="L21" s="36"/>
      <c r="M21" s="13"/>
      <c r="N21" s="45" t="s">
        <v>6821</v>
      </c>
      <c r="O21" s="13"/>
      <c r="P21" s="102" t="s">
        <v>6822</v>
      </c>
      <c r="Q21" s="41"/>
      <c r="R21" s="35" t="s">
        <v>211</v>
      </c>
      <c r="S21" s="41"/>
      <c r="T21" s="103" t="s">
        <v>6823</v>
      </c>
      <c r="U21" s="36"/>
      <c r="V21" s="41"/>
      <c r="W21" s="26"/>
      <c r="X21" s="69">
        <v>44697.0</v>
      </c>
      <c r="Y21" s="70" t="s">
        <v>109</v>
      </c>
      <c r="Z21" s="28"/>
      <c r="AA21" s="98"/>
      <c r="AB21" s="15" t="str">
        <f>IFERROR(__xludf.DUMMYFUNCTION("join("","",filter(split($H$83,"",""),ARRAYFORMULA(ISERROR(FIND(split($H$83,"",""),CONCATENATE(E21:V21))))=TRUE))"),"201,206,210,401,403,404,405,406,408,АЗ")</f>
        <v>201,206,210,401,403,404,405,406,408,АЗ</v>
      </c>
      <c r="AC21" s="14"/>
      <c r="AD21" s="14"/>
      <c r="AE21" s="14"/>
      <c r="AF21" s="29"/>
      <c r="AG21" s="29"/>
      <c r="AH21" s="29"/>
    </row>
    <row r="22" ht="40.5" hidden="1" customHeight="1">
      <c r="A22" s="30"/>
      <c r="B22" s="31">
        <v>10.0</v>
      </c>
      <c r="C22" s="44" t="s">
        <v>120</v>
      </c>
      <c r="D22" s="44" t="s">
        <v>121</v>
      </c>
      <c r="E22" s="104"/>
      <c r="F22" s="72"/>
      <c r="G22" s="105"/>
      <c r="H22" s="106" t="s">
        <v>3033</v>
      </c>
      <c r="I22" s="36"/>
      <c r="J22" s="36"/>
      <c r="K22" s="36"/>
      <c r="L22" s="36"/>
      <c r="M22" s="13"/>
      <c r="N22" s="45" t="s">
        <v>6824</v>
      </c>
      <c r="O22" s="13"/>
      <c r="P22" s="101" t="s">
        <v>215</v>
      </c>
      <c r="Q22" s="36"/>
      <c r="R22" s="36"/>
      <c r="S22" s="13"/>
      <c r="T22" s="107" t="s">
        <v>6825</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6826</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idden="1">
      <c r="A24" s="18">
        <v>44944.0</v>
      </c>
      <c r="B24" s="435">
        <v>1.0</v>
      </c>
      <c r="C24" s="20" t="s">
        <v>12</v>
      </c>
      <c r="D24" s="20" t="s">
        <v>13</v>
      </c>
      <c r="E24" s="21" t="s">
        <v>6827</v>
      </c>
      <c r="F24" s="22"/>
      <c r="G24" s="116" t="s">
        <v>6828</v>
      </c>
      <c r="H24" s="117" t="s">
        <v>6829</v>
      </c>
      <c r="I24" s="22"/>
      <c r="J24" s="118" t="s">
        <v>221</v>
      </c>
      <c r="K24" s="24"/>
      <c r="L24" s="24"/>
      <c r="M24" s="25"/>
      <c r="N24" s="80" t="s">
        <v>6830</v>
      </c>
      <c r="O24" s="25"/>
      <c r="P24" s="585" t="s">
        <v>6831</v>
      </c>
      <c r="Q24" s="24"/>
      <c r="R24" s="24"/>
      <c r="S24" s="22"/>
      <c r="T24" s="121" t="s">
        <v>6832</v>
      </c>
      <c r="U24" s="24"/>
      <c r="V24" s="22"/>
      <c r="W24" s="26"/>
      <c r="X24" s="27" t="s">
        <v>12</v>
      </c>
      <c r="Y24" s="27" t="s">
        <v>13</v>
      </c>
      <c r="Z24" s="28"/>
      <c r="AA24" s="14"/>
      <c r="AB24" s="15" t="str">
        <f>IFERROR(__xludf.DUMMYFUNCTION("join("","",filter(split($H$83,"",""),ARRAYFORMULA(ISERROR(FIND(split($H$83,"",""),CONCATENATE(E24:V24))))=TRUE))"),"СЗ,206,401,402,403,404,405,406,409,410,АЗ")</f>
        <v>СЗ,206,401,402,403,404,405,406,409,410,АЗ</v>
      </c>
      <c r="AC24" s="14"/>
      <c r="AD24" s="14"/>
      <c r="AE24" s="14"/>
      <c r="AF24" s="29"/>
      <c r="AG24" s="29"/>
      <c r="AH24" s="29"/>
    </row>
    <row r="25" hidden="1">
      <c r="A25" s="30"/>
      <c r="B25" s="436">
        <v>2.0</v>
      </c>
      <c r="C25" s="32" t="s">
        <v>21</v>
      </c>
      <c r="D25" s="32" t="s">
        <v>22</v>
      </c>
      <c r="E25" s="51" t="s">
        <v>6833</v>
      </c>
      <c r="F25" s="41"/>
      <c r="G25" s="39" t="s">
        <v>6834</v>
      </c>
      <c r="H25" s="89" t="s">
        <v>6835</v>
      </c>
      <c r="I25" s="41"/>
      <c r="J25" s="35" t="s">
        <v>6836</v>
      </c>
      <c r="K25" s="13"/>
      <c r="L25" s="40" t="s">
        <v>6837</v>
      </c>
      <c r="M25" s="13"/>
      <c r="N25" s="40" t="s">
        <v>6838</v>
      </c>
      <c r="O25" s="13"/>
      <c r="P25" s="37" t="s">
        <v>6839</v>
      </c>
      <c r="Q25" s="13"/>
      <c r="R25" s="122" t="s">
        <v>6840</v>
      </c>
      <c r="S25" s="41"/>
      <c r="T25" s="103" t="s">
        <v>6841</v>
      </c>
      <c r="U25" s="36"/>
      <c r="V25" s="41"/>
      <c r="W25" s="26"/>
      <c r="X25" s="42" t="s">
        <v>21</v>
      </c>
      <c r="Y25" s="42" t="s">
        <v>22</v>
      </c>
      <c r="Z25" s="28"/>
      <c r="AA25" s="14"/>
      <c r="AB25" s="15" t="str">
        <f>IFERROR(__xludf.DUMMYFUNCTION("join("","",filter(split($H$83,"",""),ARRAYFORMULA(ISERROR(FIND(split($H$83,"",""),CONCATENATE(E25:V25))))=TRUE))"),"СЗ,КЗ,206,209,403,404,405,410,АЗ")</f>
        <v>СЗ,КЗ,206,209,403,404,405,410,АЗ</v>
      </c>
      <c r="AC25" s="14"/>
      <c r="AD25" s="14"/>
      <c r="AE25" s="14"/>
      <c r="AF25" s="29"/>
      <c r="AG25" s="29"/>
      <c r="AH25" s="29"/>
    </row>
    <row r="26" ht="40.5" hidden="1" customHeight="1">
      <c r="A26" s="30"/>
      <c r="B26" s="436">
        <v>3.0</v>
      </c>
      <c r="C26" s="32" t="s">
        <v>33</v>
      </c>
      <c r="D26" s="32" t="s">
        <v>34</v>
      </c>
      <c r="E26" s="37" t="s">
        <v>6842</v>
      </c>
      <c r="F26" s="41"/>
      <c r="G26" s="51" t="s">
        <v>6843</v>
      </c>
      <c r="H26" s="36"/>
      <c r="I26" s="41"/>
      <c r="J26" s="95" t="s">
        <v>6844</v>
      </c>
      <c r="K26" s="13"/>
      <c r="L26" s="123" t="s">
        <v>6845</v>
      </c>
      <c r="M26" s="41"/>
      <c r="N26" s="40" t="s">
        <v>6846</v>
      </c>
      <c r="O26" s="13"/>
      <c r="P26" s="39" t="s">
        <v>6847</v>
      </c>
      <c r="Q26" s="124" t="s">
        <v>6848</v>
      </c>
      <c r="R26" s="89" t="s">
        <v>6849</v>
      </c>
      <c r="S26" s="41"/>
      <c r="T26" s="125" t="s">
        <v>6850</v>
      </c>
      <c r="U26" s="36"/>
      <c r="V26" s="41"/>
      <c r="W26" s="26"/>
      <c r="X26" s="42" t="s">
        <v>33</v>
      </c>
      <c r="Y26" s="42" t="s">
        <v>34</v>
      </c>
      <c r="Z26" s="48" t="s">
        <v>47</v>
      </c>
      <c r="AA26" s="85" t="str">
        <f>AA$5</f>
        <v/>
      </c>
      <c r="AB26" s="15" t="str">
        <f>IFERROR(__xludf.DUMMYFUNCTION("join("","",filter(split($H$83,"",""),ARRAYFORMULA(ISERROR(FIND(split($H$83,"",""),CONCATENATE(E26:V26))))=TRUE))"),"СЗ,КЗ,206,210,403,404,405,408,410,АЗ")</f>
        <v>СЗ,КЗ,206,210,403,404,405,408,410,АЗ</v>
      </c>
      <c r="AC26" s="14"/>
      <c r="AD26" s="14"/>
      <c r="AE26" s="14"/>
      <c r="AF26" s="29"/>
      <c r="AG26" s="29"/>
      <c r="AH26" s="29"/>
    </row>
    <row r="27" ht="54.0" hidden="1" customHeight="1">
      <c r="A27" s="30"/>
      <c r="B27" s="436">
        <v>4.0</v>
      </c>
      <c r="C27" s="32" t="s">
        <v>48</v>
      </c>
      <c r="D27" s="32" t="s">
        <v>49</v>
      </c>
      <c r="E27" s="33" t="s">
        <v>6851</v>
      </c>
      <c r="F27" s="286" t="s">
        <v>6852</v>
      </c>
      <c r="G27" s="37" t="s">
        <v>6853</v>
      </c>
      <c r="H27" s="13"/>
      <c r="I27" s="92" t="s">
        <v>6854</v>
      </c>
      <c r="J27" s="107" t="s">
        <v>6855</v>
      </c>
      <c r="K27" s="13"/>
      <c r="L27" s="45" t="s">
        <v>6856</v>
      </c>
      <c r="M27" s="13"/>
      <c r="N27" s="127" t="s">
        <v>6857</v>
      </c>
      <c r="O27" s="13"/>
      <c r="P27" s="37" t="s">
        <v>6858</v>
      </c>
      <c r="Q27" s="13"/>
      <c r="R27" s="132" t="s">
        <v>6859</v>
      </c>
      <c r="S27" s="34" t="s">
        <v>6860</v>
      </c>
      <c r="T27" s="125" t="s">
        <v>6861</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D27" s="14"/>
      <c r="AE27" s="14"/>
      <c r="AF27" s="29"/>
      <c r="AG27" s="29"/>
      <c r="AH27" s="29"/>
    </row>
    <row r="28" ht="53.25" hidden="1" customHeight="1">
      <c r="A28" s="30"/>
      <c r="B28" s="436">
        <v>5.0</v>
      </c>
      <c r="C28" s="32" t="s">
        <v>58</v>
      </c>
      <c r="D28" s="53">
        <v>44847.0</v>
      </c>
      <c r="E28" s="33" t="s">
        <v>6862</v>
      </c>
      <c r="F28" s="92" t="s">
        <v>6863</v>
      </c>
      <c r="G28" s="37" t="s">
        <v>6864</v>
      </c>
      <c r="H28" s="13"/>
      <c r="I28" s="92" t="s">
        <v>6865</v>
      </c>
      <c r="J28" s="123" t="s">
        <v>6866</v>
      </c>
      <c r="K28" s="41"/>
      <c r="L28" s="45" t="s">
        <v>6867</v>
      </c>
      <c r="M28" s="13"/>
      <c r="N28" s="89" t="s">
        <v>6868</v>
      </c>
      <c r="O28" s="13"/>
      <c r="P28" s="39" t="s">
        <v>6869</v>
      </c>
      <c r="Q28" s="124" t="s">
        <v>6870</v>
      </c>
      <c r="R28" s="132" t="s">
        <v>6871</v>
      </c>
      <c r="S28" s="34" t="s">
        <v>6872</v>
      </c>
      <c r="T28" s="128" t="s">
        <v>6873</v>
      </c>
      <c r="U28" s="8"/>
      <c r="V28" s="129"/>
      <c r="W28" s="26"/>
      <c r="X28" s="42" t="s">
        <v>58</v>
      </c>
      <c r="Y28" s="54">
        <v>44847.0</v>
      </c>
      <c r="Z28" s="48" t="s">
        <v>70</v>
      </c>
      <c r="AA28" s="85" t="str">
        <f>AA$7</f>
        <v/>
      </c>
      <c r="AB28" s="15" t="str">
        <f>IFERROR(__xludf.DUMMYFUNCTION("join("","",filter(split($H$83,"",""),ARRAYFORMULA(ISERROR(FIND(split($H$83,"",""),CONCATENATE(E28:V28))))=TRUE))"),"СЗ,206,209,403,404,405,410")</f>
        <v>СЗ,206,209,403,404,405,410</v>
      </c>
      <c r="AC28" s="14"/>
      <c r="AD28" s="14"/>
      <c r="AE28" s="14"/>
      <c r="AF28" s="29"/>
      <c r="AG28" s="29"/>
      <c r="AH28" s="29"/>
    </row>
    <row r="29" ht="40.5" hidden="1" customHeight="1">
      <c r="A29" s="30"/>
      <c r="B29" s="436">
        <v>6.0</v>
      </c>
      <c r="C29" s="55" t="s">
        <v>71</v>
      </c>
      <c r="D29" s="56" t="s">
        <v>72</v>
      </c>
      <c r="E29" s="39" t="s">
        <v>6874</v>
      </c>
      <c r="F29" s="34" t="s">
        <v>6875</v>
      </c>
      <c r="G29" s="40" t="s">
        <v>6876</v>
      </c>
      <c r="H29" s="41"/>
      <c r="I29" s="34" t="s">
        <v>6877</v>
      </c>
      <c r="J29" s="123" t="s">
        <v>6878</v>
      </c>
      <c r="K29" s="41"/>
      <c r="L29" s="89" t="s">
        <v>6879</v>
      </c>
      <c r="M29" s="13"/>
      <c r="N29" s="130" t="s">
        <v>6880</v>
      </c>
      <c r="O29" s="13"/>
      <c r="P29" s="131" t="s">
        <v>6881</v>
      </c>
      <c r="Q29" s="132" t="s">
        <v>6882</v>
      </c>
      <c r="R29" s="437"/>
      <c r="S29" s="92" t="s">
        <v>6883</v>
      </c>
      <c r="V29" s="134"/>
      <c r="W29" s="26"/>
      <c r="X29" s="58" t="s">
        <v>71</v>
      </c>
      <c r="Y29" s="59" t="s">
        <v>72</v>
      </c>
      <c r="Z29" s="48" t="s">
        <v>84</v>
      </c>
      <c r="AA29" s="85" t="str">
        <f>AA$8</f>
        <v/>
      </c>
      <c r="AB29" s="15" t="str">
        <f>IFERROR(__xludf.DUMMYFUNCTION("join("","",filter(split($H$83,"",""),ARRAYFORMULA(ISERROR(FIND(split($H$83,"",""),CONCATENATE(E29:V29))))=TRUE))"),"СЗ,КЗ,201,206,403,404,405,410,АЗ")</f>
        <v>СЗ,КЗ,201,206,403,404,405,410,АЗ</v>
      </c>
      <c r="AC29" s="14"/>
      <c r="AD29" s="14"/>
      <c r="AE29" s="14"/>
      <c r="AF29" s="29"/>
      <c r="AG29" s="29"/>
      <c r="AH29" s="29"/>
    </row>
    <row r="30" ht="40.5" hidden="1" customHeight="1">
      <c r="A30" s="30"/>
      <c r="B30" s="436">
        <v>7.0</v>
      </c>
      <c r="C30" s="32" t="s">
        <v>85</v>
      </c>
      <c r="D30" s="32" t="s">
        <v>86</v>
      </c>
      <c r="E30" s="39" t="s">
        <v>6884</v>
      </c>
      <c r="F30" s="34" t="s">
        <v>6885</v>
      </c>
      <c r="G30" s="40" t="s">
        <v>6886</v>
      </c>
      <c r="H30" s="41"/>
      <c r="I30" s="34" t="s">
        <v>6887</v>
      </c>
      <c r="J30" s="35" t="s">
        <v>6888</v>
      </c>
      <c r="K30" s="13"/>
      <c r="L30" s="123" t="s">
        <v>6889</v>
      </c>
      <c r="M30" s="41"/>
      <c r="N30" s="130" t="s">
        <v>6890</v>
      </c>
      <c r="O30" s="13"/>
      <c r="P30" s="131" t="s">
        <v>6891</v>
      </c>
      <c r="Q30" s="132" t="s">
        <v>6892</v>
      </c>
      <c r="R30" s="173"/>
      <c r="S30" s="92" t="s">
        <v>6893</v>
      </c>
      <c r="V30" s="134"/>
      <c r="W30" s="26"/>
      <c r="X30" s="42" t="s">
        <v>85</v>
      </c>
      <c r="Y30" s="42" t="s">
        <v>86</v>
      </c>
      <c r="Z30" s="48" t="s">
        <v>97</v>
      </c>
      <c r="AA30" s="85" t="str">
        <f>AA$9</f>
        <v/>
      </c>
      <c r="AB30" s="15" t="str">
        <f>IFERROR(__xludf.DUMMYFUNCTION("join("","",filter(split($H$83,"",""),ARRAYFORMULA(ISERROR(FIND(split($H$83,"",""),CONCATENATE(E30:V30))))=TRUE))"),"СЗ,КЗ,206,403,404,405,409,410,АЗ")</f>
        <v>СЗ,КЗ,206,403,404,405,409,410,АЗ</v>
      </c>
      <c r="AC30" s="14"/>
      <c r="AD30" s="14"/>
      <c r="AE30" s="14"/>
      <c r="AF30" s="29"/>
      <c r="AG30" s="29"/>
      <c r="AH30" s="29"/>
    </row>
    <row r="31" ht="52.5" hidden="1" customHeight="1">
      <c r="A31" s="30"/>
      <c r="B31" s="436">
        <v>8.0</v>
      </c>
      <c r="C31" s="32" t="s">
        <v>98</v>
      </c>
      <c r="D31" s="32" t="s">
        <v>99</v>
      </c>
      <c r="E31" s="46" t="s">
        <v>6894</v>
      </c>
      <c r="F31" s="41"/>
      <c r="G31" s="137" t="s">
        <v>6895</v>
      </c>
      <c r="H31" s="8"/>
      <c r="I31" s="129"/>
      <c r="J31" s="334" t="s">
        <v>6896</v>
      </c>
      <c r="K31" s="36"/>
      <c r="L31" s="36"/>
      <c r="M31" s="13"/>
      <c r="N31" s="45" t="s">
        <v>6897</v>
      </c>
      <c r="O31" s="13"/>
      <c r="P31" s="140" t="s">
        <v>6898</v>
      </c>
      <c r="Q31" s="4"/>
      <c r="R31" s="144"/>
      <c r="S31" s="133" t="s">
        <v>276</v>
      </c>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hidden="1" customHeight="1">
      <c r="A32" s="30"/>
      <c r="B32" s="436">
        <v>9.0</v>
      </c>
      <c r="C32" s="65">
        <v>44697.0</v>
      </c>
      <c r="D32" s="44" t="s">
        <v>109</v>
      </c>
      <c r="E32" s="141" t="s">
        <v>6899</v>
      </c>
      <c r="F32" s="13"/>
      <c r="G32" s="142"/>
      <c r="H32" s="64"/>
      <c r="I32" s="88"/>
      <c r="J32" s="334" t="s">
        <v>6900</v>
      </c>
      <c r="K32" s="36"/>
      <c r="L32" s="36"/>
      <c r="M32" s="13"/>
      <c r="N32" s="45" t="s">
        <v>6901</v>
      </c>
      <c r="O32" s="13"/>
      <c r="P32" s="142"/>
      <c r="Q32" s="72"/>
      <c r="R32" s="144"/>
      <c r="S32" s="92"/>
      <c r="T32" s="64"/>
      <c r="U32" s="64"/>
      <c r="V32" s="88"/>
      <c r="W32" s="26"/>
      <c r="X32" s="69">
        <v>44697.0</v>
      </c>
      <c r="Y32" s="70" t="s">
        <v>109</v>
      </c>
      <c r="Z32" s="28"/>
      <c r="AA32" s="14"/>
      <c r="AB32" s="15" t="str">
        <f>IFERROR(__xludf.DUMMYFUNCTION("join("","",filter(split($H$83,"",""),ARRAYFORMULA(ISERROR(FIND(split($H$83,"",""),CONCATENATE(E32:V32))))=TRUE))"),"СЗ,КЗ,201,206,210,401,402,403,404,405,406,408,409,АЗ")</f>
        <v>СЗ,КЗ,201,206,210,401,402,403,404,405,406,408,409,АЗ</v>
      </c>
      <c r="AC32" s="14"/>
      <c r="AD32" s="14"/>
      <c r="AE32" s="14"/>
      <c r="AF32" s="29"/>
      <c r="AG32" s="29"/>
      <c r="AH32" s="29"/>
    </row>
    <row r="33" ht="40.5" hidden="1" customHeight="1">
      <c r="A33" s="30"/>
      <c r="B33" s="436">
        <v>10.0</v>
      </c>
      <c r="C33" s="44" t="s">
        <v>120</v>
      </c>
      <c r="D33" s="44" t="s">
        <v>121</v>
      </c>
      <c r="E33" s="141" t="s">
        <v>6902</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6903</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18">
        <v>44945.0</v>
      </c>
      <c r="B35" s="19">
        <v>1.0</v>
      </c>
      <c r="C35" s="20" t="s">
        <v>12</v>
      </c>
      <c r="D35" s="20" t="s">
        <v>13</v>
      </c>
      <c r="E35" s="80"/>
      <c r="F35" s="25"/>
      <c r="G35" s="156" t="s">
        <v>6904</v>
      </c>
      <c r="H35" s="117" t="s">
        <v>6905</v>
      </c>
      <c r="I35" s="25"/>
      <c r="J35" s="157" t="s">
        <v>6906</v>
      </c>
      <c r="K35" s="13"/>
      <c r="L35" s="156" t="s">
        <v>6907</v>
      </c>
      <c r="M35" s="156" t="s">
        <v>6908</v>
      </c>
      <c r="N35" s="80" t="s">
        <v>6909</v>
      </c>
      <c r="O35" s="25"/>
      <c r="P35" s="156" t="s">
        <v>6910</v>
      </c>
      <c r="Q35" s="156" t="s">
        <v>6911</v>
      </c>
      <c r="R35" s="159" t="s">
        <v>6912</v>
      </c>
      <c r="S35" s="160" t="s">
        <v>6913</v>
      </c>
      <c r="T35" s="161" t="s">
        <v>6914</v>
      </c>
      <c r="U35" s="24"/>
      <c r="V35" s="22"/>
      <c r="W35" s="26"/>
      <c r="X35" s="27" t="s">
        <v>12</v>
      </c>
      <c r="Y35" s="27" t="s">
        <v>13</v>
      </c>
      <c r="Z35" s="28"/>
      <c r="AA35" s="14"/>
      <c r="AB35" s="15" t="str">
        <f>IFERROR(__xludf.DUMMYFUNCTION("join("","",filter(split($H$83,"",""),ARRAYFORMULA(ISERROR(FIND(split($H$83,"",""),CONCATENATE(E35:V35))))=TRUE))"),"СЗ,201,206,406,410,АЗ")</f>
        <v>СЗ,201,206,406,410,АЗ</v>
      </c>
      <c r="AC35" s="14"/>
      <c r="AD35" s="14"/>
      <c r="AE35" s="14"/>
      <c r="AF35" s="29"/>
      <c r="AG35" s="29"/>
      <c r="AH35" s="29"/>
    </row>
    <row r="36" ht="54.0" hidden="1" customHeight="1">
      <c r="A36" s="30"/>
      <c r="B36" s="31">
        <v>2.0</v>
      </c>
      <c r="C36" s="32" t="s">
        <v>21</v>
      </c>
      <c r="D36" s="32" t="s">
        <v>22</v>
      </c>
      <c r="E36" s="45" t="s">
        <v>6915</v>
      </c>
      <c r="F36" s="13"/>
      <c r="G36" s="44" t="s">
        <v>6916</v>
      </c>
      <c r="H36" s="40" t="s">
        <v>312</v>
      </c>
      <c r="I36" s="13"/>
      <c r="J36" s="157" t="s">
        <v>313</v>
      </c>
      <c r="K36" s="13"/>
      <c r="L36" s="44" t="s">
        <v>6917</v>
      </c>
      <c r="M36" s="44" t="s">
        <v>6918</v>
      </c>
      <c r="N36" s="45" t="s">
        <v>316</v>
      </c>
      <c r="O36" s="13"/>
      <c r="P36" s="44" t="s">
        <v>6919</v>
      </c>
      <c r="Q36" s="44" t="s">
        <v>6920</v>
      </c>
      <c r="R36" s="162" t="s">
        <v>6921</v>
      </c>
      <c r="S36" s="90" t="s">
        <v>320</v>
      </c>
      <c r="T36" s="163" t="s">
        <v>6922</v>
      </c>
      <c r="U36" s="36"/>
      <c r="V36" s="41"/>
      <c r="W36" s="26"/>
      <c r="X36" s="42" t="s">
        <v>21</v>
      </c>
      <c r="Y36" s="42" t="s">
        <v>22</v>
      </c>
      <c r="Z36" s="28"/>
      <c r="AA36" s="14"/>
      <c r="AB36" s="15" t="str">
        <f>IFERROR(__xludf.DUMMYFUNCTION("join("","",filter(split($H$83,"",""),ARRAYFORMULA(ISERROR(FIND(split($H$83,"",""),CONCATENATE(E36:V36))))=TRUE))"),"СЗ,206,406,410,АЗ")</f>
        <v>СЗ,206,406,410,АЗ</v>
      </c>
      <c r="AC36" s="14"/>
      <c r="AD36" s="14"/>
      <c r="AE36" s="14"/>
      <c r="AF36" s="29"/>
      <c r="AG36" s="29"/>
      <c r="AH36" s="29"/>
    </row>
    <row r="37" ht="56.25" hidden="1" customHeight="1">
      <c r="A37" s="30"/>
      <c r="B37" s="31">
        <v>3.0</v>
      </c>
      <c r="C37" s="32" t="s">
        <v>33</v>
      </c>
      <c r="D37" s="32" t="s">
        <v>34</v>
      </c>
      <c r="E37" s="45" t="s">
        <v>6923</v>
      </c>
      <c r="F37" s="13"/>
      <c r="G37" s="132" t="s">
        <v>6924</v>
      </c>
      <c r="H37" s="45" t="s">
        <v>6925</v>
      </c>
      <c r="I37" s="13"/>
      <c r="J37" s="45" t="s">
        <v>6926</v>
      </c>
      <c r="K37" s="13"/>
      <c r="L37" s="44" t="s">
        <v>6927</v>
      </c>
      <c r="M37" s="44" t="s">
        <v>6928</v>
      </c>
      <c r="N37" s="164" t="s">
        <v>6929</v>
      </c>
      <c r="O37" s="36"/>
      <c r="P37" s="36"/>
      <c r="Q37" s="13"/>
      <c r="R37" s="44" t="s">
        <v>6930</v>
      </c>
      <c r="S37" s="44" t="s">
        <v>6931</v>
      </c>
      <c r="T37" s="87" t="s">
        <v>6932</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hidden="1" customHeight="1">
      <c r="A38" s="30"/>
      <c r="B38" s="31">
        <v>4.0</v>
      </c>
      <c r="C38" s="32" t="s">
        <v>48</v>
      </c>
      <c r="D38" s="32" t="s">
        <v>49</v>
      </c>
      <c r="E38" s="45" t="s">
        <v>6933</v>
      </c>
      <c r="F38" s="13"/>
      <c r="G38" s="132" t="s">
        <v>6934</v>
      </c>
      <c r="H38" s="45" t="s">
        <v>6935</v>
      </c>
      <c r="I38" s="13"/>
      <c r="J38" s="45" t="s">
        <v>6936</v>
      </c>
      <c r="K38" s="13"/>
      <c r="L38" s="44" t="s">
        <v>6937</v>
      </c>
      <c r="M38" s="44" t="s">
        <v>6938</v>
      </c>
      <c r="N38" s="164" t="s">
        <v>6939</v>
      </c>
      <c r="O38" s="36"/>
      <c r="P38" s="36"/>
      <c r="Q38" s="13"/>
      <c r="R38" s="44" t="s">
        <v>6940</v>
      </c>
      <c r="S38" s="44" t="s">
        <v>6941</v>
      </c>
      <c r="T38" s="87" t="s">
        <v>6942</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hidden="1" customHeight="1">
      <c r="A39" s="30"/>
      <c r="B39" s="31">
        <v>5.0</v>
      </c>
      <c r="C39" s="32" t="s">
        <v>58</v>
      </c>
      <c r="D39" s="53">
        <v>44847.0</v>
      </c>
      <c r="E39" s="45" t="s">
        <v>6943</v>
      </c>
      <c r="F39" s="13"/>
      <c r="G39" s="44" t="s">
        <v>6944</v>
      </c>
      <c r="H39" s="45" t="s">
        <v>6945</v>
      </c>
      <c r="I39" s="13"/>
      <c r="J39" s="44" t="s">
        <v>6946</v>
      </c>
      <c r="K39" s="44" t="s">
        <v>6947</v>
      </c>
      <c r="L39" s="45" t="s">
        <v>6948</v>
      </c>
      <c r="M39" s="13"/>
      <c r="N39" s="44" t="s">
        <v>6949</v>
      </c>
      <c r="O39" s="44" t="s">
        <v>6950</v>
      </c>
      <c r="P39" s="45" t="s">
        <v>6951</v>
      </c>
      <c r="Q39" s="13"/>
      <c r="R39" s="44" t="s">
        <v>6952</v>
      </c>
      <c r="S39" s="132" t="s">
        <v>6953</v>
      </c>
      <c r="T39" s="45" t="s">
        <v>6954</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hidden="1" customHeight="1">
      <c r="A40" s="30"/>
      <c r="B40" s="31">
        <v>6.0</v>
      </c>
      <c r="C40" s="55" t="s">
        <v>71</v>
      </c>
      <c r="D40" s="56" t="s">
        <v>72</v>
      </c>
      <c r="E40" s="45" t="s">
        <v>6955</v>
      </c>
      <c r="F40" s="13"/>
      <c r="G40" s="44" t="s">
        <v>355</v>
      </c>
      <c r="H40" s="45" t="s">
        <v>6956</v>
      </c>
      <c r="I40" s="13"/>
      <c r="J40" s="44" t="s">
        <v>6957</v>
      </c>
      <c r="K40" s="44" t="s">
        <v>6958</v>
      </c>
      <c r="L40" s="45" t="s">
        <v>6959</v>
      </c>
      <c r="M40" s="13"/>
      <c r="N40" s="44" t="s">
        <v>6960</v>
      </c>
      <c r="O40" s="44" t="s">
        <v>6961</v>
      </c>
      <c r="P40" s="45" t="s">
        <v>6962</v>
      </c>
      <c r="Q40" s="13"/>
      <c r="R40" s="44" t="s">
        <v>6963</v>
      </c>
      <c r="S40" s="132" t="s">
        <v>6964</v>
      </c>
      <c r="T40" s="45" t="s">
        <v>6965</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hidden="1" customHeight="1">
      <c r="A41" s="30"/>
      <c r="B41" s="31">
        <v>7.0</v>
      </c>
      <c r="C41" s="32" t="s">
        <v>85</v>
      </c>
      <c r="D41" s="32" t="s">
        <v>86</v>
      </c>
      <c r="E41" s="45" t="s">
        <v>6966</v>
      </c>
      <c r="F41" s="13"/>
      <c r="G41" s="44" t="s">
        <v>6967</v>
      </c>
      <c r="H41" s="45" t="s">
        <v>6968</v>
      </c>
      <c r="I41" s="13"/>
      <c r="J41" s="44" t="s">
        <v>6969</v>
      </c>
      <c r="K41" s="44" t="s">
        <v>6970</v>
      </c>
      <c r="L41" s="45" t="s">
        <v>6971</v>
      </c>
      <c r="M41" s="13"/>
      <c r="N41" s="87" t="s">
        <v>6972</v>
      </c>
      <c r="O41" s="13"/>
      <c r="P41" s="45" t="s">
        <v>6973</v>
      </c>
      <c r="Q41" s="13"/>
      <c r="R41" s="44" t="s">
        <v>6974</v>
      </c>
      <c r="S41" s="44" t="s">
        <v>6975</v>
      </c>
      <c r="T41" s="165" t="s">
        <v>6976</v>
      </c>
      <c r="U41" s="36"/>
      <c r="V41" s="41"/>
      <c r="W41" s="26"/>
      <c r="X41" s="42" t="s">
        <v>85</v>
      </c>
      <c r="Y41" s="42" t="s">
        <v>86</v>
      </c>
      <c r="Z41" s="48" t="s">
        <v>97</v>
      </c>
      <c r="AA41" s="85" t="str">
        <f>AA$9</f>
        <v/>
      </c>
      <c r="AB41" s="15" t="str">
        <f>IFERROR(__xludf.DUMMYFUNCTION("join("","",filter(split($H$83,"",""),ARRAYFORMULA(ISERROR(FIND(split($H$83,"",""),CONCATENATE(E41:V41))))=TRUE))"),"СЗ,КЗ,206,403,406,410,АЗ")</f>
        <v>СЗ,КЗ,206,403,406,410,АЗ</v>
      </c>
      <c r="AC41" s="14"/>
      <c r="AD41" s="14"/>
      <c r="AE41" s="14"/>
      <c r="AF41" s="29"/>
      <c r="AG41" s="29"/>
      <c r="AH41" s="29"/>
    </row>
    <row r="42" ht="52.5" hidden="1" customHeight="1">
      <c r="A42" s="30"/>
      <c r="B42" s="31">
        <v>8.0</v>
      </c>
      <c r="C42" s="32" t="s">
        <v>98</v>
      </c>
      <c r="D42" s="32" t="s">
        <v>99</v>
      </c>
      <c r="E42" s="45" t="s">
        <v>6977</v>
      </c>
      <c r="F42" s="13"/>
      <c r="G42" s="44" t="s">
        <v>6978</v>
      </c>
      <c r="H42" s="45" t="s">
        <v>6979</v>
      </c>
      <c r="I42" s="13"/>
      <c r="J42" s="44" t="s">
        <v>6980</v>
      </c>
      <c r="K42" s="44" t="s">
        <v>6981</v>
      </c>
      <c r="L42" s="45" t="s">
        <v>6982</v>
      </c>
      <c r="M42" s="13"/>
      <c r="N42" s="87" t="s">
        <v>6983</v>
      </c>
      <c r="O42" s="13"/>
      <c r="P42" s="45" t="s">
        <v>6984</v>
      </c>
      <c r="Q42" s="13"/>
      <c r="R42" s="166"/>
      <c r="S42" s="13"/>
      <c r="T42" s="165" t="s">
        <v>6985</v>
      </c>
      <c r="U42" s="36"/>
      <c r="V42" s="41"/>
      <c r="W42" s="26"/>
      <c r="X42" s="42" t="s">
        <v>98</v>
      </c>
      <c r="Y42" s="42" t="s">
        <v>99</v>
      </c>
      <c r="Z42" s="11"/>
      <c r="AA42" s="14"/>
      <c r="AB42" s="15" t="str">
        <f>IFERROR(__xludf.DUMMYFUNCTION("join("","",filter(split($H$83,"",""),ARRAYFORMULA(ISERROR(FIND(split($H$83,"",""),CONCATENATE(E42:V42))))=TRUE))"),"СЗ,КЗ,206,403,404,405,406,410,АЗ")</f>
        <v>СЗ,КЗ,206,403,404,405,406,410,АЗ</v>
      </c>
      <c r="AC42" s="14"/>
      <c r="AD42" s="14"/>
      <c r="AE42" s="14"/>
      <c r="AF42" s="29"/>
      <c r="AG42" s="29"/>
      <c r="AH42" s="29"/>
    </row>
    <row r="43" ht="55.5" hidden="1" customHeight="1">
      <c r="A43" s="30"/>
      <c r="B43" s="31">
        <v>9.0</v>
      </c>
      <c r="C43" s="65">
        <v>44697.0</v>
      </c>
      <c r="D43" s="44" t="s">
        <v>109</v>
      </c>
      <c r="E43" s="167" t="s">
        <v>6986</v>
      </c>
      <c r="F43" s="4"/>
      <c r="G43" s="168"/>
      <c r="H43" s="169" t="s">
        <v>6987</v>
      </c>
      <c r="I43" s="36"/>
      <c r="J43" s="13"/>
      <c r="K43" s="568"/>
      <c r="L43" s="568"/>
      <c r="M43" s="171"/>
      <c r="N43" s="45" t="s">
        <v>6988</v>
      </c>
      <c r="O43" s="13"/>
      <c r="P43" s="33" t="s">
        <v>6989</v>
      </c>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IFERROR(__xludf.DUMMYFUNCTION("join("","",filter(split($H$83,"",""),ARRAYFORMULA(ISERROR(FIND(split($H$83,"",""),CONCATENATE(E43:V43))))=TRUE))"),"КЗ,202,206,209,401,403,404,405,406,408,409,АЗ")</f>
        <v>КЗ,202,206,209,401,403,404,405,406,408,409,АЗ</v>
      </c>
      <c r="AC43" s="14"/>
      <c r="AD43" s="14"/>
      <c r="AE43" s="14"/>
      <c r="AF43" s="29"/>
      <c r="AG43" s="29"/>
      <c r="AH43" s="29"/>
    </row>
    <row r="44" ht="55.5" hidden="1" customHeight="1">
      <c r="A44" s="30"/>
      <c r="B44" s="31">
        <v>10.0</v>
      </c>
      <c r="C44" s="44" t="s">
        <v>120</v>
      </c>
      <c r="D44" s="44" t="s">
        <v>121</v>
      </c>
      <c r="E44" s="104"/>
      <c r="F44" s="72"/>
      <c r="G44" s="608"/>
      <c r="H44" s="169" t="s">
        <v>6990</v>
      </c>
      <c r="I44" s="36"/>
      <c r="J44" s="13"/>
      <c r="K44" s="568"/>
      <c r="L44" s="568"/>
      <c r="M44" s="171"/>
      <c r="N44" s="45" t="s">
        <v>6991</v>
      </c>
      <c r="O44" s="13"/>
      <c r="P44" s="33" t="s">
        <v>6992</v>
      </c>
      <c r="Q44" s="104"/>
      <c r="R44" s="64"/>
      <c r="S44" s="64"/>
      <c r="T44" s="64"/>
      <c r="U44" s="64"/>
      <c r="V44" s="88"/>
      <c r="W44" s="26"/>
      <c r="X44" s="70" t="s">
        <v>120</v>
      </c>
      <c r="Y44" s="70" t="s">
        <v>121</v>
      </c>
      <c r="Z44" s="28"/>
      <c r="AA44" s="14"/>
      <c r="AB44" s="15" t="str">
        <f>IFERROR(__xludf.DUMMYFUNCTION("join("","",filter(split($H$83,"",""),ARRAYFORMULA(ISERROR(FIND(split($H$83,"",""),CONCATENATE(E44:V44))))=TRUE))"),"КЗ,201,202,206,209,401,403,404,405,406,408,409,410,АЗ")</f>
        <v>КЗ,201,202,206,209,401,403,404,405,406,408,409,410,АЗ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customHeight="1">
      <c r="A46" s="18">
        <v>44946.0</v>
      </c>
      <c r="B46" s="19">
        <v>1.0</v>
      </c>
      <c r="C46" s="20" t="s">
        <v>12</v>
      </c>
      <c r="D46" s="20" t="s">
        <v>13</v>
      </c>
      <c r="E46" s="156" t="s">
        <v>6993</v>
      </c>
      <c r="F46" s="156" t="s">
        <v>6994</v>
      </c>
      <c r="G46" s="80" t="s">
        <v>6995</v>
      </c>
      <c r="H46" s="25"/>
      <c r="I46" s="174" t="s">
        <v>6996</v>
      </c>
      <c r="J46" s="175" t="s">
        <v>6997</v>
      </c>
      <c r="K46" s="25"/>
      <c r="L46" s="80"/>
      <c r="M46" s="25"/>
      <c r="N46" s="156" t="s">
        <v>6998</v>
      </c>
      <c r="O46" s="156" t="s">
        <v>6999</v>
      </c>
      <c r="P46" s="80" t="s">
        <v>7000</v>
      </c>
      <c r="Q46" s="25"/>
      <c r="R46" s="80" t="s">
        <v>7001</v>
      </c>
      <c r="S46" s="25"/>
      <c r="T46" s="80" t="s">
        <v>7002</v>
      </c>
      <c r="U46" s="24"/>
      <c r="V46" s="22"/>
      <c r="W46" s="26"/>
      <c r="X46" s="27" t="s">
        <v>12</v>
      </c>
      <c r="Y46" s="27" t="s">
        <v>13</v>
      </c>
      <c r="Z46" s="28"/>
      <c r="AA46" s="14"/>
      <c r="AB46" s="15" t="str">
        <f>IFERROR(__xludf.DUMMYFUNCTION("join("","",filter(split($H$83,"",""),ARRAYFORMULA(ISERROR(FIND(split($H$83,"",""),CONCATENATE(E46:V46))))=TRUE))"),"СЗ,КЗ,206,402,406,408,409,410")</f>
        <v>СЗ,КЗ,206,402,406,408,409,410</v>
      </c>
      <c r="AC46" s="14"/>
      <c r="AD46" s="14"/>
      <c r="AE46" s="14"/>
      <c r="AF46" s="29"/>
      <c r="AG46" s="29"/>
      <c r="AH46" s="29"/>
    </row>
    <row r="47" ht="40.5" customHeight="1">
      <c r="A47" s="30"/>
      <c r="B47" s="31">
        <v>2.0</v>
      </c>
      <c r="C47" s="32" t="s">
        <v>21</v>
      </c>
      <c r="D47" s="32" t="s">
        <v>22</v>
      </c>
      <c r="E47" s="44" t="s">
        <v>7003</v>
      </c>
      <c r="F47" s="44" t="s">
        <v>7004</v>
      </c>
      <c r="G47" s="45" t="s">
        <v>7005</v>
      </c>
      <c r="H47" s="13"/>
      <c r="I47" s="173"/>
      <c r="J47" s="157" t="s">
        <v>7006</v>
      </c>
      <c r="K47" s="13"/>
      <c r="L47" s="80"/>
      <c r="M47" s="25"/>
      <c r="N47" s="44" t="s">
        <v>7007</v>
      </c>
      <c r="O47" s="44" t="s">
        <v>7008</v>
      </c>
      <c r="P47" s="45" t="s">
        <v>7009</v>
      </c>
      <c r="Q47" s="13"/>
      <c r="R47" s="44" t="s">
        <v>7010</v>
      </c>
      <c r="S47" s="90" t="s">
        <v>7011</v>
      </c>
      <c r="T47" s="45" t="s">
        <v>7012</v>
      </c>
      <c r="U47" s="36"/>
      <c r="V47" s="41"/>
      <c r="W47" s="26"/>
      <c r="X47" s="42" t="s">
        <v>21</v>
      </c>
      <c r="Y47" s="42" t="s">
        <v>22</v>
      </c>
      <c r="Z47" s="28"/>
      <c r="AA47" s="14"/>
      <c r="AB47" s="15" t="str">
        <f>IFERROR(__xludf.DUMMYFUNCTION("join("","",filter(split($H$83,"",""),ARRAYFORMULA(ISERROR(FIND(split($H$83,"",""),CONCATENATE(E47:V47))))=TRUE))"),"СЗ,КЗ,206,406,408,409,410,АЗ")</f>
        <v>СЗ,КЗ,206,406,408,409,410,АЗ</v>
      </c>
      <c r="AC47" s="14"/>
      <c r="AD47" s="14"/>
      <c r="AE47" s="14"/>
      <c r="AF47" s="29"/>
      <c r="AG47" s="29"/>
      <c r="AH47" s="29"/>
    </row>
    <row r="48" ht="40.5" customHeight="1">
      <c r="A48" s="30"/>
      <c r="B48" s="31">
        <v>3.0</v>
      </c>
      <c r="C48" s="32" t="s">
        <v>33</v>
      </c>
      <c r="D48" s="32" t="s">
        <v>34</v>
      </c>
      <c r="E48" s="40" t="s">
        <v>7013</v>
      </c>
      <c r="F48" s="13"/>
      <c r="G48" s="176" t="s">
        <v>7014</v>
      </c>
      <c r="H48" s="4"/>
      <c r="I48" s="90" t="s">
        <v>7015</v>
      </c>
      <c r="J48" s="44" t="s">
        <v>7016</v>
      </c>
      <c r="K48" s="44" t="s">
        <v>7017</v>
      </c>
      <c r="L48" s="44" t="s">
        <v>7018</v>
      </c>
      <c r="M48" s="44" t="s">
        <v>7019</v>
      </c>
      <c r="N48" s="164" t="s">
        <v>7020</v>
      </c>
      <c r="O48" s="36"/>
      <c r="P48" s="36"/>
      <c r="Q48" s="13"/>
      <c r="R48" s="44" t="s">
        <v>7021</v>
      </c>
      <c r="S48" s="90" t="s">
        <v>7022</v>
      </c>
      <c r="T48" s="45" t="s">
        <v>7023</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7024</v>
      </c>
      <c r="F49" s="13"/>
      <c r="G49" s="104"/>
      <c r="H49" s="72"/>
      <c r="I49" s="90" t="s">
        <v>7025</v>
      </c>
      <c r="J49" s="44" t="s">
        <v>7026</v>
      </c>
      <c r="K49" s="44" t="s">
        <v>7027</v>
      </c>
      <c r="L49" s="44" t="s">
        <v>7028</v>
      </c>
      <c r="M49" s="44" t="s">
        <v>7029</v>
      </c>
      <c r="N49" s="164" t="s">
        <v>7030</v>
      </c>
      <c r="O49" s="36"/>
      <c r="P49" s="36"/>
      <c r="Q49" s="13"/>
      <c r="R49" s="90" t="s">
        <v>7031</v>
      </c>
      <c r="S49" s="133" t="s">
        <v>7032</v>
      </c>
      <c r="T49" s="45" t="s">
        <v>7033</v>
      </c>
      <c r="U49" s="36"/>
      <c r="V49" s="41"/>
      <c r="W49" s="26"/>
      <c r="X49" s="42" t="s">
        <v>48</v>
      </c>
      <c r="Y49" s="42" t="s">
        <v>49</v>
      </c>
      <c r="Z49" s="48" t="s">
        <v>57</v>
      </c>
      <c r="AA49" s="85" t="str">
        <f>AA$6</f>
        <v/>
      </c>
      <c r="AB49" s="15" t="str">
        <f>IFERROR(__xludf.DUMMYFUNCTION("join("","",filter(split($H$83,"",""),ARRAYFORMULA(ISERROR(FIND(split($H$83,"",""),CONCATENATE(E49:V49))))=TRUE))"),"СЗ,КЗ,201,206,209,410,АЗ")</f>
        <v>СЗ,КЗ,201,206,209,410,АЗ</v>
      </c>
      <c r="AC49" s="14"/>
      <c r="AD49" s="14"/>
      <c r="AE49" s="14"/>
      <c r="AF49" s="29"/>
      <c r="AG49" s="29"/>
      <c r="AH49" s="29"/>
    </row>
    <row r="50" ht="40.5" customHeight="1">
      <c r="A50" s="30"/>
      <c r="B50" s="31">
        <v>5.0</v>
      </c>
      <c r="C50" s="32" t="s">
        <v>58</v>
      </c>
      <c r="D50" s="53">
        <v>44847.0</v>
      </c>
      <c r="E50" s="45" t="s">
        <v>7034</v>
      </c>
      <c r="F50" s="13"/>
      <c r="G50" s="44" t="s">
        <v>7035</v>
      </c>
      <c r="H50" s="44" t="s">
        <v>7036</v>
      </c>
      <c r="I50" s="44" t="s">
        <v>7037</v>
      </c>
      <c r="J50" s="45" t="s">
        <v>7038</v>
      </c>
      <c r="K50" s="13"/>
      <c r="L50" s="45" t="s">
        <v>7039</v>
      </c>
      <c r="M50" s="13"/>
      <c r="N50" s="177" t="s">
        <v>7040</v>
      </c>
      <c r="O50" s="124" t="s">
        <v>7041</v>
      </c>
      <c r="P50" s="45" t="s">
        <v>7042</v>
      </c>
      <c r="Q50" s="13"/>
      <c r="R50" s="90" t="s">
        <v>7043</v>
      </c>
      <c r="S50" s="133" t="s">
        <v>7044</v>
      </c>
      <c r="T50" s="45" t="s">
        <v>7045</v>
      </c>
      <c r="U50" s="36"/>
      <c r="V50" s="41"/>
      <c r="W50" s="26"/>
      <c r="X50" s="42" t="s">
        <v>58</v>
      </c>
      <c r="Y50" s="54">
        <v>44847.0</v>
      </c>
      <c r="Z50" s="48" t="s">
        <v>70</v>
      </c>
      <c r="AA50" s="85" t="str">
        <f>AA$7</f>
        <v/>
      </c>
      <c r="AB50" s="15" t="str">
        <f>IFERROR(__xludf.DUMMYFUNCTION("join("","",filter(split($H$83,"",""),ARRAYFORMULA(ISERROR(FIND(split($H$83,"",""),CONCATENATE(E50:V50))))=TRUE))"),"СЗ,КЗ,206,401,404,408,410")</f>
        <v>СЗ,КЗ,206,401,404,408,410</v>
      </c>
      <c r="AC50" s="14"/>
      <c r="AD50" s="14"/>
      <c r="AE50" s="14"/>
      <c r="AF50" s="29"/>
      <c r="AG50" s="29"/>
      <c r="AH50" s="29"/>
    </row>
    <row r="51" ht="48.75" customHeight="1">
      <c r="A51" s="30"/>
      <c r="B51" s="31">
        <v>6.0</v>
      </c>
      <c r="C51" s="55" t="s">
        <v>71</v>
      </c>
      <c r="D51" s="56" t="s">
        <v>72</v>
      </c>
      <c r="E51" s="45" t="s">
        <v>7046</v>
      </c>
      <c r="F51" s="13"/>
      <c r="G51" s="44" t="s">
        <v>7047</v>
      </c>
      <c r="H51" s="44" t="s">
        <v>7048</v>
      </c>
      <c r="I51" s="44" t="s">
        <v>7049</v>
      </c>
      <c r="J51" s="45" t="s">
        <v>7050</v>
      </c>
      <c r="K51" s="13"/>
      <c r="L51" s="45" t="s">
        <v>7051</v>
      </c>
      <c r="M51" s="13"/>
      <c r="N51" s="177" t="s">
        <v>7052</v>
      </c>
      <c r="O51" s="124" t="s">
        <v>7053</v>
      </c>
      <c r="P51" s="45" t="s">
        <v>7054</v>
      </c>
      <c r="Q51" s="13"/>
      <c r="R51" s="162" t="s">
        <v>7055</v>
      </c>
      <c r="S51" s="178" t="s">
        <v>7056</v>
      </c>
      <c r="T51" s="44" t="s">
        <v>7057</v>
      </c>
      <c r="U51" s="44" t="s">
        <v>7058</v>
      </c>
      <c r="V51" s="34"/>
      <c r="W51" s="179"/>
      <c r="X51" s="58" t="s">
        <v>71</v>
      </c>
      <c r="Y51" s="59" t="s">
        <v>72</v>
      </c>
      <c r="Z51" s="48" t="s">
        <v>84</v>
      </c>
      <c r="AA51" s="85"/>
      <c r="AB51" s="15" t="str">
        <f>IFERROR(__xludf.DUMMYFUNCTION("join("","",filter(split($H$83,"",""),ARRAYFORMULA(ISERROR(FIND(split($H$83,"",""),CONCATENATE(E51:V51))))=TRUE))"),"СЗ,206,409,410")</f>
        <v>СЗ,206,409,410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7059</v>
      </c>
      <c r="F52" s="13"/>
      <c r="G52" s="44" t="s">
        <v>7060</v>
      </c>
      <c r="H52" s="44" t="s">
        <v>7061</v>
      </c>
      <c r="I52" s="44" t="s">
        <v>7062</v>
      </c>
      <c r="J52" s="45" t="s">
        <v>7063</v>
      </c>
      <c r="K52" s="13"/>
      <c r="L52" s="45" t="s">
        <v>7064</v>
      </c>
      <c r="M52" s="13"/>
      <c r="N52" s="563"/>
      <c r="O52" s="177" t="s">
        <v>7065</v>
      </c>
      <c r="P52" s="124" t="s">
        <v>7066</v>
      </c>
      <c r="Q52" s="90" t="s">
        <v>7067</v>
      </c>
      <c r="R52" s="180" t="s">
        <v>7068</v>
      </c>
      <c r="S52" s="181" t="s">
        <v>7069</v>
      </c>
      <c r="T52" s="44" t="s">
        <v>2350</v>
      </c>
      <c r="U52" s="44"/>
      <c r="V52" s="34"/>
      <c r="W52" s="26"/>
      <c r="X52" s="42" t="s">
        <v>85</v>
      </c>
      <c r="Y52" s="42" t="s">
        <v>86</v>
      </c>
      <c r="Z52" s="48" t="s">
        <v>97</v>
      </c>
      <c r="AA52" s="85" t="str">
        <f>AA$9</f>
        <v/>
      </c>
      <c r="AB52" s="15" t="str">
        <f>IFERROR(__xludf.DUMMYFUNCTION("join("","",filter(split($H$83,"",""),ARRAYFORMULA(ISERROR(FIND(split($H$83,"",""),CONCATENATE(E52:V52))))=TRUE))"),"СЗ,206,406,410")</f>
        <v>СЗ,206,406,410</v>
      </c>
      <c r="AC52" s="14"/>
      <c r="AD52" s="14"/>
      <c r="AE52" s="14"/>
      <c r="AF52" s="29"/>
      <c r="AG52" s="29"/>
      <c r="AH52" s="29"/>
    </row>
    <row r="53" ht="51.75" customHeight="1">
      <c r="A53" s="30"/>
      <c r="B53" s="31">
        <v>8.0</v>
      </c>
      <c r="C53" s="32" t="s">
        <v>98</v>
      </c>
      <c r="D53" s="32" t="s">
        <v>99</v>
      </c>
      <c r="E53" s="44" t="s">
        <v>7070</v>
      </c>
      <c r="F53" s="44" t="s">
        <v>7071</v>
      </c>
      <c r="G53" s="416" t="s">
        <v>1913</v>
      </c>
      <c r="H53" s="86" t="s">
        <v>7072</v>
      </c>
      <c r="I53" s="13"/>
      <c r="J53" s="45" t="s">
        <v>7073</v>
      </c>
      <c r="K53" s="13"/>
      <c r="L53" s="45" t="s">
        <v>7074</v>
      </c>
      <c r="M53" s="13"/>
      <c r="N53" s="182"/>
      <c r="O53" s="177" t="s">
        <v>7075</v>
      </c>
      <c r="P53" s="124" t="s">
        <v>7076</v>
      </c>
      <c r="Q53" s="90" t="s">
        <v>7077</v>
      </c>
      <c r="R53" s="183" t="s">
        <v>7078</v>
      </c>
      <c r="S53" s="181" t="s">
        <v>7079</v>
      </c>
      <c r="T53" s="144"/>
      <c r="U53" s="144"/>
      <c r="V53" s="184"/>
      <c r="W53" s="26"/>
      <c r="X53" s="42" t="s">
        <v>98</v>
      </c>
      <c r="Y53" s="42" t="s">
        <v>99</v>
      </c>
      <c r="Z53" s="11"/>
      <c r="AA53" s="14"/>
      <c r="AB53" s="15" t="str">
        <f>IFERROR(__xludf.DUMMYFUNCTION("join("","",filter(split($H$83,"",""),ARRAYFORMULA(ISERROR(FIND(split($H$83,"",""),CONCATENATE(E53:V53))))=TRUE))"),"СЗ,201,206,401,404,405,408,410")</f>
        <v>СЗ,201,206,401,404,405,408,410</v>
      </c>
      <c r="AC53" s="14"/>
      <c r="AD53" s="14"/>
      <c r="AE53" s="14"/>
      <c r="AF53" s="29"/>
      <c r="AG53" s="29"/>
      <c r="AH53" s="29"/>
    </row>
    <row r="54" ht="71.25" customHeight="1">
      <c r="A54" s="30"/>
      <c r="B54" s="31">
        <v>9.0</v>
      </c>
      <c r="C54" s="65">
        <v>44697.0</v>
      </c>
      <c r="D54" s="44" t="s">
        <v>109</v>
      </c>
      <c r="E54" s="187" t="s">
        <v>7080</v>
      </c>
      <c r="F54" s="8"/>
      <c r="G54" s="8"/>
      <c r="H54" s="8"/>
      <c r="I54" s="8"/>
      <c r="J54" s="8"/>
      <c r="K54" s="8"/>
      <c r="L54" s="8"/>
      <c r="M54" s="8"/>
      <c r="N54" s="86" t="s">
        <v>7081</v>
      </c>
      <c r="O54" s="13"/>
      <c r="P54" s="187" t="s">
        <v>7080</v>
      </c>
      <c r="Q54" s="8"/>
      <c r="R54" s="8"/>
      <c r="S54" s="8"/>
      <c r="T54" s="8"/>
      <c r="U54" s="8"/>
      <c r="V54" s="8"/>
      <c r="W54" s="186"/>
      <c r="X54" s="69">
        <v>44697.0</v>
      </c>
      <c r="Y54" s="70" t="s">
        <v>109</v>
      </c>
      <c r="Z54" s="28"/>
      <c r="AA54" s="14"/>
      <c r="AB54" s="15" t="str">
        <f>IFERROR(__xludf.DUMMYFUNCTION("join("","",filter(split($H$83,"",""),ARRAYFORMULA(ISERROR(FIND(split($H$83,"",""),CONCATENATE(E54:V54))))=TRUE))"),"206,209,401,403,404,405,408,410,АЗ")</f>
        <v>206,209,401,403,404,405,408,410,АЗ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18">
        <v>44947.0</v>
      </c>
      <c r="B57" s="191">
        <v>1.0</v>
      </c>
      <c r="C57" s="192" t="str">
        <f>D$1</f>
        <v/>
      </c>
      <c r="D57" s="72"/>
      <c r="E57" s="193"/>
      <c r="F57" s="193"/>
      <c r="G57" s="194" t="s">
        <v>481</v>
      </c>
      <c r="H57" s="64"/>
      <c r="I57" s="72"/>
      <c r="J57" s="195"/>
      <c r="K57" s="64"/>
      <c r="L57" s="64"/>
      <c r="M57" s="72"/>
      <c r="N57" s="193"/>
      <c r="O57" s="193"/>
      <c r="P57" s="187"/>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609" t="s">
        <v>7082</v>
      </c>
      <c r="H58" s="36"/>
      <c r="I58" s="13"/>
      <c r="J58" s="15"/>
      <c r="K58" s="15"/>
      <c r="L58" s="15"/>
      <c r="M58" s="15"/>
      <c r="N58" s="15"/>
      <c r="O58" s="15"/>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44" t="s">
        <v>7083</v>
      </c>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85">
    <mergeCell ref="J29:K29"/>
    <mergeCell ref="L29:M29"/>
    <mergeCell ref="J30:K30"/>
    <mergeCell ref="L30:M30"/>
    <mergeCell ref="J31:M31"/>
    <mergeCell ref="J32:M32"/>
    <mergeCell ref="J35:K35"/>
    <mergeCell ref="J36:K36"/>
    <mergeCell ref="J37:K37"/>
    <mergeCell ref="J38:K38"/>
    <mergeCell ref="L39:M39"/>
    <mergeCell ref="L40:M40"/>
    <mergeCell ref="L41:M41"/>
    <mergeCell ref="L42:M42"/>
    <mergeCell ref="J51:K51"/>
    <mergeCell ref="J52:K52"/>
    <mergeCell ref="J53:K53"/>
    <mergeCell ref="L52:M52"/>
    <mergeCell ref="L53:M53"/>
    <mergeCell ref="J57:M57"/>
    <mergeCell ref="K66:L66"/>
    <mergeCell ref="K67:L67"/>
    <mergeCell ref="K68:L68"/>
    <mergeCell ref="J46:K46"/>
    <mergeCell ref="L46:M46"/>
    <mergeCell ref="J47:K47"/>
    <mergeCell ref="L47:M47"/>
    <mergeCell ref="J50:K50"/>
    <mergeCell ref="L50:M50"/>
    <mergeCell ref="L51:M51"/>
    <mergeCell ref="E19:F19"/>
    <mergeCell ref="H19:I19"/>
    <mergeCell ref="J19:K19"/>
    <mergeCell ref="L19:M19"/>
    <mergeCell ref="E20:F20"/>
    <mergeCell ref="H20:I20"/>
    <mergeCell ref="J20:K20"/>
    <mergeCell ref="L20:M20"/>
    <mergeCell ref="J10:K10"/>
    <mergeCell ref="L10:M10"/>
    <mergeCell ref="A13:A23"/>
    <mergeCell ref="E13:F13"/>
    <mergeCell ref="J13:K13"/>
    <mergeCell ref="L13:M13"/>
    <mergeCell ref="E14:F14"/>
    <mergeCell ref="H21:M21"/>
    <mergeCell ref="H22:M22"/>
    <mergeCell ref="H24:I24"/>
    <mergeCell ref="J24:M24"/>
    <mergeCell ref="H25:I25"/>
    <mergeCell ref="J25:K25"/>
    <mergeCell ref="L25:M25"/>
    <mergeCell ref="H43:J43"/>
    <mergeCell ref="H44:J44"/>
    <mergeCell ref="E54:M55"/>
    <mergeCell ref="E41:F41"/>
    <mergeCell ref="E42:F42"/>
    <mergeCell ref="E33:F33"/>
    <mergeCell ref="E34:F34"/>
    <mergeCell ref="E35:F35"/>
    <mergeCell ref="E36:F36"/>
    <mergeCell ref="E37:F37"/>
    <mergeCell ref="E38:F38"/>
    <mergeCell ref="E43:F44"/>
    <mergeCell ref="E21:F22"/>
    <mergeCell ref="G21:G22"/>
    <mergeCell ref="A24:A34"/>
    <mergeCell ref="E24:F24"/>
    <mergeCell ref="E25:F25"/>
    <mergeCell ref="E26:F26"/>
    <mergeCell ref="G29:H29"/>
    <mergeCell ref="G30:H30"/>
    <mergeCell ref="E31:F31"/>
    <mergeCell ref="G31:I32"/>
    <mergeCell ref="E32:F32"/>
    <mergeCell ref="H35:I35"/>
    <mergeCell ref="H36:I36"/>
    <mergeCell ref="H37:I37"/>
    <mergeCell ref="E39:F39"/>
    <mergeCell ref="E40:F40"/>
    <mergeCell ref="A35:A45"/>
    <mergeCell ref="A46:A56"/>
    <mergeCell ref="A57:A67"/>
    <mergeCell ref="G47:H47"/>
    <mergeCell ref="G48:H49"/>
    <mergeCell ref="H53:I53"/>
    <mergeCell ref="G57:I57"/>
    <mergeCell ref="G58:I58"/>
    <mergeCell ref="H38:I38"/>
    <mergeCell ref="H39:I39"/>
    <mergeCell ref="H40:I40"/>
    <mergeCell ref="H41:I41"/>
    <mergeCell ref="H42:I42"/>
    <mergeCell ref="G46:H46"/>
    <mergeCell ref="I46:I47"/>
    <mergeCell ref="E48:F48"/>
    <mergeCell ref="E49:F49"/>
    <mergeCell ref="E50:F50"/>
    <mergeCell ref="E51:F51"/>
    <mergeCell ref="E52:F52"/>
    <mergeCell ref="C57:D57"/>
    <mergeCell ref="N31:O31"/>
    <mergeCell ref="P31:Q32"/>
    <mergeCell ref="N32:O32"/>
    <mergeCell ref="N27:O27"/>
    <mergeCell ref="P27:Q27"/>
    <mergeCell ref="T27:V27"/>
    <mergeCell ref="T28:V32"/>
    <mergeCell ref="N29:O29"/>
    <mergeCell ref="R29:R30"/>
    <mergeCell ref="T35:V35"/>
    <mergeCell ref="N41:O41"/>
    <mergeCell ref="P41:Q41"/>
    <mergeCell ref="T41:V41"/>
    <mergeCell ref="N42:O42"/>
    <mergeCell ref="P42:Q42"/>
    <mergeCell ref="R42:S42"/>
    <mergeCell ref="N43:O43"/>
    <mergeCell ref="N44:O44"/>
    <mergeCell ref="T42:V42"/>
    <mergeCell ref="Q43:V44"/>
    <mergeCell ref="P46:Q46"/>
    <mergeCell ref="R46:S46"/>
    <mergeCell ref="T46:V46"/>
    <mergeCell ref="P47:Q47"/>
    <mergeCell ref="N48:Q48"/>
    <mergeCell ref="N16:O16"/>
    <mergeCell ref="P16:Q16"/>
    <mergeCell ref="T16:V16"/>
    <mergeCell ref="N17:O17"/>
    <mergeCell ref="T17:V17"/>
    <mergeCell ref="N18:O18"/>
    <mergeCell ref="T18:V18"/>
    <mergeCell ref="N19:O19"/>
    <mergeCell ref="P19:Q19"/>
    <mergeCell ref="T19:V19"/>
    <mergeCell ref="N20:O20"/>
    <mergeCell ref="P20:Q20"/>
    <mergeCell ref="T20:V20"/>
    <mergeCell ref="N21:O21"/>
    <mergeCell ref="T21:V21"/>
    <mergeCell ref="P24:S24"/>
    <mergeCell ref="T24:V24"/>
    <mergeCell ref="P21:Q21"/>
    <mergeCell ref="R21:S21"/>
    <mergeCell ref="N22:O22"/>
    <mergeCell ref="P22:S22"/>
    <mergeCell ref="T22:V22"/>
    <mergeCell ref="R23:V23"/>
    <mergeCell ref="N24:O24"/>
    <mergeCell ref="N25:O25"/>
    <mergeCell ref="P25:Q25"/>
    <mergeCell ref="R25:S25"/>
    <mergeCell ref="T25:V25"/>
    <mergeCell ref="N26:O26"/>
    <mergeCell ref="R26:S26"/>
    <mergeCell ref="T26:V26"/>
    <mergeCell ref="N30:O30"/>
    <mergeCell ref="N36:O36"/>
    <mergeCell ref="N54:O54"/>
    <mergeCell ref="P54:V55"/>
    <mergeCell ref="P57:S58"/>
    <mergeCell ref="X57:Y57"/>
    <mergeCell ref="T47:V47"/>
    <mergeCell ref="T48:V48"/>
    <mergeCell ref="N49:Q49"/>
    <mergeCell ref="T49:V49"/>
    <mergeCell ref="P50:Q50"/>
    <mergeCell ref="T50:V50"/>
    <mergeCell ref="P51:Q51"/>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P15:Q15"/>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P7:Q7"/>
    <mergeCell ref="R7:S7"/>
    <mergeCell ref="H8:I8"/>
    <mergeCell ref="J8:K8"/>
    <mergeCell ref="L8:M8"/>
    <mergeCell ref="N8:O8"/>
    <mergeCell ref="P8:Q8"/>
    <mergeCell ref="R8:S8"/>
    <mergeCell ref="H9:I9"/>
    <mergeCell ref="J9:K9"/>
    <mergeCell ref="L9:M9"/>
    <mergeCell ref="N9:O9"/>
    <mergeCell ref="E10:F10"/>
    <mergeCell ref="H10:I10"/>
    <mergeCell ref="S10:V10"/>
    <mergeCell ref="T11:V11"/>
    <mergeCell ref="U13:V13"/>
    <mergeCell ref="U14:V14"/>
    <mergeCell ref="T15:V15"/>
    <mergeCell ref="J28:K28"/>
    <mergeCell ref="L28:M28"/>
    <mergeCell ref="N28:O28"/>
    <mergeCell ref="G33:Q34"/>
    <mergeCell ref="N35:O35"/>
    <mergeCell ref="G26:I26"/>
    <mergeCell ref="J26:K26"/>
    <mergeCell ref="L26:M26"/>
    <mergeCell ref="G27:H27"/>
    <mergeCell ref="J27:K27"/>
    <mergeCell ref="L27:M27"/>
    <mergeCell ref="G28:H28"/>
    <mergeCell ref="T39:V39"/>
    <mergeCell ref="T40:V40"/>
    <mergeCell ref="T36:V36"/>
    <mergeCell ref="N37:Q37"/>
    <mergeCell ref="T37:V37"/>
    <mergeCell ref="N38:Q38"/>
    <mergeCell ref="T38:V38"/>
    <mergeCell ref="P39:Q39"/>
    <mergeCell ref="P40:Q40"/>
  </mergeCells>
  <conditionalFormatting sqref="E1:T86 U1:U31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T53 U2:U31 V32:V34 U35:U53 V50:V52 W51 P57 K61:L68">
    <cfRule type="containsText" dxfId="2" priority="3" operator="containsText" text="Шерашова">
      <formula>NOT(ISERROR(SEARCH(("Шерашова"),(E2))))</formula>
    </cfRule>
  </conditionalFormatting>
  <conditionalFormatting sqref="E2:T53 U2:U31 V32:V34 U35:U53 V50:V52 W51 P57 K61:L68">
    <cfRule type="containsText" dxfId="3" priority="4" operator="containsText" text="Англ">
      <formula>NOT(ISERROR(SEARCH(("Англ"),(E2))))</formula>
    </cfRule>
  </conditionalFormatting>
  <conditionalFormatting sqref="E2:T53 U2:U31 V32:V34 U35:U53 V50:V52 W51 P57 K61:L68">
    <cfRule type="containsText" dxfId="4" priority="5" operator="containsText" text="Театр">
      <formula>NOT(ISERROR(SEARCH(("Театр"),(E2))))</formula>
    </cfRule>
  </conditionalFormatting>
  <conditionalFormatting sqref="E2:T53 U2:U31 V32:V34 U35:U53 V50:V52 W51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8 S10:S32 T10:V45 R11:R46 F15:F17 F19:F20 E24:F30 E32:E53 F32:F45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9:N30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4:H24 G25 E26 F28 R27:S28 E29:E30 H35:H36 G37:G38 E48:E49 N52:N54">
      <formula1>IF(COUNTA(filter($E8:$W8,ARRAYFORMULA(ISERROR(FIND(join(",",filter(split($H$83,","),ARRAYFORMULA(ISERROR(FIND(split($H$83,","),E7)))=FALSE)),$E8:$W8))=FALSE)))&gt;1,FALSE,TRUE)</formula1>
    </dataValidation>
    <dataValidation type="custom" allowBlank="1" showDropDown="1" sqref="N2 R2 T2 G2:G3 J2:J3 L4 P2:P4 G5:H6 K5:M6 T5:T6 L7:L8 P7:P8 T7:U8 G7:G9 H10 J9:J10 N9:N10 Q9:Q10 S10 W2:W10 E12:W12 E13:E14 H13:H14 L13:L14 E17:E18 G15:G18 S17:S18 H19:H20 J15:J20 L17:L20 G21 R19:R21 T21 H22 G23:R23 J24 P25 R25 Q26 E27:F27 P27 E28 I27:I28 Q28 T28 F29:G30 P29:Q30 J31:J32 W13:W32 R33:R34 T33:W34 G35:G36 L35:M36 P35:Q36 H37:H38 J37:J38 L37:N38 E37:E40 G39:G40 J39:K40 N39:P40 R37:S40 R41:T41 J41:L42 T42 E43 Q43 G41:H44 K43:N44 W35:W44 E45:W45 I46 F46:G47 L46:L47 N46:P47 G48 L48:M49 L51 N50:O51 I50:I52 G53:H53 O52:P53 E54 P54 N55:O55 W46:W55 E56:W56 J57 N57:O57 E57:G58 J58:O58 E59: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 P43:P44">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S29:S30 S32 R47:R48 T51:V52 P57">
      <formula1>IF(COUNTA(filter($E25:$W25,ARRAYFORMULA(ISERROR(FIND(join(",",filter(split($H$83,","),ARRAYFORMULA(ISERROR(FIND(split($H$83,","),P26)))=FALSE)),$E25:$W25))=FALSE)))&gt;1,FALSE,TRUE)</formula1>
    </dataValidation>
    <dataValidation type="custom" allowBlank="1" showDropDown="1" sqref="P13:P1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610" t="s">
        <v>7084</v>
      </c>
      <c r="AF1" s="17"/>
      <c r="AG1" s="17"/>
      <c r="AH1" s="17"/>
    </row>
    <row r="2" ht="40.5" hidden="1" customHeight="1">
      <c r="A2" s="18">
        <v>44949.0</v>
      </c>
      <c r="B2" s="19">
        <v>1.0</v>
      </c>
      <c r="C2" s="20" t="s">
        <v>12</v>
      </c>
      <c r="D2" s="20" t="s">
        <v>13</v>
      </c>
      <c r="E2" s="21" t="s">
        <v>7085</v>
      </c>
      <c r="F2" s="22"/>
      <c r="G2" s="23" t="s">
        <v>7086</v>
      </c>
      <c r="H2" s="24"/>
      <c r="I2" s="25"/>
      <c r="J2" s="21" t="s">
        <v>7087</v>
      </c>
      <c r="K2" s="24"/>
      <c r="L2" s="24"/>
      <c r="M2" s="25"/>
      <c r="N2" s="21" t="s">
        <v>7088</v>
      </c>
      <c r="O2" s="25"/>
      <c r="P2" s="21" t="s">
        <v>7089</v>
      </c>
      <c r="Q2" s="25"/>
      <c r="R2" s="21" t="s">
        <v>7090</v>
      </c>
      <c r="S2" s="25"/>
      <c r="T2" s="21" t="s">
        <v>7091</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7092</v>
      </c>
      <c r="F3" s="34" t="s">
        <v>7093</v>
      </c>
      <c r="G3" s="35" t="s">
        <v>25</v>
      </c>
      <c r="H3" s="36"/>
      <c r="I3" s="13"/>
      <c r="J3" s="37" t="s">
        <v>7094</v>
      </c>
      <c r="K3" s="13"/>
      <c r="L3" s="38" t="s">
        <v>7095</v>
      </c>
      <c r="M3" s="13"/>
      <c r="N3" s="37" t="s">
        <v>7096</v>
      </c>
      <c r="O3" s="13"/>
      <c r="P3" s="37" t="s">
        <v>7097</v>
      </c>
      <c r="Q3" s="13"/>
      <c r="R3" s="39" t="s">
        <v>7098</v>
      </c>
      <c r="S3" s="40" t="s">
        <v>7099</v>
      </c>
      <c r="T3" s="37" t="s">
        <v>7100</v>
      </c>
      <c r="U3" s="36"/>
      <c r="V3" s="41"/>
      <c r="W3" s="26"/>
      <c r="X3" s="42" t="s">
        <v>21</v>
      </c>
      <c r="Y3" s="42" t="s">
        <v>22</v>
      </c>
      <c r="Z3" s="28"/>
      <c r="AA3" s="14"/>
      <c r="AB3" s="15" t="str">
        <f>IFERROR(__xludf.DUMMYFUNCTION("join("","",filter(split($H$83,"",""),ARRAYFORMULA(ISERROR(FIND(split($H$83,"",""),CONCATENATE(E3:V3))))=TRUE))"),"201,206,404,405,406,410,АЗ")</f>
        <v>201,206,404,405,406,410,АЗ</v>
      </c>
      <c r="AC3" s="14"/>
      <c r="AD3" s="14"/>
      <c r="AE3" s="14"/>
      <c r="AF3" s="29"/>
      <c r="AG3" s="29"/>
      <c r="AH3" s="29"/>
    </row>
    <row r="4" ht="40.5" hidden="1" customHeight="1">
      <c r="A4" s="30"/>
      <c r="B4" s="31">
        <v>3.0</v>
      </c>
      <c r="C4" s="32" t="s">
        <v>33</v>
      </c>
      <c r="D4" s="32" t="s">
        <v>34</v>
      </c>
      <c r="E4" s="33" t="s">
        <v>7101</v>
      </c>
      <c r="F4" s="126" t="s">
        <v>7102</v>
      </c>
      <c r="G4" s="43" t="s">
        <v>7103</v>
      </c>
      <c r="H4" s="44" t="s">
        <v>7104</v>
      </c>
      <c r="I4" s="45" t="s">
        <v>7105</v>
      </c>
      <c r="J4" s="46" t="s">
        <v>7106</v>
      </c>
      <c r="K4" s="13"/>
      <c r="L4" s="45" t="s">
        <v>7107</v>
      </c>
      <c r="M4" s="13"/>
      <c r="N4" s="37" t="s">
        <v>7108</v>
      </c>
      <c r="O4" s="13"/>
      <c r="P4" s="37" t="s">
        <v>7109</v>
      </c>
      <c r="Q4" s="13"/>
      <c r="R4" s="39" t="s">
        <v>7110</v>
      </c>
      <c r="S4" s="40" t="s">
        <v>7111</v>
      </c>
      <c r="T4" s="37" t="s">
        <v>7100</v>
      </c>
      <c r="U4" s="36"/>
      <c r="V4" s="41"/>
      <c r="W4" s="26"/>
      <c r="X4" s="42" t="s">
        <v>33</v>
      </c>
      <c r="Y4" s="42" t="s">
        <v>34</v>
      </c>
      <c r="Z4" s="48" t="s">
        <v>47</v>
      </c>
      <c r="AA4" s="14"/>
      <c r="AB4" s="15" t="str">
        <f>IFERROR(__xludf.DUMMYFUNCTION("join("","",filter(split($H$83,"",""),ARRAYFORMULA(ISERROR(FIND(split($H$83,"",""),CONCATENATE(E4:V4))))=TRUE))"),"КЗ,201,206,404,406,АЗ")</f>
        <v>КЗ,201,206,404,406,АЗ</v>
      </c>
      <c r="AC4" s="14"/>
      <c r="AD4" s="14"/>
      <c r="AE4" s="14"/>
      <c r="AF4" s="29"/>
      <c r="AG4" s="29"/>
      <c r="AH4" s="29"/>
    </row>
    <row r="5" ht="40.5" hidden="1" customHeight="1">
      <c r="A5" s="30"/>
      <c r="B5" s="31">
        <v>4.0</v>
      </c>
      <c r="C5" s="32" t="s">
        <v>48</v>
      </c>
      <c r="D5" s="32" t="s">
        <v>49</v>
      </c>
      <c r="E5" s="33" t="s">
        <v>7112</v>
      </c>
      <c r="F5" s="126" t="s">
        <v>7113</v>
      </c>
      <c r="G5" s="43" t="s">
        <v>7114</v>
      </c>
      <c r="H5" s="45" t="s">
        <v>7115</v>
      </c>
      <c r="I5" s="13"/>
      <c r="J5" s="33" t="s">
        <v>7116</v>
      </c>
      <c r="K5" s="44" t="s">
        <v>7117</v>
      </c>
      <c r="L5" s="44" t="s">
        <v>7118</v>
      </c>
      <c r="M5" s="45" t="s">
        <v>7119</v>
      </c>
      <c r="N5" s="37" t="s">
        <v>7120</v>
      </c>
      <c r="O5" s="13"/>
      <c r="P5" s="37" t="s">
        <v>7121</v>
      </c>
      <c r="Q5" s="13"/>
      <c r="R5" s="51" t="s">
        <v>7122</v>
      </c>
      <c r="S5" s="13"/>
      <c r="T5" s="52" t="s">
        <v>7123</v>
      </c>
      <c r="U5" s="36"/>
      <c r="V5" s="41"/>
      <c r="W5" s="26"/>
      <c r="X5" s="42" t="s">
        <v>48</v>
      </c>
      <c r="Y5" s="42" t="s">
        <v>49</v>
      </c>
      <c r="Z5" s="48" t="s">
        <v>57</v>
      </c>
      <c r="AA5" s="14"/>
      <c r="AB5" s="15" t="str">
        <f>IFERROR(__xludf.DUMMYFUNCTION("join("","",filter(split($H$83,"",""),ARRAYFORMULA(ISERROR(FIND(split($H$83,"",""),CONCATENATE(E5:V5))))=TRUE))"),"СЗ,КЗ,206,401,406,408")</f>
        <v>СЗ,КЗ,206,401,406,408</v>
      </c>
      <c r="AC5" s="14"/>
      <c r="AD5" s="14"/>
      <c r="AE5" s="14"/>
      <c r="AF5" s="29"/>
      <c r="AG5" s="29"/>
      <c r="AH5" s="29"/>
    </row>
    <row r="6" ht="40.5" hidden="1" customHeight="1">
      <c r="A6" s="30"/>
      <c r="B6" s="31">
        <v>5.0</v>
      </c>
      <c r="C6" s="32" t="s">
        <v>58</v>
      </c>
      <c r="D6" s="53">
        <v>44847.0</v>
      </c>
      <c r="E6" s="316" t="s">
        <v>7124</v>
      </c>
      <c r="F6" s="34" t="s">
        <v>7125</v>
      </c>
      <c r="G6" s="43" t="s">
        <v>7126</v>
      </c>
      <c r="H6" s="45" t="s">
        <v>7127</v>
      </c>
      <c r="I6" s="13"/>
      <c r="J6" s="33" t="s">
        <v>7128</v>
      </c>
      <c r="K6" s="44" t="s">
        <v>64</v>
      </c>
      <c r="L6" s="44" t="s">
        <v>7129</v>
      </c>
      <c r="M6" s="45" t="s">
        <v>7130</v>
      </c>
      <c r="N6" s="37" t="s">
        <v>7131</v>
      </c>
      <c r="O6" s="13"/>
      <c r="P6" s="37" t="s">
        <v>7132</v>
      </c>
      <c r="Q6" s="13"/>
      <c r="R6" s="51" t="s">
        <v>7133</v>
      </c>
      <c r="S6" s="13"/>
      <c r="T6" s="52" t="s">
        <v>7134</v>
      </c>
      <c r="U6" s="36"/>
      <c r="V6" s="41"/>
      <c r="W6" s="26"/>
      <c r="X6" s="42" t="s">
        <v>58</v>
      </c>
      <c r="Y6" s="54">
        <v>44847.0</v>
      </c>
      <c r="Z6" s="48" t="s">
        <v>70</v>
      </c>
      <c r="AA6" s="14"/>
      <c r="AB6" s="15" t="str">
        <f>IFERROR(__xludf.DUMMYFUNCTION("join("","",filter(split($H$83,"",""),ARRAYFORMULA(ISERROR(FIND(split($H$83,"",""),CONCATENATE(E6:V6))))=TRUE))"),"СЗ,КЗ,206,401,406,408")</f>
        <v>СЗ,КЗ,206,401,406,408</v>
      </c>
      <c r="AC6" s="14"/>
      <c r="AD6" s="14"/>
      <c r="AE6" s="14"/>
      <c r="AF6" s="29"/>
      <c r="AG6" s="29"/>
      <c r="AH6" s="29"/>
    </row>
    <row r="7" ht="42.0" hidden="1" customHeight="1">
      <c r="A7" s="30"/>
      <c r="B7" s="31">
        <v>6.0</v>
      </c>
      <c r="C7" s="55" t="s">
        <v>71</v>
      </c>
      <c r="D7" s="56" t="s">
        <v>72</v>
      </c>
      <c r="E7" s="316" t="s">
        <v>7135</v>
      </c>
      <c r="F7" s="34" t="s">
        <v>7136</v>
      </c>
      <c r="G7" s="43" t="s">
        <v>7137</v>
      </c>
      <c r="H7" s="45" t="s">
        <v>7138</v>
      </c>
      <c r="I7" s="13"/>
      <c r="J7" s="37" t="s">
        <v>7139</v>
      </c>
      <c r="K7" s="13"/>
      <c r="L7" s="45" t="s">
        <v>7140</v>
      </c>
      <c r="M7" s="13"/>
      <c r="N7" s="37" t="s">
        <v>7141</v>
      </c>
      <c r="O7" s="13"/>
      <c r="P7" s="37" t="s">
        <v>7142</v>
      </c>
      <c r="Q7" s="13"/>
      <c r="R7" s="57" t="s">
        <v>7143</v>
      </c>
      <c r="T7" s="33" t="s">
        <v>7144</v>
      </c>
      <c r="U7" s="45" t="s">
        <v>7145</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t="42.0" hidden="1" customHeight="1">
      <c r="A8" s="30"/>
      <c r="B8" s="31">
        <v>7.0</v>
      </c>
      <c r="C8" s="32" t="s">
        <v>85</v>
      </c>
      <c r="D8" s="32" t="s">
        <v>86</v>
      </c>
      <c r="E8" s="318" t="s">
        <v>7146</v>
      </c>
      <c r="F8" s="319" t="s">
        <v>7147</v>
      </c>
      <c r="G8" s="43" t="s">
        <v>7148</v>
      </c>
      <c r="H8" s="45" t="s">
        <v>7149</v>
      </c>
      <c r="I8" s="13"/>
      <c r="J8" s="37" t="s">
        <v>7150</v>
      </c>
      <c r="K8" s="13"/>
      <c r="L8" s="45" t="s">
        <v>7151</v>
      </c>
      <c r="M8" s="13"/>
      <c r="N8" s="37" t="s">
        <v>7152</v>
      </c>
      <c r="O8" s="13"/>
      <c r="P8" s="37" t="s">
        <v>7153</v>
      </c>
      <c r="Q8" s="13"/>
      <c r="R8" s="37" t="s">
        <v>7154</v>
      </c>
      <c r="S8" s="13"/>
      <c r="T8" s="43" t="s">
        <v>7155</v>
      </c>
      <c r="U8" s="45" t="s">
        <v>7156</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hidden="1" customHeight="1">
      <c r="A9" s="30"/>
      <c r="B9" s="31">
        <v>8.0</v>
      </c>
      <c r="C9" s="32" t="s">
        <v>98</v>
      </c>
      <c r="D9" s="32" t="s">
        <v>99</v>
      </c>
      <c r="E9" s="320" t="s">
        <v>7157</v>
      </c>
      <c r="F9" s="276" t="s">
        <v>7158</v>
      </c>
      <c r="G9" s="43" t="s">
        <v>7159</v>
      </c>
      <c r="H9" s="45" t="s">
        <v>7160</v>
      </c>
      <c r="I9" s="13"/>
      <c r="J9" s="37" t="s">
        <v>7161</v>
      </c>
      <c r="K9" s="13"/>
      <c r="L9" s="45" t="s">
        <v>7162</v>
      </c>
      <c r="M9" s="13"/>
      <c r="N9" s="61" t="s">
        <v>7163</v>
      </c>
      <c r="O9" s="13"/>
      <c r="P9" s="62" t="s">
        <v>7164</v>
      </c>
      <c r="Q9" s="45" t="s">
        <v>7165</v>
      </c>
      <c r="R9" s="63" t="s">
        <v>108</v>
      </c>
      <c r="S9" s="64"/>
      <c r="T9" s="64"/>
      <c r="U9" s="64"/>
      <c r="V9" s="64"/>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75.75" hidden="1" customHeight="1">
      <c r="A10" s="30"/>
      <c r="B10" s="31">
        <v>9.0</v>
      </c>
      <c r="C10" s="65">
        <v>44697.0</v>
      </c>
      <c r="D10" s="44" t="s">
        <v>109</v>
      </c>
      <c r="E10" s="66" t="s">
        <v>7166</v>
      </c>
      <c r="F10" s="67"/>
      <c r="G10" s="43" t="s">
        <v>7167</v>
      </c>
      <c r="H10" s="45" t="s">
        <v>7168</v>
      </c>
      <c r="I10" s="13"/>
      <c r="J10" s="37" t="s">
        <v>7169</v>
      </c>
      <c r="K10" s="13"/>
      <c r="L10" s="45" t="s">
        <v>7170</v>
      </c>
      <c r="M10" s="13"/>
      <c r="N10" s="61" t="s">
        <v>7171</v>
      </c>
      <c r="O10" s="13"/>
      <c r="P10" s="62" t="s">
        <v>7172</v>
      </c>
      <c r="Q10" s="68" t="s">
        <v>117</v>
      </c>
      <c r="R10" s="37" t="s">
        <v>7173</v>
      </c>
      <c r="S10" s="68" t="s">
        <v>7174</v>
      </c>
      <c r="T10" s="36"/>
      <c r="U10" s="36"/>
      <c r="V10" s="41"/>
      <c r="W10" s="26"/>
      <c r="X10" s="69">
        <v>44697.0</v>
      </c>
      <c r="Y10" s="70" t="s">
        <v>109</v>
      </c>
      <c r="Z10" s="28"/>
      <c r="AA10" s="14"/>
      <c r="AB10" s="15" t="str">
        <f>IFERROR(__xludf.DUMMYFUNCTION("join("","",filter(split($H$83,"",""),ARRAYFORMULA(ISERROR(FIND(split($H$83,"",""),CONCATENATE(E10:V10))))=TRUE))"),"КЗ,206,210,403,405,406,408,409,АЗ")</f>
        <v>КЗ,206,210,403,405,406,408,409,АЗ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7175</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18">
        <v>44950.0</v>
      </c>
      <c r="B13" s="19">
        <v>1.0</v>
      </c>
      <c r="C13" s="20" t="s">
        <v>12</v>
      </c>
      <c r="D13" s="20" t="s">
        <v>13</v>
      </c>
      <c r="E13" s="80" t="s">
        <v>7176</v>
      </c>
      <c r="F13" s="25"/>
      <c r="G13" s="81" t="s">
        <v>7177</v>
      </c>
      <c r="H13" s="80" t="s">
        <v>7178</v>
      </c>
      <c r="I13" s="22"/>
      <c r="J13" s="23" t="s">
        <v>7179</v>
      </c>
      <c r="K13" s="25"/>
      <c r="L13" s="80" t="s">
        <v>7180</v>
      </c>
      <c r="M13" s="25"/>
      <c r="N13" s="82" t="s">
        <v>7181</v>
      </c>
      <c r="O13" s="25"/>
      <c r="P13" s="21" t="s">
        <v>7182</v>
      </c>
      <c r="Q13" s="22"/>
      <c r="R13" s="23" t="s">
        <v>7183</v>
      </c>
      <c r="S13" s="22"/>
      <c r="T13" s="84" t="s">
        <v>7184</v>
      </c>
      <c r="U13" s="80"/>
      <c r="V13" s="22"/>
      <c r="W13" s="26"/>
      <c r="X13" s="27" t="s">
        <v>12</v>
      </c>
      <c r="Y13" s="27" t="s">
        <v>13</v>
      </c>
      <c r="Z13" s="28"/>
      <c r="AA13" s="85"/>
      <c r="AB13" s="15" t="str">
        <f>IFERROR(__xludf.DUMMYFUNCTION("join("","",filter(split($H$83,"",""),ARRAYFORMULA(ISERROR(FIND(split($H$83,"",""),CONCATENATE(E13:V13))))=TRUE))"),"СЗ,КЗ,202,206,403,405,410,АЗ")</f>
        <v>СЗ,КЗ,202,206,403,405,410,АЗ</v>
      </c>
      <c r="AC13" s="14"/>
      <c r="AD13" s="14"/>
      <c r="AE13" s="14"/>
      <c r="AF13" s="29"/>
      <c r="AG13" s="29"/>
      <c r="AH13" s="29"/>
    </row>
    <row r="14" ht="40.5" hidden="1" customHeight="1">
      <c r="A14" s="30"/>
      <c r="B14" s="31">
        <v>2.0</v>
      </c>
      <c r="C14" s="32" t="s">
        <v>21</v>
      </c>
      <c r="D14" s="32" t="s">
        <v>22</v>
      </c>
      <c r="E14" s="45" t="s">
        <v>7185</v>
      </c>
      <c r="F14" s="13"/>
      <c r="G14" s="46" t="s">
        <v>7186</v>
      </c>
      <c r="H14" s="86" t="s">
        <v>7187</v>
      </c>
      <c r="I14" s="41"/>
      <c r="J14" s="35" t="s">
        <v>7188</v>
      </c>
      <c r="K14" s="13"/>
      <c r="L14" s="45" t="s">
        <v>7189</v>
      </c>
      <c r="M14" s="13"/>
      <c r="N14" s="87" t="s">
        <v>7190</v>
      </c>
      <c r="O14" s="13"/>
      <c r="P14" s="37" t="s">
        <v>7191</v>
      </c>
      <c r="Q14" s="41"/>
      <c r="R14" s="35" t="s">
        <v>7192</v>
      </c>
      <c r="S14" s="41"/>
      <c r="T14" s="43" t="s">
        <v>7193</v>
      </c>
      <c r="U14" s="45"/>
      <c r="V14" s="41"/>
      <c r="W14" s="26"/>
      <c r="X14" s="42" t="s">
        <v>21</v>
      </c>
      <c r="Y14" s="42" t="s">
        <v>22</v>
      </c>
      <c r="Z14" s="28"/>
      <c r="AA14" s="85"/>
      <c r="AB14" s="15" t="str">
        <f>IFERROR(__xludf.DUMMYFUNCTION("join("","",filter(split($H$83,"",""),ARRAYFORMULA(ISERROR(FIND(split($H$83,"",""),CONCATENATE(E14:V14))))=TRUE))"),"СЗ,КЗ,202,206,403,405,410,АЗ")</f>
        <v>СЗ,КЗ,202,206,403,405,410,АЗ</v>
      </c>
      <c r="AC14" s="14"/>
      <c r="AD14" s="14"/>
      <c r="AE14" s="14"/>
      <c r="AF14" s="29"/>
      <c r="AG14" s="29"/>
      <c r="AH14" s="29"/>
    </row>
    <row r="15" ht="40.5" hidden="1" customHeight="1">
      <c r="A15" s="30"/>
      <c r="B15" s="31">
        <v>3.0</v>
      </c>
      <c r="C15" s="32" t="s">
        <v>33</v>
      </c>
      <c r="D15" s="32" t="s">
        <v>34</v>
      </c>
      <c r="E15" s="40" t="s">
        <v>7194</v>
      </c>
      <c r="F15" s="13"/>
      <c r="G15" s="37" t="s">
        <v>7195</v>
      </c>
      <c r="H15" s="36"/>
      <c r="I15" s="41"/>
      <c r="J15" s="35" t="s">
        <v>7196</v>
      </c>
      <c r="K15" s="13"/>
      <c r="L15" s="45" t="s">
        <v>7197</v>
      </c>
      <c r="M15" s="13"/>
      <c r="N15" s="89" t="s">
        <v>7198</v>
      </c>
      <c r="O15" s="13"/>
      <c r="P15" s="37" t="s">
        <v>7199</v>
      </c>
      <c r="Q15" s="41"/>
      <c r="R15" s="35" t="s">
        <v>7200</v>
      </c>
      <c r="S15" s="41"/>
      <c r="T15" s="91" t="s">
        <v>7201</v>
      </c>
      <c r="U15" s="36"/>
      <c r="V15" s="41"/>
      <c r="W15" s="26"/>
      <c r="X15" s="42" t="s">
        <v>33</v>
      </c>
      <c r="Y15" s="42" t="s">
        <v>34</v>
      </c>
      <c r="Z15" s="48" t="s">
        <v>47</v>
      </c>
      <c r="AA15" s="85" t="str">
        <f>AA$5</f>
        <v/>
      </c>
      <c r="AB15" s="15" t="str">
        <f>IFERROR(__xludf.DUMMYFUNCTION("join("","",filter(split($H$83,"",""),ARRAYFORMULA(ISERROR(FIND(split($H$83,"",""),CONCATENATE(E15:V15))))=TRUE))"),"КЗ,201,206,403,404,406,408,410,АЗ")</f>
        <v>КЗ,201,206,403,404,406,408,410,АЗ</v>
      </c>
      <c r="AC15" s="14"/>
      <c r="AD15" s="14"/>
      <c r="AE15" s="14"/>
      <c r="AF15" s="29"/>
      <c r="AG15" s="29"/>
      <c r="AH15" s="29"/>
    </row>
    <row r="16" ht="40.5" hidden="1" customHeight="1">
      <c r="A16" s="30"/>
      <c r="B16" s="31">
        <v>4.0</v>
      </c>
      <c r="C16" s="32" t="s">
        <v>48</v>
      </c>
      <c r="D16" s="32" t="s">
        <v>49</v>
      </c>
      <c r="E16" s="40" t="s">
        <v>7202</v>
      </c>
      <c r="F16" s="13"/>
      <c r="G16" s="37" t="s">
        <v>7203</v>
      </c>
      <c r="H16" s="36"/>
      <c r="I16" s="41"/>
      <c r="J16" s="35" t="s">
        <v>7204</v>
      </c>
      <c r="K16" s="13"/>
      <c r="L16" s="45" t="s">
        <v>7205</v>
      </c>
      <c r="M16" s="13"/>
      <c r="N16" s="89" t="s">
        <v>7206</v>
      </c>
      <c r="O16" s="13"/>
      <c r="P16" s="37" t="s">
        <v>160</v>
      </c>
      <c r="Q16" s="41"/>
      <c r="R16" s="35" t="s">
        <v>7207</v>
      </c>
      <c r="S16" s="41"/>
      <c r="T16" s="91" t="s">
        <v>7208</v>
      </c>
      <c r="U16" s="36"/>
      <c r="V16" s="41"/>
      <c r="W16" s="26"/>
      <c r="X16" s="42" t="s">
        <v>48</v>
      </c>
      <c r="Y16" s="42" t="s">
        <v>49</v>
      </c>
      <c r="Z16" s="48" t="s">
        <v>57</v>
      </c>
      <c r="AA16" s="85" t="str">
        <f>AA$6</f>
        <v/>
      </c>
      <c r="AB16" s="15" t="str">
        <f>IFERROR(__xludf.DUMMYFUNCTION("join("","",filter(split($H$83,"",""),ARRAYFORMULA(ISERROR(FIND(split($H$83,"",""),CONCATENATE(E16:V16))))=TRUE))"),"КЗ,201,206,403,404,406,408,410,АЗ")</f>
        <v>КЗ,201,206,403,404,406,408,410,АЗ</v>
      </c>
      <c r="AC16" s="14"/>
      <c r="AD16" s="14"/>
      <c r="AE16" s="14"/>
      <c r="AF16" s="29"/>
      <c r="AG16" s="29"/>
      <c r="AH16" s="29"/>
    </row>
    <row r="17" ht="40.5" hidden="1" customHeight="1">
      <c r="A17" s="30"/>
      <c r="B17" s="31">
        <v>5.0</v>
      </c>
      <c r="C17" s="32" t="s">
        <v>58</v>
      </c>
      <c r="D17" s="53">
        <v>44847.0</v>
      </c>
      <c r="E17" s="45" t="s">
        <v>7209</v>
      </c>
      <c r="F17" s="13"/>
      <c r="G17" s="33" t="s">
        <v>7210</v>
      </c>
      <c r="H17" s="45" t="s">
        <v>7211</v>
      </c>
      <c r="I17" s="41"/>
      <c r="J17" s="35" t="s">
        <v>7212</v>
      </c>
      <c r="K17" s="13"/>
      <c r="L17" s="606" t="s">
        <v>7213</v>
      </c>
      <c r="M17" s="13"/>
      <c r="N17" s="611" t="s">
        <v>7214</v>
      </c>
      <c r="O17" s="13"/>
      <c r="P17" s="35" t="s">
        <v>7215</v>
      </c>
      <c r="Q17" s="41"/>
      <c r="R17" s="326" t="s">
        <v>7216</v>
      </c>
      <c r="S17" s="92" t="s">
        <v>7217</v>
      </c>
      <c r="T17" s="93" t="s">
        <v>7218</v>
      </c>
      <c r="U17" s="36"/>
      <c r="V17" s="41"/>
      <c r="W17" s="26"/>
      <c r="X17" s="42" t="s">
        <v>58</v>
      </c>
      <c r="Y17" s="54">
        <v>44847.0</v>
      </c>
      <c r="Z17" s="48" t="s">
        <v>70</v>
      </c>
      <c r="AA17" s="85" t="str">
        <f>AA$7</f>
        <v/>
      </c>
      <c r="AB17" s="15" t="str">
        <f>IFERROR(__xludf.DUMMYFUNCTION("join("","",filter(split($H$83,"",""),ARRAYFORMULA(ISERROR(FIND(split($H$83,"",""),CONCATENATE(E17:V17))))=TRUE))"),"СЗ,206,403,404,408,410,АЗ")</f>
        <v>СЗ,206,403,404,408,410,АЗ</v>
      </c>
      <c r="AC17" s="14"/>
      <c r="AD17" s="14"/>
      <c r="AE17" s="14"/>
      <c r="AF17" s="29"/>
      <c r="AG17" s="29"/>
      <c r="AH17" s="29"/>
    </row>
    <row r="18" ht="40.5" hidden="1" customHeight="1">
      <c r="A18" s="30"/>
      <c r="B18" s="31">
        <v>6.0</v>
      </c>
      <c r="C18" s="55" t="s">
        <v>71</v>
      </c>
      <c r="D18" s="56" t="s">
        <v>72</v>
      </c>
      <c r="E18" s="45" t="s">
        <v>7219</v>
      </c>
      <c r="F18" s="13"/>
      <c r="G18" s="33" t="s">
        <v>7220</v>
      </c>
      <c r="H18" s="45" t="s">
        <v>7221</v>
      </c>
      <c r="I18" s="41"/>
      <c r="J18" s="35" t="s">
        <v>7222</v>
      </c>
      <c r="K18" s="13"/>
      <c r="L18" s="40" t="s">
        <v>7223</v>
      </c>
      <c r="M18" s="13"/>
      <c r="N18" s="45" t="s">
        <v>7224</v>
      </c>
      <c r="O18" s="13"/>
      <c r="P18" s="35" t="s">
        <v>7225</v>
      </c>
      <c r="Q18" s="41"/>
      <c r="R18" s="326" t="s">
        <v>7226</v>
      </c>
      <c r="S18" s="92" t="s">
        <v>7227</v>
      </c>
      <c r="T18" s="93" t="s">
        <v>7228</v>
      </c>
      <c r="U18" s="36"/>
      <c r="V18" s="41"/>
      <c r="W18" s="26"/>
      <c r="X18" s="58" t="s">
        <v>71</v>
      </c>
      <c r="Y18" s="59" t="s">
        <v>72</v>
      </c>
      <c r="Z18" s="48" t="s">
        <v>84</v>
      </c>
      <c r="AA18" s="85" t="str">
        <f>AA$8</f>
        <v/>
      </c>
      <c r="AB18" s="15" t="str">
        <f>IFERROR(__xludf.DUMMYFUNCTION("join("","",filter(split($H$83,"",""),ARRAYFORMULA(ISERROR(FIND(split($H$83,"",""),CONCATENATE(E18:V18))))=TRUE))"),"СЗ,206,403,404,408,410,АЗ")</f>
        <v>СЗ,206,403,404,408,410,АЗ</v>
      </c>
      <c r="AC18" s="14"/>
      <c r="AD18" s="14"/>
      <c r="AE18" s="14"/>
      <c r="AF18" s="29"/>
      <c r="AG18" s="29"/>
      <c r="AH18" s="29"/>
    </row>
    <row r="19" ht="40.5" hidden="1" customHeight="1">
      <c r="A19" s="30"/>
      <c r="B19" s="31">
        <v>7.0</v>
      </c>
      <c r="C19" s="32" t="s">
        <v>85</v>
      </c>
      <c r="D19" s="32" t="s">
        <v>86</v>
      </c>
      <c r="E19" s="94" t="s">
        <v>7229</v>
      </c>
      <c r="F19" s="13"/>
      <c r="G19" s="33" t="s">
        <v>7230</v>
      </c>
      <c r="H19" s="45" t="s">
        <v>7231</v>
      </c>
      <c r="I19" s="41"/>
      <c r="J19" s="40" t="s">
        <v>7232</v>
      </c>
      <c r="K19" s="13"/>
      <c r="L19" s="45" t="s">
        <v>7233</v>
      </c>
      <c r="M19" s="13"/>
      <c r="N19" s="45" t="s">
        <v>7234</v>
      </c>
      <c r="O19" s="13"/>
      <c r="P19" s="37" t="s">
        <v>7235</v>
      </c>
      <c r="Q19" s="41"/>
      <c r="R19" s="96" t="s">
        <v>7236</v>
      </c>
      <c r="S19" s="97" t="s">
        <v>7237</v>
      </c>
      <c r="T19" s="93" t="s">
        <v>7238</v>
      </c>
      <c r="U19" s="36"/>
      <c r="V19" s="41"/>
      <c r="W19" s="26"/>
      <c r="X19" s="42" t="s">
        <v>85</v>
      </c>
      <c r="Y19" s="42" t="s">
        <v>86</v>
      </c>
      <c r="Z19" s="48" t="s">
        <v>97</v>
      </c>
      <c r="AA19" s="85" t="str">
        <f>AA$9</f>
        <v/>
      </c>
      <c r="AB19" s="15" t="str">
        <f>IFERROR(__xludf.DUMMYFUNCTION("join("","",filter(split($H$83,"",""),ARRAYFORMULA(ISERROR(FIND(split($H$83,"",""),CONCATENATE(E19:V19))))=TRUE))"),"СЗ,206,403,404,405,410,АЗ")</f>
        <v>СЗ,206,403,404,405,410,АЗ</v>
      </c>
      <c r="AC19" s="14"/>
      <c r="AD19" s="14"/>
      <c r="AE19" s="14"/>
      <c r="AF19" s="29"/>
      <c r="AG19" s="29"/>
      <c r="AH19" s="29"/>
    </row>
    <row r="20" ht="40.5" hidden="1" customHeight="1">
      <c r="A20" s="30"/>
      <c r="B20" s="31">
        <v>8.0</v>
      </c>
      <c r="C20" s="32" t="s">
        <v>98</v>
      </c>
      <c r="D20" s="32" t="s">
        <v>99</v>
      </c>
      <c r="E20" s="94" t="s">
        <v>7239</v>
      </c>
      <c r="F20" s="13"/>
      <c r="G20" s="33" t="s">
        <v>7240</v>
      </c>
      <c r="H20" s="45" t="s">
        <v>7241</v>
      </c>
      <c r="I20" s="41"/>
      <c r="J20" s="606" t="s">
        <v>7242</v>
      </c>
      <c r="K20" s="13"/>
      <c r="L20" s="45" t="s">
        <v>7243</v>
      </c>
      <c r="M20" s="13"/>
      <c r="N20" s="45" t="s">
        <v>7244</v>
      </c>
      <c r="O20" s="13"/>
      <c r="P20" s="37" t="s">
        <v>7245</v>
      </c>
      <c r="Q20" s="41"/>
      <c r="R20" s="96" t="s">
        <v>7246</v>
      </c>
      <c r="S20" s="97" t="s">
        <v>7247</v>
      </c>
      <c r="T20" s="93" t="s">
        <v>7248</v>
      </c>
      <c r="U20" s="36"/>
      <c r="V20" s="41"/>
      <c r="W20" s="26"/>
      <c r="X20" s="42" t="s">
        <v>98</v>
      </c>
      <c r="Y20" s="42" t="s">
        <v>99</v>
      </c>
      <c r="Z20" s="11"/>
      <c r="AA20" s="98"/>
      <c r="AB20" s="15" t="str">
        <f>IFERROR(__xludf.DUMMYFUNCTION("join("","",filter(split($H$83,"",""),ARRAYFORMULA(ISERROR(FIND(split($H$83,"",""),CONCATENATE(E20:V20))))=TRUE))"),"СЗ,206,403,404,405,410,АЗ")</f>
        <v>СЗ,206,403,404,405,410,АЗ</v>
      </c>
      <c r="AC20" s="14"/>
      <c r="AD20" s="14"/>
      <c r="AE20" s="14"/>
      <c r="AF20" s="29"/>
      <c r="AG20" s="29"/>
      <c r="AH20" s="29"/>
    </row>
    <row r="21" ht="40.5" hidden="1" customHeight="1">
      <c r="A21" s="30"/>
      <c r="B21" s="31">
        <v>9.0</v>
      </c>
      <c r="C21" s="65">
        <v>44697.0</v>
      </c>
      <c r="D21" s="44" t="s">
        <v>109</v>
      </c>
      <c r="E21" s="99" t="s">
        <v>206</v>
      </c>
      <c r="F21" s="4"/>
      <c r="G21" s="100" t="s">
        <v>207</v>
      </c>
      <c r="H21" s="101" t="s">
        <v>208</v>
      </c>
      <c r="I21" s="36"/>
      <c r="J21" s="36"/>
      <c r="K21" s="36"/>
      <c r="L21" s="36"/>
      <c r="M21" s="13"/>
      <c r="N21" s="45" t="s">
        <v>7249</v>
      </c>
      <c r="O21" s="13"/>
      <c r="P21" s="102" t="s">
        <v>7250</v>
      </c>
      <c r="Q21" s="41"/>
      <c r="R21" s="35" t="s">
        <v>211</v>
      </c>
      <c r="S21" s="41"/>
      <c r="T21" s="103" t="s">
        <v>7251</v>
      </c>
      <c r="U21" s="36"/>
      <c r="V21" s="41"/>
      <c r="W21" s="26"/>
      <c r="X21" s="69">
        <v>44697.0</v>
      </c>
      <c r="Y21" s="70" t="s">
        <v>109</v>
      </c>
      <c r="Z21" s="28"/>
      <c r="AA21" s="98"/>
      <c r="AB21" s="15" t="str">
        <f>IFERROR(__xludf.DUMMYFUNCTION("join("","",filter(split($H$83,"",""),ARRAYFORMULA(ISERROR(FIND(split($H$83,"",""),CONCATENATE(E21:V21))))=TRUE))"),"201,206,210,401,403,404,405,406,408,АЗ")</f>
        <v>201,206,210,401,403,404,405,406,408,АЗ</v>
      </c>
      <c r="AC21" s="14"/>
      <c r="AD21" s="14"/>
      <c r="AE21" s="14"/>
      <c r="AF21" s="29"/>
      <c r="AG21" s="29"/>
      <c r="AH21" s="29"/>
    </row>
    <row r="22" ht="40.5" hidden="1" customHeight="1">
      <c r="A22" s="30"/>
      <c r="B22" s="31">
        <v>10.0</v>
      </c>
      <c r="C22" s="44" t="s">
        <v>120</v>
      </c>
      <c r="D22" s="44" t="s">
        <v>121</v>
      </c>
      <c r="E22" s="104"/>
      <c r="F22" s="72"/>
      <c r="G22" s="105"/>
      <c r="H22" s="106" t="s">
        <v>3033</v>
      </c>
      <c r="I22" s="36"/>
      <c r="J22" s="36"/>
      <c r="K22" s="36"/>
      <c r="L22" s="36"/>
      <c r="M22" s="13"/>
      <c r="N22" s="45" t="s">
        <v>7252</v>
      </c>
      <c r="O22" s="13"/>
      <c r="P22" s="101" t="s">
        <v>215</v>
      </c>
      <c r="Q22" s="36"/>
      <c r="R22" s="36"/>
      <c r="S22" s="13"/>
      <c r="T22" s="107" t="s">
        <v>7253</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7254</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hidden="1" customHeight="1">
      <c r="A24" s="18">
        <v>44951.0</v>
      </c>
      <c r="B24" s="435">
        <v>1.0</v>
      </c>
      <c r="C24" s="20" t="s">
        <v>12</v>
      </c>
      <c r="D24" s="20" t="s">
        <v>13</v>
      </c>
      <c r="E24" s="21" t="s">
        <v>7255</v>
      </c>
      <c r="F24" s="22"/>
      <c r="G24" s="116" t="s">
        <v>7256</v>
      </c>
      <c r="H24" s="612" t="s">
        <v>7257</v>
      </c>
      <c r="I24" s="22"/>
      <c r="J24" s="118" t="s">
        <v>221</v>
      </c>
      <c r="K24" s="24"/>
      <c r="L24" s="24"/>
      <c r="M24" s="25"/>
      <c r="N24" s="80" t="s">
        <v>7258</v>
      </c>
      <c r="O24" s="25"/>
      <c r="P24" s="585" t="s">
        <v>7259</v>
      </c>
      <c r="Q24" s="24"/>
      <c r="R24" s="24"/>
      <c r="S24" s="22"/>
      <c r="T24" s="121" t="s">
        <v>7260</v>
      </c>
      <c r="U24" s="24"/>
      <c r="V24" s="22"/>
      <c r="W24" s="26"/>
      <c r="X24" s="27" t="s">
        <v>12</v>
      </c>
      <c r="Y24" s="27" t="s">
        <v>13</v>
      </c>
      <c r="Z24" s="28"/>
      <c r="AA24" s="14"/>
      <c r="AB24" s="15" t="str">
        <f>IFERROR(__xludf.DUMMYFUNCTION("join("","",filter(split($H$83,"",""),ARRAYFORMULA(ISERROR(FIND(split($H$83,"",""),CONCATENATE(E24:V24))))=TRUE))"),"СЗ,206,210,401,402,403,404,405,406,409,410,АЗ")</f>
        <v>СЗ,206,210,401,402,403,404,405,406,409,410,АЗ</v>
      </c>
      <c r="AC24" s="14"/>
      <c r="AD24" s="14"/>
      <c r="AE24" s="14"/>
      <c r="AF24" s="29"/>
      <c r="AG24" s="29"/>
      <c r="AH24" s="29"/>
    </row>
    <row r="25" ht="40.5" hidden="1" customHeight="1">
      <c r="A25" s="30"/>
      <c r="B25" s="436">
        <v>2.0</v>
      </c>
      <c r="C25" s="32" t="s">
        <v>21</v>
      </c>
      <c r="D25" s="32" t="s">
        <v>22</v>
      </c>
      <c r="E25" s="51" t="s">
        <v>7261</v>
      </c>
      <c r="F25" s="41"/>
      <c r="G25" s="613" t="s">
        <v>7262</v>
      </c>
      <c r="H25" s="89" t="s">
        <v>7263</v>
      </c>
      <c r="I25" s="41"/>
      <c r="J25" s="35" t="s">
        <v>7264</v>
      </c>
      <c r="K25" s="13"/>
      <c r="L25" s="40" t="s">
        <v>7265</v>
      </c>
      <c r="M25" s="13"/>
      <c r="N25" s="40" t="s">
        <v>7266</v>
      </c>
      <c r="O25" s="13"/>
      <c r="P25" s="37" t="s">
        <v>7267</v>
      </c>
      <c r="Q25" s="13"/>
      <c r="R25" s="122" t="s">
        <v>7268</v>
      </c>
      <c r="S25" s="41"/>
      <c r="T25" s="103" t="s">
        <v>7269</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hidden="1" customHeight="1">
      <c r="A26" s="30"/>
      <c r="B26" s="436">
        <v>3.0</v>
      </c>
      <c r="C26" s="32" t="s">
        <v>33</v>
      </c>
      <c r="D26" s="32" t="s">
        <v>34</v>
      </c>
      <c r="E26" s="37" t="s">
        <v>7270</v>
      </c>
      <c r="F26" s="41"/>
      <c r="G26" s="51" t="s">
        <v>7271</v>
      </c>
      <c r="H26" s="36"/>
      <c r="I26" s="41"/>
      <c r="J26" s="95" t="s">
        <v>7272</v>
      </c>
      <c r="K26" s="13"/>
      <c r="L26" s="123" t="s">
        <v>7273</v>
      </c>
      <c r="M26" s="41"/>
      <c r="N26" s="40" t="s">
        <v>7274</v>
      </c>
      <c r="O26" s="13"/>
      <c r="P26" s="39" t="s">
        <v>7275</v>
      </c>
      <c r="Q26" s="124" t="s">
        <v>7276</v>
      </c>
      <c r="R26" s="89" t="s">
        <v>7277</v>
      </c>
      <c r="S26" s="41"/>
      <c r="T26" s="125" t="s">
        <v>7278</v>
      </c>
      <c r="U26" s="36"/>
      <c r="V26" s="41"/>
      <c r="W26" s="26"/>
      <c r="X26" s="42" t="s">
        <v>33</v>
      </c>
      <c r="Y26" s="42" t="s">
        <v>34</v>
      </c>
      <c r="Z26" s="48" t="s">
        <v>47</v>
      </c>
      <c r="AA26" s="85" t="str">
        <f>AA$5</f>
        <v/>
      </c>
      <c r="AB26" s="15" t="str">
        <f>IFERROR(__xludf.DUMMYFUNCTION("join("","",filter(split($H$83,"",""),ARRAYFORMULA(ISERROR(FIND(split($H$83,"",""),CONCATENATE(E26:V26))))=TRUE))"),"СЗ,КЗ,206,210,403,404,405,408,410,АЗ")</f>
        <v>СЗ,КЗ,206,210,403,404,405,408,410,АЗ</v>
      </c>
      <c r="AC26" s="14"/>
      <c r="AD26" s="14"/>
      <c r="AE26" s="14"/>
      <c r="AF26" s="29"/>
      <c r="AG26" s="29"/>
      <c r="AH26" s="29"/>
    </row>
    <row r="27" ht="54.0" hidden="1" customHeight="1">
      <c r="A27" s="30"/>
      <c r="B27" s="436">
        <v>4.0</v>
      </c>
      <c r="C27" s="32" t="s">
        <v>48</v>
      </c>
      <c r="D27" s="32" t="s">
        <v>49</v>
      </c>
      <c r="E27" s="33" t="s">
        <v>7279</v>
      </c>
      <c r="F27" s="286" t="s">
        <v>7280</v>
      </c>
      <c r="G27" s="37" t="s">
        <v>7281</v>
      </c>
      <c r="H27" s="13"/>
      <c r="I27" s="92" t="s">
        <v>7282</v>
      </c>
      <c r="J27" s="107" t="s">
        <v>7283</v>
      </c>
      <c r="K27" s="13"/>
      <c r="L27" s="45" t="s">
        <v>7284</v>
      </c>
      <c r="M27" s="13"/>
      <c r="N27" s="127" t="s">
        <v>7285</v>
      </c>
      <c r="O27" s="13"/>
      <c r="P27" s="37" t="s">
        <v>7286</v>
      </c>
      <c r="Q27" s="13"/>
      <c r="R27" s="34" t="s">
        <v>7287</v>
      </c>
      <c r="S27" s="132" t="s">
        <v>7288</v>
      </c>
      <c r="T27" s="125" t="s">
        <v>7289</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E27" s="14"/>
      <c r="AF27" s="29"/>
      <c r="AG27" s="29"/>
      <c r="AH27" s="29"/>
    </row>
    <row r="28" ht="53.25" hidden="1" customHeight="1">
      <c r="A28" s="30"/>
      <c r="B28" s="436">
        <v>5.0</v>
      </c>
      <c r="C28" s="32" t="s">
        <v>58</v>
      </c>
      <c r="D28" s="53">
        <v>44847.0</v>
      </c>
      <c r="E28" s="33" t="s">
        <v>7290</v>
      </c>
      <c r="F28" s="92" t="s">
        <v>7291</v>
      </c>
      <c r="G28" s="37" t="s">
        <v>7292</v>
      </c>
      <c r="H28" s="13"/>
      <c r="I28" s="92" t="s">
        <v>7293</v>
      </c>
      <c r="J28" s="123" t="s">
        <v>7294</v>
      </c>
      <c r="K28" s="41"/>
      <c r="L28" s="45" t="s">
        <v>7295</v>
      </c>
      <c r="M28" s="13"/>
      <c r="N28" s="89" t="s">
        <v>7296</v>
      </c>
      <c r="O28" s="13"/>
      <c r="P28" s="39" t="s">
        <v>7297</v>
      </c>
      <c r="Q28" s="124" t="s">
        <v>7298</v>
      </c>
      <c r="R28" s="34" t="s">
        <v>7299</v>
      </c>
      <c r="S28" s="132" t="s">
        <v>7300</v>
      </c>
      <c r="T28" s="128" t="s">
        <v>7301</v>
      </c>
      <c r="U28" s="8"/>
      <c r="V28" s="129"/>
      <c r="W28" s="26"/>
      <c r="X28" s="42" t="s">
        <v>58</v>
      </c>
      <c r="Y28" s="54">
        <v>44847.0</v>
      </c>
      <c r="Z28" s="48" t="s">
        <v>70</v>
      </c>
      <c r="AA28" s="85" t="str">
        <f>AA$7</f>
        <v/>
      </c>
      <c r="AB28" s="15" t="str">
        <f>IFERROR(__xludf.DUMMYFUNCTION("join("","",filter(split($H$83,"",""),ARRAYFORMULA(ISERROR(FIND(split($H$83,"",""),CONCATENATE(E28:V28))))=TRUE))"),"СЗ,206,209,403,404,405,410")</f>
        <v>СЗ,206,209,403,404,405,410</v>
      </c>
      <c r="AC28" s="14"/>
      <c r="AE28" s="14"/>
      <c r="AF28" s="29"/>
      <c r="AG28" s="29"/>
      <c r="AH28" s="29"/>
    </row>
    <row r="29" ht="40.5" hidden="1" customHeight="1">
      <c r="A29" s="30"/>
      <c r="B29" s="436">
        <v>6.0</v>
      </c>
      <c r="C29" s="55" t="s">
        <v>71</v>
      </c>
      <c r="D29" s="56" t="s">
        <v>72</v>
      </c>
      <c r="E29" s="39" t="s">
        <v>7302</v>
      </c>
      <c r="F29" s="34" t="s">
        <v>7303</v>
      </c>
      <c r="G29" s="40" t="s">
        <v>7304</v>
      </c>
      <c r="H29" s="41"/>
      <c r="I29" s="34" t="s">
        <v>7305</v>
      </c>
      <c r="J29" s="123" t="s">
        <v>7306</v>
      </c>
      <c r="K29" s="41"/>
      <c r="L29" s="89" t="s">
        <v>7307</v>
      </c>
      <c r="M29" s="13"/>
      <c r="N29" s="130" t="s">
        <v>7308</v>
      </c>
      <c r="O29" s="13"/>
      <c r="P29" s="131" t="s">
        <v>7309</v>
      </c>
      <c r="Q29" s="132" t="s">
        <v>7310</v>
      </c>
      <c r="R29" s="92" t="s">
        <v>7311</v>
      </c>
      <c r="V29" s="134"/>
      <c r="W29" s="26"/>
      <c r="X29" s="58" t="s">
        <v>71</v>
      </c>
      <c r="Y29" s="59" t="s">
        <v>72</v>
      </c>
      <c r="Z29" s="48" t="s">
        <v>84</v>
      </c>
      <c r="AA29" s="85" t="str">
        <f>AA$8</f>
        <v/>
      </c>
      <c r="AB29" s="15" t="str">
        <f>IFERROR(__xludf.DUMMYFUNCTION("join("","",filter(split($H$83,"",""),ARRAYFORMULA(ISERROR(FIND(split($H$83,"",""),CONCATENATE(E29:V29))))=TRUE))"),"СЗ,КЗ,201,206,403,404,405,410,АЗ")</f>
        <v>СЗ,КЗ,201,206,403,404,405,410,АЗ</v>
      </c>
      <c r="AC29" s="14"/>
      <c r="AD29" s="14"/>
      <c r="AE29" s="14"/>
      <c r="AF29" s="29"/>
      <c r="AG29" s="29"/>
      <c r="AH29" s="29"/>
    </row>
    <row r="30" ht="40.5" hidden="1" customHeight="1">
      <c r="A30" s="30"/>
      <c r="B30" s="436">
        <v>7.0</v>
      </c>
      <c r="C30" s="32" t="s">
        <v>85</v>
      </c>
      <c r="D30" s="32" t="s">
        <v>86</v>
      </c>
      <c r="E30" s="39" t="s">
        <v>7312</v>
      </c>
      <c r="F30" s="34" t="s">
        <v>7313</v>
      </c>
      <c r="G30" s="40" t="s">
        <v>7314</v>
      </c>
      <c r="H30" s="41"/>
      <c r="I30" s="34" t="s">
        <v>7315</v>
      </c>
      <c r="J30" s="35" t="s">
        <v>7316</v>
      </c>
      <c r="K30" s="13"/>
      <c r="L30" s="123" t="s">
        <v>7317</v>
      </c>
      <c r="M30" s="41"/>
      <c r="N30" s="130" t="s">
        <v>7318</v>
      </c>
      <c r="O30" s="13"/>
      <c r="P30" s="131" t="s">
        <v>7319</v>
      </c>
      <c r="Q30" s="132" t="s">
        <v>7320</v>
      </c>
      <c r="R30" s="92" t="s">
        <v>7321</v>
      </c>
      <c r="V30" s="134"/>
      <c r="W30" s="26"/>
      <c r="X30" s="42" t="s">
        <v>85</v>
      </c>
      <c r="Y30" s="42" t="s">
        <v>86</v>
      </c>
      <c r="Z30" s="48" t="s">
        <v>97</v>
      </c>
      <c r="AA30" s="85" t="str">
        <f>AA$9</f>
        <v/>
      </c>
      <c r="AB30" s="15" t="str">
        <f>IFERROR(__xludf.DUMMYFUNCTION("join("","",filter(split($H$83,"",""),ARRAYFORMULA(ISERROR(FIND(split($H$83,"",""),CONCATENATE(E30:V30))))=TRUE))"),"СЗ,КЗ,206,403,404,405,409,410,АЗ")</f>
        <v>СЗ,КЗ,206,403,404,405,409,410,АЗ</v>
      </c>
      <c r="AC30" s="14"/>
      <c r="AD30" s="14"/>
      <c r="AE30" s="14"/>
      <c r="AF30" s="29"/>
      <c r="AG30" s="29"/>
      <c r="AH30" s="29"/>
    </row>
    <row r="31" ht="52.5" hidden="1" customHeight="1">
      <c r="A31" s="30"/>
      <c r="B31" s="436">
        <v>8.0</v>
      </c>
      <c r="C31" s="32" t="s">
        <v>98</v>
      </c>
      <c r="D31" s="32" t="s">
        <v>99</v>
      </c>
      <c r="E31" s="46" t="s">
        <v>7322</v>
      </c>
      <c r="F31" s="41"/>
      <c r="G31" s="137" t="s">
        <v>7323</v>
      </c>
      <c r="H31" s="8"/>
      <c r="I31" s="129"/>
      <c r="J31" s="334" t="s">
        <v>7324</v>
      </c>
      <c r="K31" s="36"/>
      <c r="L31" s="36"/>
      <c r="M31" s="13"/>
      <c r="N31" s="45" t="s">
        <v>7325</v>
      </c>
      <c r="O31" s="13"/>
      <c r="P31" s="140" t="s">
        <v>7326</v>
      </c>
      <c r="Q31" s="4"/>
      <c r="R31" s="614" t="s">
        <v>7327</v>
      </c>
      <c r="S31" s="133"/>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hidden="1" customHeight="1">
      <c r="A32" s="30"/>
      <c r="B32" s="436">
        <v>9.0</v>
      </c>
      <c r="C32" s="65">
        <v>44697.0</v>
      </c>
      <c r="D32" s="44" t="s">
        <v>109</v>
      </c>
      <c r="E32" s="141" t="s">
        <v>7328</v>
      </c>
      <c r="F32" s="13"/>
      <c r="G32" s="142"/>
      <c r="H32" s="64"/>
      <c r="I32" s="88"/>
      <c r="J32" s="334" t="s">
        <v>7329</v>
      </c>
      <c r="K32" s="36"/>
      <c r="L32" s="36"/>
      <c r="M32" s="13"/>
      <c r="N32" s="45" t="s">
        <v>7330</v>
      </c>
      <c r="O32" s="13"/>
      <c r="P32" s="142"/>
      <c r="Q32" s="72"/>
      <c r="R32" s="144"/>
      <c r="S32" s="92"/>
      <c r="T32" s="64"/>
      <c r="U32" s="64"/>
      <c r="V32" s="88"/>
      <c r="W32" s="26"/>
      <c r="X32" s="69">
        <v>44697.0</v>
      </c>
      <c r="Y32" s="70" t="s">
        <v>109</v>
      </c>
      <c r="Z32" s="28"/>
      <c r="AA32" s="14"/>
      <c r="AB32" s="15" t="str">
        <f>IFERROR(__xludf.DUMMYFUNCTION("join("","",filter(split($H$83,"",""),ARRAYFORMULA(ISERROR(FIND(split($H$83,"",""),CONCATENATE(E32:V32))))=TRUE))"),"СЗ,КЗ,201,206,210,401,402,403,404,405,406,408,409,АЗ")</f>
        <v>СЗ,КЗ,201,206,210,401,402,403,404,405,406,408,409,АЗ</v>
      </c>
      <c r="AC32" s="14"/>
      <c r="AD32" s="14"/>
      <c r="AE32" s="14"/>
      <c r="AF32" s="29"/>
      <c r="AG32" s="29"/>
      <c r="AH32" s="29"/>
    </row>
    <row r="33" ht="40.5" hidden="1" customHeight="1">
      <c r="A33" s="30"/>
      <c r="B33" s="436">
        <v>10.0</v>
      </c>
      <c r="C33" s="44" t="s">
        <v>120</v>
      </c>
      <c r="D33" s="44" t="s">
        <v>121</v>
      </c>
      <c r="E33" s="141" t="s">
        <v>7331</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7332</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18">
        <v>44952.0</v>
      </c>
      <c r="B35" s="19">
        <v>1.0</v>
      </c>
      <c r="C35" s="20" t="s">
        <v>12</v>
      </c>
      <c r="D35" s="20" t="s">
        <v>13</v>
      </c>
      <c r="E35" s="80"/>
      <c r="F35" s="25"/>
      <c r="G35" s="156" t="s">
        <v>7333</v>
      </c>
      <c r="H35" s="117" t="s">
        <v>7334</v>
      </c>
      <c r="I35" s="25"/>
      <c r="J35" s="157" t="s">
        <v>7335</v>
      </c>
      <c r="K35" s="13"/>
      <c r="L35" s="156" t="s">
        <v>7336</v>
      </c>
      <c r="M35" s="156" t="s">
        <v>7337</v>
      </c>
      <c r="N35" s="80" t="s">
        <v>7338</v>
      </c>
      <c r="O35" s="25"/>
      <c r="P35" s="80" t="s">
        <v>7339</v>
      </c>
      <c r="Q35" s="25"/>
      <c r="R35" s="159" t="s">
        <v>7340</v>
      </c>
      <c r="S35" s="160"/>
      <c r="T35" s="161" t="s">
        <v>7341</v>
      </c>
      <c r="U35" s="24"/>
      <c r="V35" s="22"/>
      <c r="W35" s="26"/>
      <c r="X35" s="27" t="s">
        <v>12</v>
      </c>
      <c r="Y35" s="27" t="s">
        <v>13</v>
      </c>
      <c r="Z35" s="28"/>
      <c r="AA35" s="14"/>
      <c r="AB35" s="15" t="str">
        <f>IFERROR(__xludf.DUMMYFUNCTION("join("","",filter(split($H$83,"",""),ARRAYFORMULA(ISERROR(FIND(split($H$83,"",""),CONCATENATE(E35:V35))))=TRUE))"),"СЗ,КЗ,201,206,404,406,410,АЗ")</f>
        <v>СЗ,КЗ,201,206,404,406,410,АЗ</v>
      </c>
      <c r="AC35" s="14"/>
      <c r="AD35" s="14"/>
      <c r="AE35" s="14"/>
      <c r="AF35" s="29"/>
      <c r="AG35" s="29"/>
      <c r="AH35" s="29"/>
    </row>
    <row r="36" ht="54.0" hidden="1" customHeight="1">
      <c r="A36" s="30"/>
      <c r="B36" s="31">
        <v>2.0</v>
      </c>
      <c r="C36" s="32" t="s">
        <v>21</v>
      </c>
      <c r="D36" s="32" t="s">
        <v>22</v>
      </c>
      <c r="E36" s="45" t="s">
        <v>7342</v>
      </c>
      <c r="F36" s="13"/>
      <c r="G36" s="44" t="s">
        <v>7343</v>
      </c>
      <c r="H36" s="40" t="s">
        <v>312</v>
      </c>
      <c r="I36" s="13"/>
      <c r="J36" s="157" t="s">
        <v>313</v>
      </c>
      <c r="K36" s="13"/>
      <c r="L36" s="44" t="s">
        <v>7344</v>
      </c>
      <c r="M36" s="44" t="s">
        <v>7345</v>
      </c>
      <c r="N36" s="45" t="s">
        <v>316</v>
      </c>
      <c r="O36" s="13"/>
      <c r="P36" s="80" t="s">
        <v>7346</v>
      </c>
      <c r="Q36" s="25"/>
      <c r="R36" s="162" t="s">
        <v>7347</v>
      </c>
      <c r="S36" s="90"/>
      <c r="T36" s="163" t="s">
        <v>7348</v>
      </c>
      <c r="U36" s="36"/>
      <c r="V36" s="41"/>
      <c r="W36" s="26"/>
      <c r="X36" s="42" t="s">
        <v>21</v>
      </c>
      <c r="Y36" s="42" t="s">
        <v>22</v>
      </c>
      <c r="Z36" s="28"/>
      <c r="AA36" s="14"/>
      <c r="AB36" s="15" t="str">
        <f>IFERROR(__xludf.DUMMYFUNCTION("join("","",filter(split($H$83,"",""),ARRAYFORMULA(ISERROR(FIND(split($H$83,"",""),CONCATENATE(E36:V36))))=TRUE))"),"СЗ,КЗ,206,404,406,410,АЗ")</f>
        <v>СЗ,КЗ,206,404,406,410,АЗ</v>
      </c>
      <c r="AC36" s="14"/>
      <c r="AD36" s="14"/>
      <c r="AE36" s="14"/>
      <c r="AF36" s="29"/>
      <c r="AG36" s="29"/>
      <c r="AH36" s="29"/>
    </row>
    <row r="37" ht="56.25" hidden="1" customHeight="1">
      <c r="A37" s="30"/>
      <c r="B37" s="31">
        <v>3.0</v>
      </c>
      <c r="C37" s="32" t="s">
        <v>33</v>
      </c>
      <c r="D37" s="32" t="s">
        <v>34</v>
      </c>
      <c r="E37" s="45" t="s">
        <v>7349</v>
      </c>
      <c r="F37" s="13"/>
      <c r="G37" s="132" t="s">
        <v>7350</v>
      </c>
      <c r="H37" s="45" t="s">
        <v>7351</v>
      </c>
      <c r="I37" s="13"/>
      <c r="J37" s="45" t="s">
        <v>7352</v>
      </c>
      <c r="K37" s="13"/>
      <c r="L37" s="44" t="s">
        <v>7353</v>
      </c>
      <c r="M37" s="44" t="s">
        <v>7354</v>
      </c>
      <c r="N37" s="164" t="s">
        <v>7355</v>
      </c>
      <c r="O37" s="36"/>
      <c r="P37" s="36"/>
      <c r="Q37" s="13"/>
      <c r="R37" s="80" t="s">
        <v>7356</v>
      </c>
      <c r="S37" s="25"/>
      <c r="T37" s="87" t="s">
        <v>7357</v>
      </c>
      <c r="U37" s="36"/>
      <c r="V37" s="41"/>
      <c r="W37" s="26"/>
      <c r="X37" s="42" t="s">
        <v>33</v>
      </c>
      <c r="Y37" s="42" t="s">
        <v>34</v>
      </c>
      <c r="Z37" s="48" t="s">
        <v>47</v>
      </c>
      <c r="AA37" s="85" t="str">
        <f>AA$5</f>
        <v/>
      </c>
      <c r="AB37" s="15" t="str">
        <f>IFERROR(__xludf.DUMMYFUNCTION("join("","",filter(split($H$83,"",""),ARRAYFORMULA(ISERROR(FIND(split($H$83,"",""),CONCATENATE(E37:V37))))=TRUE))"),"КЗ,206,403,404,406,410,АЗ")</f>
        <v>КЗ,206,403,404,406,410,АЗ</v>
      </c>
      <c r="AC37" s="14"/>
      <c r="AD37" s="14"/>
      <c r="AE37" s="14"/>
      <c r="AF37" s="29"/>
      <c r="AG37" s="29"/>
      <c r="AH37" s="29"/>
    </row>
    <row r="38" ht="51.75" hidden="1" customHeight="1">
      <c r="A38" s="30"/>
      <c r="B38" s="31">
        <v>4.0</v>
      </c>
      <c r="C38" s="32" t="s">
        <v>48</v>
      </c>
      <c r="D38" s="32" t="s">
        <v>49</v>
      </c>
      <c r="E38" s="45" t="s">
        <v>7358</v>
      </c>
      <c r="F38" s="13"/>
      <c r="G38" s="132" t="s">
        <v>7359</v>
      </c>
      <c r="H38" s="45" t="s">
        <v>7360</v>
      </c>
      <c r="I38" s="13"/>
      <c r="J38" s="45" t="s">
        <v>7361</v>
      </c>
      <c r="K38" s="13"/>
      <c r="L38" s="44" t="s">
        <v>7362</v>
      </c>
      <c r="M38" s="44" t="s">
        <v>7363</v>
      </c>
      <c r="N38" s="164" t="s">
        <v>7364</v>
      </c>
      <c r="O38" s="36"/>
      <c r="P38" s="36"/>
      <c r="Q38" s="13"/>
      <c r="R38" s="80" t="s">
        <v>7365</v>
      </c>
      <c r="S38" s="25"/>
      <c r="T38" s="87" t="s">
        <v>7366</v>
      </c>
      <c r="U38" s="36"/>
      <c r="V38" s="41"/>
      <c r="W38" s="26"/>
      <c r="X38" s="42" t="s">
        <v>48</v>
      </c>
      <c r="Y38" s="42" t="s">
        <v>49</v>
      </c>
      <c r="Z38" s="48" t="s">
        <v>57</v>
      </c>
      <c r="AA38" s="85" t="str">
        <f>AA$6</f>
        <v/>
      </c>
      <c r="AB38" s="15" t="str">
        <f>IFERROR(__xludf.DUMMYFUNCTION("join("","",filter(split($H$83,"",""),ARRAYFORMULA(ISERROR(FIND(split($H$83,"",""),CONCATENATE(E38:V38))))=TRUE))"),"КЗ,206,403,404,406,410,АЗ")</f>
        <v>КЗ,206,403,404,406,410,АЗ</v>
      </c>
      <c r="AC38" s="14"/>
      <c r="AD38" s="14"/>
      <c r="AE38" s="14"/>
      <c r="AF38" s="29"/>
      <c r="AG38" s="29"/>
      <c r="AH38" s="29"/>
    </row>
    <row r="39" ht="58.5" hidden="1" customHeight="1">
      <c r="A39" s="30"/>
      <c r="B39" s="31">
        <v>5.0</v>
      </c>
      <c r="C39" s="32" t="s">
        <v>58</v>
      </c>
      <c r="D39" s="53">
        <v>44847.0</v>
      </c>
      <c r="E39" s="45" t="s">
        <v>7367</v>
      </c>
      <c r="F39" s="13"/>
      <c r="G39" s="44" t="s">
        <v>7368</v>
      </c>
      <c r="H39" s="45" t="s">
        <v>7369</v>
      </c>
      <c r="I39" s="13"/>
      <c r="J39" s="44" t="s">
        <v>7370</v>
      </c>
      <c r="K39" s="44" t="s">
        <v>7371</v>
      </c>
      <c r="L39" s="45" t="s">
        <v>7372</v>
      </c>
      <c r="M39" s="13"/>
      <c r="N39" s="80" t="s">
        <v>7373</v>
      </c>
      <c r="O39" s="25"/>
      <c r="P39" s="45" t="s">
        <v>7374</v>
      </c>
      <c r="Q39" s="13"/>
      <c r="R39" s="44" t="s">
        <v>7375</v>
      </c>
      <c r="S39" s="132" t="s">
        <v>7376</v>
      </c>
      <c r="T39" s="45" t="s">
        <v>7377</v>
      </c>
      <c r="U39" s="36"/>
      <c r="V39" s="41"/>
      <c r="W39" s="26"/>
      <c r="X39" s="42" t="s">
        <v>58</v>
      </c>
      <c r="Y39" s="54">
        <v>44847.0</v>
      </c>
      <c r="Z39" s="48" t="s">
        <v>70</v>
      </c>
      <c r="AA39" s="85" t="str">
        <f>AA$7</f>
        <v/>
      </c>
      <c r="AB39" s="15" t="str">
        <f>IFERROR(__xludf.DUMMYFUNCTION("join("","",filter(split($H$83,"",""),ARRAYFORMULA(ISERROR(FIND(split($H$83,"",""),CONCATENATE(E39:V39))))=TRUE))"),"СЗ,КЗ,206,403,404,406,АЗ")</f>
        <v>СЗ,КЗ,206,403,404,406,АЗ</v>
      </c>
      <c r="AC39" s="14"/>
      <c r="AD39" s="14"/>
      <c r="AE39" s="14"/>
      <c r="AF39" s="29"/>
      <c r="AG39" s="29"/>
      <c r="AH39" s="29"/>
    </row>
    <row r="40" ht="54.0" hidden="1" customHeight="1">
      <c r="A40" s="30"/>
      <c r="B40" s="31">
        <v>6.0</v>
      </c>
      <c r="C40" s="55" t="s">
        <v>71</v>
      </c>
      <c r="D40" s="56" t="s">
        <v>72</v>
      </c>
      <c r="E40" s="45" t="s">
        <v>7378</v>
      </c>
      <c r="F40" s="13"/>
      <c r="G40" s="44" t="s">
        <v>355</v>
      </c>
      <c r="H40" s="45" t="s">
        <v>7379</v>
      </c>
      <c r="I40" s="13"/>
      <c r="J40" s="44" t="s">
        <v>7380</v>
      </c>
      <c r="K40" s="44" t="s">
        <v>7381</v>
      </c>
      <c r="L40" s="45" t="s">
        <v>7382</v>
      </c>
      <c r="M40" s="13"/>
      <c r="N40" s="80" t="s">
        <v>7383</v>
      </c>
      <c r="O40" s="25"/>
      <c r="P40" s="45" t="s">
        <v>7384</v>
      </c>
      <c r="Q40" s="13"/>
      <c r="R40" s="44" t="s">
        <v>7385</v>
      </c>
      <c r="S40" s="132" t="s">
        <v>7386</v>
      </c>
      <c r="T40" s="45" t="s">
        <v>7387</v>
      </c>
      <c r="U40" s="36"/>
      <c r="V40" s="41"/>
      <c r="W40" s="26"/>
      <c r="X40" s="58" t="s">
        <v>71</v>
      </c>
      <c r="Y40" s="59" t="s">
        <v>72</v>
      </c>
      <c r="Z40" s="48" t="s">
        <v>84</v>
      </c>
      <c r="AA40" s="85" t="str">
        <f>AA$8</f>
        <v/>
      </c>
      <c r="AB40" s="15" t="str">
        <f>IFERROR(__xludf.DUMMYFUNCTION("join("","",filter(split($H$83,"",""),ARRAYFORMULA(ISERROR(FIND(split($H$83,"",""),CONCATENATE(E40:V40))))=TRUE))"),"СЗ,КЗ,206,403,404,406,АЗ")</f>
        <v>СЗ,КЗ,206,403,404,406,АЗ</v>
      </c>
      <c r="AC40" s="14"/>
      <c r="AD40" s="14"/>
      <c r="AE40" s="14"/>
      <c r="AF40" s="29"/>
      <c r="AG40" s="29"/>
      <c r="AH40" s="29"/>
    </row>
    <row r="41" ht="48.75" hidden="1" customHeight="1">
      <c r="A41" s="30"/>
      <c r="B41" s="31">
        <v>7.0</v>
      </c>
      <c r="C41" s="32" t="s">
        <v>85</v>
      </c>
      <c r="D41" s="32" t="s">
        <v>86</v>
      </c>
      <c r="E41" s="45" t="s">
        <v>7388</v>
      </c>
      <c r="F41" s="13"/>
      <c r="G41" s="44" t="s">
        <v>7389</v>
      </c>
      <c r="H41" s="45" t="s">
        <v>7390</v>
      </c>
      <c r="I41" s="13"/>
      <c r="J41" s="44" t="s">
        <v>7391</v>
      </c>
      <c r="K41" s="44" t="s">
        <v>7392</v>
      </c>
      <c r="L41" s="45" t="s">
        <v>7393</v>
      </c>
      <c r="M41" s="13"/>
      <c r="N41" s="87" t="s">
        <v>7394</v>
      </c>
      <c r="O41" s="13"/>
      <c r="P41" s="45" t="s">
        <v>7395</v>
      </c>
      <c r="Q41" s="13"/>
      <c r="R41" s="44"/>
      <c r="S41" s="44" t="s">
        <v>7396</v>
      </c>
      <c r="T41" s="165"/>
      <c r="U41" s="36"/>
      <c r="V41" s="41"/>
      <c r="W41" s="26"/>
      <c r="X41" s="42" t="s">
        <v>85</v>
      </c>
      <c r="Y41" s="42" t="s">
        <v>86</v>
      </c>
      <c r="Z41" s="48" t="s">
        <v>97</v>
      </c>
      <c r="AA41" s="85" t="str">
        <f>AA$9</f>
        <v/>
      </c>
      <c r="AB41" s="15" t="str">
        <f>IFERROR(__xludf.DUMMYFUNCTION("join("","",filter(split($H$83,"",""),ARRAYFORMULA(ISERROR(FIND(split($H$83,"",""),CONCATENATE(E41:V41))))=TRUE))"),"СЗ,КЗ,206,210,403,405,406,АЗ")</f>
        <v>СЗ,КЗ,206,210,403,405,406,АЗ</v>
      </c>
      <c r="AC41" s="14"/>
      <c r="AD41" s="14"/>
      <c r="AE41" s="14"/>
      <c r="AF41" s="29"/>
      <c r="AG41" s="29"/>
      <c r="AH41" s="29"/>
    </row>
    <row r="42" ht="52.5" hidden="1" customHeight="1">
      <c r="A42" s="30"/>
      <c r="B42" s="31">
        <v>8.0</v>
      </c>
      <c r="C42" s="32" t="s">
        <v>98</v>
      </c>
      <c r="D42" s="32" t="s">
        <v>99</v>
      </c>
      <c r="E42" s="45" t="s">
        <v>7397</v>
      </c>
      <c r="F42" s="13"/>
      <c r="G42" s="44" t="s">
        <v>7398</v>
      </c>
      <c r="H42" s="45" t="s">
        <v>379</v>
      </c>
      <c r="I42" s="13"/>
      <c r="J42" s="44" t="s">
        <v>7399</v>
      </c>
      <c r="K42" s="44" t="s">
        <v>7400</v>
      </c>
      <c r="L42" s="45" t="s">
        <v>7401</v>
      </c>
      <c r="M42" s="13"/>
      <c r="N42" s="87" t="s">
        <v>7402</v>
      </c>
      <c r="O42" s="13"/>
      <c r="P42" s="45" t="s">
        <v>7403</v>
      </c>
      <c r="Q42" s="13"/>
      <c r="R42" s="166"/>
      <c r="S42" s="13"/>
      <c r="T42" s="165"/>
      <c r="U42" s="36"/>
      <c r="V42" s="41"/>
      <c r="W42" s="26"/>
      <c r="X42" s="42" t="s">
        <v>98</v>
      </c>
      <c r="Y42" s="42" t="s">
        <v>99</v>
      </c>
      <c r="Z42" s="11"/>
      <c r="AA42" s="14"/>
      <c r="AB42" s="15" t="str">
        <f>IFERROR(__xludf.DUMMYFUNCTION("join("","",filter(split($H$83,"",""),ARRAYFORMULA(ISERROR(FIND(split($H$83,"",""),CONCATENATE(E42:V42))))=TRUE))"),"СЗ,КЗ,206,210,403,404,405,406,АЗ")</f>
        <v>СЗ,КЗ,206,210,403,404,405,406,АЗ</v>
      </c>
      <c r="AC42" s="14"/>
      <c r="AD42" s="14"/>
      <c r="AE42" s="14"/>
      <c r="AF42" s="29"/>
      <c r="AG42" s="29"/>
      <c r="AH42" s="29"/>
    </row>
    <row r="43" ht="54.0" hidden="1" customHeight="1">
      <c r="A43" s="30"/>
      <c r="B43" s="31">
        <v>9.0</v>
      </c>
      <c r="C43" s="65">
        <v>44697.0</v>
      </c>
      <c r="D43" s="44" t="s">
        <v>109</v>
      </c>
      <c r="E43" s="167" t="s">
        <v>7404</v>
      </c>
      <c r="F43" s="4"/>
      <c r="G43" s="615" t="s">
        <v>7405</v>
      </c>
      <c r="H43" s="169" t="s">
        <v>7406</v>
      </c>
      <c r="I43" s="36"/>
      <c r="J43" s="13"/>
      <c r="K43" s="170"/>
      <c r="L43" s="4"/>
      <c r="M43" s="171"/>
      <c r="N43" s="45" t="s">
        <v>7407</v>
      </c>
      <c r="O43" s="13"/>
      <c r="P43" s="33" t="s">
        <v>7408</v>
      </c>
      <c r="Q43" s="172" t="s">
        <v>390</v>
      </c>
      <c r="R43" s="8"/>
      <c r="S43" s="8"/>
      <c r="T43" s="8"/>
      <c r="U43" s="8"/>
      <c r="V43" s="129"/>
      <c r="W43" s="26"/>
      <c r="X43" s="69">
        <v>44697.0</v>
      </c>
      <c r="Y43" s="70" t="s">
        <v>109</v>
      </c>
      <c r="Z43" s="28"/>
      <c r="AA43" s="14"/>
      <c r="AB43" s="15" t="str">
        <f>IFERROR(__xludf.DUMMYFUNCTION("join("","",filter(split($H$83,"",""),ARRAYFORMULA(ISERROR(FIND(split($H$83,"",""),CONCATENATE(E43:V43))))=TRUE))"),"КЗ,206,401,403,404,405,406,408,409,АЗ")</f>
        <v>КЗ,206,401,403,404,405,406,408,409,АЗ</v>
      </c>
      <c r="AC43" s="14"/>
      <c r="AD43" s="14"/>
      <c r="AE43" s="14"/>
      <c r="AF43" s="29"/>
      <c r="AG43" s="29"/>
      <c r="AH43" s="29"/>
    </row>
    <row r="44" ht="54.0" hidden="1" customHeight="1">
      <c r="A44" s="30"/>
      <c r="B44" s="31">
        <v>10.0</v>
      </c>
      <c r="C44" s="44" t="s">
        <v>120</v>
      </c>
      <c r="D44" s="44" t="s">
        <v>121</v>
      </c>
      <c r="E44" s="104"/>
      <c r="F44" s="72"/>
      <c r="G44" s="173"/>
      <c r="H44" s="169" t="s">
        <v>7409</v>
      </c>
      <c r="I44" s="36"/>
      <c r="J44" s="13"/>
      <c r="K44" s="104"/>
      <c r="L44" s="72"/>
      <c r="M44" s="171"/>
      <c r="N44" s="45" t="s">
        <v>7410</v>
      </c>
      <c r="O44" s="13"/>
      <c r="P44" s="33" t="s">
        <v>7411</v>
      </c>
      <c r="Q44" s="104"/>
      <c r="R44" s="64"/>
      <c r="S44" s="64"/>
      <c r="T44" s="64"/>
      <c r="U44" s="64"/>
      <c r="V44" s="88"/>
      <c r="W44" s="26"/>
      <c r="X44" s="70" t="s">
        <v>120</v>
      </c>
      <c r="Y44" s="70" t="s">
        <v>121</v>
      </c>
      <c r="Z44" s="28"/>
      <c r="AA44" s="14"/>
      <c r="AB44" s="15" t="str">
        <f>IFERROR(__xludf.DUMMYFUNCTION("join("","",filter(split($H$83,"",""),ARRAYFORMULA(ISERROR(FIND(split($H$83,"",""),CONCATENATE(E44:V44))))=TRUE))"),"КЗ,201,206,209,401,403,404,405,406,408,409,410,АЗ")</f>
        <v>КЗ,201,206,209,401,403,404,405,406,408,409,410,АЗ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18">
        <v>44953.0</v>
      </c>
      <c r="B46" s="19">
        <v>1.0</v>
      </c>
      <c r="C46" s="20" t="s">
        <v>12</v>
      </c>
      <c r="D46" s="20" t="s">
        <v>13</v>
      </c>
      <c r="E46" s="156" t="s">
        <v>7412</v>
      </c>
      <c r="F46" s="156" t="s">
        <v>7413</v>
      </c>
      <c r="G46" s="80" t="s">
        <v>7414</v>
      </c>
      <c r="H46" s="25"/>
      <c r="I46" s="174" t="s">
        <v>7415</v>
      </c>
      <c r="J46" s="175" t="s">
        <v>7416</v>
      </c>
      <c r="K46" s="25"/>
      <c r="L46" s="80" t="s">
        <v>7417</v>
      </c>
      <c r="M46" s="25"/>
      <c r="N46" s="45" t="s">
        <v>7418</v>
      </c>
      <c r="O46" s="13"/>
      <c r="P46" s="80" t="s">
        <v>7419</v>
      </c>
      <c r="Q46" s="25"/>
      <c r="R46" s="80" t="s">
        <v>7420</v>
      </c>
      <c r="S46" s="25"/>
      <c r="T46" s="80" t="s">
        <v>7421</v>
      </c>
      <c r="U46" s="24"/>
      <c r="V46" s="22"/>
      <c r="W46" s="26"/>
      <c r="X46" s="27" t="s">
        <v>12</v>
      </c>
      <c r="Y46" s="27" t="s">
        <v>13</v>
      </c>
      <c r="Z46" s="28"/>
      <c r="AA46" s="14"/>
      <c r="AB46" s="15" t="str">
        <f>IFERROR(__xludf.DUMMYFUNCTION("join("","",filter(split($H$83,"",""),ARRAYFORMULA(ISERROR(FIND(split($H$83,"",""),CONCATENATE(E46:V46))))=TRUE))"),"СЗ,КЗ,206,402,404,408,409,410")</f>
        <v>СЗ,КЗ,206,402,404,408,409,410</v>
      </c>
      <c r="AC46" s="14"/>
      <c r="AD46" s="14"/>
      <c r="AE46" s="14"/>
      <c r="AF46" s="29"/>
      <c r="AG46" s="29"/>
      <c r="AH46" s="29"/>
    </row>
    <row r="47" ht="40.5" customHeight="1">
      <c r="A47" s="30"/>
      <c r="B47" s="31">
        <v>2.0</v>
      </c>
      <c r="C47" s="32" t="s">
        <v>21</v>
      </c>
      <c r="D47" s="32" t="s">
        <v>22</v>
      </c>
      <c r="E47" s="44" t="s">
        <v>7422</v>
      </c>
      <c r="F47" s="44" t="s">
        <v>7423</v>
      </c>
      <c r="G47" s="45" t="s">
        <v>7424</v>
      </c>
      <c r="H47" s="13"/>
      <c r="I47" s="173"/>
      <c r="J47" s="157" t="s">
        <v>7425</v>
      </c>
      <c r="K47" s="13"/>
      <c r="L47" s="80" t="s">
        <v>7426</v>
      </c>
      <c r="M47" s="25"/>
      <c r="N47" s="45" t="s">
        <v>7427</v>
      </c>
      <c r="O47" s="13"/>
      <c r="P47" s="45" t="s">
        <v>7428</v>
      </c>
      <c r="Q47" s="13"/>
      <c r="R47" s="44" t="s">
        <v>7429</v>
      </c>
      <c r="S47" s="90" t="s">
        <v>7430</v>
      </c>
      <c r="T47" s="45" t="s">
        <v>7431</v>
      </c>
      <c r="U47" s="36"/>
      <c r="V47" s="41"/>
      <c r="W47" s="26"/>
      <c r="X47" s="42" t="s">
        <v>21</v>
      </c>
      <c r="Y47" s="42" t="s">
        <v>22</v>
      </c>
      <c r="Z47" s="28"/>
      <c r="AA47" s="14"/>
      <c r="AB47" s="15" t="str">
        <f>IFERROR(__xludf.DUMMYFUNCTION("join("","",filter(split($H$83,"",""),ARRAYFORMULA(ISERROR(FIND(split($H$83,"",""),CONCATENATE(E47:V47))))=TRUE))"),"СЗ,КЗ,206,404,408,409,410,АЗ")</f>
        <v>СЗ,КЗ,206,404,408,409,410,АЗ</v>
      </c>
      <c r="AC47" s="14"/>
      <c r="AD47" s="14"/>
      <c r="AE47" s="14"/>
      <c r="AF47" s="29"/>
      <c r="AG47" s="29"/>
      <c r="AH47" s="29"/>
    </row>
    <row r="48" ht="40.5" customHeight="1">
      <c r="A48" s="30"/>
      <c r="B48" s="31">
        <v>3.0</v>
      </c>
      <c r="C48" s="32" t="s">
        <v>33</v>
      </c>
      <c r="D48" s="32" t="s">
        <v>34</v>
      </c>
      <c r="E48" s="40" t="s">
        <v>7432</v>
      </c>
      <c r="F48" s="13"/>
      <c r="G48" s="176" t="s">
        <v>7433</v>
      </c>
      <c r="H48" s="4"/>
      <c r="I48" s="90" t="s">
        <v>7434</v>
      </c>
      <c r="J48" s="44" t="s">
        <v>7435</v>
      </c>
      <c r="K48" s="44" t="s">
        <v>7436</v>
      </c>
      <c r="L48" s="45" t="s">
        <v>7437</v>
      </c>
      <c r="M48" s="13"/>
      <c r="N48" s="164" t="s">
        <v>7438</v>
      </c>
      <c r="O48" s="36"/>
      <c r="P48" s="36"/>
      <c r="Q48" s="13"/>
      <c r="R48" s="44" t="s">
        <v>7439</v>
      </c>
      <c r="S48" s="90" t="s">
        <v>7440</v>
      </c>
      <c r="T48" s="45" t="s">
        <v>7441</v>
      </c>
      <c r="U48" s="36"/>
      <c r="V48" s="41"/>
      <c r="W48" s="26"/>
      <c r="X48" s="42" t="s">
        <v>33</v>
      </c>
      <c r="Y48" s="42" t="s">
        <v>34</v>
      </c>
      <c r="Z48" s="48" t="s">
        <v>47</v>
      </c>
      <c r="AA48" s="85" t="str">
        <f>AA$5</f>
        <v/>
      </c>
      <c r="AB48" s="15" t="str">
        <f>IFERROR(__xludf.DUMMYFUNCTION("join("","",filter(split($H$83,"",""),ARRAYFORMULA(ISERROR(FIND(split($H$83,"",""),CONCATENATE(E48:V48))))=TRUE))"),"СЗ,КЗ,206,209,404,409,410")</f>
        <v>СЗ,КЗ,206,209,404,409,410</v>
      </c>
      <c r="AC48" s="14"/>
      <c r="AD48" s="14"/>
      <c r="AE48" s="14"/>
      <c r="AF48" s="29"/>
      <c r="AG48" s="29"/>
      <c r="AH48" s="29"/>
    </row>
    <row r="49" ht="40.5" customHeight="1">
      <c r="A49" s="30"/>
      <c r="B49" s="31">
        <v>4.0</v>
      </c>
      <c r="C49" s="32" t="s">
        <v>48</v>
      </c>
      <c r="D49" s="32" t="s">
        <v>49</v>
      </c>
      <c r="E49" s="40" t="s">
        <v>7442</v>
      </c>
      <c r="F49" s="13"/>
      <c r="G49" s="104"/>
      <c r="H49" s="72"/>
      <c r="I49" s="90" t="s">
        <v>7443</v>
      </c>
      <c r="J49" s="44" t="s">
        <v>7444</v>
      </c>
      <c r="K49" s="44" t="s">
        <v>7445</v>
      </c>
      <c r="L49" s="45" t="s">
        <v>7446</v>
      </c>
      <c r="M49" s="13"/>
      <c r="N49" s="164" t="s">
        <v>7447</v>
      </c>
      <c r="O49" s="36"/>
      <c r="P49" s="36"/>
      <c r="Q49" s="13"/>
      <c r="R49" s="90" t="s">
        <v>7448</v>
      </c>
      <c r="S49" s="133" t="s">
        <v>7449</v>
      </c>
      <c r="T49" s="45" t="s">
        <v>7450</v>
      </c>
      <c r="U49" s="36"/>
      <c r="V49" s="41"/>
      <c r="W49" s="26"/>
      <c r="X49" s="42" t="s">
        <v>48</v>
      </c>
      <c r="Y49" s="42" t="s">
        <v>49</v>
      </c>
      <c r="Z49" s="48" t="s">
        <v>57</v>
      </c>
      <c r="AA49" s="85" t="str">
        <f>AA$6</f>
        <v/>
      </c>
      <c r="AB49" s="15" t="str">
        <f>IFERROR(__xludf.DUMMYFUNCTION("join("","",filter(split($H$83,"",""),ARRAYFORMULA(ISERROR(FIND(split($H$83,"",""),CONCATENATE(E49:V49))))=TRUE))"),"СЗ,КЗ,201,206,209,404,410,АЗ")</f>
        <v>СЗ,КЗ,201,206,209,404,410,АЗ</v>
      </c>
      <c r="AC49" s="14"/>
      <c r="AD49" s="14"/>
      <c r="AE49" s="14"/>
      <c r="AF49" s="29"/>
      <c r="AG49" s="29"/>
      <c r="AH49" s="29"/>
    </row>
    <row r="50" ht="40.5" customHeight="1">
      <c r="A50" s="30"/>
      <c r="B50" s="31">
        <v>5.0</v>
      </c>
      <c r="C50" s="32" t="s">
        <v>58</v>
      </c>
      <c r="D50" s="53">
        <v>44847.0</v>
      </c>
      <c r="E50" s="45" t="s">
        <v>7451</v>
      </c>
      <c r="F50" s="13"/>
      <c r="G50" s="44" t="s">
        <v>7452</v>
      </c>
      <c r="H50" s="45" t="s">
        <v>7453</v>
      </c>
      <c r="I50" s="13"/>
      <c r="J50" s="45" t="s">
        <v>7454</v>
      </c>
      <c r="K50" s="13"/>
      <c r="L50" s="45" t="s">
        <v>7455</v>
      </c>
      <c r="M50" s="13"/>
      <c r="N50" s="177" t="s">
        <v>7456</v>
      </c>
      <c r="O50" s="124" t="s">
        <v>7457</v>
      </c>
      <c r="P50" s="45" t="s">
        <v>7458</v>
      </c>
      <c r="Q50" s="13"/>
      <c r="R50" s="90" t="s">
        <v>7459</v>
      </c>
      <c r="S50" s="133" t="s">
        <v>7460</v>
      </c>
      <c r="T50" s="45" t="s">
        <v>7461</v>
      </c>
      <c r="U50" s="36"/>
      <c r="V50" s="41"/>
      <c r="W50" s="26"/>
      <c r="X50" s="42" t="s">
        <v>58</v>
      </c>
      <c r="Y50" s="54">
        <v>44847.0</v>
      </c>
      <c r="Z50" s="48" t="s">
        <v>70</v>
      </c>
      <c r="AA50" s="85" t="str">
        <f>AA$7</f>
        <v/>
      </c>
      <c r="AB50" s="15" t="str">
        <f>IFERROR(__xludf.DUMMYFUNCTION("join("","",filter(split($H$83,"",""),ARRAYFORMULA(ISERROR(FIND(split($H$83,"",""),CONCATENATE(E50:V50))))=TRUE))"),"СЗ,КЗ,206,401,404,405,408,410")</f>
        <v>СЗ,КЗ,206,401,404,405,408,410</v>
      </c>
      <c r="AC50" s="14"/>
      <c r="AD50" s="14"/>
      <c r="AE50" s="14"/>
      <c r="AF50" s="29"/>
      <c r="AG50" s="29"/>
      <c r="AH50" s="29"/>
    </row>
    <row r="51" ht="48.75" customHeight="1">
      <c r="A51" s="30"/>
      <c r="B51" s="31">
        <v>6.0</v>
      </c>
      <c r="C51" s="55" t="s">
        <v>71</v>
      </c>
      <c r="D51" s="56" t="s">
        <v>72</v>
      </c>
      <c r="E51" s="45" t="s">
        <v>7462</v>
      </c>
      <c r="F51" s="13"/>
      <c r="G51" s="44" t="s">
        <v>7463</v>
      </c>
      <c r="H51" s="45" t="s">
        <v>7464</v>
      </c>
      <c r="I51" s="13"/>
      <c r="J51" s="45" t="s">
        <v>7465</v>
      </c>
      <c r="K51" s="13"/>
      <c r="L51" s="45" t="s">
        <v>7466</v>
      </c>
      <c r="M51" s="13"/>
      <c r="N51" s="177" t="s">
        <v>7467</v>
      </c>
      <c r="O51" s="124" t="s">
        <v>7468</v>
      </c>
      <c r="P51" s="45" t="s">
        <v>7469</v>
      </c>
      <c r="Q51" s="13"/>
      <c r="R51" s="162" t="s">
        <v>7470</v>
      </c>
      <c r="S51" s="178" t="s">
        <v>7471</v>
      </c>
      <c r="T51" s="44" t="s">
        <v>7472</v>
      </c>
      <c r="U51" s="44" t="s">
        <v>7473</v>
      </c>
      <c r="V51" s="34"/>
      <c r="W51" s="179"/>
      <c r="X51" s="58" t="s">
        <v>71</v>
      </c>
      <c r="Y51" s="59" t="s">
        <v>72</v>
      </c>
      <c r="Z51" s="48" t="s">
        <v>84</v>
      </c>
      <c r="AA51" s="85"/>
      <c r="AB51" s="15" t="str">
        <f>IFERROR(__xludf.DUMMYFUNCTION("join("","",filter(split($H$83,"",""),ARRAYFORMULA(ISERROR(FIND(split($H$83,"",""),CONCATENATE(E51:V51))))=TRUE))"),"СЗ,206,404,405,409,410")</f>
        <v>СЗ,206,404,405,409,410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7474</v>
      </c>
      <c r="F52" s="13"/>
      <c r="G52" s="44" t="s">
        <v>7475</v>
      </c>
      <c r="H52" s="45" t="s">
        <v>7476</v>
      </c>
      <c r="I52" s="13"/>
      <c r="J52" s="45" t="s">
        <v>7477</v>
      </c>
      <c r="K52" s="13"/>
      <c r="L52" s="45" t="s">
        <v>7478</v>
      </c>
      <c r="M52" s="13"/>
      <c r="N52" s="86" t="s">
        <v>7479</v>
      </c>
      <c r="O52" s="13"/>
      <c r="P52" s="124" t="s">
        <v>7480</v>
      </c>
      <c r="Q52" s="90" t="s">
        <v>7481</v>
      </c>
      <c r="R52" s="180" t="s">
        <v>7482</v>
      </c>
      <c r="S52" s="181" t="s">
        <v>7483</v>
      </c>
      <c r="T52" s="44" t="s">
        <v>472</v>
      </c>
      <c r="U52" s="44"/>
      <c r="V52" s="34"/>
      <c r="W52" s="26"/>
      <c r="X52" s="42" t="s">
        <v>85</v>
      </c>
      <c r="Y52" s="42" t="s">
        <v>86</v>
      </c>
      <c r="Z52" s="48" t="s">
        <v>97</v>
      </c>
      <c r="AA52" s="85" t="str">
        <f>AA$9</f>
        <v/>
      </c>
      <c r="AB52" s="15" t="str">
        <f>IFERROR(__xludf.DUMMYFUNCTION("join("","",filter(split($H$83,"",""),ARRAYFORMULA(ISERROR(FIND(split($H$83,"",""),CONCATENATE(E52:V52))))=TRUE))"),"СЗ,206,404,405,406,410")</f>
        <v>СЗ,206,404,405,406,410</v>
      </c>
      <c r="AC52" s="14"/>
      <c r="AD52" s="14"/>
      <c r="AE52" s="616" t="s">
        <v>7484</v>
      </c>
      <c r="AF52" s="29"/>
      <c r="AG52" s="29"/>
      <c r="AH52" s="29"/>
    </row>
    <row r="53" ht="51.75" customHeight="1">
      <c r="A53" s="30"/>
      <c r="B53" s="31">
        <v>8.0</v>
      </c>
      <c r="C53" s="32" t="s">
        <v>98</v>
      </c>
      <c r="D53" s="32" t="s">
        <v>99</v>
      </c>
      <c r="E53" s="44" t="s">
        <v>7485</v>
      </c>
      <c r="F53" s="44" t="s">
        <v>7486</v>
      </c>
      <c r="G53" s="416" t="s">
        <v>1913</v>
      </c>
      <c r="H53" s="86" t="s">
        <v>7487</v>
      </c>
      <c r="I53" s="13"/>
      <c r="J53" s="45" t="s">
        <v>7488</v>
      </c>
      <c r="K53" s="13"/>
      <c r="L53" s="45" t="s">
        <v>7489</v>
      </c>
      <c r="M53" s="13"/>
      <c r="N53" s="182"/>
      <c r="O53" s="177" t="s">
        <v>7490</v>
      </c>
      <c r="P53" s="124" t="s">
        <v>7491</v>
      </c>
      <c r="Q53" s="90" t="s">
        <v>161</v>
      </c>
      <c r="R53" s="183" t="s">
        <v>7492</v>
      </c>
      <c r="S53" s="181" t="s">
        <v>7493</v>
      </c>
      <c r="T53" s="144"/>
      <c r="U53" s="144"/>
      <c r="V53" s="184"/>
      <c r="W53" s="26"/>
      <c r="X53" s="42" t="s">
        <v>98</v>
      </c>
      <c r="Y53" s="42" t="s">
        <v>99</v>
      </c>
      <c r="Z53" s="11"/>
      <c r="AA53" s="14"/>
      <c r="AB53" s="15" t="str">
        <f>IFERROR(__xludf.DUMMYFUNCTION("join("","",filter(split($H$83,"",""),ARRAYFORMULA(ISERROR(FIND(split($H$83,"",""),CONCATENATE(E53:V53))))=TRUE))"),"СЗ,201,206,401,404,405,408,410")</f>
        <v>СЗ,201,206,401,404,405,408,410</v>
      </c>
      <c r="AC53" s="14"/>
      <c r="AD53" s="14"/>
      <c r="AE53" s="616" t="s">
        <v>7484</v>
      </c>
      <c r="AF53" s="29"/>
      <c r="AG53" s="29"/>
      <c r="AH53" s="29"/>
    </row>
    <row r="54" ht="71.25" customHeight="1">
      <c r="A54" s="30"/>
      <c r="B54" s="31">
        <v>9.0</v>
      </c>
      <c r="C54" s="65">
        <v>44697.0</v>
      </c>
      <c r="D54" s="44" t="s">
        <v>109</v>
      </c>
      <c r="E54" s="187" t="s">
        <v>7080</v>
      </c>
      <c r="F54" s="8"/>
      <c r="G54" s="8"/>
      <c r="H54" s="8"/>
      <c r="I54" s="8"/>
      <c r="J54" s="8"/>
      <c r="K54" s="8"/>
      <c r="L54" s="8"/>
      <c r="M54" s="8"/>
      <c r="N54" s="163"/>
      <c r="O54" s="177" t="s">
        <v>7494</v>
      </c>
      <c r="P54" s="187" t="s">
        <v>7080</v>
      </c>
      <c r="Q54" s="8"/>
      <c r="R54" s="8"/>
      <c r="S54" s="8"/>
      <c r="T54" s="8"/>
      <c r="U54" s="8"/>
      <c r="V54" s="8"/>
      <c r="W54" s="186"/>
      <c r="X54" s="69">
        <v>44697.0</v>
      </c>
      <c r="Y54" s="70" t="s">
        <v>109</v>
      </c>
      <c r="Z54" s="28"/>
      <c r="AA54" s="14"/>
      <c r="AB54" s="15" t="str">
        <f>IFERROR(__xludf.DUMMYFUNCTION("join("","",filter(split($H$83,"",""),ARRAYFORMULA(ISERROR(FIND(split($H$83,"",""),CONCATENATE(E54:V54))))=TRUE))"),"206,209,401,403,404,405,408,410,АЗ")</f>
        <v>206,209,401,403,404,405,408,410,АЗ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18">
        <v>44954.0</v>
      </c>
      <c r="B57" s="191">
        <v>1.0</v>
      </c>
      <c r="C57" s="192" t="str">
        <f>D$1</f>
        <v/>
      </c>
      <c r="D57" s="72"/>
      <c r="E57" s="193"/>
      <c r="F57" s="193"/>
      <c r="G57" s="194" t="s">
        <v>481</v>
      </c>
      <c r="H57" s="64"/>
      <c r="I57" s="72"/>
      <c r="J57" s="195"/>
      <c r="K57" s="64"/>
      <c r="L57" s="64"/>
      <c r="M57" s="72"/>
      <c r="N57" s="193"/>
      <c r="O57" s="193"/>
      <c r="P57" s="187" t="s">
        <v>482</v>
      </c>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617"/>
      <c r="H58" s="36"/>
      <c r="I58" s="36"/>
      <c r="J58" s="618"/>
      <c r="K58" s="618"/>
      <c r="L58" s="618"/>
      <c r="M58" s="619"/>
      <c r="N58" s="15"/>
      <c r="O58" s="15"/>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303">
    <mergeCell ref="J29:K29"/>
    <mergeCell ref="L29:M29"/>
    <mergeCell ref="J30:K30"/>
    <mergeCell ref="L30:M30"/>
    <mergeCell ref="J31:M31"/>
    <mergeCell ref="J32:M32"/>
    <mergeCell ref="J35:K35"/>
    <mergeCell ref="J36:K36"/>
    <mergeCell ref="J37:K37"/>
    <mergeCell ref="J38:K38"/>
    <mergeCell ref="L39:M39"/>
    <mergeCell ref="L40:M40"/>
    <mergeCell ref="L41:M41"/>
    <mergeCell ref="L42:M42"/>
    <mergeCell ref="J50:K50"/>
    <mergeCell ref="J51:K51"/>
    <mergeCell ref="J52:K52"/>
    <mergeCell ref="J53:K53"/>
    <mergeCell ref="L51:M51"/>
    <mergeCell ref="L52:M52"/>
    <mergeCell ref="L53:M53"/>
    <mergeCell ref="J57:M57"/>
    <mergeCell ref="K66:L66"/>
    <mergeCell ref="K67:L67"/>
    <mergeCell ref="K68:L68"/>
    <mergeCell ref="J46:K46"/>
    <mergeCell ref="L46:M46"/>
    <mergeCell ref="J47:K47"/>
    <mergeCell ref="L47:M47"/>
    <mergeCell ref="L48:M48"/>
    <mergeCell ref="L49:M49"/>
    <mergeCell ref="L50:M50"/>
    <mergeCell ref="E19:F19"/>
    <mergeCell ref="H19:I19"/>
    <mergeCell ref="J19:K19"/>
    <mergeCell ref="L19:M19"/>
    <mergeCell ref="E20:F20"/>
    <mergeCell ref="H20:I20"/>
    <mergeCell ref="J20:K20"/>
    <mergeCell ref="L20:M20"/>
    <mergeCell ref="J10:K10"/>
    <mergeCell ref="L10:M10"/>
    <mergeCell ref="A13:A23"/>
    <mergeCell ref="E13:F13"/>
    <mergeCell ref="J13:K13"/>
    <mergeCell ref="L13:M13"/>
    <mergeCell ref="E14:F14"/>
    <mergeCell ref="H21:M21"/>
    <mergeCell ref="H22:M22"/>
    <mergeCell ref="H24:I24"/>
    <mergeCell ref="J24:M24"/>
    <mergeCell ref="H25:I25"/>
    <mergeCell ref="J25:K25"/>
    <mergeCell ref="L25:M25"/>
    <mergeCell ref="H43:J43"/>
    <mergeCell ref="K43:L44"/>
    <mergeCell ref="H44:J44"/>
    <mergeCell ref="E54:M55"/>
    <mergeCell ref="E41:F41"/>
    <mergeCell ref="E42:F42"/>
    <mergeCell ref="G43:G44"/>
    <mergeCell ref="G46:H46"/>
    <mergeCell ref="G47:H47"/>
    <mergeCell ref="E48:F48"/>
    <mergeCell ref="G48:H49"/>
    <mergeCell ref="E49:F49"/>
    <mergeCell ref="E50:F50"/>
    <mergeCell ref="H50:I50"/>
    <mergeCell ref="E51:F51"/>
    <mergeCell ref="H51:I51"/>
    <mergeCell ref="H52:I52"/>
    <mergeCell ref="H53:I53"/>
    <mergeCell ref="E21:F22"/>
    <mergeCell ref="G21:G22"/>
    <mergeCell ref="A24:A34"/>
    <mergeCell ref="E24:F24"/>
    <mergeCell ref="E25:F25"/>
    <mergeCell ref="E26:F26"/>
    <mergeCell ref="G29:H29"/>
    <mergeCell ref="H38:I38"/>
    <mergeCell ref="H39:I39"/>
    <mergeCell ref="H40:I40"/>
    <mergeCell ref="H41:I41"/>
    <mergeCell ref="H42:I42"/>
    <mergeCell ref="I46:I47"/>
    <mergeCell ref="G30:H30"/>
    <mergeCell ref="E31:F31"/>
    <mergeCell ref="G31:I32"/>
    <mergeCell ref="E32:F32"/>
    <mergeCell ref="H35:I35"/>
    <mergeCell ref="H36:I36"/>
    <mergeCell ref="H37:I37"/>
    <mergeCell ref="E39:F39"/>
    <mergeCell ref="E40:F40"/>
    <mergeCell ref="A35:A45"/>
    <mergeCell ref="A46:A56"/>
    <mergeCell ref="A57:A67"/>
    <mergeCell ref="E33:F33"/>
    <mergeCell ref="E34:F34"/>
    <mergeCell ref="E35:F35"/>
    <mergeCell ref="E36:F36"/>
    <mergeCell ref="E37:F37"/>
    <mergeCell ref="E38:F38"/>
    <mergeCell ref="E43:F44"/>
    <mergeCell ref="E52:F52"/>
    <mergeCell ref="C57:D57"/>
    <mergeCell ref="G57:I57"/>
    <mergeCell ref="G58:I58"/>
    <mergeCell ref="T39:V39"/>
    <mergeCell ref="T40:V40"/>
    <mergeCell ref="T26:V26"/>
    <mergeCell ref="T27:V27"/>
    <mergeCell ref="T28:V32"/>
    <mergeCell ref="T35:V35"/>
    <mergeCell ref="T36:V36"/>
    <mergeCell ref="T37:V37"/>
    <mergeCell ref="T38:V38"/>
    <mergeCell ref="N38:Q38"/>
    <mergeCell ref="P39:Q39"/>
    <mergeCell ref="P40:Q40"/>
    <mergeCell ref="N41:O41"/>
    <mergeCell ref="P41:Q41"/>
    <mergeCell ref="T41:V41"/>
    <mergeCell ref="N42:O42"/>
    <mergeCell ref="T42:V42"/>
    <mergeCell ref="P42:Q42"/>
    <mergeCell ref="R42:S42"/>
    <mergeCell ref="N43:O43"/>
    <mergeCell ref="Q43:V44"/>
    <mergeCell ref="N44:O44"/>
    <mergeCell ref="N46:O46"/>
    <mergeCell ref="P46:Q46"/>
    <mergeCell ref="T48:V48"/>
    <mergeCell ref="T49:V49"/>
    <mergeCell ref="X57:Y57"/>
    <mergeCell ref="R46:S46"/>
    <mergeCell ref="T46:V46"/>
    <mergeCell ref="N47:O47"/>
    <mergeCell ref="P47:Q47"/>
    <mergeCell ref="T47:V47"/>
    <mergeCell ref="N48:Q48"/>
    <mergeCell ref="N49:Q49"/>
    <mergeCell ref="N16:O16"/>
    <mergeCell ref="P16:Q16"/>
    <mergeCell ref="R16:S16"/>
    <mergeCell ref="T16:V16"/>
    <mergeCell ref="N17:O17"/>
    <mergeCell ref="P17:Q17"/>
    <mergeCell ref="T17:V17"/>
    <mergeCell ref="T19:V19"/>
    <mergeCell ref="T20:V20"/>
    <mergeCell ref="N18:O18"/>
    <mergeCell ref="P18:Q18"/>
    <mergeCell ref="T18:V18"/>
    <mergeCell ref="N19:O19"/>
    <mergeCell ref="P19:Q19"/>
    <mergeCell ref="N20:O20"/>
    <mergeCell ref="P20:Q20"/>
    <mergeCell ref="N21:O21"/>
    <mergeCell ref="P21:Q21"/>
    <mergeCell ref="R21:S21"/>
    <mergeCell ref="T21:V21"/>
    <mergeCell ref="P22:S22"/>
    <mergeCell ref="T22:V22"/>
    <mergeCell ref="R23:V23"/>
    <mergeCell ref="P24:S24"/>
    <mergeCell ref="T24:V24"/>
    <mergeCell ref="P25:Q25"/>
    <mergeCell ref="R25:S25"/>
    <mergeCell ref="T25:V25"/>
    <mergeCell ref="R26:S26"/>
    <mergeCell ref="P27:Q27"/>
    <mergeCell ref="N31:O31"/>
    <mergeCell ref="P31:Q32"/>
    <mergeCell ref="N32:O32"/>
    <mergeCell ref="P36:Q36"/>
    <mergeCell ref="N37:Q37"/>
    <mergeCell ref="R37:S37"/>
    <mergeCell ref="R38:S38"/>
    <mergeCell ref="P50:Q50"/>
    <mergeCell ref="T50:V50"/>
    <mergeCell ref="P51:Q51"/>
    <mergeCell ref="N52:O52"/>
    <mergeCell ref="P54:V55"/>
    <mergeCell ref="P57:S58"/>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P15:Q15"/>
    <mergeCell ref="R15:S15"/>
    <mergeCell ref="P7:Q7"/>
    <mergeCell ref="R7:S7"/>
    <mergeCell ref="H8:I8"/>
    <mergeCell ref="J8:K8"/>
    <mergeCell ref="L8:M8"/>
    <mergeCell ref="N8:O8"/>
    <mergeCell ref="P8:Q8"/>
    <mergeCell ref="R8:S8"/>
    <mergeCell ref="H9:I9"/>
    <mergeCell ref="J9:K9"/>
    <mergeCell ref="L9:M9"/>
    <mergeCell ref="N9:O9"/>
    <mergeCell ref="E10:F10"/>
    <mergeCell ref="H10:I10"/>
    <mergeCell ref="S10:V10"/>
    <mergeCell ref="T11:V11"/>
    <mergeCell ref="U13:V13"/>
    <mergeCell ref="U14:V14"/>
    <mergeCell ref="T15:V15"/>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J28:K28"/>
    <mergeCell ref="L28:M28"/>
    <mergeCell ref="N28:O28"/>
    <mergeCell ref="G33:Q34"/>
    <mergeCell ref="N35:O35"/>
    <mergeCell ref="P35:Q35"/>
    <mergeCell ref="G26:I26"/>
    <mergeCell ref="J26:K26"/>
    <mergeCell ref="L26:M26"/>
    <mergeCell ref="G27:H27"/>
    <mergeCell ref="J27:K27"/>
    <mergeCell ref="L27:M27"/>
    <mergeCell ref="G28:H28"/>
    <mergeCell ref="N36:O36"/>
    <mergeCell ref="N39:O39"/>
    <mergeCell ref="N40:O40"/>
    <mergeCell ref="N22:O22"/>
    <mergeCell ref="N24:O24"/>
    <mergeCell ref="N25:O25"/>
    <mergeCell ref="N26:O26"/>
    <mergeCell ref="N27:O27"/>
    <mergeCell ref="N29:O29"/>
    <mergeCell ref="N30:O30"/>
  </mergeCells>
  <conditionalFormatting sqref="E1:T86 U1:U31 AD27:AD28 V32:V34 U35:U86 V50:V52 W51">
    <cfRule type="containsText" dxfId="0" priority="1" operator="containsText" text="Физика">
      <formula>NOT(ISERROR(SEARCH(("Физика"),(E1))))</formula>
    </cfRule>
  </conditionalFormatting>
  <conditionalFormatting sqref="N52:O52 E54:W55">
    <cfRule type="containsText" dxfId="1" priority="2" operator="containsText" text="Шерашова">
      <formula>NOT(ISERROR(SEARCH(("Шерашова"),(N52))))</formula>
    </cfRule>
  </conditionalFormatting>
  <conditionalFormatting sqref="E2:N53 O2:O54 P2:T53 U2:U31 AD27:AD28 V32:V34 U35:U53 V50:V52 W51 P57 K61:L68">
    <cfRule type="containsText" dxfId="2" priority="3" operator="containsText" text="Шерашова">
      <formula>NOT(ISERROR(SEARCH(("Шерашова"),(E2))))</formula>
    </cfRule>
  </conditionalFormatting>
  <conditionalFormatting sqref="E2:N53 O2:O54 P2:T53 U2:U31 AD27:AD28 V32:V34 U35:U53 V50:V52 W51 P57 K61:L68">
    <cfRule type="containsText" dxfId="3" priority="4" operator="containsText" text="Англ">
      <formula>NOT(ISERROR(SEARCH(("Англ"),(E2))))</formula>
    </cfRule>
  </conditionalFormatting>
  <conditionalFormatting sqref="E2:N53 O2:O54 P2:T53 U2:U31 AD27:AD28 V32:V34 U35:U53 V50:V52 W51 P57 K61:L68">
    <cfRule type="containsText" dxfId="4" priority="5" operator="containsText" text="Театр">
      <formula>NOT(ISERROR(SEARCH(("Театр"),(E2))))</formula>
    </cfRule>
  </conditionalFormatting>
  <conditionalFormatting sqref="E2:N53 O2:O54 P2:T53 U2:U31 AD27:AD28 V32:V34 U35:U53 V50:V52 W51 P57 K61:L68">
    <cfRule type="containsText" dxfId="5" priority="6" operator="containsText" text="Колечкин">
      <formula>NOT(ISERROR(SEARCH(("Колечкин"),(E2))))</formula>
    </cfRule>
  </conditionalFormatting>
  <conditionalFormatting sqref="E2:G72 H2:H73 I2:W72 AD27:AD28">
    <cfRule type="containsText" dxfId="0" priority="7" operator="containsText" text="Репнев">
      <formula>NOT(ISERROR(SEARCH(("Репнев"),(E2))))</formula>
    </cfRule>
  </conditionalFormatting>
  <conditionalFormatting sqref="E2:G65 H2:H73 I2:J65 K2:L68 M2:W65 AD27:AD28">
    <cfRule type="containsText" dxfId="6" priority="8" operator="containsText" text="Рогацкина">
      <formula>NOT(ISERROR(SEARCH(("Рогацкина"),(E2))))</formula>
    </cfRule>
  </conditionalFormatting>
  <conditionalFormatting sqref="E2:G67 H2:H73 I2:J67 K2:L68 M2:W67 AD27:AD28">
    <cfRule type="containsText" dxfId="7" priority="9" operator="containsText" text="Белоусова">
      <formula>NOT(ISERROR(SEARCH(("Белоусова"),(E2))))</formula>
    </cfRule>
  </conditionalFormatting>
  <conditionalFormatting sqref="E2:G60 H2:H73 I2:J65 K2:L68 M2:M65 N2:W60 AD27:AD28">
    <cfRule type="containsText" dxfId="8" priority="10" operator="containsText" text="Караванова">
      <formula>NOT(ISERROR(SEARCH(("Караванова"),(E2))))</formula>
    </cfRule>
  </conditionalFormatting>
  <conditionalFormatting sqref="E2:G63 H2:H73 I2:J65 K2:L68 M2:M65 N2:W63 AD27:AD28">
    <cfRule type="containsText" dxfId="9" priority="11" operator="containsText" text="Дронзик">
      <formula>NOT(ISERROR(SEARCH(("Дронзик"),(E2))))</formula>
    </cfRule>
  </conditionalFormatting>
  <conditionalFormatting sqref="E2:G64 H2:H73 I2:J65 K2:L68 M2:M65 N2:W64 AD27:AD28">
    <cfRule type="containsText" dxfId="10" priority="12" operator="containsText" text="Старунова">
      <formula>NOT(ISERROR(SEARCH(("Старунова"),(E2))))</formula>
    </cfRule>
  </conditionalFormatting>
  <conditionalFormatting sqref="E2:G62 H2:H73 I2:J65 K2:L68 M2:M65 N2:W62 AD27:AD28">
    <cfRule type="containsText" dxfId="11" priority="13" operator="containsText" text="Харитонов">
      <formula>NOT(ISERROR(SEARCH(("Харитонов"),(E2))))</formula>
    </cfRule>
  </conditionalFormatting>
  <conditionalFormatting sqref="E2:G67 H2:H73 I2:J67 K2:L68 M2:W67 AD27:AD28">
    <cfRule type="containsText" dxfId="12" priority="14" operator="containsText" text="Хуснутдинов">
      <formula>NOT(ISERROR(SEARCH(("Хуснутдинов"),(E2))))</formula>
    </cfRule>
  </conditionalFormatting>
  <conditionalFormatting sqref="E2:G66 H2:H73 I2:J66 K2:L68 M2:W66 AD27:AD28">
    <cfRule type="containsText" dxfId="13" priority="15" operator="containsText" text="Решетников">
      <formula>NOT(ISERROR(SEARCH(("Решетников"),(E2))))</formula>
    </cfRule>
  </conditionalFormatting>
  <conditionalFormatting sqref="E2:G69 H2:H73 I2:W69 AD27:AD28">
    <cfRule type="containsText" dxfId="14" priority="16" operator="containsText" text="Заводов">
      <formula>NOT(ISERROR(SEARCH(("Заводов"),(E2))))</formula>
    </cfRule>
  </conditionalFormatting>
  <conditionalFormatting sqref="E1:G66 H1:H73 I1:J66 K1:L68 M1:W66 AD27:AD28">
    <cfRule type="containsText" dxfId="15" priority="17" operator="containsText" text="Абрамов">
      <formula>NOT(ISERROR(SEARCH(("Абрамов"),(E1))))</formula>
    </cfRule>
  </conditionalFormatting>
  <conditionalFormatting sqref="E2:G67 H2:H73 I2:J67 K2:L68 M2:W67 AD27:AD28">
    <cfRule type="containsText" dxfId="16" priority="18" operator="containsText" text="Климов">
      <formula>NOT(ISERROR(SEARCH(("Климов"),(E2))))</formula>
    </cfRule>
  </conditionalFormatting>
  <conditionalFormatting sqref="E2:G61 H2:H73 I2:J65 K2:L68 M2:M65 N2:W61 AD27:AD28">
    <cfRule type="containsText" dxfId="17" priority="19" operator="containsText" text="Клейменов">
      <formula>NOT(ISERROR(SEARCH(("Клейменов"),(E2))))</formula>
    </cfRule>
  </conditionalFormatting>
  <conditionalFormatting sqref="E2:G68 H2:H73 I2:W68 AD27:AD28">
    <cfRule type="containsText" dxfId="18" priority="20" operator="containsText" text="Попович">
      <formula>NOT(ISERROR(SEARCH(("Попович"),(E2))))</formula>
    </cfRule>
  </conditionalFormatting>
  <conditionalFormatting sqref="E2:G68 H2:H73 I2:W68 AD27:AD28">
    <cfRule type="containsText" dxfId="19" priority="21" operator="containsText" text="Исмаилов">
      <formula>NOT(ISERROR(SEARCH(("Исмаилов"),(E2))))</formula>
    </cfRule>
  </conditionalFormatting>
  <conditionalFormatting sqref="E2:E20 F2:F12 G2:I45 J2:K49 L2:Q45 R2:S6 T2:V8 S10:S32 T10:V45 R11:R46 F15:F17 F19:F20 E24:F30 AD27:AD28 E32:E53 F32:F45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W65 AD27:AD28">
    <cfRule type="containsText" dxfId="21" priority="23" operator="containsText" text="Краснова">
      <formula>NOT(ISERROR(SEARCH(("Краснова"),(E2))))</formula>
    </cfRule>
  </conditionalFormatting>
  <conditionalFormatting sqref="E2:G65 H2:H73 I2:J65 K2:L68 M2:W65 AD27:AD28">
    <cfRule type="containsText" dxfId="22" priority="24" operator="containsText" text="Белоус">
      <formula>NOT(ISERROR(SEARCH(("Белоус"),(E2))))</formula>
    </cfRule>
  </conditionalFormatting>
  <conditionalFormatting sqref="E2:G65 H2:H73 I2:J65 K2:L68 M2:W65 AD27:AD28">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R16 P17:P18 N19:N20 N24 N29:N30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4:H24 G25 E26 F28 R27:S28 E29:E30 H35:H36 G37:G38 E48:E49 N52:N54">
      <formula1>IF(COUNTA(filter($E8:$W8,ARRAYFORMULA(ISERROR(FIND(join(",",filter(split($H$83,","),ARRAYFORMULA(ISERROR(FIND(split($H$83,","),E7)))=FALSE)),$E8:$W8))=FALSE)))&gt;1,FALSE,TRUE)</formula1>
    </dataValidation>
    <dataValidation type="custom" allowBlank="1" showDropDown="1" sqref="N2 R2 T2 G2:G3 J2:J3 L4 P2:P4 G5:H6 K5:M6 T5:T6 L7:L8 P7:P8 T7:U8 G7:G9 H10 J9:J10 N9:N10 Q9:Q10 S10 W2:W10 E12:W12 E13:E14 H13:H14 L13:L14 E17:E18 G15:G18 S17:S18 H19:H20 J15:J20 L17:L20 G21 R19:R21 T21 H22 G23:R23 J24 P25 R25 Q26 E27:F27 P27 E28 I27:I28 Q28 T28 F29:G30 P29:Q30 J31:J32 W13:W32 R33:R34 T33:W34 G35:G36 L35:M36 P35:P36 H37:H38 J37:J38 L37:N38 R37:R38 E37:E40 G39:G40 J39:K40 N39:N40 P39:P40 R39:S40 R41:T41 J41:L42 T42 E43 G41:H43 K43 Q43 H44 M43:N44 W35:W44 E45:W45 I46 F46:G47 N46:N47 P46:P47 G48 L46:L49 L51 N50:O51 P52 G53:H53 E54 O53:P54 N55:O55 W46:W55 E56:W56 J57 N57:O57 E57:G58 J58:O58 E59: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 P43:P44">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R29:R30 S32 R47:R48 T51:V52 P57">
      <formula1>IF(COUNTA(filter($E25:$W25,ARRAYFORMULA(ISERROR(FIND(join(",",filter(split($H$83,","),ARRAYFORMULA(ISERROR(FIND(split($H$83,","),P26)))=FALSE)),$E25:$W25))=FALSE)))&gt;1,FALSE,TRUE)</formula1>
    </dataValidation>
    <dataValidation type="custom" allowBlank="1" showDropDown="1" sqref="P13:P1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18">
        <v>44956.0</v>
      </c>
      <c r="B2" s="19">
        <v>1.0</v>
      </c>
      <c r="C2" s="20" t="s">
        <v>12</v>
      </c>
      <c r="D2" s="20" t="s">
        <v>13</v>
      </c>
      <c r="E2" s="21" t="s">
        <v>7495</v>
      </c>
      <c r="F2" s="22"/>
      <c r="G2" s="23" t="s">
        <v>7496</v>
      </c>
      <c r="H2" s="24"/>
      <c r="I2" s="25"/>
      <c r="J2" s="21" t="s">
        <v>7497</v>
      </c>
      <c r="K2" s="24"/>
      <c r="L2" s="24"/>
      <c r="M2" s="25"/>
      <c r="N2" s="21" t="s">
        <v>7498</v>
      </c>
      <c r="O2" s="25"/>
      <c r="P2" s="21" t="s">
        <v>7499</v>
      </c>
      <c r="Q2" s="25"/>
      <c r="R2" s="21" t="s">
        <v>7500</v>
      </c>
      <c r="S2" s="25"/>
      <c r="T2" s="21" t="s">
        <v>7501</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7502</v>
      </c>
      <c r="F3" s="34" t="s">
        <v>7503</v>
      </c>
      <c r="G3" s="35" t="s">
        <v>25</v>
      </c>
      <c r="H3" s="36"/>
      <c r="I3" s="13"/>
      <c r="J3" s="37" t="s">
        <v>7504</v>
      </c>
      <c r="K3" s="13"/>
      <c r="L3" s="38" t="s">
        <v>7505</v>
      </c>
      <c r="M3" s="13"/>
      <c r="N3" s="37" t="s">
        <v>7506</v>
      </c>
      <c r="O3" s="13"/>
      <c r="P3" s="37" t="s">
        <v>7507</v>
      </c>
      <c r="Q3" s="13"/>
      <c r="R3" s="39" t="s">
        <v>7508</v>
      </c>
      <c r="S3" s="40" t="s">
        <v>7509</v>
      </c>
      <c r="T3" s="37" t="s">
        <v>32</v>
      </c>
      <c r="U3" s="36"/>
      <c r="V3" s="41"/>
      <c r="W3" s="26"/>
      <c r="X3" s="42" t="s">
        <v>21</v>
      </c>
      <c r="Y3" s="42" t="s">
        <v>22</v>
      </c>
      <c r="Z3" s="28"/>
      <c r="AA3" s="14"/>
      <c r="AB3" s="15" t="str">
        <f>IFERROR(__xludf.DUMMYFUNCTION("join("","",filter(split($H$83,"",""),ARRAYFORMULA(ISERROR(FIND(split($H$83,"",""),CONCATENATE(E3:V3))))=TRUE))"),"201,404,405,406,410,АЗ")</f>
        <v>201,404,405,406,410,АЗ</v>
      </c>
      <c r="AC3" s="14"/>
      <c r="AD3" s="14"/>
      <c r="AE3" s="14"/>
      <c r="AF3" s="29"/>
      <c r="AG3" s="29"/>
      <c r="AH3" s="29"/>
    </row>
    <row r="4" ht="40.5" hidden="1" customHeight="1">
      <c r="A4" s="30"/>
      <c r="B4" s="31">
        <v>3.0</v>
      </c>
      <c r="C4" s="32" t="s">
        <v>33</v>
      </c>
      <c r="D4" s="32" t="s">
        <v>34</v>
      </c>
      <c r="E4" s="33" t="s">
        <v>7510</v>
      </c>
      <c r="F4" s="126" t="s">
        <v>7511</v>
      </c>
      <c r="G4" s="43" t="s">
        <v>7512</v>
      </c>
      <c r="H4" s="45" t="s">
        <v>7513</v>
      </c>
      <c r="I4" s="13"/>
      <c r="J4" s="46" t="s">
        <v>7514</v>
      </c>
      <c r="K4" s="13"/>
      <c r="L4" s="45" t="s">
        <v>7515</v>
      </c>
      <c r="M4" s="13"/>
      <c r="N4" s="37" t="s">
        <v>7516</v>
      </c>
      <c r="O4" s="13"/>
      <c r="P4" s="37" t="s">
        <v>7517</v>
      </c>
      <c r="Q4" s="13"/>
      <c r="R4" s="39" t="s">
        <v>7518</v>
      </c>
      <c r="S4" s="40" t="s">
        <v>7519</v>
      </c>
      <c r="T4" s="37" t="s">
        <v>32</v>
      </c>
      <c r="U4" s="36"/>
      <c r="V4" s="41"/>
      <c r="W4" s="26"/>
      <c r="X4" s="42" t="s">
        <v>33</v>
      </c>
      <c r="Y4" s="42" t="s">
        <v>34</v>
      </c>
      <c r="Z4" s="48" t="s">
        <v>47</v>
      </c>
      <c r="AA4" s="14"/>
      <c r="AB4" s="15" t="str">
        <f>IFERROR(__xludf.DUMMYFUNCTION("join("","",filter(split($H$83,"",""),ARRAYFORMULA(ISERROR(FIND(split($H$83,"",""),CONCATENATE(E4:V4))))=TRUE))"),"КЗ,201,405,406,410,АЗ")</f>
        <v>КЗ,201,405,406,410,АЗ</v>
      </c>
      <c r="AC4" s="14"/>
      <c r="AD4" s="14"/>
      <c r="AE4" s="14"/>
      <c r="AF4" s="29"/>
      <c r="AG4" s="29"/>
      <c r="AH4" s="29"/>
    </row>
    <row r="5" ht="40.5" hidden="1" customHeight="1">
      <c r="A5" s="30"/>
      <c r="B5" s="31">
        <v>4.0</v>
      </c>
      <c r="C5" s="32" t="s">
        <v>48</v>
      </c>
      <c r="D5" s="32" t="s">
        <v>49</v>
      </c>
      <c r="E5" s="33" t="s">
        <v>7520</v>
      </c>
      <c r="F5" s="126" t="s">
        <v>7521</v>
      </c>
      <c r="G5" s="43" t="s">
        <v>7522</v>
      </c>
      <c r="H5" s="45" t="s">
        <v>7523</v>
      </c>
      <c r="I5" s="13"/>
      <c r="J5" s="33" t="s">
        <v>7524</v>
      </c>
      <c r="K5" s="44" t="s">
        <v>7525</v>
      </c>
      <c r="L5" s="45" t="s">
        <v>7526</v>
      </c>
      <c r="M5" s="13"/>
      <c r="N5" s="37" t="s">
        <v>7527</v>
      </c>
      <c r="O5" s="13"/>
      <c r="P5" s="37" t="s">
        <v>7528</v>
      </c>
      <c r="Q5" s="13"/>
      <c r="R5" s="51" t="s">
        <v>7529</v>
      </c>
      <c r="S5" s="13"/>
      <c r="T5" s="52" t="s">
        <v>7530</v>
      </c>
      <c r="U5" s="36"/>
      <c r="V5" s="41"/>
      <c r="W5" s="26"/>
      <c r="X5" s="42" t="s">
        <v>48</v>
      </c>
      <c r="Y5" s="42" t="s">
        <v>49</v>
      </c>
      <c r="Z5" s="48" t="s">
        <v>57</v>
      </c>
      <c r="AA5" s="14"/>
      <c r="AB5" s="15" t="str">
        <f>IFERROR(__xludf.DUMMYFUNCTION("join("","",filter(split($H$83,"",""),ARRAYFORMULA(ISERROR(FIND(split($H$83,"",""),CONCATENATE(E5:V5))))=TRUE))"),"СЗ,КЗ,206,401,406,408,410")</f>
        <v>СЗ,КЗ,206,401,406,408,410</v>
      </c>
      <c r="AC5" s="14"/>
      <c r="AD5" s="14"/>
      <c r="AE5" s="14"/>
      <c r="AF5" s="29"/>
      <c r="AG5" s="29"/>
      <c r="AH5" s="29"/>
    </row>
    <row r="6" ht="40.5" hidden="1" customHeight="1">
      <c r="A6" s="30"/>
      <c r="B6" s="31">
        <v>5.0</v>
      </c>
      <c r="C6" s="32" t="s">
        <v>58</v>
      </c>
      <c r="D6" s="53">
        <v>44847.0</v>
      </c>
      <c r="E6" s="316" t="s">
        <v>7531</v>
      </c>
      <c r="F6" s="33" t="s">
        <v>7532</v>
      </c>
      <c r="G6" s="43" t="s">
        <v>7533</v>
      </c>
      <c r="H6" s="45" t="s">
        <v>7534</v>
      </c>
      <c r="I6" s="13"/>
      <c r="J6" s="33" t="s">
        <v>7535</v>
      </c>
      <c r="K6" s="44" t="s">
        <v>64</v>
      </c>
      <c r="L6" s="45" t="s">
        <v>7536</v>
      </c>
      <c r="M6" s="13"/>
      <c r="N6" s="37" t="s">
        <v>7537</v>
      </c>
      <c r="O6" s="13"/>
      <c r="P6" s="37" t="s">
        <v>7538</v>
      </c>
      <c r="Q6" s="13"/>
      <c r="R6" s="51" t="s">
        <v>7539</v>
      </c>
      <c r="S6" s="13"/>
      <c r="T6" s="52" t="s">
        <v>7540</v>
      </c>
      <c r="U6" s="36"/>
      <c r="V6" s="41"/>
      <c r="W6" s="26"/>
      <c r="X6" s="42" t="s">
        <v>58</v>
      </c>
      <c r="Y6" s="54">
        <v>44847.0</v>
      </c>
      <c r="Z6" s="48" t="s">
        <v>70</v>
      </c>
      <c r="AA6" s="14"/>
      <c r="AB6" s="15" t="str">
        <f>IFERROR(__xludf.DUMMYFUNCTION("join("","",filter(split($H$83,"",""),ARRAYFORMULA(ISERROR(FIND(split($H$83,"",""),CONCATENATE(E6:V6))))=TRUE))"),"СЗ,КЗ,206,401,406,408,410")</f>
        <v>СЗ,КЗ,206,401,406,408,410</v>
      </c>
      <c r="AC6" s="14"/>
      <c r="AD6" s="14"/>
      <c r="AE6" s="14"/>
      <c r="AF6" s="29"/>
      <c r="AG6" s="29"/>
      <c r="AH6" s="29"/>
    </row>
    <row r="7" ht="42.0" hidden="1" customHeight="1">
      <c r="A7" s="30"/>
      <c r="B7" s="31">
        <v>6.0</v>
      </c>
      <c r="C7" s="55" t="s">
        <v>71</v>
      </c>
      <c r="D7" s="56" t="s">
        <v>72</v>
      </c>
      <c r="E7" s="316" t="s">
        <v>7541</v>
      </c>
      <c r="F7" s="33" t="s">
        <v>7542</v>
      </c>
      <c r="G7" s="43" t="s">
        <v>7543</v>
      </c>
      <c r="H7" s="45" t="s">
        <v>7544</v>
      </c>
      <c r="I7" s="13"/>
      <c r="J7" s="37" t="s">
        <v>7545</v>
      </c>
      <c r="K7" s="13"/>
      <c r="L7" s="45" t="s">
        <v>7546</v>
      </c>
      <c r="M7" s="13"/>
      <c r="N7" s="37" t="s">
        <v>7547</v>
      </c>
      <c r="O7" s="13"/>
      <c r="P7" s="37" t="s">
        <v>7548</v>
      </c>
      <c r="Q7" s="13"/>
      <c r="R7" s="57" t="s">
        <v>7549</v>
      </c>
      <c r="T7" s="45" t="s">
        <v>7550</v>
      </c>
      <c r="U7" s="36"/>
      <c r="V7" s="41"/>
      <c r="W7" s="26"/>
      <c r="X7" s="58" t="s">
        <v>71</v>
      </c>
      <c r="Y7" s="59" t="s">
        <v>72</v>
      </c>
      <c r="Z7" s="48" t="s">
        <v>84</v>
      </c>
      <c r="AA7" s="14"/>
      <c r="AB7" s="15" t="str">
        <f>IFERROR(__xludf.DUMMYFUNCTION("join("","",filter(split($H$83,"",""),ARRAYFORMULA(ISERROR(FIND(split($H$83,"",""),CONCATENATE(E7:V7))))=TRUE))"),"КЗ,206,403,406,408,410,АЗ")</f>
        <v>КЗ,206,403,406,408,410,АЗ</v>
      </c>
      <c r="AC7" s="14"/>
      <c r="AD7" s="14"/>
      <c r="AE7" s="14"/>
      <c r="AF7" s="29"/>
      <c r="AG7" s="29"/>
      <c r="AH7" s="29"/>
    </row>
    <row r="8" ht="42.0" hidden="1" customHeight="1">
      <c r="A8" s="30"/>
      <c r="B8" s="31">
        <v>7.0</v>
      </c>
      <c r="C8" s="32" t="s">
        <v>85</v>
      </c>
      <c r="D8" s="32" t="s">
        <v>86</v>
      </c>
      <c r="E8" s="388"/>
      <c r="F8" s="129"/>
      <c r="G8" s="43" t="s">
        <v>7551</v>
      </c>
      <c r="H8" s="45" t="s">
        <v>7552</v>
      </c>
      <c r="I8" s="13"/>
      <c r="J8" s="37" t="s">
        <v>7553</v>
      </c>
      <c r="K8" s="13"/>
      <c r="L8" s="45" t="s">
        <v>7554</v>
      </c>
      <c r="M8" s="13"/>
      <c r="N8" s="37" t="s">
        <v>7555</v>
      </c>
      <c r="O8" s="13"/>
      <c r="P8" s="37" t="s">
        <v>7556</v>
      </c>
      <c r="Q8" s="13"/>
      <c r="R8" s="37"/>
      <c r="S8" s="13"/>
      <c r="T8" s="45" t="s">
        <v>7557</v>
      </c>
      <c r="U8" s="36"/>
      <c r="V8" s="41"/>
      <c r="W8" s="26"/>
      <c r="X8" s="42" t="s">
        <v>85</v>
      </c>
      <c r="Y8" s="42" t="s">
        <v>86</v>
      </c>
      <c r="Z8" s="48" t="s">
        <v>97</v>
      </c>
      <c r="AA8" s="14"/>
      <c r="AB8" s="15" t="str">
        <f>IFERROR(__xludf.DUMMYFUNCTION("join("","",filter(split($H$83,"",""),ARRAYFORMULA(ISERROR(FIND(split($H$83,"",""),CONCATENATE(E8:V8))))=TRUE))"),"КЗ,202,206,403,404,406,408,409,410,АЗ")</f>
        <v>КЗ,202,206,403,404,406,408,409,410,АЗ</v>
      </c>
      <c r="AC8" s="14"/>
      <c r="AD8" s="14"/>
      <c r="AE8" s="14"/>
      <c r="AF8" s="29"/>
      <c r="AG8" s="29"/>
      <c r="AH8" s="29"/>
    </row>
    <row r="9" ht="40.5" hidden="1" customHeight="1">
      <c r="A9" s="30"/>
      <c r="B9" s="31">
        <v>8.0</v>
      </c>
      <c r="C9" s="32" t="s">
        <v>98</v>
      </c>
      <c r="D9" s="32" t="s">
        <v>99</v>
      </c>
      <c r="E9" s="620"/>
      <c r="F9" s="551"/>
      <c r="G9" s="43" t="s">
        <v>7558</v>
      </c>
      <c r="H9" s="45" t="s">
        <v>7559</v>
      </c>
      <c r="I9" s="13"/>
      <c r="J9" s="37" t="s">
        <v>7560</v>
      </c>
      <c r="K9" s="13"/>
      <c r="L9" s="45" t="s">
        <v>7561</v>
      </c>
      <c r="M9" s="13"/>
      <c r="N9" s="61" t="s">
        <v>7562</v>
      </c>
      <c r="O9" s="13"/>
      <c r="P9" s="62" t="s">
        <v>7563</v>
      </c>
      <c r="Q9" s="45" t="s">
        <v>7564</v>
      </c>
      <c r="R9" s="63"/>
      <c r="S9" s="64"/>
      <c r="T9" s="64"/>
      <c r="U9" s="64"/>
      <c r="V9" s="64"/>
      <c r="W9" s="26"/>
      <c r="X9" s="42" t="s">
        <v>98</v>
      </c>
      <c r="Y9" s="42" t="s">
        <v>99</v>
      </c>
      <c r="Z9" s="11"/>
      <c r="AA9" s="14"/>
      <c r="AB9" s="15" t="str">
        <f>IFERROR(__xludf.DUMMYFUNCTION("join("","",filter(split($H$83,"",""),ARRAYFORMULA(ISERROR(FIND(split($H$83,"",""),CONCATENATE(E9:V9))))=TRUE))"),"КЗ,206,210,403,405,406,408,409,410,АЗ")</f>
        <v>КЗ,206,210,403,405,406,408,409,410,АЗ</v>
      </c>
      <c r="AC9" s="14"/>
      <c r="AD9" s="14"/>
      <c r="AE9" s="14"/>
      <c r="AF9" s="29"/>
      <c r="AG9" s="29"/>
      <c r="AH9" s="29"/>
    </row>
    <row r="10" ht="75.75" hidden="1" customHeight="1">
      <c r="A10" s="30"/>
      <c r="B10" s="31">
        <v>9.0</v>
      </c>
      <c r="C10" s="65">
        <v>44697.0</v>
      </c>
      <c r="D10" s="44" t="s">
        <v>109</v>
      </c>
      <c r="E10" s="66"/>
      <c r="F10" s="67"/>
      <c r="G10" s="43" t="s">
        <v>7565</v>
      </c>
      <c r="H10" s="45" t="s">
        <v>7566</v>
      </c>
      <c r="I10" s="13"/>
      <c r="J10" s="37" t="s">
        <v>7567</v>
      </c>
      <c r="K10" s="13"/>
      <c r="L10" s="45" t="s">
        <v>7568</v>
      </c>
      <c r="M10" s="13"/>
      <c r="N10" s="61" t="s">
        <v>7569</v>
      </c>
      <c r="O10" s="13"/>
      <c r="P10" s="62" t="s">
        <v>7570</v>
      </c>
      <c r="Q10" s="68" t="s">
        <v>117</v>
      </c>
      <c r="R10" s="37"/>
      <c r="S10" s="163"/>
      <c r="T10" s="36"/>
      <c r="U10" s="36"/>
      <c r="V10" s="41"/>
      <c r="W10" s="26"/>
      <c r="X10" s="69">
        <v>44697.0</v>
      </c>
      <c r="Y10" s="70" t="s">
        <v>109</v>
      </c>
      <c r="Z10" s="28"/>
      <c r="AA10" s="14"/>
      <c r="AB10" s="15" t="str">
        <f>IFERROR(__xludf.DUMMYFUNCTION("join("","",filter(split($H$83,"",""),ARRAYFORMULA(ISERROR(FIND(split($H$83,"",""),CONCATENATE(E10:V10))))=TRUE))"),"КЗ,206,210,403,405,406,408,409,410,АЗ")</f>
        <v>КЗ,206,210,403,405,406,408,409,410,АЗ</v>
      </c>
      <c r="AC10" s="14"/>
      <c r="AD10" s="14"/>
      <c r="AE10" s="14"/>
      <c r="AF10" s="29"/>
      <c r="AG10" s="29"/>
      <c r="AH10" s="29"/>
    </row>
    <row r="11" ht="49.5" hidden="1" customHeight="1">
      <c r="A11" s="30"/>
      <c r="B11" s="31">
        <v>10.0</v>
      </c>
      <c r="C11" s="44" t="s">
        <v>120</v>
      </c>
      <c r="D11" s="44" t="s">
        <v>121</v>
      </c>
      <c r="E11" s="71" t="s">
        <v>7571</v>
      </c>
      <c r="F11" s="64"/>
      <c r="G11" s="64"/>
      <c r="H11" s="64"/>
      <c r="I11" s="64"/>
      <c r="J11" s="64"/>
      <c r="K11" s="64"/>
      <c r="L11" s="64"/>
      <c r="M11" s="64"/>
      <c r="N11" s="64"/>
      <c r="O11" s="64"/>
      <c r="P11" s="64"/>
      <c r="Q11" s="64"/>
      <c r="R11" s="64"/>
      <c r="S11" s="72"/>
      <c r="T11" s="73" t="s">
        <v>7572</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18">
        <v>44957.0</v>
      </c>
      <c r="B13" s="19">
        <v>1.0</v>
      </c>
      <c r="C13" s="20" t="s">
        <v>12</v>
      </c>
      <c r="D13" s="20" t="s">
        <v>13</v>
      </c>
      <c r="E13" s="80" t="s">
        <v>7573</v>
      </c>
      <c r="F13" s="25"/>
      <c r="G13" s="621" t="s">
        <v>7574</v>
      </c>
      <c r="H13" s="80" t="s">
        <v>7575</v>
      </c>
      <c r="I13" s="22"/>
      <c r="J13" s="23" t="s">
        <v>7576</v>
      </c>
      <c r="K13" s="25"/>
      <c r="L13" s="80" t="s">
        <v>7577</v>
      </c>
      <c r="M13" s="25"/>
      <c r="N13" s="82" t="s">
        <v>7578</v>
      </c>
      <c r="O13" s="25"/>
      <c r="P13" s="21" t="s">
        <v>7579</v>
      </c>
      <c r="Q13" s="22"/>
      <c r="R13" s="23" t="s">
        <v>7580</v>
      </c>
      <c r="S13" s="22"/>
      <c r="T13" s="23" t="s">
        <v>7581</v>
      </c>
      <c r="U13" s="24"/>
      <c r="V13" s="25"/>
      <c r="W13" s="26"/>
      <c r="X13" s="27" t="s">
        <v>12</v>
      </c>
      <c r="Y13" s="27" t="s">
        <v>13</v>
      </c>
      <c r="Z13" s="28"/>
      <c r="AA13" s="85"/>
      <c r="AB13" s="15" t="str">
        <f>IFERROR(__xludf.DUMMYFUNCTION("join("","",filter(split($H$83,"",""),ARRAYFORMULA(ISERROR(FIND(split($H$83,"",""),CONCATENATE(E13:V13))))=TRUE))"),"СЗ,КЗ,202,206,403,404,410,АЗ")</f>
        <v>СЗ,КЗ,202,206,403,404,410,АЗ</v>
      </c>
      <c r="AC13" s="14"/>
      <c r="AD13" s="14"/>
      <c r="AE13" s="14"/>
      <c r="AF13" s="29"/>
      <c r="AG13" s="29"/>
      <c r="AH13" s="29"/>
    </row>
    <row r="14" ht="40.5" hidden="1" customHeight="1">
      <c r="A14" s="30"/>
      <c r="B14" s="31">
        <v>2.0</v>
      </c>
      <c r="C14" s="32" t="s">
        <v>21</v>
      </c>
      <c r="D14" s="32" t="s">
        <v>22</v>
      </c>
      <c r="E14" s="45" t="s">
        <v>7582</v>
      </c>
      <c r="F14" s="13"/>
      <c r="G14" s="46" t="s">
        <v>7583</v>
      </c>
      <c r="H14" s="622" t="s">
        <v>7574</v>
      </c>
      <c r="I14" s="13"/>
      <c r="J14" s="623" t="s">
        <v>7584</v>
      </c>
      <c r="K14" s="13"/>
      <c r="L14" s="45" t="s">
        <v>7585</v>
      </c>
      <c r="M14" s="13"/>
      <c r="N14" s="87" t="s">
        <v>7586</v>
      </c>
      <c r="O14" s="13"/>
      <c r="P14" s="37" t="s">
        <v>7587</v>
      </c>
      <c r="Q14" s="41"/>
      <c r="R14" s="35" t="s">
        <v>7588</v>
      </c>
      <c r="S14" s="41"/>
      <c r="T14" s="35" t="s">
        <v>7589</v>
      </c>
      <c r="U14" s="36"/>
      <c r="V14" s="13"/>
      <c r="W14" s="26"/>
      <c r="X14" s="42" t="s">
        <v>21</v>
      </c>
      <c r="Y14" s="42" t="s">
        <v>22</v>
      </c>
      <c r="Z14" s="28"/>
      <c r="AA14" s="85"/>
      <c r="AB14" s="15" t="str">
        <f>IFERROR(__xludf.DUMMYFUNCTION("join("","",filter(split($H$83,"",""),ARRAYFORMULA(ISERROR(FIND(split($H$83,"",""),CONCATENATE(E14:V14))))=TRUE))"),"СЗ,КЗ,202,206,403,404,410,АЗ")</f>
        <v>СЗ,КЗ,202,206,403,404,410,АЗ</v>
      </c>
      <c r="AC14" s="14"/>
      <c r="AD14" s="14"/>
      <c r="AE14" s="14"/>
      <c r="AF14" s="29"/>
      <c r="AG14" s="29"/>
      <c r="AH14" s="29"/>
    </row>
    <row r="15" ht="40.5" hidden="1" customHeight="1">
      <c r="A15" s="30"/>
      <c r="B15" s="31">
        <v>3.0</v>
      </c>
      <c r="C15" s="32" t="s">
        <v>33</v>
      </c>
      <c r="D15" s="32" t="s">
        <v>34</v>
      </c>
      <c r="E15" s="40" t="s">
        <v>7590</v>
      </c>
      <c r="F15" s="13"/>
      <c r="G15" s="37" t="s">
        <v>7591</v>
      </c>
      <c r="H15" s="36"/>
      <c r="I15" s="41"/>
      <c r="J15" s="35" t="s">
        <v>7592</v>
      </c>
      <c r="K15" s="13"/>
      <c r="L15" s="623" t="s">
        <v>7584</v>
      </c>
      <c r="M15" s="13"/>
      <c r="N15" s="89" t="s">
        <v>7593</v>
      </c>
      <c r="O15" s="13"/>
      <c r="P15" s="624" t="s">
        <v>7594</v>
      </c>
      <c r="Q15" s="41"/>
      <c r="R15" s="35" t="s">
        <v>7595</v>
      </c>
      <c r="S15" s="41"/>
      <c r="T15" s="91" t="s">
        <v>7596</v>
      </c>
      <c r="U15" s="36"/>
      <c r="V15" s="41"/>
      <c r="W15" s="26"/>
      <c r="X15" s="42" t="s">
        <v>33</v>
      </c>
      <c r="Y15" s="42" t="s">
        <v>34</v>
      </c>
      <c r="Z15" s="48" t="s">
        <v>47</v>
      </c>
      <c r="AA15" s="85" t="str">
        <f>AA$5</f>
        <v/>
      </c>
      <c r="AB15" s="15" t="str">
        <f>IFERROR(__xludf.DUMMYFUNCTION("join("","",filter(split($H$83,"",""),ARRAYFORMULA(ISERROR(FIND(split($H$83,"",""),CONCATENATE(E15:V15))))=TRUE))"),"КЗ,201,206,403,404,406,408,410,АЗ")</f>
        <v>КЗ,201,206,403,404,406,408,410,АЗ</v>
      </c>
      <c r="AC15" s="14"/>
      <c r="AD15" s="14"/>
      <c r="AE15" s="14"/>
      <c r="AF15" s="29"/>
      <c r="AG15" s="29"/>
      <c r="AH15" s="29"/>
    </row>
    <row r="16" ht="40.5" hidden="1" customHeight="1">
      <c r="A16" s="30"/>
      <c r="B16" s="31">
        <v>4.0</v>
      </c>
      <c r="C16" s="32" t="s">
        <v>48</v>
      </c>
      <c r="D16" s="32" t="s">
        <v>49</v>
      </c>
      <c r="E16" s="40" t="s">
        <v>7597</v>
      </c>
      <c r="F16" s="13"/>
      <c r="G16" s="37" t="s">
        <v>7598</v>
      </c>
      <c r="H16" s="36"/>
      <c r="I16" s="41"/>
      <c r="J16" s="35" t="s">
        <v>7599</v>
      </c>
      <c r="K16" s="13"/>
      <c r="L16" s="45" t="s">
        <v>7600</v>
      </c>
      <c r="M16" s="13"/>
      <c r="N16" s="89" t="s">
        <v>7601</v>
      </c>
      <c r="O16" s="13"/>
      <c r="P16" s="37" t="s">
        <v>160</v>
      </c>
      <c r="Q16" s="41"/>
      <c r="R16" s="35" t="s">
        <v>7602</v>
      </c>
      <c r="S16" s="41"/>
      <c r="T16" s="91" t="s">
        <v>7603</v>
      </c>
      <c r="U16" s="36"/>
      <c r="V16" s="41"/>
      <c r="W16" s="26"/>
      <c r="X16" s="42" t="s">
        <v>48</v>
      </c>
      <c r="Y16" s="42" t="s">
        <v>49</v>
      </c>
      <c r="Z16" s="48" t="s">
        <v>57</v>
      </c>
      <c r="AA16" s="85" t="str">
        <f>AA$6</f>
        <v/>
      </c>
      <c r="AB16" s="15" t="str">
        <f>IFERROR(__xludf.DUMMYFUNCTION("join("","",filter(split($H$83,"",""),ARRAYFORMULA(ISERROR(FIND(split($H$83,"",""),CONCATENATE(E16:V16))))=TRUE))"),"КЗ,201,206,403,404,406,408,410,АЗ")</f>
        <v>КЗ,201,206,403,404,406,408,410,АЗ</v>
      </c>
      <c r="AC16" s="14"/>
      <c r="AD16" s="14"/>
      <c r="AE16" s="14"/>
      <c r="AF16" s="29"/>
      <c r="AG16" s="29"/>
      <c r="AH16" s="29"/>
    </row>
    <row r="17" ht="40.5" hidden="1" customHeight="1">
      <c r="A17" s="30"/>
      <c r="B17" s="31">
        <v>5.0</v>
      </c>
      <c r="C17" s="32" t="s">
        <v>58</v>
      </c>
      <c r="D17" s="53">
        <v>44847.0</v>
      </c>
      <c r="E17" s="45" t="s">
        <v>7604</v>
      </c>
      <c r="F17" s="13"/>
      <c r="G17" s="33" t="s">
        <v>7605</v>
      </c>
      <c r="H17" s="45" t="s">
        <v>7606</v>
      </c>
      <c r="I17" s="41"/>
      <c r="J17" s="35" t="s">
        <v>7607</v>
      </c>
      <c r="K17" s="13"/>
      <c r="L17" s="40" t="s">
        <v>7608</v>
      </c>
      <c r="M17" s="13"/>
      <c r="N17" s="45" t="s">
        <v>7609</v>
      </c>
      <c r="O17" s="13"/>
      <c r="P17" s="37" t="s">
        <v>7610</v>
      </c>
      <c r="Q17" s="41"/>
      <c r="R17" s="326" t="s">
        <v>7611</v>
      </c>
      <c r="S17" s="92" t="s">
        <v>7612</v>
      </c>
      <c r="T17" s="93" t="s">
        <v>7613</v>
      </c>
      <c r="U17" s="36"/>
      <c r="V17" s="41"/>
      <c r="W17" s="26"/>
      <c r="X17" s="42" t="s">
        <v>58</v>
      </c>
      <c r="Y17" s="54">
        <v>44847.0</v>
      </c>
      <c r="Z17" s="48" t="s">
        <v>70</v>
      </c>
      <c r="AA17" s="85" t="str">
        <f>AA$7</f>
        <v/>
      </c>
      <c r="AB17" s="15" t="str">
        <f>IFERROR(__xludf.DUMMYFUNCTION("join("","",filter(split($H$83,"",""),ARRAYFORMULA(ISERROR(FIND(split($H$83,"",""),CONCATENATE(E17:V17))))=TRUE))"),"СЗ,206,403,404,408,410,АЗ")</f>
        <v>СЗ,206,403,404,408,410,АЗ</v>
      </c>
      <c r="AC17" s="14"/>
      <c r="AD17" s="14"/>
      <c r="AE17" s="14"/>
      <c r="AF17" s="29"/>
      <c r="AG17" s="29"/>
      <c r="AH17" s="29"/>
    </row>
    <row r="18" ht="40.5" hidden="1" customHeight="1">
      <c r="A18" s="30"/>
      <c r="B18" s="31">
        <v>6.0</v>
      </c>
      <c r="C18" s="55" t="s">
        <v>71</v>
      </c>
      <c r="D18" s="56" t="s">
        <v>72</v>
      </c>
      <c r="E18" s="45" t="s">
        <v>7614</v>
      </c>
      <c r="F18" s="13"/>
      <c r="G18" s="33" t="s">
        <v>7615</v>
      </c>
      <c r="H18" s="45" t="s">
        <v>7616</v>
      </c>
      <c r="I18" s="41"/>
      <c r="J18" s="35" t="s">
        <v>7617</v>
      </c>
      <c r="K18" s="13"/>
      <c r="L18" s="40" t="s">
        <v>7618</v>
      </c>
      <c r="M18" s="13"/>
      <c r="N18" s="45" t="s">
        <v>7619</v>
      </c>
      <c r="O18" s="13"/>
      <c r="P18" s="37" t="s">
        <v>7620</v>
      </c>
      <c r="Q18" s="41"/>
      <c r="R18" s="326" t="s">
        <v>7621</v>
      </c>
      <c r="S18" s="92" t="s">
        <v>7622</v>
      </c>
      <c r="T18" s="93" t="s">
        <v>7623</v>
      </c>
      <c r="U18" s="36"/>
      <c r="V18" s="41"/>
      <c r="W18" s="26"/>
      <c r="X18" s="58" t="s">
        <v>71</v>
      </c>
      <c r="Y18" s="59" t="s">
        <v>72</v>
      </c>
      <c r="Z18" s="48" t="s">
        <v>84</v>
      </c>
      <c r="AA18" s="85" t="str">
        <f>AA$8</f>
        <v/>
      </c>
      <c r="AB18" s="15" t="str">
        <f>IFERROR(__xludf.DUMMYFUNCTION("join("","",filter(split($H$83,"",""),ARRAYFORMULA(ISERROR(FIND(split($H$83,"",""),CONCATENATE(E18:V18))))=TRUE))"),"СЗ,206,403,404,408,410,АЗ")</f>
        <v>СЗ,206,403,404,408,410,АЗ</v>
      </c>
      <c r="AC18" s="14"/>
      <c r="AD18" s="14"/>
      <c r="AE18" s="14"/>
      <c r="AF18" s="29"/>
      <c r="AG18" s="29"/>
      <c r="AH18" s="29"/>
    </row>
    <row r="19" ht="40.5" hidden="1" customHeight="1">
      <c r="A19" s="30"/>
      <c r="B19" s="31">
        <v>7.0</v>
      </c>
      <c r="C19" s="32" t="s">
        <v>85</v>
      </c>
      <c r="D19" s="32" t="s">
        <v>86</v>
      </c>
      <c r="E19" s="94" t="s">
        <v>7624</v>
      </c>
      <c r="F19" s="13"/>
      <c r="G19" s="33" t="s">
        <v>7625</v>
      </c>
      <c r="H19" s="45" t="s">
        <v>7626</v>
      </c>
      <c r="I19" s="41"/>
      <c r="J19" s="95" t="s">
        <v>7627</v>
      </c>
      <c r="K19" s="13"/>
      <c r="L19" s="45" t="s">
        <v>7628</v>
      </c>
      <c r="M19" s="13"/>
      <c r="N19" s="45" t="s">
        <v>7629</v>
      </c>
      <c r="O19" s="13"/>
      <c r="P19" s="37" t="s">
        <v>7630</v>
      </c>
      <c r="Q19" s="41"/>
      <c r="R19" s="96" t="s">
        <v>7631</v>
      </c>
      <c r="S19" s="97" t="s">
        <v>7632</v>
      </c>
      <c r="T19" s="93" t="s">
        <v>7633</v>
      </c>
      <c r="U19" s="36"/>
      <c r="V19" s="41"/>
      <c r="W19" s="26"/>
      <c r="X19" s="42" t="s">
        <v>85</v>
      </c>
      <c r="Y19" s="42" t="s">
        <v>86</v>
      </c>
      <c r="Z19" s="48" t="s">
        <v>97</v>
      </c>
      <c r="AA19" s="85" t="str">
        <f>AA$9</f>
        <v/>
      </c>
      <c r="AB19" s="15" t="str">
        <f>IFERROR(__xludf.DUMMYFUNCTION("join("","",filter(split($H$83,"",""),ARRAYFORMULA(ISERROR(FIND(split($H$83,"",""),CONCATENATE(E19:V19))))=TRUE))"),"СЗ,206,403,404,405,410,АЗ")</f>
        <v>СЗ,206,403,404,405,410,АЗ</v>
      </c>
      <c r="AC19" s="14"/>
      <c r="AD19" s="14"/>
      <c r="AE19" s="14"/>
      <c r="AF19" s="29"/>
      <c r="AG19" s="29"/>
      <c r="AH19" s="29"/>
    </row>
    <row r="20" ht="40.5" hidden="1" customHeight="1">
      <c r="A20" s="30"/>
      <c r="B20" s="31">
        <v>8.0</v>
      </c>
      <c r="C20" s="32" t="s">
        <v>98</v>
      </c>
      <c r="D20" s="32" t="s">
        <v>99</v>
      </c>
      <c r="E20" s="94" t="s">
        <v>7634</v>
      </c>
      <c r="F20" s="13"/>
      <c r="G20" s="33" t="s">
        <v>7635</v>
      </c>
      <c r="H20" s="45" t="s">
        <v>7636</v>
      </c>
      <c r="I20" s="41"/>
      <c r="J20" s="95" t="s">
        <v>7637</v>
      </c>
      <c r="K20" s="13"/>
      <c r="L20" s="45" t="s">
        <v>7638</v>
      </c>
      <c r="M20" s="13"/>
      <c r="N20" s="45" t="s">
        <v>7639</v>
      </c>
      <c r="O20" s="13"/>
      <c r="P20" s="37" t="s">
        <v>7640</v>
      </c>
      <c r="Q20" s="41"/>
      <c r="R20" s="96" t="s">
        <v>7641</v>
      </c>
      <c r="S20" s="97" t="s">
        <v>7642</v>
      </c>
      <c r="T20" s="93" t="s">
        <v>7643</v>
      </c>
      <c r="U20" s="36"/>
      <c r="V20" s="41"/>
      <c r="W20" s="26"/>
      <c r="X20" s="42" t="s">
        <v>98</v>
      </c>
      <c r="Y20" s="42" t="s">
        <v>99</v>
      </c>
      <c r="Z20" s="11"/>
      <c r="AA20" s="98"/>
      <c r="AB20" s="15" t="str">
        <f>IFERROR(__xludf.DUMMYFUNCTION("join("","",filter(split($H$83,"",""),ARRAYFORMULA(ISERROR(FIND(split($H$83,"",""),CONCATENATE(E20:V20))))=TRUE))"),"СЗ,206,403,404,405,410,АЗ")</f>
        <v>СЗ,206,403,404,405,410,АЗ</v>
      </c>
      <c r="AC20" s="14"/>
      <c r="AD20" s="14"/>
      <c r="AE20" s="14"/>
      <c r="AF20" s="29"/>
      <c r="AG20" s="29"/>
      <c r="AH20" s="29"/>
    </row>
    <row r="21" ht="40.5" hidden="1" customHeight="1">
      <c r="A21" s="30"/>
      <c r="B21" s="31">
        <v>9.0</v>
      </c>
      <c r="C21" s="65">
        <v>44697.0</v>
      </c>
      <c r="D21" s="44" t="s">
        <v>109</v>
      </c>
      <c r="E21" s="99" t="s">
        <v>206</v>
      </c>
      <c r="F21" s="4"/>
      <c r="G21" s="39"/>
      <c r="H21" s="101" t="s">
        <v>208</v>
      </c>
      <c r="I21" s="36"/>
      <c r="J21" s="36"/>
      <c r="K21" s="36"/>
      <c r="L21" s="36"/>
      <c r="M21" s="13"/>
      <c r="N21" s="45" t="s">
        <v>7644</v>
      </c>
      <c r="O21" s="13"/>
      <c r="P21" s="102" t="s">
        <v>7645</v>
      </c>
      <c r="Q21" s="41"/>
      <c r="R21" s="35" t="s">
        <v>211</v>
      </c>
      <c r="S21" s="41"/>
      <c r="T21" s="103" t="s">
        <v>7646</v>
      </c>
      <c r="U21" s="36"/>
      <c r="V21" s="41"/>
      <c r="W21" s="26"/>
      <c r="X21" s="69">
        <v>44697.0</v>
      </c>
      <c r="Y21" s="70" t="s">
        <v>109</v>
      </c>
      <c r="Z21" s="28"/>
      <c r="AA21" s="98"/>
      <c r="AB21" s="15" t="str">
        <f>IFERROR(__xludf.DUMMYFUNCTION("join("","",filter(split($H$83,"",""),ARRAYFORMULA(ISERROR(FIND(split($H$83,"",""),CONCATENATE(E21:V21))))=TRUE))"),"201,206,209,210,401,403,404,405,406,408,АЗ")</f>
        <v>201,206,209,210,401,403,404,405,406,408,АЗ</v>
      </c>
      <c r="AC21" s="14"/>
      <c r="AD21" s="14"/>
      <c r="AE21" s="14"/>
      <c r="AF21" s="29"/>
      <c r="AG21" s="29"/>
      <c r="AH21" s="29"/>
    </row>
    <row r="22" ht="40.5" hidden="1" customHeight="1">
      <c r="A22" s="30"/>
      <c r="B22" s="31">
        <v>10.0</v>
      </c>
      <c r="C22" s="44" t="s">
        <v>120</v>
      </c>
      <c r="D22" s="44" t="s">
        <v>121</v>
      </c>
      <c r="E22" s="104"/>
      <c r="F22" s="72"/>
      <c r="G22" s="583"/>
      <c r="H22" s="106" t="s">
        <v>213</v>
      </c>
      <c r="I22" s="36"/>
      <c r="J22" s="36"/>
      <c r="K22" s="36"/>
      <c r="L22" s="36"/>
      <c r="M22" s="13"/>
      <c r="N22" s="45" t="s">
        <v>7647</v>
      </c>
      <c r="O22" s="13"/>
      <c r="P22" s="101" t="s">
        <v>215</v>
      </c>
      <c r="Q22" s="36"/>
      <c r="R22" s="36"/>
      <c r="S22" s="13"/>
      <c r="T22" s="107" t="s">
        <v>7648</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7649</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hidden="1" customHeight="1">
      <c r="A24" s="18">
        <v>44958.0</v>
      </c>
      <c r="B24" s="435">
        <v>1.0</v>
      </c>
      <c r="C24" s="20" t="s">
        <v>12</v>
      </c>
      <c r="D24" s="20" t="s">
        <v>13</v>
      </c>
      <c r="E24" s="21" t="s">
        <v>7650</v>
      </c>
      <c r="F24" s="22"/>
      <c r="G24" s="116" t="s">
        <v>7651</v>
      </c>
      <c r="H24" s="117" t="s">
        <v>7652</v>
      </c>
      <c r="I24" s="22"/>
      <c r="J24" s="118" t="s">
        <v>221</v>
      </c>
      <c r="K24" s="24"/>
      <c r="L24" s="24"/>
      <c r="M24" s="25"/>
      <c r="N24" s="80" t="s">
        <v>7653</v>
      </c>
      <c r="O24" s="25"/>
      <c r="P24" s="585" t="s">
        <v>7654</v>
      </c>
      <c r="Q24" s="24"/>
      <c r="R24" s="24"/>
      <c r="S24" s="22"/>
      <c r="T24" s="121" t="s">
        <v>7655</v>
      </c>
      <c r="U24" s="24"/>
      <c r="V24" s="22"/>
      <c r="W24" s="26"/>
      <c r="X24" s="27" t="s">
        <v>12</v>
      </c>
      <c r="Y24" s="27" t="s">
        <v>13</v>
      </c>
      <c r="Z24" s="28"/>
      <c r="AA24" s="14"/>
      <c r="AB24" s="15" t="str">
        <f>IFERROR(__xludf.DUMMYFUNCTION("join("","",filter(split($H$83,"",""),ARRAYFORMULA(ISERROR(FIND(split($H$83,"",""),CONCATENATE(E24:V24))))=TRUE))"),"СЗ,206,210,401,402,403,404,405,406,409,410,АЗ")</f>
        <v>СЗ,206,210,401,402,403,404,405,406,409,410,АЗ</v>
      </c>
      <c r="AC24" s="14"/>
      <c r="AD24" s="14"/>
      <c r="AE24" s="14"/>
      <c r="AF24" s="29"/>
      <c r="AG24" s="29"/>
      <c r="AH24" s="29"/>
    </row>
    <row r="25" ht="40.5" hidden="1" customHeight="1">
      <c r="A25" s="30"/>
      <c r="B25" s="436">
        <v>2.0</v>
      </c>
      <c r="C25" s="32" t="s">
        <v>21</v>
      </c>
      <c r="D25" s="32" t="s">
        <v>22</v>
      </c>
      <c r="E25" s="51" t="s">
        <v>7656</v>
      </c>
      <c r="F25" s="41"/>
      <c r="G25" s="39" t="s">
        <v>7657</v>
      </c>
      <c r="H25" s="89" t="s">
        <v>7658</v>
      </c>
      <c r="I25" s="41"/>
      <c r="J25" s="35" t="s">
        <v>7659</v>
      </c>
      <c r="K25" s="13"/>
      <c r="L25" s="40" t="s">
        <v>7660</v>
      </c>
      <c r="M25" s="13"/>
      <c r="N25" s="40" t="s">
        <v>7661</v>
      </c>
      <c r="O25" s="13"/>
      <c r="P25" s="37" t="s">
        <v>7662</v>
      </c>
      <c r="Q25" s="13"/>
      <c r="R25" s="122" t="s">
        <v>7663</v>
      </c>
      <c r="S25" s="41"/>
      <c r="T25" s="103" t="s">
        <v>7664</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hidden="1" customHeight="1">
      <c r="A26" s="30"/>
      <c r="B26" s="436">
        <v>3.0</v>
      </c>
      <c r="C26" s="32" t="s">
        <v>33</v>
      </c>
      <c r="D26" s="32" t="s">
        <v>34</v>
      </c>
      <c r="E26" s="37" t="s">
        <v>7665</v>
      </c>
      <c r="F26" s="41"/>
      <c r="G26" s="51" t="s">
        <v>7666</v>
      </c>
      <c r="H26" s="36"/>
      <c r="I26" s="41"/>
      <c r="J26" s="95" t="s">
        <v>7667</v>
      </c>
      <c r="K26" s="13"/>
      <c r="L26" s="123" t="s">
        <v>7668</v>
      </c>
      <c r="M26" s="41"/>
      <c r="N26" s="40" t="s">
        <v>7669</v>
      </c>
      <c r="O26" s="13"/>
      <c r="P26" s="39" t="s">
        <v>7670</v>
      </c>
      <c r="Q26" s="124" t="s">
        <v>7671</v>
      </c>
      <c r="R26" s="89" t="s">
        <v>7672</v>
      </c>
      <c r="S26" s="41"/>
      <c r="T26" s="125" t="s">
        <v>7673</v>
      </c>
      <c r="U26" s="36"/>
      <c r="V26" s="41"/>
      <c r="W26" s="26"/>
      <c r="X26" s="42" t="s">
        <v>33</v>
      </c>
      <c r="Y26" s="42" t="s">
        <v>34</v>
      </c>
      <c r="Z26" s="48" t="s">
        <v>47</v>
      </c>
      <c r="AA26" s="85" t="str">
        <f>AA$5</f>
        <v/>
      </c>
      <c r="AB26" s="15" t="str">
        <f>IFERROR(__xludf.DUMMYFUNCTION("join("","",filter(split($H$83,"",""),ARRAYFORMULA(ISERROR(FIND(split($H$83,"",""),CONCATENATE(E26:V26))))=TRUE))"),"СЗ,КЗ,206,210,403,404,405,408,410,АЗ")</f>
        <v>СЗ,КЗ,206,210,403,404,405,408,410,АЗ</v>
      </c>
      <c r="AC26" s="14"/>
      <c r="AD26" s="14"/>
      <c r="AE26" s="14"/>
      <c r="AF26" s="29"/>
      <c r="AG26" s="29"/>
      <c r="AH26" s="29"/>
    </row>
    <row r="27" ht="54.0" hidden="1" customHeight="1">
      <c r="A27" s="30"/>
      <c r="B27" s="436">
        <v>4.0</v>
      </c>
      <c r="C27" s="32" t="s">
        <v>48</v>
      </c>
      <c r="D27" s="32" t="s">
        <v>49</v>
      </c>
      <c r="E27" s="33" t="s">
        <v>7674</v>
      </c>
      <c r="F27" s="286" t="s">
        <v>7675</v>
      </c>
      <c r="G27" s="37" t="s">
        <v>7676</v>
      </c>
      <c r="H27" s="13"/>
      <c r="I27" s="92" t="s">
        <v>7677</v>
      </c>
      <c r="J27" s="107" t="s">
        <v>7678</v>
      </c>
      <c r="K27" s="13"/>
      <c r="L27" s="45" t="s">
        <v>7679</v>
      </c>
      <c r="M27" s="13"/>
      <c r="N27" s="127" t="s">
        <v>7680</v>
      </c>
      <c r="O27" s="13"/>
      <c r="P27" s="37" t="s">
        <v>7681</v>
      </c>
      <c r="Q27" s="13"/>
      <c r="R27" s="132" t="s">
        <v>7682</v>
      </c>
      <c r="S27" s="34" t="s">
        <v>7683</v>
      </c>
      <c r="T27" s="125" t="s">
        <v>7684</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D27" s="14"/>
      <c r="AE27" s="14"/>
      <c r="AF27" s="29"/>
      <c r="AG27" s="29"/>
      <c r="AH27" s="29"/>
    </row>
    <row r="28" ht="53.25" hidden="1" customHeight="1">
      <c r="A28" s="30"/>
      <c r="B28" s="436">
        <v>5.0</v>
      </c>
      <c r="C28" s="32" t="s">
        <v>58</v>
      </c>
      <c r="D28" s="53">
        <v>44847.0</v>
      </c>
      <c r="E28" s="33" t="s">
        <v>7685</v>
      </c>
      <c r="F28" s="92" t="s">
        <v>7686</v>
      </c>
      <c r="G28" s="37" t="s">
        <v>7687</v>
      </c>
      <c r="H28" s="13"/>
      <c r="I28" s="92" t="s">
        <v>7688</v>
      </c>
      <c r="J28" s="123" t="s">
        <v>7689</v>
      </c>
      <c r="K28" s="41"/>
      <c r="L28" s="45" t="s">
        <v>7690</v>
      </c>
      <c r="M28" s="13"/>
      <c r="N28" s="89" t="s">
        <v>7691</v>
      </c>
      <c r="O28" s="13"/>
      <c r="P28" s="39" t="s">
        <v>7692</v>
      </c>
      <c r="Q28" s="124" t="s">
        <v>7693</v>
      </c>
      <c r="R28" s="132" t="s">
        <v>7694</v>
      </c>
      <c r="S28" s="34" t="s">
        <v>7695</v>
      </c>
      <c r="T28" s="128" t="s">
        <v>7696</v>
      </c>
      <c r="U28" s="8"/>
      <c r="V28" s="129"/>
      <c r="W28" s="26"/>
      <c r="X28" s="42" t="s">
        <v>58</v>
      </c>
      <c r="Y28" s="54">
        <v>44847.0</v>
      </c>
      <c r="Z28" s="48" t="s">
        <v>70</v>
      </c>
      <c r="AA28" s="85" t="str">
        <f>AA$7</f>
        <v/>
      </c>
      <c r="AB28" s="15" t="str">
        <f>IFERROR(__xludf.DUMMYFUNCTION("join("","",filter(split($H$83,"",""),ARRAYFORMULA(ISERROR(FIND(split($H$83,"",""),CONCATENATE(E28:V28))))=TRUE))"),"СЗ,206,209,403,404,405,410")</f>
        <v>СЗ,206,209,403,404,405,410</v>
      </c>
      <c r="AC28" s="14"/>
      <c r="AD28" s="14"/>
      <c r="AE28" s="14"/>
      <c r="AF28" s="29"/>
      <c r="AG28" s="29"/>
      <c r="AH28" s="29"/>
    </row>
    <row r="29" ht="40.5" hidden="1" customHeight="1">
      <c r="A29" s="30"/>
      <c r="B29" s="436">
        <v>6.0</v>
      </c>
      <c r="C29" s="55" t="s">
        <v>71</v>
      </c>
      <c r="D29" s="56" t="s">
        <v>72</v>
      </c>
      <c r="E29" s="39" t="s">
        <v>7697</v>
      </c>
      <c r="F29" s="34" t="s">
        <v>7698</v>
      </c>
      <c r="G29" s="40" t="s">
        <v>7699</v>
      </c>
      <c r="H29" s="41"/>
      <c r="I29" s="34" t="s">
        <v>7700</v>
      </c>
      <c r="J29" s="123" t="s">
        <v>7701</v>
      </c>
      <c r="K29" s="41"/>
      <c r="L29" s="89" t="s">
        <v>7702</v>
      </c>
      <c r="M29" s="13"/>
      <c r="N29" s="130" t="s">
        <v>7703</v>
      </c>
      <c r="O29" s="13"/>
      <c r="P29" s="131" t="s">
        <v>7704</v>
      </c>
      <c r="Q29" s="132" t="s">
        <v>7705</v>
      </c>
      <c r="R29" s="437"/>
      <c r="S29" s="92" t="s">
        <v>7706</v>
      </c>
      <c r="V29" s="134"/>
      <c r="W29" s="26"/>
      <c r="X29" s="58" t="s">
        <v>71</v>
      </c>
      <c r="Y29" s="59" t="s">
        <v>72</v>
      </c>
      <c r="Z29" s="48" t="s">
        <v>84</v>
      </c>
      <c r="AA29" s="85" t="str">
        <f>AA$8</f>
        <v/>
      </c>
      <c r="AB29" s="15" t="str">
        <f>IFERROR(__xludf.DUMMYFUNCTION("join("","",filter(split($H$83,"",""),ARRAYFORMULA(ISERROR(FIND(split($H$83,"",""),CONCATENATE(E29:V29))))=TRUE))"),"СЗ,КЗ,201,206,403,404,405,410,АЗ")</f>
        <v>СЗ,КЗ,201,206,403,404,405,410,АЗ</v>
      </c>
      <c r="AC29" s="14"/>
      <c r="AD29" s="14"/>
      <c r="AE29" s="14"/>
      <c r="AF29" s="29"/>
      <c r="AG29" s="29"/>
      <c r="AH29" s="29"/>
    </row>
    <row r="30" ht="40.5" hidden="1" customHeight="1">
      <c r="A30" s="30"/>
      <c r="B30" s="436">
        <v>7.0</v>
      </c>
      <c r="C30" s="32" t="s">
        <v>85</v>
      </c>
      <c r="D30" s="32" t="s">
        <v>86</v>
      </c>
      <c r="E30" s="39" t="s">
        <v>7707</v>
      </c>
      <c r="F30" s="34" t="s">
        <v>7708</v>
      </c>
      <c r="G30" s="40" t="s">
        <v>7709</v>
      </c>
      <c r="H30" s="41"/>
      <c r="I30" s="34" t="s">
        <v>7710</v>
      </c>
      <c r="J30" s="35" t="s">
        <v>7711</v>
      </c>
      <c r="K30" s="13"/>
      <c r="L30" s="123" t="s">
        <v>7712</v>
      </c>
      <c r="M30" s="41"/>
      <c r="N30" s="130" t="s">
        <v>7713</v>
      </c>
      <c r="O30" s="13"/>
      <c r="P30" s="131" t="s">
        <v>7714</v>
      </c>
      <c r="Q30" s="132" t="s">
        <v>7715</v>
      </c>
      <c r="R30" s="173"/>
      <c r="S30" s="92" t="s">
        <v>7716</v>
      </c>
      <c r="V30" s="134"/>
      <c r="W30" s="26"/>
      <c r="X30" s="42" t="s">
        <v>85</v>
      </c>
      <c r="Y30" s="42" t="s">
        <v>86</v>
      </c>
      <c r="Z30" s="48" t="s">
        <v>97</v>
      </c>
      <c r="AA30" s="85" t="str">
        <f>AA$9</f>
        <v/>
      </c>
      <c r="AB30" s="15" t="str">
        <f>IFERROR(__xludf.DUMMYFUNCTION("join("","",filter(split($H$83,"",""),ARRAYFORMULA(ISERROR(FIND(split($H$83,"",""),CONCATENATE(E30:V30))))=TRUE))"),"СЗ,КЗ,206,403,404,405,409,410,АЗ")</f>
        <v>СЗ,КЗ,206,403,404,405,409,410,АЗ</v>
      </c>
      <c r="AC30" s="14"/>
      <c r="AD30" s="14"/>
      <c r="AE30" s="14"/>
      <c r="AF30" s="29"/>
      <c r="AG30" s="29"/>
      <c r="AH30" s="29"/>
    </row>
    <row r="31" ht="52.5" hidden="1" customHeight="1">
      <c r="A31" s="30"/>
      <c r="B31" s="436">
        <v>8.0</v>
      </c>
      <c r="C31" s="32" t="s">
        <v>98</v>
      </c>
      <c r="D31" s="32" t="s">
        <v>99</v>
      </c>
      <c r="E31" s="141" t="s">
        <v>7717</v>
      </c>
      <c r="F31" s="13"/>
      <c r="G31" s="137" t="s">
        <v>7718</v>
      </c>
      <c r="H31" s="8"/>
      <c r="I31" s="129"/>
      <c r="J31" s="334" t="s">
        <v>7719</v>
      </c>
      <c r="K31" s="36"/>
      <c r="L31" s="36"/>
      <c r="M31" s="13"/>
      <c r="N31" s="45" t="s">
        <v>7720</v>
      </c>
      <c r="O31" s="13"/>
      <c r="P31" s="140" t="s">
        <v>7721</v>
      </c>
      <c r="Q31" s="4"/>
      <c r="R31" s="144"/>
      <c r="S31" s="133" t="s">
        <v>276</v>
      </c>
      <c r="V31" s="134"/>
      <c r="W31" s="26"/>
      <c r="X31" s="42" t="s">
        <v>98</v>
      </c>
      <c r="Y31" s="42" t="s">
        <v>99</v>
      </c>
      <c r="Z31" s="11"/>
      <c r="AA31" s="14"/>
      <c r="AB31" s="15" t="str">
        <f>IFERROR(__xludf.DUMMYFUNCTION("join("","",filter(split($H$83,"",""),ARRAYFORMULA(ISERROR(FIND(split($H$83,"",""),CONCATENATE(E31:V31))))=TRUE))"),"СЗ,КЗ,201,206,401,402,404,405,406,408,409,АЗ")</f>
        <v>СЗ,КЗ,201,206,401,402,404,405,406,408,409,АЗ</v>
      </c>
      <c r="AC31" s="14"/>
      <c r="AD31" s="14"/>
      <c r="AE31" s="14"/>
      <c r="AF31" s="29"/>
      <c r="AG31" s="29"/>
      <c r="AH31" s="29"/>
    </row>
    <row r="32" ht="57.0" hidden="1" customHeight="1">
      <c r="A32" s="30"/>
      <c r="B32" s="436">
        <v>9.0</v>
      </c>
      <c r="C32" s="65">
        <v>44697.0</v>
      </c>
      <c r="D32" s="44" t="s">
        <v>109</v>
      </c>
      <c r="E32" s="141" t="s">
        <v>7722</v>
      </c>
      <c r="F32" s="13"/>
      <c r="G32" s="142"/>
      <c r="H32" s="64"/>
      <c r="I32" s="88"/>
      <c r="J32" s="334" t="s">
        <v>7723</v>
      </c>
      <c r="K32" s="36"/>
      <c r="L32" s="36"/>
      <c r="M32" s="13"/>
      <c r="N32" s="45" t="s">
        <v>7724</v>
      </c>
      <c r="O32" s="13"/>
      <c r="P32" s="142"/>
      <c r="Q32" s="72"/>
      <c r="R32" s="144"/>
      <c r="S32" s="92"/>
      <c r="T32" s="64"/>
      <c r="U32" s="64"/>
      <c r="V32" s="88"/>
      <c r="W32" s="26"/>
      <c r="X32" s="69">
        <v>44697.0</v>
      </c>
      <c r="Y32" s="70" t="s">
        <v>109</v>
      </c>
      <c r="Z32" s="28"/>
      <c r="AA32" s="14"/>
      <c r="AB32" s="15" t="str">
        <f>IFERROR(__xludf.DUMMYFUNCTION("join("","",filter(split($H$83,"",""),ARRAYFORMULA(ISERROR(FIND(split($H$83,"",""),CONCATENATE(E32:V32))))=TRUE))"),"СЗ,КЗ,201,206,210,401,402,403,404,405,406,408,409,АЗ")</f>
        <v>СЗ,КЗ,201,206,210,401,402,403,404,405,406,408,409,АЗ</v>
      </c>
      <c r="AC32" s="14"/>
      <c r="AD32" s="14"/>
      <c r="AE32" s="14"/>
      <c r="AF32" s="29"/>
      <c r="AG32" s="29"/>
      <c r="AH32" s="29"/>
    </row>
    <row r="33" ht="40.5" hidden="1" customHeight="1">
      <c r="A33" s="30"/>
      <c r="B33" s="436">
        <v>10.0</v>
      </c>
      <c r="C33" s="44" t="s">
        <v>120</v>
      </c>
      <c r="D33" s="44" t="s">
        <v>121</v>
      </c>
      <c r="E33" s="141" t="s">
        <v>7725</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7726</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18">
        <v>44959.0</v>
      </c>
      <c r="B35" s="19">
        <v>1.0</v>
      </c>
      <c r="C35" s="20" t="s">
        <v>12</v>
      </c>
      <c r="D35" s="20" t="s">
        <v>13</v>
      </c>
      <c r="E35" s="80" t="s">
        <v>7727</v>
      </c>
      <c r="F35" s="25"/>
      <c r="G35" s="156" t="s">
        <v>7728</v>
      </c>
      <c r="H35" s="117" t="s">
        <v>7729</v>
      </c>
      <c r="I35" s="25"/>
      <c r="J35" s="157" t="s">
        <v>7730</v>
      </c>
      <c r="K35" s="13"/>
      <c r="L35" s="156" t="s">
        <v>7731</v>
      </c>
      <c r="M35" s="156" t="s">
        <v>7732</v>
      </c>
      <c r="N35" s="80" t="s">
        <v>7733</v>
      </c>
      <c r="O35" s="25"/>
      <c r="P35" s="35" t="s">
        <v>7734</v>
      </c>
      <c r="Q35" s="41"/>
      <c r="R35" s="159" t="s">
        <v>7735</v>
      </c>
      <c r="S35" s="160" t="s">
        <v>7736</v>
      </c>
      <c r="T35" s="161" t="s">
        <v>7737</v>
      </c>
      <c r="U35" s="24"/>
      <c r="V35" s="22"/>
      <c r="W35" s="26"/>
      <c r="X35" s="27" t="s">
        <v>12</v>
      </c>
      <c r="Y35" s="27" t="s">
        <v>13</v>
      </c>
      <c r="Z35" s="28"/>
      <c r="AA35" s="14"/>
      <c r="AB35" s="15" t="str">
        <f>IFERROR(__xludf.DUMMYFUNCTION("join("","",filter(split($H$83,"",""),ARRAYFORMULA(ISERROR(FIND(split($H$83,"",""),CONCATENATE(E35:V35))))=TRUE))"),"СЗ,206,404,406,410,АЗ")</f>
        <v>СЗ,206,404,406,410,АЗ</v>
      </c>
      <c r="AC35" s="14"/>
      <c r="AD35" s="14"/>
      <c r="AE35" s="14"/>
      <c r="AF35" s="29"/>
      <c r="AG35" s="29"/>
      <c r="AH35" s="29"/>
    </row>
    <row r="36" ht="54.0" hidden="1" customHeight="1">
      <c r="A36" s="30"/>
      <c r="B36" s="31">
        <v>2.0</v>
      </c>
      <c r="C36" s="32" t="s">
        <v>21</v>
      </c>
      <c r="D36" s="32" t="s">
        <v>22</v>
      </c>
      <c r="E36" s="45" t="s">
        <v>7738</v>
      </c>
      <c r="F36" s="13"/>
      <c r="G36" s="44" t="s">
        <v>7739</v>
      </c>
      <c r="H36" s="40" t="s">
        <v>312</v>
      </c>
      <c r="I36" s="13"/>
      <c r="J36" s="157" t="s">
        <v>313</v>
      </c>
      <c r="K36" s="13"/>
      <c r="L36" s="44" t="s">
        <v>7740</v>
      </c>
      <c r="M36" s="44" t="s">
        <v>7741</v>
      </c>
      <c r="N36" s="45" t="s">
        <v>316</v>
      </c>
      <c r="O36" s="13"/>
      <c r="P36" s="35" t="s">
        <v>7742</v>
      </c>
      <c r="Q36" s="41"/>
      <c r="R36" s="162" t="s">
        <v>7743</v>
      </c>
      <c r="S36" s="90" t="s">
        <v>320</v>
      </c>
      <c r="T36" s="163" t="s">
        <v>7744</v>
      </c>
      <c r="U36" s="36"/>
      <c r="V36" s="41"/>
      <c r="W36" s="26"/>
      <c r="X36" s="42" t="s">
        <v>21</v>
      </c>
      <c r="Y36" s="42" t="s">
        <v>22</v>
      </c>
      <c r="Z36" s="28"/>
      <c r="AA36" s="14"/>
      <c r="AB36" s="15" t="str">
        <f>IFERROR(__xludf.DUMMYFUNCTION("join("","",filter(split($H$83,"",""),ARRAYFORMULA(ISERROR(FIND(split($H$83,"",""),CONCATENATE(E36:V36))))=TRUE))"),"СЗ,206,404,406,410,АЗ")</f>
        <v>СЗ,206,404,406,410,АЗ</v>
      </c>
      <c r="AC36" s="14"/>
      <c r="AD36" s="14"/>
      <c r="AE36" s="14"/>
      <c r="AF36" s="29"/>
      <c r="AG36" s="29"/>
      <c r="AH36" s="29"/>
    </row>
    <row r="37" ht="56.25" hidden="1" customHeight="1">
      <c r="A37" s="30"/>
      <c r="B37" s="31">
        <v>3.0</v>
      </c>
      <c r="C37" s="32" t="s">
        <v>33</v>
      </c>
      <c r="D37" s="32" t="s">
        <v>34</v>
      </c>
      <c r="E37" s="45" t="s">
        <v>7745</v>
      </c>
      <c r="F37" s="13"/>
      <c r="G37" s="132" t="s">
        <v>7746</v>
      </c>
      <c r="H37" s="45" t="s">
        <v>7747</v>
      </c>
      <c r="I37" s="13"/>
      <c r="J37" s="45" t="s">
        <v>7748</v>
      </c>
      <c r="K37" s="13"/>
      <c r="L37" s="44" t="s">
        <v>7749</v>
      </c>
      <c r="M37" s="44" t="s">
        <v>7750</v>
      </c>
      <c r="N37" s="164" t="s">
        <v>7751</v>
      </c>
      <c r="O37" s="36"/>
      <c r="P37" s="36"/>
      <c r="Q37" s="13"/>
      <c r="R37" s="35" t="s">
        <v>7752</v>
      </c>
      <c r="S37" s="41"/>
      <c r="T37" s="87" t="s">
        <v>7753</v>
      </c>
      <c r="U37" s="36"/>
      <c r="V37" s="41"/>
      <c r="W37" s="26"/>
      <c r="X37" s="42" t="s">
        <v>33</v>
      </c>
      <c r="Y37" s="42" t="s">
        <v>34</v>
      </c>
      <c r="Z37" s="48" t="s">
        <v>47</v>
      </c>
      <c r="AA37" s="85" t="str">
        <f>AA$5</f>
        <v/>
      </c>
      <c r="AB37" s="15" t="str">
        <f>IFERROR(__xludf.DUMMYFUNCTION("join("","",filter(split($H$83,"",""),ARRAYFORMULA(ISERROR(FIND(split($H$83,"",""),CONCATENATE(E37:V37))))=TRUE))"),"КЗ,206,403,404,406,410,АЗ")</f>
        <v>КЗ,206,403,404,406,410,АЗ</v>
      </c>
      <c r="AC37" s="14"/>
      <c r="AD37" s="14"/>
      <c r="AE37" s="14"/>
      <c r="AF37" s="29"/>
      <c r="AG37" s="29"/>
      <c r="AH37" s="29"/>
    </row>
    <row r="38" ht="51.75" hidden="1" customHeight="1">
      <c r="A38" s="30"/>
      <c r="B38" s="31">
        <v>4.0</v>
      </c>
      <c r="C38" s="32" t="s">
        <v>48</v>
      </c>
      <c r="D38" s="32" t="s">
        <v>49</v>
      </c>
      <c r="E38" s="45" t="s">
        <v>7754</v>
      </c>
      <c r="F38" s="13"/>
      <c r="G38" s="132" t="s">
        <v>7755</v>
      </c>
      <c r="H38" s="45" t="s">
        <v>7756</v>
      </c>
      <c r="I38" s="13"/>
      <c r="J38" s="45" t="s">
        <v>7757</v>
      </c>
      <c r="K38" s="13"/>
      <c r="L38" s="44" t="s">
        <v>7758</v>
      </c>
      <c r="M38" s="44" t="s">
        <v>7759</v>
      </c>
      <c r="N38" s="164" t="s">
        <v>7760</v>
      </c>
      <c r="O38" s="36"/>
      <c r="P38" s="36"/>
      <c r="Q38" s="13"/>
      <c r="R38" s="35" t="s">
        <v>7761</v>
      </c>
      <c r="S38" s="41"/>
      <c r="T38" s="87" t="s">
        <v>7762</v>
      </c>
      <c r="U38" s="36"/>
      <c r="V38" s="41"/>
      <c r="W38" s="26"/>
      <c r="X38" s="42" t="s">
        <v>48</v>
      </c>
      <c r="Y38" s="42" t="s">
        <v>49</v>
      </c>
      <c r="Z38" s="48" t="s">
        <v>57</v>
      </c>
      <c r="AA38" s="85" t="str">
        <f>AA$6</f>
        <v/>
      </c>
      <c r="AB38" s="15" t="str">
        <f>IFERROR(__xludf.DUMMYFUNCTION("join("","",filter(split($H$83,"",""),ARRAYFORMULA(ISERROR(FIND(split($H$83,"",""),CONCATENATE(E38:V38))))=TRUE))"),"КЗ,206,403,404,406,410,АЗ")</f>
        <v>КЗ,206,403,404,406,410,АЗ</v>
      </c>
      <c r="AC38" s="14"/>
      <c r="AD38" s="14"/>
      <c r="AE38" s="14"/>
      <c r="AF38" s="29"/>
      <c r="AG38" s="29"/>
      <c r="AH38" s="29"/>
    </row>
    <row r="39" ht="58.5" hidden="1" customHeight="1">
      <c r="A39" s="30"/>
      <c r="B39" s="31">
        <v>5.0</v>
      </c>
      <c r="C39" s="32" t="s">
        <v>58</v>
      </c>
      <c r="D39" s="53">
        <v>44847.0</v>
      </c>
      <c r="E39" s="45" t="s">
        <v>7763</v>
      </c>
      <c r="F39" s="13"/>
      <c r="G39" s="44" t="s">
        <v>7764</v>
      </c>
      <c r="H39" s="45" t="s">
        <v>7765</v>
      </c>
      <c r="I39" s="13"/>
      <c r="J39" s="44" t="s">
        <v>7766</v>
      </c>
      <c r="K39" s="44" t="s">
        <v>7767</v>
      </c>
      <c r="L39" s="45" t="s">
        <v>7768</v>
      </c>
      <c r="M39" s="13"/>
      <c r="N39" s="35" t="s">
        <v>7769</v>
      </c>
      <c r="O39" s="41"/>
      <c r="P39" s="45" t="s">
        <v>7770</v>
      </c>
      <c r="Q39" s="13"/>
      <c r="R39" s="44" t="s">
        <v>7771</v>
      </c>
      <c r="S39" s="132" t="s">
        <v>7772</v>
      </c>
      <c r="T39" s="45" t="s">
        <v>7773</v>
      </c>
      <c r="U39" s="36"/>
      <c r="V39" s="41"/>
      <c r="W39" s="26"/>
      <c r="X39" s="42" t="s">
        <v>58</v>
      </c>
      <c r="Y39" s="54">
        <v>44847.0</v>
      </c>
      <c r="Z39" s="48" t="s">
        <v>70</v>
      </c>
      <c r="AA39" s="85" t="str">
        <f>AA$7</f>
        <v/>
      </c>
      <c r="AB39" s="15" t="str">
        <f>IFERROR(__xludf.DUMMYFUNCTION("join("","",filter(split($H$83,"",""),ARRAYFORMULA(ISERROR(FIND(split($H$83,"",""),CONCATENATE(E39:V39))))=TRUE))"),"СЗ,КЗ,206,403,404,406,АЗ")</f>
        <v>СЗ,КЗ,206,403,404,406,АЗ</v>
      </c>
      <c r="AC39" s="14"/>
      <c r="AD39" s="14"/>
      <c r="AE39" s="14"/>
      <c r="AF39" s="29"/>
      <c r="AG39" s="29"/>
      <c r="AH39" s="29"/>
    </row>
    <row r="40" ht="54.0" hidden="1" customHeight="1">
      <c r="A40" s="30"/>
      <c r="B40" s="31">
        <v>6.0</v>
      </c>
      <c r="C40" s="55" t="s">
        <v>71</v>
      </c>
      <c r="D40" s="56" t="s">
        <v>72</v>
      </c>
      <c r="E40" s="45" t="s">
        <v>7774</v>
      </c>
      <c r="F40" s="13"/>
      <c r="G40" s="44" t="s">
        <v>355</v>
      </c>
      <c r="H40" s="45" t="s">
        <v>7775</v>
      </c>
      <c r="I40" s="13"/>
      <c r="J40" s="44" t="s">
        <v>7776</v>
      </c>
      <c r="K40" s="44" t="s">
        <v>7777</v>
      </c>
      <c r="L40" s="45" t="s">
        <v>7778</v>
      </c>
      <c r="M40" s="13"/>
      <c r="N40" s="35" t="s">
        <v>7779</v>
      </c>
      <c r="O40" s="41"/>
      <c r="P40" s="45" t="s">
        <v>7780</v>
      </c>
      <c r="Q40" s="13"/>
      <c r="R40" s="44" t="s">
        <v>7781</v>
      </c>
      <c r="S40" s="132" t="s">
        <v>7782</v>
      </c>
      <c r="T40" s="45" t="s">
        <v>7783</v>
      </c>
      <c r="U40" s="36"/>
      <c r="V40" s="41"/>
      <c r="W40" s="26"/>
      <c r="X40" s="58" t="s">
        <v>71</v>
      </c>
      <c r="Y40" s="59" t="s">
        <v>72</v>
      </c>
      <c r="Z40" s="48" t="s">
        <v>84</v>
      </c>
      <c r="AA40" s="85" t="str">
        <f>AA$8</f>
        <v/>
      </c>
      <c r="AB40" s="15" t="str">
        <f>IFERROR(__xludf.DUMMYFUNCTION("join("","",filter(split($H$83,"",""),ARRAYFORMULA(ISERROR(FIND(split($H$83,"",""),CONCATENATE(E40:V40))))=TRUE))"),"СЗ,КЗ,206,403,404,406,АЗ")</f>
        <v>СЗ,КЗ,206,403,404,406,АЗ</v>
      </c>
      <c r="AC40" s="14"/>
      <c r="AD40" s="14"/>
      <c r="AE40" s="14"/>
      <c r="AF40" s="29"/>
      <c r="AG40" s="29"/>
      <c r="AH40" s="29"/>
    </row>
    <row r="41" ht="48.75" hidden="1" customHeight="1">
      <c r="A41" s="30"/>
      <c r="B41" s="31">
        <v>7.0</v>
      </c>
      <c r="C41" s="32" t="s">
        <v>85</v>
      </c>
      <c r="D41" s="32" t="s">
        <v>86</v>
      </c>
      <c r="E41" s="45" t="s">
        <v>7784</v>
      </c>
      <c r="F41" s="13"/>
      <c r="G41" s="44" t="s">
        <v>7785</v>
      </c>
      <c r="H41" s="45" t="s">
        <v>7786</v>
      </c>
      <c r="I41" s="13"/>
      <c r="J41" s="44" t="s">
        <v>7787</v>
      </c>
      <c r="K41" s="44" t="s">
        <v>7788</v>
      </c>
      <c r="L41" s="45" t="s">
        <v>7789</v>
      </c>
      <c r="M41" s="13"/>
      <c r="N41" s="87" t="s">
        <v>7790</v>
      </c>
      <c r="O41" s="13"/>
      <c r="P41" s="45" t="s">
        <v>7791</v>
      </c>
      <c r="Q41" s="13"/>
      <c r="R41" s="35" t="s">
        <v>7792</v>
      </c>
      <c r="S41" s="41"/>
      <c r="T41" s="165" t="s">
        <v>7793</v>
      </c>
      <c r="U41" s="36"/>
      <c r="V41" s="41"/>
      <c r="W41" s="26"/>
      <c r="X41" s="42" t="s">
        <v>85</v>
      </c>
      <c r="Y41" s="42" t="s">
        <v>86</v>
      </c>
      <c r="Z41" s="48" t="s">
        <v>97</v>
      </c>
      <c r="AA41" s="85" t="str">
        <f>AA$9</f>
        <v/>
      </c>
      <c r="AB41" s="15" t="str">
        <f>IFERROR(__xludf.DUMMYFUNCTION("join("","",filter(split($H$83,"",""),ARRAYFORMULA(ISERROR(FIND(split($H$83,"",""),CONCATENATE(E41:V41))))=TRUE))"),"СЗ,КЗ,206,210,403,404,406,АЗ")</f>
        <v>СЗ,КЗ,206,210,403,404,406,АЗ</v>
      </c>
      <c r="AC41" s="14"/>
      <c r="AD41" s="14"/>
      <c r="AE41" s="14"/>
      <c r="AF41" s="29"/>
      <c r="AG41" s="29"/>
      <c r="AH41" s="29"/>
    </row>
    <row r="42" ht="52.5" hidden="1" customHeight="1">
      <c r="A42" s="30"/>
      <c r="B42" s="31">
        <v>8.0</v>
      </c>
      <c r="C42" s="32" t="s">
        <v>98</v>
      </c>
      <c r="D42" s="32" t="s">
        <v>99</v>
      </c>
      <c r="E42" s="45" t="s">
        <v>7794</v>
      </c>
      <c r="F42" s="13"/>
      <c r="G42" s="44" t="s">
        <v>7795</v>
      </c>
      <c r="H42" s="45" t="s">
        <v>379</v>
      </c>
      <c r="I42" s="13"/>
      <c r="J42" s="44" t="s">
        <v>7796</v>
      </c>
      <c r="K42" s="44" t="s">
        <v>7797</v>
      </c>
      <c r="L42" s="45" t="s">
        <v>7798</v>
      </c>
      <c r="M42" s="13"/>
      <c r="N42" s="87" t="s">
        <v>7799</v>
      </c>
      <c r="O42" s="13"/>
      <c r="P42" s="45" t="s">
        <v>7800</v>
      </c>
      <c r="Q42" s="13"/>
      <c r="R42" s="166"/>
      <c r="S42" s="13"/>
      <c r="T42" s="165" t="s">
        <v>7801</v>
      </c>
      <c r="U42" s="36"/>
      <c r="V42" s="41"/>
      <c r="W42" s="26"/>
      <c r="X42" s="42" t="s">
        <v>98</v>
      </c>
      <c r="Y42" s="42" t="s">
        <v>99</v>
      </c>
      <c r="Z42" s="11"/>
      <c r="AA42" s="14"/>
      <c r="AB42" s="15" t="str">
        <f>IFERROR(__xludf.DUMMYFUNCTION("join("","",filter(split($H$83,"",""),ARRAYFORMULA(ISERROR(FIND(split($H$83,"",""),CONCATENATE(E42:V42))))=TRUE))"),"СЗ,КЗ,206,210,403,404,405,406,АЗ")</f>
        <v>СЗ,КЗ,206,210,403,404,405,406,АЗ</v>
      </c>
      <c r="AC42" s="14"/>
      <c r="AD42" s="14"/>
      <c r="AE42" s="14"/>
      <c r="AF42" s="29"/>
      <c r="AG42" s="29"/>
      <c r="AH42" s="29"/>
    </row>
    <row r="43" ht="40.5" hidden="1" customHeight="1">
      <c r="A43" s="30"/>
      <c r="B43" s="31">
        <v>9.0</v>
      </c>
      <c r="C43" s="65">
        <v>44697.0</v>
      </c>
      <c r="D43" s="44" t="s">
        <v>109</v>
      </c>
      <c r="E43" s="167" t="s">
        <v>7802</v>
      </c>
      <c r="F43" s="4"/>
      <c r="G43" s="168"/>
      <c r="H43" s="169" t="s">
        <v>7803</v>
      </c>
      <c r="I43" s="36"/>
      <c r="J43" s="13"/>
      <c r="K43" s="170"/>
      <c r="L43" s="4"/>
      <c r="M43" s="171"/>
      <c r="N43" s="45" t="s">
        <v>7804</v>
      </c>
      <c r="O43" s="13"/>
      <c r="P43" s="33" t="s">
        <v>7805</v>
      </c>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IFERROR(__xludf.DUMMYFUNCTION("join("","",filter(split($H$83,"",""),ARRAYFORMULA(ISERROR(FIND(split($H$83,"",""),CONCATENATE(E43:V43))))=TRUE))"),"КЗ,202,206,209,401,403,404,405,406,408,409,АЗ")</f>
        <v>КЗ,202,206,209,401,403,404,405,406,408,409,АЗ</v>
      </c>
      <c r="AC43" s="14"/>
      <c r="AD43" s="14"/>
      <c r="AE43" s="14"/>
      <c r="AF43" s="29"/>
      <c r="AG43" s="29"/>
      <c r="AH43" s="29"/>
    </row>
    <row r="44" ht="40.5" hidden="1" customHeight="1">
      <c r="A44" s="30"/>
      <c r="B44" s="31">
        <v>10.0</v>
      </c>
      <c r="C44" s="44" t="s">
        <v>120</v>
      </c>
      <c r="D44" s="44" t="s">
        <v>121</v>
      </c>
      <c r="E44" s="104"/>
      <c r="F44" s="72"/>
      <c r="G44" s="173"/>
      <c r="H44" s="169" t="s">
        <v>7806</v>
      </c>
      <c r="I44" s="36"/>
      <c r="J44" s="13"/>
      <c r="K44" s="104"/>
      <c r="L44" s="72"/>
      <c r="M44" s="171"/>
      <c r="N44" s="45" t="s">
        <v>7807</v>
      </c>
      <c r="O44" s="13"/>
      <c r="P44" s="33" t="s">
        <v>7808</v>
      </c>
      <c r="Q44" s="104"/>
      <c r="R44" s="64"/>
      <c r="S44" s="64"/>
      <c r="T44" s="64"/>
      <c r="U44" s="64"/>
      <c r="V44" s="88"/>
      <c r="W44" s="26"/>
      <c r="X44" s="70" t="s">
        <v>120</v>
      </c>
      <c r="Y44" s="70" t="s">
        <v>121</v>
      </c>
      <c r="Z44" s="28"/>
      <c r="AA44" s="14"/>
      <c r="AB44" s="15" t="str">
        <f>IFERROR(__xludf.DUMMYFUNCTION("join("","",filter(split($H$83,"",""),ARRAYFORMULA(ISERROR(FIND(split($H$83,"",""),CONCATENATE(E44:V44))))=TRUE))"),"КЗ,201,202,206,209,401,403,404,405,406,408,409,410,АЗ")</f>
        <v>КЗ,201,202,206,209,401,403,404,405,406,408,409,410,АЗ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18">
        <v>44960.0</v>
      </c>
      <c r="B46" s="19">
        <v>1.0</v>
      </c>
      <c r="C46" s="20" t="s">
        <v>12</v>
      </c>
      <c r="D46" s="20" t="s">
        <v>13</v>
      </c>
      <c r="E46" s="156" t="s">
        <v>7809</v>
      </c>
      <c r="F46" s="156" t="s">
        <v>7810</v>
      </c>
      <c r="G46" s="80" t="s">
        <v>7811</v>
      </c>
      <c r="H46" s="25"/>
      <c r="I46" s="174" t="s">
        <v>7812</v>
      </c>
      <c r="J46" s="175" t="s">
        <v>7813</v>
      </c>
      <c r="K46" s="25"/>
      <c r="L46" s="80" t="s">
        <v>7814</v>
      </c>
      <c r="M46" s="25"/>
      <c r="N46" s="80" t="s">
        <v>7815</v>
      </c>
      <c r="O46" s="25"/>
      <c r="P46" s="80" t="s">
        <v>7816</v>
      </c>
      <c r="Q46" s="25"/>
      <c r="R46" s="80" t="s">
        <v>7817</v>
      </c>
      <c r="S46" s="25"/>
      <c r="T46" s="80" t="s">
        <v>7818</v>
      </c>
      <c r="U46" s="24"/>
      <c r="V46" s="22"/>
      <c r="W46" s="26"/>
      <c r="X46" s="27" t="s">
        <v>12</v>
      </c>
      <c r="Y46" s="27" t="s">
        <v>13</v>
      </c>
      <c r="Z46" s="28"/>
      <c r="AA46" s="14"/>
      <c r="AB46" s="15" t="str">
        <f>IFERROR(__xludf.DUMMYFUNCTION("join("","",filter(split($H$83,"",""),ARRAYFORMULA(ISERROR(FIND(split($H$83,"",""),CONCATENATE(E46:V46))))=TRUE))"),"СЗ,КЗ,206,402,404,408,409,410")</f>
        <v>СЗ,КЗ,206,402,404,408,409,410</v>
      </c>
      <c r="AC46" s="14"/>
      <c r="AD46" s="14"/>
      <c r="AE46" s="14"/>
      <c r="AF46" s="29"/>
      <c r="AG46" s="29"/>
      <c r="AH46" s="29"/>
    </row>
    <row r="47" ht="40.5" customHeight="1">
      <c r="A47" s="30"/>
      <c r="B47" s="31">
        <v>2.0</v>
      </c>
      <c r="C47" s="32" t="s">
        <v>21</v>
      </c>
      <c r="D47" s="32" t="s">
        <v>22</v>
      </c>
      <c r="E47" s="44" t="s">
        <v>7819</v>
      </c>
      <c r="F47" s="44" t="s">
        <v>7820</v>
      </c>
      <c r="G47" s="45" t="s">
        <v>7821</v>
      </c>
      <c r="H47" s="13"/>
      <c r="I47" s="173"/>
      <c r="J47" s="157" t="s">
        <v>7822</v>
      </c>
      <c r="K47" s="13"/>
      <c r="L47" s="80" t="s">
        <v>7823</v>
      </c>
      <c r="M47" s="25"/>
      <c r="N47" s="80" t="s">
        <v>7824</v>
      </c>
      <c r="O47" s="25"/>
      <c r="P47" s="45" t="s">
        <v>7825</v>
      </c>
      <c r="Q47" s="13"/>
      <c r="R47" s="44" t="s">
        <v>7826</v>
      </c>
      <c r="S47" s="90" t="s">
        <v>7827</v>
      </c>
      <c r="T47" s="45" t="s">
        <v>7828</v>
      </c>
      <c r="U47" s="36"/>
      <c r="V47" s="41"/>
      <c r="W47" s="26"/>
      <c r="X47" s="42" t="s">
        <v>21</v>
      </c>
      <c r="Y47" s="42" t="s">
        <v>22</v>
      </c>
      <c r="Z47" s="28"/>
      <c r="AA47" s="14"/>
      <c r="AB47" s="15" t="str">
        <f>IFERROR(__xludf.DUMMYFUNCTION("join("","",filter(split($H$83,"",""),ARRAYFORMULA(ISERROR(FIND(split($H$83,"",""),CONCATENATE(E47:V47))))=TRUE))"),"СЗ,КЗ,206,404,408,409,410,АЗ")</f>
        <v>СЗ,КЗ,206,404,408,409,410,АЗ</v>
      </c>
      <c r="AC47" s="14"/>
      <c r="AD47" s="14"/>
      <c r="AE47" s="14"/>
      <c r="AF47" s="29"/>
      <c r="AG47" s="29"/>
      <c r="AH47" s="29"/>
    </row>
    <row r="48" ht="40.5" customHeight="1">
      <c r="A48" s="30"/>
      <c r="B48" s="31">
        <v>3.0</v>
      </c>
      <c r="C48" s="32" t="s">
        <v>33</v>
      </c>
      <c r="D48" s="32" t="s">
        <v>34</v>
      </c>
      <c r="E48" s="40" t="s">
        <v>7829</v>
      </c>
      <c r="F48" s="13"/>
      <c r="G48" s="176" t="s">
        <v>7830</v>
      </c>
      <c r="H48" s="4"/>
      <c r="I48" s="90" t="s">
        <v>7831</v>
      </c>
      <c r="J48" s="44" t="s">
        <v>7832</v>
      </c>
      <c r="K48" s="44" t="s">
        <v>7833</v>
      </c>
      <c r="L48" s="80" t="s">
        <v>7834</v>
      </c>
      <c r="M48" s="25"/>
      <c r="N48" s="164" t="s">
        <v>7835</v>
      </c>
      <c r="O48" s="36"/>
      <c r="P48" s="36"/>
      <c r="Q48" s="13"/>
      <c r="R48" s="44" t="s">
        <v>7836</v>
      </c>
      <c r="S48" s="90" t="s">
        <v>7837</v>
      </c>
      <c r="T48" s="45" t="s">
        <v>7838</v>
      </c>
      <c r="U48" s="36"/>
      <c r="V48" s="41"/>
      <c r="W48" s="26"/>
      <c r="X48" s="42" t="s">
        <v>33</v>
      </c>
      <c r="Y48" s="42" t="s">
        <v>34</v>
      </c>
      <c r="Z48" s="48" t="s">
        <v>47</v>
      </c>
      <c r="AA48" s="85" t="str">
        <f>AA$5</f>
        <v/>
      </c>
      <c r="AB48" s="15" t="str">
        <f>IFERROR(__xludf.DUMMYFUNCTION("join("","",filter(split($H$83,"",""),ARRAYFORMULA(ISERROR(FIND(split($H$83,"",""),CONCATENATE(E48:V48))))=TRUE))"),"СЗ,КЗ,206,209,404,409,410")</f>
        <v>СЗ,КЗ,206,209,404,409,410</v>
      </c>
      <c r="AC48" s="14"/>
      <c r="AD48" s="14"/>
      <c r="AE48" s="14"/>
      <c r="AF48" s="29"/>
      <c r="AG48" s="29"/>
      <c r="AH48" s="29"/>
    </row>
    <row r="49" ht="40.5" customHeight="1">
      <c r="A49" s="30"/>
      <c r="B49" s="31">
        <v>4.0</v>
      </c>
      <c r="C49" s="32" t="s">
        <v>48</v>
      </c>
      <c r="D49" s="32" t="s">
        <v>49</v>
      </c>
      <c r="E49" s="40" t="s">
        <v>7839</v>
      </c>
      <c r="F49" s="13"/>
      <c r="G49" s="104"/>
      <c r="H49" s="72"/>
      <c r="I49" s="90" t="s">
        <v>7840</v>
      </c>
      <c r="J49" s="44" t="s">
        <v>7841</v>
      </c>
      <c r="K49" s="44" t="s">
        <v>7842</v>
      </c>
      <c r="L49" s="80" t="s">
        <v>7843</v>
      </c>
      <c r="M49" s="25"/>
      <c r="N49" s="164" t="s">
        <v>7844</v>
      </c>
      <c r="O49" s="36"/>
      <c r="P49" s="36"/>
      <c r="Q49" s="13"/>
      <c r="R49" s="90" t="s">
        <v>7845</v>
      </c>
      <c r="S49" s="133" t="s">
        <v>7846</v>
      </c>
      <c r="T49" s="625" t="s">
        <v>7847</v>
      </c>
      <c r="U49" s="8"/>
      <c r="V49" s="129"/>
      <c r="W49" s="26"/>
      <c r="X49" s="42" t="s">
        <v>48</v>
      </c>
      <c r="Y49" s="42" t="s">
        <v>49</v>
      </c>
      <c r="Z49" s="48" t="s">
        <v>57</v>
      </c>
      <c r="AA49" s="85" t="str">
        <f>AA$6</f>
        <v/>
      </c>
      <c r="AB49" s="15" t="str">
        <f>IFERROR(__xludf.DUMMYFUNCTION("join("","",filter(split($H$83,"",""),ARRAYFORMULA(ISERROR(FIND(split($H$83,"",""),CONCATENATE(E49:V49))))=TRUE))"),"СЗ,КЗ,201,206,209,402,404,410,АЗ")</f>
        <v>СЗ,КЗ,201,206,209,402,404,410,АЗ</v>
      </c>
      <c r="AC49" s="14"/>
      <c r="AD49" s="14"/>
      <c r="AE49" s="14"/>
      <c r="AF49" s="29"/>
      <c r="AG49" s="29"/>
      <c r="AH49" s="29"/>
    </row>
    <row r="50" ht="40.5" customHeight="1">
      <c r="A50" s="30"/>
      <c r="B50" s="31">
        <v>5.0</v>
      </c>
      <c r="C50" s="32" t="s">
        <v>58</v>
      </c>
      <c r="D50" s="53">
        <v>44847.0</v>
      </c>
      <c r="E50" s="45" t="s">
        <v>7848</v>
      </c>
      <c r="F50" s="13"/>
      <c r="G50" s="44" t="s">
        <v>7849</v>
      </c>
      <c r="H50" s="44" t="s">
        <v>7850</v>
      </c>
      <c r="I50" s="44" t="s">
        <v>7851</v>
      </c>
      <c r="J50" s="45" t="s">
        <v>7852</v>
      </c>
      <c r="K50" s="13"/>
      <c r="L50" s="45" t="s">
        <v>7853</v>
      </c>
      <c r="M50" s="13"/>
      <c r="N50" s="177" t="s">
        <v>7854</v>
      </c>
      <c r="O50" s="124" t="s">
        <v>7855</v>
      </c>
      <c r="P50" s="45" t="s">
        <v>7856</v>
      </c>
      <c r="Q50" s="13"/>
      <c r="R50" s="90" t="s">
        <v>7857</v>
      </c>
      <c r="S50" s="133" t="s">
        <v>7858</v>
      </c>
      <c r="T50" s="224"/>
      <c r="V50" s="134"/>
      <c r="W50" s="26"/>
      <c r="X50" s="42" t="s">
        <v>58</v>
      </c>
      <c r="Y50" s="54">
        <v>44847.0</v>
      </c>
      <c r="Z50" s="48" t="s">
        <v>70</v>
      </c>
      <c r="AA50" s="85" t="str">
        <f>AA$7</f>
        <v/>
      </c>
      <c r="AB50" s="15" t="str">
        <f>IFERROR(__xludf.DUMMYFUNCTION("join("","",filter(split($H$83,"",""),ARRAYFORMULA(ISERROR(FIND(split($H$83,"",""),CONCATENATE(E50:V50))))=TRUE))"),"СЗ,КЗ,206,401,402,404,408,410")</f>
        <v>СЗ,КЗ,206,401,402,404,408,410</v>
      </c>
      <c r="AC50" s="14"/>
      <c r="AD50" s="14"/>
      <c r="AE50" s="14"/>
      <c r="AF50" s="29"/>
      <c r="AG50" s="29"/>
      <c r="AH50" s="29"/>
    </row>
    <row r="51" ht="48.75" customHeight="1">
      <c r="A51" s="30"/>
      <c r="B51" s="31">
        <v>6.0</v>
      </c>
      <c r="C51" s="55" t="s">
        <v>71</v>
      </c>
      <c r="D51" s="56" t="s">
        <v>72</v>
      </c>
      <c r="E51" s="45" t="s">
        <v>7859</v>
      </c>
      <c r="F51" s="13"/>
      <c r="G51" s="44" t="s">
        <v>7860</v>
      </c>
      <c r="H51" s="44" t="s">
        <v>7861</v>
      </c>
      <c r="I51" s="44" t="s">
        <v>7862</v>
      </c>
      <c r="J51" s="45" t="s">
        <v>7863</v>
      </c>
      <c r="K51" s="13"/>
      <c r="L51" s="45" t="s">
        <v>7864</v>
      </c>
      <c r="M51" s="13"/>
      <c r="N51" s="177" t="s">
        <v>7865</v>
      </c>
      <c r="O51" s="124" t="s">
        <v>7866</v>
      </c>
      <c r="P51" s="45" t="s">
        <v>7867</v>
      </c>
      <c r="Q51" s="13"/>
      <c r="R51" s="162" t="s">
        <v>7868</v>
      </c>
      <c r="S51" s="178" t="s">
        <v>7869</v>
      </c>
      <c r="T51" s="224"/>
      <c r="V51" s="134"/>
      <c r="W51" s="179"/>
      <c r="X51" s="58" t="s">
        <v>71</v>
      </c>
      <c r="Y51" s="59" t="s">
        <v>72</v>
      </c>
      <c r="Z51" s="48" t="s">
        <v>84</v>
      </c>
      <c r="AA51" s="85"/>
      <c r="AB51" s="15" t="str">
        <f>IFERROR(__xludf.DUMMYFUNCTION("join("","",filter(split($H$83,"",""),ARRAYFORMULA(ISERROR(FIND(split($H$83,"",""),CONCATENATE(E51:V51))))=TRUE))"),"СЗ,КЗ,206,402,404,409,410")</f>
        <v>СЗ,КЗ,206,402,404,409,410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7870</v>
      </c>
      <c r="F52" s="13"/>
      <c r="G52" s="44" t="s">
        <v>7871</v>
      </c>
      <c r="H52" s="44" t="s">
        <v>7872</v>
      </c>
      <c r="I52" s="44" t="s">
        <v>7873</v>
      </c>
      <c r="J52" s="45" t="s">
        <v>7874</v>
      </c>
      <c r="K52" s="13"/>
      <c r="L52" s="45" t="s">
        <v>7875</v>
      </c>
      <c r="M52" s="13"/>
      <c r="N52" s="86" t="s">
        <v>7876</v>
      </c>
      <c r="O52" s="13"/>
      <c r="P52" s="124" t="s">
        <v>7877</v>
      </c>
      <c r="Q52" s="90" t="s">
        <v>7878</v>
      </c>
      <c r="R52" s="180" t="s">
        <v>7879</v>
      </c>
      <c r="S52" s="181" t="s">
        <v>7880</v>
      </c>
      <c r="T52" s="224"/>
      <c r="V52" s="134"/>
      <c r="W52" s="26"/>
      <c r="X52" s="42" t="s">
        <v>85</v>
      </c>
      <c r="Y52" s="42" t="s">
        <v>86</v>
      </c>
      <c r="Z52" s="48" t="s">
        <v>97</v>
      </c>
      <c r="AA52" s="85" t="str">
        <f>AA$9</f>
        <v/>
      </c>
      <c r="AB52" s="15" t="str">
        <f>IFERROR(__xludf.DUMMYFUNCTION("join("","",filter(split($H$83,"",""),ARRAYFORMULA(ISERROR(FIND(split($H$83,"",""),CONCATENATE(E52:V52))))=TRUE))"),"СЗ,206,402,404,406,410")</f>
        <v>СЗ,206,402,404,406,410</v>
      </c>
      <c r="AC52" s="14"/>
      <c r="AD52" s="14"/>
      <c r="AE52" s="14"/>
      <c r="AF52" s="29"/>
      <c r="AG52" s="29"/>
      <c r="AH52" s="29"/>
    </row>
    <row r="53" ht="51.75" customHeight="1">
      <c r="A53" s="30"/>
      <c r="B53" s="31">
        <v>8.0</v>
      </c>
      <c r="C53" s="32" t="s">
        <v>98</v>
      </c>
      <c r="D53" s="32" t="s">
        <v>99</v>
      </c>
      <c r="E53" s="44" t="s">
        <v>7881</v>
      </c>
      <c r="F53" s="44" t="s">
        <v>7882</v>
      </c>
      <c r="G53" s="416" t="s">
        <v>1913</v>
      </c>
      <c r="H53" s="86" t="s">
        <v>7883</v>
      </c>
      <c r="I53" s="13"/>
      <c r="J53" s="45" t="s">
        <v>7884</v>
      </c>
      <c r="K53" s="13"/>
      <c r="L53" s="45" t="s">
        <v>7885</v>
      </c>
      <c r="M53" s="13"/>
      <c r="N53" s="182"/>
      <c r="O53" s="177" t="s">
        <v>7886</v>
      </c>
      <c r="P53" s="124" t="s">
        <v>7887</v>
      </c>
      <c r="Q53" s="90" t="s">
        <v>161</v>
      </c>
      <c r="R53" s="183"/>
      <c r="S53" s="181" t="s">
        <v>7888</v>
      </c>
      <c r="T53" s="104"/>
      <c r="U53" s="64"/>
      <c r="V53" s="88"/>
      <c r="W53" s="26"/>
      <c r="X53" s="42" t="s">
        <v>98</v>
      </c>
      <c r="Y53" s="42" t="s">
        <v>99</v>
      </c>
      <c r="Z53" s="11"/>
      <c r="AA53" s="14"/>
      <c r="AB53" s="15" t="str">
        <f>IFERROR(__xludf.DUMMYFUNCTION("join("","",filter(split($H$83,"",""),ARRAYFORMULA(ISERROR(FIND(split($H$83,"",""),CONCATENATE(E53:V53))))=TRUE))"),"СЗ,201,206,401,402,404,405,408,410")</f>
        <v>СЗ,201,206,401,402,404,405,408,410</v>
      </c>
      <c r="AC53" s="14"/>
      <c r="AD53" s="14"/>
      <c r="AE53" s="14"/>
      <c r="AF53" s="29"/>
      <c r="AG53" s="29"/>
      <c r="AH53" s="29"/>
    </row>
    <row r="54" ht="71.25" customHeight="1">
      <c r="A54" s="30"/>
      <c r="B54" s="31">
        <v>9.0</v>
      </c>
      <c r="C54" s="65">
        <v>44697.0</v>
      </c>
      <c r="D54" s="44" t="s">
        <v>109</v>
      </c>
      <c r="E54" s="187" t="s">
        <v>6217</v>
      </c>
      <c r="F54" s="8"/>
      <c r="G54" s="8"/>
      <c r="H54" s="8"/>
      <c r="I54" s="8"/>
      <c r="J54" s="8"/>
      <c r="K54" s="8"/>
      <c r="L54" s="8"/>
      <c r="M54" s="8"/>
      <c r="N54" s="163"/>
      <c r="O54" s="177" t="s">
        <v>7494</v>
      </c>
      <c r="P54" s="187" t="s">
        <v>6217</v>
      </c>
      <c r="Q54" s="8"/>
      <c r="R54" s="8"/>
      <c r="S54" s="8"/>
      <c r="T54" s="8"/>
      <c r="U54" s="8"/>
      <c r="V54" s="8"/>
      <c r="W54" s="186"/>
      <c r="X54" s="69">
        <v>44697.0</v>
      </c>
      <c r="Y54" s="70" t="s">
        <v>109</v>
      </c>
      <c r="Z54" s="28"/>
      <c r="AA54" s="14"/>
      <c r="AB54" s="15" t="str">
        <f>IFERROR(__xludf.DUMMYFUNCTION("join("","",filter(split($H$83,"",""),ARRAYFORMULA(ISERROR(FIND(split($H$83,"",""),CONCATENATE(E54:V54))))=TRUE))"),"206,209,401,403,404,405,408,410,АЗ")</f>
        <v>206,209,401,403,404,405,408,410,АЗ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18">
        <v>44961.0</v>
      </c>
      <c r="B57" s="191">
        <v>1.0</v>
      </c>
      <c r="C57" s="192" t="str">
        <f>D$1</f>
        <v/>
      </c>
      <c r="D57" s="72"/>
      <c r="E57" s="193"/>
      <c r="F57" s="193"/>
      <c r="G57" s="194" t="s">
        <v>481</v>
      </c>
      <c r="H57" s="64"/>
      <c r="I57" s="72"/>
      <c r="J57" s="195"/>
      <c r="K57" s="64"/>
      <c r="L57" s="64"/>
      <c r="M57" s="72"/>
      <c r="N57" s="193"/>
      <c r="O57" s="193"/>
      <c r="P57" s="187" t="s">
        <v>7889</v>
      </c>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45" t="s">
        <v>7890</v>
      </c>
      <c r="H58" s="36"/>
      <c r="I58" s="13"/>
      <c r="J58" s="15"/>
      <c r="K58" s="15"/>
      <c r="L58" s="15"/>
      <c r="M58" s="15"/>
      <c r="N58" s="15"/>
      <c r="O58" s="15"/>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45" t="s">
        <v>7891</v>
      </c>
      <c r="F59" s="13"/>
      <c r="G59" s="44"/>
      <c r="H59" s="15"/>
      <c r="I59" s="15"/>
      <c r="J59" s="44"/>
      <c r="K59" s="44"/>
      <c r="L59" s="44"/>
      <c r="M59" s="44"/>
      <c r="N59" s="15"/>
      <c r="O59" s="15"/>
      <c r="P59" s="199"/>
      <c r="Q59" s="199"/>
      <c r="R59" s="626" t="s">
        <v>7892</v>
      </c>
      <c r="S59" s="13"/>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306">
    <mergeCell ref="E10:F10"/>
    <mergeCell ref="H10:I10"/>
    <mergeCell ref="E13:F13"/>
    <mergeCell ref="H13:I13"/>
    <mergeCell ref="E14:F14"/>
    <mergeCell ref="H14:I14"/>
    <mergeCell ref="E21:F22"/>
    <mergeCell ref="E24:F24"/>
    <mergeCell ref="H24:I24"/>
    <mergeCell ref="E25:F25"/>
    <mergeCell ref="H25:I25"/>
    <mergeCell ref="E26:F26"/>
    <mergeCell ref="G26:I26"/>
    <mergeCell ref="G27:H27"/>
    <mergeCell ref="E42:F42"/>
    <mergeCell ref="E43:F44"/>
    <mergeCell ref="G43:G44"/>
    <mergeCell ref="E39:F39"/>
    <mergeCell ref="H39:I39"/>
    <mergeCell ref="E40:F40"/>
    <mergeCell ref="H40:I40"/>
    <mergeCell ref="E41:F41"/>
    <mergeCell ref="H41:I41"/>
    <mergeCell ref="H42:I42"/>
    <mergeCell ref="E51:F51"/>
    <mergeCell ref="E52:F52"/>
    <mergeCell ref="G46:H46"/>
    <mergeCell ref="I46:I47"/>
    <mergeCell ref="G47:H47"/>
    <mergeCell ref="E48:F48"/>
    <mergeCell ref="G48:H49"/>
    <mergeCell ref="E49:F49"/>
    <mergeCell ref="E50:F50"/>
    <mergeCell ref="E16:F16"/>
    <mergeCell ref="G16:I16"/>
    <mergeCell ref="E17:F17"/>
    <mergeCell ref="H17:I17"/>
    <mergeCell ref="E18:F18"/>
    <mergeCell ref="H18:I18"/>
    <mergeCell ref="E19:F19"/>
    <mergeCell ref="H19:I19"/>
    <mergeCell ref="E20:F20"/>
    <mergeCell ref="H20:I20"/>
    <mergeCell ref="A13:A23"/>
    <mergeCell ref="A24:A34"/>
    <mergeCell ref="A35:A45"/>
    <mergeCell ref="A46:A56"/>
    <mergeCell ref="A57:A67"/>
    <mergeCell ref="H53:I53"/>
    <mergeCell ref="C57:D57"/>
    <mergeCell ref="G57:I57"/>
    <mergeCell ref="G58:I58"/>
    <mergeCell ref="E59:F59"/>
    <mergeCell ref="G28:H28"/>
    <mergeCell ref="G29:H29"/>
    <mergeCell ref="G30:H30"/>
    <mergeCell ref="E31:F31"/>
    <mergeCell ref="G31:I32"/>
    <mergeCell ref="E32:F32"/>
    <mergeCell ref="E33:F33"/>
    <mergeCell ref="J36:K36"/>
    <mergeCell ref="N36:O36"/>
    <mergeCell ref="P36:Q36"/>
    <mergeCell ref="T36:V36"/>
    <mergeCell ref="J37:K37"/>
    <mergeCell ref="R37:S37"/>
    <mergeCell ref="T37:V37"/>
    <mergeCell ref="N37:Q37"/>
    <mergeCell ref="N38:Q38"/>
    <mergeCell ref="R38:S38"/>
    <mergeCell ref="T38:V38"/>
    <mergeCell ref="N39:O39"/>
    <mergeCell ref="P39:Q39"/>
    <mergeCell ref="T39:V39"/>
    <mergeCell ref="L41:M41"/>
    <mergeCell ref="L42:M42"/>
    <mergeCell ref="P42:Q42"/>
    <mergeCell ref="R42:S42"/>
    <mergeCell ref="T42:V42"/>
    <mergeCell ref="K43:L44"/>
    <mergeCell ref="Q43:V44"/>
    <mergeCell ref="N44:O44"/>
    <mergeCell ref="N42:O42"/>
    <mergeCell ref="N43:O43"/>
    <mergeCell ref="L46:M46"/>
    <mergeCell ref="N46:O46"/>
    <mergeCell ref="P46:Q46"/>
    <mergeCell ref="R46:S46"/>
    <mergeCell ref="T46:V46"/>
    <mergeCell ref="T47:V47"/>
    <mergeCell ref="T48:V48"/>
    <mergeCell ref="T49:V53"/>
    <mergeCell ref="J46:K46"/>
    <mergeCell ref="J47:K47"/>
    <mergeCell ref="L47:M47"/>
    <mergeCell ref="N47:O47"/>
    <mergeCell ref="P47:Q47"/>
    <mergeCell ref="L48:M48"/>
    <mergeCell ref="N48:Q48"/>
    <mergeCell ref="L49:M49"/>
    <mergeCell ref="N49:Q49"/>
    <mergeCell ref="J50:K50"/>
    <mergeCell ref="L50:M50"/>
    <mergeCell ref="P50:Q50"/>
    <mergeCell ref="L51:M51"/>
    <mergeCell ref="P51:Q51"/>
    <mergeCell ref="E54:M55"/>
    <mergeCell ref="J57:M57"/>
    <mergeCell ref="K66:L66"/>
    <mergeCell ref="K67:L67"/>
    <mergeCell ref="K68:L68"/>
    <mergeCell ref="P57:S58"/>
    <mergeCell ref="X57:Y57"/>
    <mergeCell ref="R59:S59"/>
    <mergeCell ref="J51:K51"/>
    <mergeCell ref="J52:K52"/>
    <mergeCell ref="L52:M52"/>
    <mergeCell ref="N52:O52"/>
    <mergeCell ref="J53:K53"/>
    <mergeCell ref="L53:M53"/>
    <mergeCell ref="P54:V55"/>
    <mergeCell ref="R26:S26"/>
    <mergeCell ref="T26:V26"/>
    <mergeCell ref="T28:V32"/>
    <mergeCell ref="R29:R30"/>
    <mergeCell ref="J25:K25"/>
    <mergeCell ref="L25:M25"/>
    <mergeCell ref="N25:O25"/>
    <mergeCell ref="P25:Q25"/>
    <mergeCell ref="R25:S25"/>
    <mergeCell ref="T25:V25"/>
    <mergeCell ref="J26:K26"/>
    <mergeCell ref="J27:K27"/>
    <mergeCell ref="L27:M27"/>
    <mergeCell ref="N27:O27"/>
    <mergeCell ref="P27:Q27"/>
    <mergeCell ref="T27:V27"/>
    <mergeCell ref="L28:M28"/>
    <mergeCell ref="N28:O28"/>
    <mergeCell ref="J28:K28"/>
    <mergeCell ref="J29:K29"/>
    <mergeCell ref="L29:M29"/>
    <mergeCell ref="N29:O29"/>
    <mergeCell ref="J30:K30"/>
    <mergeCell ref="L30:M30"/>
    <mergeCell ref="N30:O30"/>
    <mergeCell ref="N35:O35"/>
    <mergeCell ref="P35:Q35"/>
    <mergeCell ref="T35:V35"/>
    <mergeCell ref="J31:M31"/>
    <mergeCell ref="N31:O31"/>
    <mergeCell ref="P31:Q32"/>
    <mergeCell ref="J32:M32"/>
    <mergeCell ref="N32:O32"/>
    <mergeCell ref="G33:Q34"/>
    <mergeCell ref="J35:K35"/>
    <mergeCell ref="H43:J43"/>
    <mergeCell ref="H44:J44"/>
    <mergeCell ref="T1:V1"/>
    <mergeCell ref="X1:Y1"/>
    <mergeCell ref="E1:F1"/>
    <mergeCell ref="E2:F2"/>
    <mergeCell ref="G2:I2"/>
    <mergeCell ref="J2:M2"/>
    <mergeCell ref="N2:O2"/>
    <mergeCell ref="P2:Q2"/>
    <mergeCell ref="T2:V2"/>
    <mergeCell ref="J3:K3"/>
    <mergeCell ref="L3:M3"/>
    <mergeCell ref="H4:I4"/>
    <mergeCell ref="J4:K4"/>
    <mergeCell ref="T8:V8"/>
    <mergeCell ref="R9:V9"/>
    <mergeCell ref="S10:V10"/>
    <mergeCell ref="T11:V11"/>
    <mergeCell ref="T13:V13"/>
    <mergeCell ref="T14:V14"/>
    <mergeCell ref="T15:V15"/>
    <mergeCell ref="T16:V16"/>
    <mergeCell ref="N3:O3"/>
    <mergeCell ref="P3:Q3"/>
    <mergeCell ref="T3:V3"/>
    <mergeCell ref="T4:V4"/>
    <mergeCell ref="T5:V5"/>
    <mergeCell ref="T6:V6"/>
    <mergeCell ref="T7:V7"/>
    <mergeCell ref="G1:I1"/>
    <mergeCell ref="G3:I3"/>
    <mergeCell ref="L4:M4"/>
    <mergeCell ref="N4:O4"/>
    <mergeCell ref="P4:Q4"/>
    <mergeCell ref="H5:I5"/>
    <mergeCell ref="L5:M5"/>
    <mergeCell ref="N5:O5"/>
    <mergeCell ref="P5:Q5"/>
    <mergeCell ref="H7:I7"/>
    <mergeCell ref="J7:K7"/>
    <mergeCell ref="L7:M7"/>
    <mergeCell ref="N7:O7"/>
    <mergeCell ref="P7:Q7"/>
    <mergeCell ref="R7:S7"/>
    <mergeCell ref="E8:F9"/>
    <mergeCell ref="H8:I8"/>
    <mergeCell ref="C1:D1"/>
    <mergeCell ref="J1:M1"/>
    <mergeCell ref="N1:O1"/>
    <mergeCell ref="P1:Q1"/>
    <mergeCell ref="R1:S1"/>
    <mergeCell ref="A2:A12"/>
    <mergeCell ref="R2:S2"/>
    <mergeCell ref="J10:K10"/>
    <mergeCell ref="L10:M10"/>
    <mergeCell ref="J13:K13"/>
    <mergeCell ref="L13:M13"/>
    <mergeCell ref="N13:O13"/>
    <mergeCell ref="P13:Q13"/>
    <mergeCell ref="R13:S13"/>
    <mergeCell ref="R5:S5"/>
    <mergeCell ref="H6:I6"/>
    <mergeCell ref="L6:M6"/>
    <mergeCell ref="N6:O6"/>
    <mergeCell ref="P6:Q6"/>
    <mergeCell ref="R6:S6"/>
    <mergeCell ref="J8:K8"/>
    <mergeCell ref="L8:M8"/>
    <mergeCell ref="N8:O8"/>
    <mergeCell ref="P8:Q8"/>
    <mergeCell ref="R8:S8"/>
    <mergeCell ref="H9:I9"/>
    <mergeCell ref="J9:K9"/>
    <mergeCell ref="L9:M9"/>
    <mergeCell ref="N9:O9"/>
    <mergeCell ref="N10:O10"/>
    <mergeCell ref="E11:S11"/>
    <mergeCell ref="J14:K14"/>
    <mergeCell ref="L14:M14"/>
    <mergeCell ref="N14:O14"/>
    <mergeCell ref="P14:Q14"/>
    <mergeCell ref="R14:S14"/>
    <mergeCell ref="E15:F15"/>
    <mergeCell ref="G15:I15"/>
    <mergeCell ref="J15:K15"/>
    <mergeCell ref="L15:M15"/>
    <mergeCell ref="N15:O15"/>
    <mergeCell ref="P15:Q15"/>
    <mergeCell ref="R15:S15"/>
    <mergeCell ref="N17:O17"/>
    <mergeCell ref="P17:Q17"/>
    <mergeCell ref="T17:V17"/>
    <mergeCell ref="J16:K16"/>
    <mergeCell ref="L16:M16"/>
    <mergeCell ref="N16:O16"/>
    <mergeCell ref="P16:Q16"/>
    <mergeCell ref="R16:S16"/>
    <mergeCell ref="J17:K17"/>
    <mergeCell ref="L17:M17"/>
    <mergeCell ref="J18:K18"/>
    <mergeCell ref="L18:M18"/>
    <mergeCell ref="N18:O18"/>
    <mergeCell ref="P18:Q18"/>
    <mergeCell ref="T18:V18"/>
    <mergeCell ref="J19:K19"/>
    <mergeCell ref="L19:M19"/>
    <mergeCell ref="T19:V19"/>
    <mergeCell ref="N19:O19"/>
    <mergeCell ref="P19:Q19"/>
    <mergeCell ref="J20:K20"/>
    <mergeCell ref="L20:M20"/>
    <mergeCell ref="N20:O20"/>
    <mergeCell ref="P20:Q20"/>
    <mergeCell ref="T20:V20"/>
    <mergeCell ref="H21:M21"/>
    <mergeCell ref="N21:O21"/>
    <mergeCell ref="P21:Q21"/>
    <mergeCell ref="R21:S21"/>
    <mergeCell ref="T21:V21"/>
    <mergeCell ref="H22:M22"/>
    <mergeCell ref="N22:O22"/>
    <mergeCell ref="P22:S22"/>
    <mergeCell ref="T22:V22"/>
    <mergeCell ref="R23:V23"/>
    <mergeCell ref="J24:M24"/>
    <mergeCell ref="N24:O24"/>
    <mergeCell ref="P24:S24"/>
    <mergeCell ref="T24:V24"/>
    <mergeCell ref="L26:M26"/>
    <mergeCell ref="N26:O26"/>
    <mergeCell ref="H37:I37"/>
    <mergeCell ref="H38:I38"/>
    <mergeCell ref="J38:K38"/>
    <mergeCell ref="E34:F34"/>
    <mergeCell ref="E35:F35"/>
    <mergeCell ref="H35:I35"/>
    <mergeCell ref="E36:F36"/>
    <mergeCell ref="H36:I36"/>
    <mergeCell ref="E37:F37"/>
    <mergeCell ref="E38:F38"/>
    <mergeCell ref="P41:Q41"/>
    <mergeCell ref="R41:S41"/>
    <mergeCell ref="L39:M39"/>
    <mergeCell ref="L40:M40"/>
    <mergeCell ref="N40:O40"/>
    <mergeCell ref="P40:Q40"/>
    <mergeCell ref="T40:V40"/>
    <mergeCell ref="N41:O41"/>
    <mergeCell ref="T41:V41"/>
  </mergeCells>
  <conditionalFormatting sqref="E1:T86 U1:U31 V32:V34 U35:U86 V50:V52 W51">
    <cfRule type="containsText" dxfId="0" priority="1" operator="containsText" text="Физика">
      <formula>NOT(ISERROR(SEARCH(("Физика"),(E1))))</formula>
    </cfRule>
  </conditionalFormatting>
  <conditionalFormatting sqref="N52:O52 E54:W55">
    <cfRule type="containsText" dxfId="1" priority="2" operator="containsText" text="Шерашова">
      <formula>NOT(ISERROR(SEARCH(("Шерашова"),(N52))))</formula>
    </cfRule>
  </conditionalFormatting>
  <conditionalFormatting sqref="E2:N53 O2:O54 P2:T53 U2:U31 V32:V34 U35:U53 V50:V52 W51 P57 K61:L68">
    <cfRule type="containsText" dxfId="2" priority="3" operator="containsText" text="Шерашова">
      <formula>NOT(ISERROR(SEARCH(("Шерашова"),(E2))))</formula>
    </cfRule>
  </conditionalFormatting>
  <conditionalFormatting sqref="E2:N53 O2:O54 P2:T53 U2:U31 V32:V34 U35:U53 V50:V52 W51 P57 K61:L68">
    <cfRule type="containsText" dxfId="3" priority="4" operator="containsText" text="Англ">
      <formula>NOT(ISERROR(SEARCH(("Англ"),(E2))))</formula>
    </cfRule>
  </conditionalFormatting>
  <conditionalFormatting sqref="E2:N53 O2:O54 P2:T53 U2:U31 V32:V34 U35:U53 V50:V52 W51 P57 K61:L68">
    <cfRule type="containsText" dxfId="4" priority="5" operator="containsText" text="Театр">
      <formula>NOT(ISERROR(SEARCH(("Театр"),(E2))))</formula>
    </cfRule>
  </conditionalFormatting>
  <conditionalFormatting sqref="E2:N53 O2:O54 P2:T53 U2:U31 V32:V34 U35:U53 V50:V52 W51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8 S10:S32 T10:V45 R11:R46 F15:F17 F19:F20 E24:E53 F24:F30 F32:F45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E31:E34">
      <formula1>IF(COUNTA(filter($E31:$W31,ARRAYFORMULA(ISERROR(FIND(join(",",filter(split($H$82,","),ARRAYFORMULA(ISERROR(FIND(split($H$82,","),#REF!)))=FALSE)),$E31:$W31))=FALSE)))&gt;1,FALSE,TRUE)</formula1>
    </dataValidation>
    <dataValidation type="custom" allowBlank="1" showDropDown="1" sqref="N3:N4 P5:P6 J7:J8 L9:L10 H39:H4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
      <formula1>IF(COUNTA(filter($E7:$W7,ARRAYFORMULA(ISERROR(FIND(join(",",filter(split($H$83,","),ARRAYFORMULA(ISERROR(FIND(split($H$83,","),#REF!)))=FALSE)),$E7:$W7))=FALSE)))&gt;1,FALSE,TRUE)</formula1>
    </dataValidation>
    <dataValidation type="custom" allowBlank="1" showDropDown="1" sqref="P9:P10 R15:R16 P17:P18 N19:N20 N24 N29:N30 P35:P36 R37:R38 N39:N40 R41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T16 P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4:H24 G25 E26 F28 R27:S28 E29:E30 H35:H36 G37:G38 E48:E49 N52:N54">
      <formula1>IF(COUNTA(filter($E8:$W8,ARRAYFORMULA(ISERROR(FIND(join(",",filter(split($H$83,","),ARRAYFORMULA(ISERROR(FIND(split($H$83,","),E7)))=FALSE)),$E8:$W8))=FALSE)))&gt;1,FALSE,TRUE)</formula1>
    </dataValidation>
    <dataValidation type="custom" allowBlank="1" showDropDown="1" sqref="N2 R2 T2 G2:G3 J2:J3 L4 P2:P4 G5:H6 K5:L6 L7:L8 P7:P8 T5:T8 G7:G9 H10 J9:J10 N9:N10 Q9:Q10 S10 W2:W10 E12:W12 H13 E13:E14 L13:L14 E17:E18 G15:G18 S17:S18 H19:H20 J15:J20 L17:L20 G21 R19:R21 T21 G22:H22 G23:R23 J24 P25 R25 Q26 E27:F27 P27 E28 I27:I28 Q28 T28 F29:G30 P29:Q30 J31:J32 W13:W32 R33:R34 T33:W34 G35:G36 L35:M36 H37:H38 J37:J38 L37:N38 E37:E40 G39:G40 J39:K40 P39:P40 R39:S40 J41:L42 T41:T42 E43 G41:H43 K43 Q43 H44 M43:N44 W35:W44 E45:W45 I46 F46:G47 N46:N47 P46:P47 G48 L46:L49 L51 N50:O51 I50:I52 P52 G53:H53 E54 O53:P54 N55:O55 W46:W55 E56:W56 J57 N57:O57 E57:G58 J58:O58 E59 G59:O59 E60: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 P43:P44">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S29:S30 S32 R47:R48 T49 P57">
      <formula1>IF(COUNTA(filter($E25:$W25,ARRAYFORMULA(ISERROR(FIND(join(",",filter(split($H$83,","),ARRAYFORMULA(ISERROR(FIND(split($H$83,","),P26)))=FALSE)),$E25:$W25))=FALSE)))&gt;1,FALSE,TRUE)</formula1>
    </dataValidation>
    <dataValidation type="custom" allowBlank="1" showDropDown="1" sqref="P13:P1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63"/>
    <col customWidth="1" min="2" max="2" width="6.38"/>
    <col customWidth="1" min="3" max="3" width="9.5"/>
    <col customWidth="1" min="4" max="4" width="8.13"/>
    <col customWidth="1" min="13" max="13" width="19.38"/>
    <col customWidth="1" min="14" max="14" width="19.13"/>
  </cols>
  <sheetData>
    <row r="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idden="1">
      <c r="A2" s="627">
        <v>44963.0</v>
      </c>
      <c r="B2" s="19">
        <v>1.0</v>
      </c>
      <c r="C2" s="20" t="s">
        <v>12</v>
      </c>
      <c r="D2" s="20" t="s">
        <v>13</v>
      </c>
      <c r="E2" s="21" t="s">
        <v>7893</v>
      </c>
      <c r="F2" s="22"/>
      <c r="G2" s="23" t="s">
        <v>7894</v>
      </c>
      <c r="H2" s="24"/>
      <c r="I2" s="25"/>
      <c r="J2" s="21" t="s">
        <v>7895</v>
      </c>
      <c r="K2" s="24"/>
      <c r="L2" s="24"/>
      <c r="M2" s="25"/>
      <c r="N2" s="628" t="s">
        <v>7896</v>
      </c>
      <c r="O2" s="629" t="s">
        <v>7897</v>
      </c>
      <c r="P2" s="23" t="s">
        <v>7898</v>
      </c>
      <c r="Q2" s="25"/>
      <c r="R2" s="21" t="s">
        <v>7899</v>
      </c>
      <c r="S2" s="25"/>
      <c r="T2" s="21" t="s">
        <v>7900</v>
      </c>
      <c r="U2" s="24"/>
      <c r="V2" s="22"/>
      <c r="W2" s="26"/>
      <c r="X2" s="27" t="s">
        <v>12</v>
      </c>
      <c r="Y2" s="27" t="s">
        <v>13</v>
      </c>
      <c r="Z2" s="28"/>
      <c r="AA2" s="14"/>
      <c r="AB2" s="15"/>
      <c r="AC2" s="14"/>
      <c r="AD2" s="14"/>
      <c r="AE2" s="14"/>
      <c r="AF2" s="29"/>
      <c r="AG2" s="29"/>
      <c r="AH2" s="29"/>
    </row>
    <row r="3" hidden="1">
      <c r="A3" s="30"/>
      <c r="B3" s="31">
        <v>2.0</v>
      </c>
      <c r="C3" s="32" t="s">
        <v>21</v>
      </c>
      <c r="D3" s="32" t="s">
        <v>22</v>
      </c>
      <c r="E3" s="33" t="s">
        <v>7901</v>
      </c>
      <c r="F3" s="34" t="s">
        <v>7902</v>
      </c>
      <c r="G3" s="35" t="s">
        <v>25</v>
      </c>
      <c r="H3" s="36"/>
      <c r="I3" s="13"/>
      <c r="J3" s="37" t="s">
        <v>7903</v>
      </c>
      <c r="K3" s="13"/>
      <c r="L3" s="38" t="s">
        <v>7904</v>
      </c>
      <c r="M3" s="13"/>
      <c r="N3" s="37" t="s">
        <v>7905</v>
      </c>
      <c r="O3" s="13"/>
      <c r="P3" s="37" t="s">
        <v>7906</v>
      </c>
      <c r="Q3" s="13"/>
      <c r="R3" s="39" t="s">
        <v>7907</v>
      </c>
      <c r="S3" s="40" t="s">
        <v>7908</v>
      </c>
      <c r="T3" s="37" t="s">
        <v>32</v>
      </c>
      <c r="U3" s="36"/>
      <c r="V3" s="41"/>
      <c r="W3" s="26"/>
      <c r="X3" s="42" t="s">
        <v>21</v>
      </c>
      <c r="Y3" s="42" t="s">
        <v>22</v>
      </c>
      <c r="Z3" s="28"/>
      <c r="AA3" s="14"/>
      <c r="AB3" s="15" t="str">
        <f>IFERROR(__xludf.DUMMYFUNCTION("join("","",filter(split($H$83,"",""),ARRAYFORMULA(ISERROR(FIND(split($H$83,"",""),CONCATENATE(E3:V3))))=TRUE))"),"201,404,405,406,410,АЗ")</f>
        <v>201,404,405,406,410,АЗ</v>
      </c>
      <c r="AC3" s="14"/>
      <c r="AD3" s="14"/>
      <c r="AE3" s="14"/>
      <c r="AF3" s="29"/>
      <c r="AG3" s="29"/>
      <c r="AH3" s="29"/>
    </row>
    <row r="4" hidden="1">
      <c r="A4" s="30"/>
      <c r="B4" s="31">
        <v>3.0</v>
      </c>
      <c r="C4" s="32" t="s">
        <v>33</v>
      </c>
      <c r="D4" s="32" t="s">
        <v>34</v>
      </c>
      <c r="E4" s="33" t="s">
        <v>7909</v>
      </c>
      <c r="F4" s="126" t="s">
        <v>7910</v>
      </c>
      <c r="G4" s="43" t="s">
        <v>7911</v>
      </c>
      <c r="H4" s="44" t="s">
        <v>7912</v>
      </c>
      <c r="I4" s="45" t="s">
        <v>7913</v>
      </c>
      <c r="J4" s="46" t="s">
        <v>7914</v>
      </c>
      <c r="K4" s="13"/>
      <c r="L4" s="45" t="s">
        <v>7915</v>
      </c>
      <c r="M4" s="13"/>
      <c r="N4" s="37" t="s">
        <v>7916</v>
      </c>
      <c r="O4" s="13"/>
      <c r="P4" s="37" t="s">
        <v>7917</v>
      </c>
      <c r="Q4" s="13"/>
      <c r="R4" s="39" t="s">
        <v>7918</v>
      </c>
      <c r="S4" s="40" t="s">
        <v>7919</v>
      </c>
      <c r="T4" s="37" t="s">
        <v>32</v>
      </c>
      <c r="U4" s="36"/>
      <c r="V4" s="41"/>
      <c r="W4" s="26"/>
      <c r="X4" s="42" t="s">
        <v>33</v>
      </c>
      <c r="Y4" s="42" t="s">
        <v>34</v>
      </c>
      <c r="Z4" s="48" t="s">
        <v>47</v>
      </c>
      <c r="AA4" s="14"/>
      <c r="AB4" s="15" t="str">
        <f>IFERROR(__xludf.DUMMYFUNCTION("join("","",filter(split($H$83,"",""),ARRAYFORMULA(ISERROR(FIND(split($H$83,"",""),CONCATENATE(E4:V4))))=TRUE))"),"КЗ,201,404,406,АЗ")</f>
        <v>КЗ,201,404,406,АЗ</v>
      </c>
      <c r="AC4" s="14"/>
      <c r="AD4" s="14"/>
      <c r="AE4" s="14"/>
      <c r="AF4" s="29"/>
      <c r="AG4" s="29"/>
      <c r="AH4" s="29"/>
    </row>
    <row r="5" hidden="1">
      <c r="A5" s="30"/>
      <c r="B5" s="31">
        <v>4.0</v>
      </c>
      <c r="C5" s="32" t="s">
        <v>48</v>
      </c>
      <c r="D5" s="32" t="s">
        <v>49</v>
      </c>
      <c r="E5" s="33" t="s">
        <v>7920</v>
      </c>
      <c r="F5" s="126" t="s">
        <v>7921</v>
      </c>
      <c r="G5" s="43" t="s">
        <v>7922</v>
      </c>
      <c r="H5" s="45" t="s">
        <v>7923</v>
      </c>
      <c r="I5" s="13"/>
      <c r="J5" s="33" t="s">
        <v>7924</v>
      </c>
      <c r="K5" s="44" t="s">
        <v>7925</v>
      </c>
      <c r="L5" s="44" t="s">
        <v>7926</v>
      </c>
      <c r="M5" s="45" t="s">
        <v>7927</v>
      </c>
      <c r="N5" s="37" t="s">
        <v>7928</v>
      </c>
      <c r="O5" s="13"/>
      <c r="P5" s="37" t="s">
        <v>7929</v>
      </c>
      <c r="Q5" s="13"/>
      <c r="R5" s="51" t="s">
        <v>7930</v>
      </c>
      <c r="S5" s="13"/>
      <c r="T5" s="52" t="s">
        <v>7931</v>
      </c>
      <c r="U5" s="36"/>
      <c r="V5" s="41"/>
      <c r="W5" s="26"/>
      <c r="X5" s="42" t="s">
        <v>48</v>
      </c>
      <c r="Y5" s="42" t="s">
        <v>49</v>
      </c>
      <c r="Z5" s="48" t="s">
        <v>57</v>
      </c>
      <c r="AA5" s="14"/>
      <c r="AB5" s="15" t="str">
        <f>IFERROR(__xludf.DUMMYFUNCTION("join("","",filter(split($H$83,"",""),ARRAYFORMULA(ISERROR(FIND(split($H$83,"",""),CONCATENATE(E5:V5))))=TRUE))"),"СЗ,КЗ,206,406,408")</f>
        <v>СЗ,КЗ,206,406,408</v>
      </c>
      <c r="AC5" s="14"/>
      <c r="AD5" s="14"/>
      <c r="AE5" s="14"/>
      <c r="AF5" s="29"/>
      <c r="AG5" s="29"/>
      <c r="AH5" s="29"/>
    </row>
    <row r="6" hidden="1">
      <c r="A6" s="30"/>
      <c r="B6" s="31">
        <v>5.0</v>
      </c>
      <c r="C6" s="32" t="s">
        <v>58</v>
      </c>
      <c r="D6" s="53">
        <v>44847.0</v>
      </c>
      <c r="E6" s="316" t="s">
        <v>7932</v>
      </c>
      <c r="F6" s="34" t="s">
        <v>7933</v>
      </c>
      <c r="G6" s="43" t="s">
        <v>7934</v>
      </c>
      <c r="H6" s="45" t="s">
        <v>7935</v>
      </c>
      <c r="I6" s="13"/>
      <c r="J6" s="33" t="s">
        <v>7936</v>
      </c>
      <c r="K6" s="44" t="s">
        <v>64</v>
      </c>
      <c r="L6" s="44" t="s">
        <v>7937</v>
      </c>
      <c r="M6" s="45" t="s">
        <v>7938</v>
      </c>
      <c r="N6" s="37" t="s">
        <v>7939</v>
      </c>
      <c r="O6" s="13"/>
      <c r="P6" s="37" t="s">
        <v>7940</v>
      </c>
      <c r="Q6" s="13"/>
      <c r="R6" s="51" t="s">
        <v>7941</v>
      </c>
      <c r="S6" s="13"/>
      <c r="T6" s="52" t="s">
        <v>7942</v>
      </c>
      <c r="U6" s="36"/>
      <c r="V6" s="41"/>
      <c r="W6" s="26"/>
      <c r="X6" s="42" t="s">
        <v>58</v>
      </c>
      <c r="Y6" s="54">
        <v>44847.0</v>
      </c>
      <c r="Z6" s="48" t="s">
        <v>70</v>
      </c>
      <c r="AA6" s="14"/>
      <c r="AB6" s="15" t="str">
        <f>IFERROR(__xludf.DUMMYFUNCTION("join("","",filter(split($H$83,"",""),ARRAYFORMULA(ISERROR(FIND(split($H$83,"",""),CONCATENATE(E6:V6))))=TRUE))"),"СЗ,КЗ,206,406,408")</f>
        <v>СЗ,КЗ,206,406,408</v>
      </c>
      <c r="AC6" s="14"/>
      <c r="AD6" s="14"/>
      <c r="AE6" s="14"/>
      <c r="AF6" s="29"/>
      <c r="AG6" s="29"/>
      <c r="AH6" s="29"/>
    </row>
    <row r="7" hidden="1">
      <c r="A7" s="30"/>
      <c r="B7" s="31">
        <v>6.0</v>
      </c>
      <c r="C7" s="55" t="s">
        <v>71</v>
      </c>
      <c r="D7" s="56" t="s">
        <v>72</v>
      </c>
      <c r="E7" s="316" t="s">
        <v>7943</v>
      </c>
      <c r="F7" s="34" t="s">
        <v>7944</v>
      </c>
      <c r="G7" s="43" t="s">
        <v>7945</v>
      </c>
      <c r="H7" s="45" t="s">
        <v>7946</v>
      </c>
      <c r="I7" s="13"/>
      <c r="J7" s="37" t="s">
        <v>7947</v>
      </c>
      <c r="K7" s="13"/>
      <c r="L7" s="45" t="s">
        <v>7948</v>
      </c>
      <c r="M7" s="13"/>
      <c r="N7" s="37" t="s">
        <v>7949</v>
      </c>
      <c r="O7" s="13"/>
      <c r="P7" s="37" t="s">
        <v>7950</v>
      </c>
      <c r="Q7" s="13"/>
      <c r="R7" s="57" t="s">
        <v>7951</v>
      </c>
      <c r="T7" s="33" t="s">
        <v>7952</v>
      </c>
      <c r="U7" s="45" t="s">
        <v>7953</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idden="1">
      <c r="A8" s="30"/>
      <c r="B8" s="31">
        <v>7.0</v>
      </c>
      <c r="C8" s="32" t="s">
        <v>85</v>
      </c>
      <c r="D8" s="32" t="s">
        <v>86</v>
      </c>
      <c r="E8" s="318" t="s">
        <v>7954</v>
      </c>
      <c r="F8" s="319" t="s">
        <v>7955</v>
      </c>
      <c r="G8" s="43" t="s">
        <v>7956</v>
      </c>
      <c r="H8" s="45" t="s">
        <v>7957</v>
      </c>
      <c r="I8" s="13"/>
      <c r="J8" s="37" t="s">
        <v>7958</v>
      </c>
      <c r="K8" s="13"/>
      <c r="L8" s="45" t="s">
        <v>7959</v>
      </c>
      <c r="M8" s="13"/>
      <c r="N8" s="37" t="s">
        <v>7960</v>
      </c>
      <c r="O8" s="13"/>
      <c r="P8" s="37" t="s">
        <v>7961</v>
      </c>
      <c r="Q8" s="13"/>
      <c r="R8" s="37" t="s">
        <v>7962</v>
      </c>
      <c r="S8" s="13"/>
      <c r="T8" s="43" t="s">
        <v>7963</v>
      </c>
      <c r="U8" s="45" t="s">
        <v>7964</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idden="1">
      <c r="A9" s="30"/>
      <c r="B9" s="31">
        <v>8.0</v>
      </c>
      <c r="C9" s="32" t="s">
        <v>98</v>
      </c>
      <c r="D9" s="32" t="s">
        <v>99</v>
      </c>
      <c r="E9" s="320" t="s">
        <v>7965</v>
      </c>
      <c r="F9" s="276" t="s">
        <v>7966</v>
      </c>
      <c r="G9" s="43" t="s">
        <v>7967</v>
      </c>
      <c r="H9" s="45" t="s">
        <v>7968</v>
      </c>
      <c r="I9" s="13"/>
      <c r="J9" s="37" t="s">
        <v>7969</v>
      </c>
      <c r="K9" s="13"/>
      <c r="L9" s="45" t="s">
        <v>7970</v>
      </c>
      <c r="M9" s="13"/>
      <c r="N9" s="61" t="s">
        <v>7971</v>
      </c>
      <c r="O9" s="13"/>
      <c r="P9" s="62" t="s">
        <v>7972</v>
      </c>
      <c r="Q9" s="45" t="s">
        <v>7973</v>
      </c>
      <c r="R9" s="63" t="s">
        <v>108</v>
      </c>
      <c r="S9" s="64"/>
      <c r="T9" s="64"/>
      <c r="U9" s="64"/>
      <c r="V9" s="64"/>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idden="1">
      <c r="A10" s="30"/>
      <c r="B10" s="31">
        <v>9.0</v>
      </c>
      <c r="C10" s="65">
        <v>44697.0</v>
      </c>
      <c r="D10" s="44" t="s">
        <v>109</v>
      </c>
      <c r="E10" s="66" t="s">
        <v>7974</v>
      </c>
      <c r="F10" s="67"/>
      <c r="G10" s="43" t="s">
        <v>7975</v>
      </c>
      <c r="H10" s="45" t="s">
        <v>7976</v>
      </c>
      <c r="I10" s="13"/>
      <c r="J10" s="37" t="s">
        <v>7977</v>
      </c>
      <c r="K10" s="13"/>
      <c r="L10" s="45" t="s">
        <v>7978</v>
      </c>
      <c r="M10" s="13"/>
      <c r="N10" s="61" t="s">
        <v>7979</v>
      </c>
      <c r="O10" s="13"/>
      <c r="P10" s="62" t="s">
        <v>7980</v>
      </c>
      <c r="Q10" s="68" t="s">
        <v>117</v>
      </c>
      <c r="R10" s="37" t="s">
        <v>7981</v>
      </c>
      <c r="S10" s="68" t="s">
        <v>7982</v>
      </c>
      <c r="T10" s="36"/>
      <c r="U10" s="36"/>
      <c r="V10" s="41"/>
      <c r="W10" s="26"/>
      <c r="X10" s="69">
        <v>44697.0</v>
      </c>
      <c r="Y10" s="70" t="s">
        <v>109</v>
      </c>
      <c r="Z10" s="28"/>
      <c r="AA10" s="14"/>
      <c r="AB10" s="15" t="str">
        <f>IFERROR(__xludf.DUMMYFUNCTION("join("","",filter(split($H$83,"",""),ARRAYFORMULA(ISERROR(FIND(split($H$83,"",""),CONCATENATE(E10:V10))))=TRUE))"),"КЗ,206,210,403,405,406,408,409,АЗ")</f>
        <v>КЗ,206,210,403,405,406,408,409,АЗ</v>
      </c>
      <c r="AC10" s="14"/>
      <c r="AD10" s="14"/>
      <c r="AE10" s="14"/>
      <c r="AF10" s="29"/>
      <c r="AG10" s="29"/>
      <c r="AH10" s="29"/>
    </row>
    <row r="11" hidden="1">
      <c r="A11" s="30"/>
      <c r="B11" s="31">
        <v>10.0</v>
      </c>
      <c r="C11" s="44" t="s">
        <v>120</v>
      </c>
      <c r="D11" s="44" t="s">
        <v>121</v>
      </c>
      <c r="E11" s="71" t="s">
        <v>122</v>
      </c>
      <c r="F11" s="64"/>
      <c r="G11" s="64"/>
      <c r="H11" s="64"/>
      <c r="I11" s="64"/>
      <c r="J11" s="64"/>
      <c r="K11" s="64"/>
      <c r="L11" s="64"/>
      <c r="M11" s="64"/>
      <c r="N11" s="64"/>
      <c r="O11" s="64"/>
      <c r="P11" s="64"/>
      <c r="Q11" s="64"/>
      <c r="R11" s="64"/>
      <c r="S11" s="72"/>
      <c r="T11" s="73" t="s">
        <v>7983</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idden="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idden="1">
      <c r="A13" s="627">
        <v>44964.0</v>
      </c>
      <c r="B13" s="19">
        <v>1.0</v>
      </c>
      <c r="C13" s="20" t="s">
        <v>12</v>
      </c>
      <c r="D13" s="20" t="s">
        <v>13</v>
      </c>
      <c r="E13" s="80" t="s">
        <v>7984</v>
      </c>
      <c r="F13" s="25"/>
      <c r="G13" s="81" t="s">
        <v>7985</v>
      </c>
      <c r="H13" s="80" t="s">
        <v>7986</v>
      </c>
      <c r="I13" s="22"/>
      <c r="J13" s="23" t="s">
        <v>7987</v>
      </c>
      <c r="K13" s="25"/>
      <c r="L13" s="80" t="s">
        <v>7988</v>
      </c>
      <c r="M13" s="25"/>
      <c r="N13" s="82" t="s">
        <v>7989</v>
      </c>
      <c r="O13" s="25"/>
      <c r="P13" s="21" t="s">
        <v>7990</v>
      </c>
      <c r="Q13" s="22"/>
      <c r="R13" s="23" t="s">
        <v>7991</v>
      </c>
      <c r="S13" s="22"/>
      <c r="T13" s="84" t="s">
        <v>7992</v>
      </c>
      <c r="U13" s="80" t="s">
        <v>7993</v>
      </c>
      <c r="V13" s="22"/>
      <c r="W13" s="26"/>
      <c r="X13" s="27" t="s">
        <v>12</v>
      </c>
      <c r="Y13" s="27" t="s">
        <v>13</v>
      </c>
      <c r="Z13" s="28"/>
      <c r="AA13" s="85"/>
      <c r="AB13" s="15" t="str">
        <f>IFERROR(__xludf.DUMMYFUNCTION("join("","",filter(split($H$83,"",""),ARRAYFORMULA(ISERROR(FIND(split($H$83,"",""),CONCATENATE(E13:V13))))=TRUE))"),"СЗ,КЗ,202,206,403,410,АЗ")</f>
        <v>СЗ,КЗ,202,206,403,410,АЗ</v>
      </c>
      <c r="AC13" s="14"/>
      <c r="AD13" s="14"/>
      <c r="AE13" s="14"/>
      <c r="AF13" s="29"/>
      <c r="AG13" s="29"/>
      <c r="AH13" s="29"/>
    </row>
    <row r="14" hidden="1">
      <c r="A14" s="30"/>
      <c r="B14" s="31">
        <v>2.0</v>
      </c>
      <c r="C14" s="32" t="s">
        <v>21</v>
      </c>
      <c r="D14" s="32" t="s">
        <v>22</v>
      </c>
      <c r="E14" s="45" t="s">
        <v>7994</v>
      </c>
      <c r="F14" s="13"/>
      <c r="G14" s="46" t="s">
        <v>7995</v>
      </c>
      <c r="H14" s="86" t="s">
        <v>7996</v>
      </c>
      <c r="I14" s="41"/>
      <c r="J14" s="35" t="s">
        <v>7997</v>
      </c>
      <c r="K14" s="13"/>
      <c r="L14" s="45" t="s">
        <v>7998</v>
      </c>
      <c r="M14" s="13"/>
      <c r="N14" s="87" t="s">
        <v>7999</v>
      </c>
      <c r="O14" s="13"/>
      <c r="P14" s="37" t="s">
        <v>8000</v>
      </c>
      <c r="Q14" s="41"/>
      <c r="R14" s="35" t="s">
        <v>8001</v>
      </c>
      <c r="S14" s="41"/>
      <c r="T14" s="43" t="s">
        <v>8002</v>
      </c>
      <c r="U14" s="45" t="s">
        <v>8003</v>
      </c>
      <c r="V14" s="41"/>
      <c r="W14" s="26"/>
      <c r="X14" s="42" t="s">
        <v>21</v>
      </c>
      <c r="Y14" s="42" t="s">
        <v>22</v>
      </c>
      <c r="Z14" s="28"/>
      <c r="AA14" s="85"/>
      <c r="AB14" s="15" t="str">
        <f>IFERROR(__xludf.DUMMYFUNCTION("join("","",filter(split($H$83,"",""),ARRAYFORMULA(ISERROR(FIND(split($H$83,"",""),CONCATENATE(E14:V14))))=TRUE))"),"СЗ,КЗ,202,206,403,410,АЗ")</f>
        <v>СЗ,КЗ,202,206,403,410,АЗ</v>
      </c>
      <c r="AC14" s="14"/>
      <c r="AD14" s="14"/>
      <c r="AE14" s="14"/>
      <c r="AF14" s="29"/>
      <c r="AG14" s="29"/>
      <c r="AH14" s="29"/>
    </row>
    <row r="15" hidden="1">
      <c r="A15" s="30"/>
      <c r="B15" s="31">
        <v>3.0</v>
      </c>
      <c r="C15" s="32" t="s">
        <v>33</v>
      </c>
      <c r="D15" s="32" t="s">
        <v>34</v>
      </c>
      <c r="E15" s="40" t="s">
        <v>8004</v>
      </c>
      <c r="F15" s="13"/>
      <c r="G15" s="37" t="s">
        <v>8005</v>
      </c>
      <c r="H15" s="36"/>
      <c r="I15" s="41"/>
      <c r="J15" s="35" t="s">
        <v>8006</v>
      </c>
      <c r="K15" s="13"/>
      <c r="L15" s="45" t="s">
        <v>8007</v>
      </c>
      <c r="M15" s="13"/>
      <c r="N15" s="89" t="s">
        <v>8008</v>
      </c>
      <c r="O15" s="13"/>
      <c r="P15" s="37" t="s">
        <v>8009</v>
      </c>
      <c r="Q15" s="41"/>
      <c r="R15" s="43" t="s">
        <v>8010</v>
      </c>
      <c r="S15" s="34" t="s">
        <v>8011</v>
      </c>
      <c r="T15" s="91" t="s">
        <v>8012</v>
      </c>
      <c r="U15" s="36"/>
      <c r="V15" s="41"/>
      <c r="W15" s="26"/>
      <c r="X15" s="42" t="s">
        <v>33</v>
      </c>
      <c r="Y15" s="42" t="s">
        <v>34</v>
      </c>
      <c r="Z15" s="48" t="s">
        <v>47</v>
      </c>
      <c r="AA15" s="85" t="str">
        <f>AA$5</f>
        <v/>
      </c>
      <c r="AB15" s="15" t="str">
        <f>IFERROR(__xludf.DUMMYFUNCTION("join("","",filter(split($H$83,"",""),ARRAYFORMULA(ISERROR(FIND(split($H$83,"",""),CONCATENATE(E15:V15))))=TRUE))"),"КЗ,201,206,403,406,408,410,АЗ")</f>
        <v>КЗ,201,206,403,406,408,410,АЗ</v>
      </c>
      <c r="AC15" s="14"/>
      <c r="AD15" s="14"/>
      <c r="AE15" s="14"/>
      <c r="AF15" s="29"/>
      <c r="AG15" s="29"/>
      <c r="AH15" s="29"/>
    </row>
    <row r="16" hidden="1">
      <c r="A16" s="30"/>
      <c r="B16" s="31">
        <v>4.0</v>
      </c>
      <c r="C16" s="32" t="s">
        <v>48</v>
      </c>
      <c r="D16" s="32" t="s">
        <v>49</v>
      </c>
      <c r="E16" s="40" t="s">
        <v>8013</v>
      </c>
      <c r="F16" s="13"/>
      <c r="G16" s="37" t="s">
        <v>8014</v>
      </c>
      <c r="H16" s="36"/>
      <c r="I16" s="41"/>
      <c r="J16" s="35" t="s">
        <v>8015</v>
      </c>
      <c r="K16" s="13"/>
      <c r="L16" s="45" t="s">
        <v>8016</v>
      </c>
      <c r="M16" s="13"/>
      <c r="N16" s="89" t="s">
        <v>8017</v>
      </c>
      <c r="O16" s="13"/>
      <c r="P16" s="37" t="s">
        <v>160</v>
      </c>
      <c r="Q16" s="41"/>
      <c r="R16" s="43" t="s">
        <v>8018</v>
      </c>
      <c r="S16" s="34" t="s">
        <v>8019</v>
      </c>
      <c r="T16" s="91" t="s">
        <v>8020</v>
      </c>
      <c r="U16" s="36"/>
      <c r="V16" s="41"/>
      <c r="W16" s="26"/>
      <c r="X16" s="42" t="s">
        <v>48</v>
      </c>
      <c r="Y16" s="42" t="s">
        <v>49</v>
      </c>
      <c r="Z16" s="48" t="s">
        <v>57</v>
      </c>
      <c r="AA16" s="85" t="str">
        <f>AA$6</f>
        <v/>
      </c>
      <c r="AB16" s="15" t="str">
        <f>IFERROR(__xludf.DUMMYFUNCTION("join("","",filter(split($H$83,"",""),ARRAYFORMULA(ISERROR(FIND(split($H$83,"",""),CONCATENATE(E16:V16))))=TRUE))"),"КЗ,201,206,403,406,408,410,АЗ")</f>
        <v>КЗ,201,206,403,406,408,410,АЗ</v>
      </c>
      <c r="AC16" s="14"/>
      <c r="AD16" s="14"/>
      <c r="AE16" s="14"/>
      <c r="AF16" s="29"/>
      <c r="AG16" s="29"/>
      <c r="AH16" s="29"/>
    </row>
    <row r="17" hidden="1">
      <c r="A17" s="30"/>
      <c r="B17" s="31">
        <v>5.0</v>
      </c>
      <c r="C17" s="32" t="s">
        <v>58</v>
      </c>
      <c r="D17" s="53">
        <v>44847.0</v>
      </c>
      <c r="E17" s="45" t="s">
        <v>8021</v>
      </c>
      <c r="F17" s="13"/>
      <c r="G17" s="33" t="s">
        <v>8022</v>
      </c>
      <c r="H17" s="45" t="s">
        <v>8023</v>
      </c>
      <c r="I17" s="41"/>
      <c r="J17" s="35" t="s">
        <v>8024</v>
      </c>
      <c r="K17" s="13"/>
      <c r="L17" s="40" t="s">
        <v>8025</v>
      </c>
      <c r="M17" s="13"/>
      <c r="N17" s="45" t="s">
        <v>8026</v>
      </c>
      <c r="O17" s="13"/>
      <c r="P17" s="33" t="s">
        <v>8027</v>
      </c>
      <c r="Q17" s="34" t="s">
        <v>8028</v>
      </c>
      <c r="R17" s="326" t="s">
        <v>8029</v>
      </c>
      <c r="S17" s="92" t="s">
        <v>8030</v>
      </c>
      <c r="T17" s="93" t="s">
        <v>8031</v>
      </c>
      <c r="U17" s="36"/>
      <c r="V17" s="41"/>
      <c r="W17" s="26"/>
      <c r="X17" s="42" t="s">
        <v>58</v>
      </c>
      <c r="Y17" s="54">
        <v>44847.0</v>
      </c>
      <c r="Z17" s="48" t="s">
        <v>70</v>
      </c>
      <c r="AA17" s="85" t="str">
        <f>AA$7</f>
        <v/>
      </c>
      <c r="AB17" s="15" t="str">
        <f>IFERROR(__xludf.DUMMYFUNCTION("join("","",filter(split($H$83,"",""),ARRAYFORMULA(ISERROR(FIND(split($H$83,"",""),CONCATENATE(E17:V17))))=TRUE))"),"СЗ,206,403,408,410,АЗ")</f>
        <v>СЗ,206,403,408,410,АЗ</v>
      </c>
      <c r="AC17" s="14"/>
      <c r="AD17" s="14"/>
      <c r="AE17" s="14"/>
      <c r="AF17" s="29"/>
      <c r="AG17" s="29"/>
      <c r="AH17" s="29"/>
    </row>
    <row r="18" hidden="1">
      <c r="A18" s="30"/>
      <c r="B18" s="31">
        <v>6.0</v>
      </c>
      <c r="C18" s="55" t="s">
        <v>71</v>
      </c>
      <c r="D18" s="56" t="s">
        <v>72</v>
      </c>
      <c r="E18" s="45" t="s">
        <v>8032</v>
      </c>
      <c r="F18" s="13"/>
      <c r="G18" s="33" t="s">
        <v>8033</v>
      </c>
      <c r="H18" s="45" t="s">
        <v>8034</v>
      </c>
      <c r="I18" s="41"/>
      <c r="J18" s="35" t="s">
        <v>8035</v>
      </c>
      <c r="K18" s="13"/>
      <c r="L18" s="40" t="s">
        <v>8036</v>
      </c>
      <c r="M18" s="13"/>
      <c r="N18" s="45" t="s">
        <v>8037</v>
      </c>
      <c r="O18" s="13"/>
      <c r="P18" s="33" t="s">
        <v>8038</v>
      </c>
      <c r="Q18" s="34" t="s">
        <v>8039</v>
      </c>
      <c r="R18" s="326" t="s">
        <v>8040</v>
      </c>
      <c r="S18" s="92" t="s">
        <v>8041</v>
      </c>
      <c r="T18" s="93" t="s">
        <v>8042</v>
      </c>
      <c r="U18" s="36"/>
      <c r="V18" s="41"/>
      <c r="W18" s="26"/>
      <c r="X18" s="58" t="s">
        <v>71</v>
      </c>
      <c r="Y18" s="59" t="s">
        <v>72</v>
      </c>
      <c r="Z18" s="48" t="s">
        <v>84</v>
      </c>
      <c r="AA18" s="85" t="str">
        <f>AA$8</f>
        <v/>
      </c>
      <c r="AB18" s="15" t="str">
        <f>IFERROR(__xludf.DUMMYFUNCTION("join("","",filter(split($H$83,"",""),ARRAYFORMULA(ISERROR(FIND(split($H$83,"",""),CONCATENATE(E18:V18))))=TRUE))"),"СЗ,206,403,408,410,АЗ")</f>
        <v>СЗ,206,403,408,410,АЗ</v>
      </c>
      <c r="AC18" s="14"/>
      <c r="AD18" s="14"/>
      <c r="AE18" s="14"/>
      <c r="AF18" s="29"/>
      <c r="AG18" s="29"/>
      <c r="AH18" s="29"/>
    </row>
    <row r="19" hidden="1">
      <c r="A19" s="30"/>
      <c r="B19" s="31">
        <v>7.0</v>
      </c>
      <c r="C19" s="32" t="s">
        <v>85</v>
      </c>
      <c r="D19" s="32" t="s">
        <v>86</v>
      </c>
      <c r="E19" s="94" t="s">
        <v>8043</v>
      </c>
      <c r="F19" s="13"/>
      <c r="G19" s="33" t="s">
        <v>8044</v>
      </c>
      <c r="H19" s="45" t="s">
        <v>8045</v>
      </c>
      <c r="I19" s="41"/>
      <c r="J19" s="95" t="s">
        <v>8046</v>
      </c>
      <c r="K19" s="13"/>
      <c r="L19" s="45" t="s">
        <v>8047</v>
      </c>
      <c r="M19" s="128" t="s">
        <v>8048</v>
      </c>
      <c r="N19" s="4"/>
      <c r="O19" s="45" t="s">
        <v>8049</v>
      </c>
      <c r="P19" s="35" t="s">
        <v>8050</v>
      </c>
      <c r="Q19" s="41"/>
      <c r="R19" s="96" t="s">
        <v>8051</v>
      </c>
      <c r="S19" s="97" t="s">
        <v>8052</v>
      </c>
      <c r="T19" s="93" t="s">
        <v>8053</v>
      </c>
      <c r="U19" s="36"/>
      <c r="V19" s="41"/>
      <c r="W19" s="26"/>
      <c r="X19" s="42" t="s">
        <v>85</v>
      </c>
      <c r="Y19" s="42" t="s">
        <v>86</v>
      </c>
      <c r="Z19" s="48" t="s">
        <v>97</v>
      </c>
      <c r="AA19" s="85" t="str">
        <f>AA$9</f>
        <v/>
      </c>
      <c r="AB19" s="15" t="str">
        <f>IFERROR(__xludf.DUMMYFUNCTION("join("","",filter(split($H$83,"",""),ARRAYFORMULA(ISERROR(FIND(split($H$83,"",""),CONCATENATE(E19:V19))))=TRUE))"),"СЗ,КЗ,206,404,405,410")</f>
        <v>СЗ,КЗ,206,404,405,410</v>
      </c>
      <c r="AC19" s="14"/>
      <c r="AD19" s="14"/>
      <c r="AE19" s="14"/>
      <c r="AF19" s="29"/>
      <c r="AG19" s="29"/>
      <c r="AH19" s="29"/>
    </row>
    <row r="20" hidden="1">
      <c r="A20" s="30"/>
      <c r="B20" s="31">
        <v>8.0</v>
      </c>
      <c r="C20" s="32" t="s">
        <v>98</v>
      </c>
      <c r="D20" s="32" t="s">
        <v>99</v>
      </c>
      <c r="E20" s="94" t="s">
        <v>8054</v>
      </c>
      <c r="F20" s="13"/>
      <c r="G20" s="33" t="s">
        <v>8055</v>
      </c>
      <c r="H20" s="45" t="s">
        <v>8056</v>
      </c>
      <c r="I20" s="41"/>
      <c r="J20" s="95" t="s">
        <v>8057</v>
      </c>
      <c r="K20" s="13"/>
      <c r="L20" s="45" t="s">
        <v>8058</v>
      </c>
      <c r="M20" s="64"/>
      <c r="N20" s="72"/>
      <c r="O20" s="45" t="s">
        <v>8059</v>
      </c>
      <c r="P20" s="35" t="s">
        <v>8060</v>
      </c>
      <c r="Q20" s="41"/>
      <c r="R20" s="96" t="s">
        <v>8061</v>
      </c>
      <c r="S20" s="97" t="s">
        <v>8062</v>
      </c>
      <c r="T20" s="93" t="s">
        <v>8063</v>
      </c>
      <c r="U20" s="36"/>
      <c r="V20" s="41"/>
      <c r="W20" s="26"/>
      <c r="X20" s="42" t="s">
        <v>98</v>
      </c>
      <c r="Y20" s="42" t="s">
        <v>99</v>
      </c>
      <c r="Z20" s="11"/>
      <c r="AA20" s="98"/>
      <c r="AB20" s="15" t="str">
        <f>IFERROR(__xludf.DUMMYFUNCTION("join("","",filter(split($H$83,"",""),ARRAYFORMULA(ISERROR(FIND(split($H$83,"",""),CONCATENATE(E20:V20))))=TRUE))"),"СЗ,КЗ,206,403,404,405,410")</f>
        <v>СЗ,КЗ,206,403,404,405,410</v>
      </c>
      <c r="AC20" s="14"/>
      <c r="AD20" s="14"/>
      <c r="AE20" s="14"/>
      <c r="AF20" s="29"/>
      <c r="AG20" s="29"/>
      <c r="AH20" s="29"/>
    </row>
    <row r="21" hidden="1">
      <c r="A21" s="30"/>
      <c r="B21" s="31">
        <v>9.0</v>
      </c>
      <c r="C21" s="65">
        <v>44697.0</v>
      </c>
      <c r="D21" s="44" t="s">
        <v>109</v>
      </c>
      <c r="E21" s="99" t="s">
        <v>206</v>
      </c>
      <c r="F21" s="4"/>
      <c r="G21" s="100" t="s">
        <v>207</v>
      </c>
      <c r="H21" s="101" t="s">
        <v>208</v>
      </c>
      <c r="I21" s="36"/>
      <c r="J21" s="36"/>
      <c r="K21" s="36"/>
      <c r="L21" s="36"/>
      <c r="M21" s="13"/>
      <c r="N21" s="45" t="s">
        <v>8064</v>
      </c>
      <c r="O21" s="13"/>
      <c r="P21" s="102" t="s">
        <v>8065</v>
      </c>
      <c r="Q21" s="41"/>
      <c r="R21" s="35" t="s">
        <v>211</v>
      </c>
      <c r="S21" s="41"/>
      <c r="T21" s="103" t="s">
        <v>8066</v>
      </c>
      <c r="U21" s="36"/>
      <c r="V21" s="41"/>
      <c r="W21" s="26"/>
      <c r="X21" s="69">
        <v>44697.0</v>
      </c>
      <c r="Y21" s="70" t="s">
        <v>109</v>
      </c>
      <c r="Z21" s="28"/>
      <c r="AA21" s="98"/>
      <c r="AB21" s="15" t="str">
        <f>IFERROR(__xludf.DUMMYFUNCTION("join("","",filter(split($H$83,"",""),ARRAYFORMULA(ISERROR(FIND(split($H$83,"",""),CONCATENATE(E21:V21))))=TRUE))"),"201,206,210,401,403,404,405,406,408,АЗ")</f>
        <v>201,206,210,401,403,404,405,406,408,АЗ</v>
      </c>
      <c r="AC21" s="14"/>
      <c r="AD21" s="14"/>
      <c r="AE21" s="14"/>
      <c r="AF21" s="29"/>
      <c r="AG21" s="29"/>
      <c r="AH21" s="29"/>
    </row>
    <row r="22" hidden="1">
      <c r="A22" s="30"/>
      <c r="B22" s="31">
        <v>10.0</v>
      </c>
      <c r="C22" s="44" t="s">
        <v>120</v>
      </c>
      <c r="D22" s="44" t="s">
        <v>121</v>
      </c>
      <c r="E22" s="104"/>
      <c r="F22" s="72"/>
      <c r="G22" s="105"/>
      <c r="H22" s="106" t="s">
        <v>213</v>
      </c>
      <c r="I22" s="36"/>
      <c r="J22" s="36"/>
      <c r="K22" s="36"/>
      <c r="L22" s="36"/>
      <c r="M22" s="13"/>
      <c r="N22" s="45" t="s">
        <v>8067</v>
      </c>
      <c r="O22" s="13"/>
      <c r="P22" s="101" t="s">
        <v>215</v>
      </c>
      <c r="Q22" s="36"/>
      <c r="R22" s="36"/>
      <c r="S22" s="13"/>
      <c r="T22" s="107" t="s">
        <v>8068</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idden="1">
      <c r="A23" s="74"/>
      <c r="B23" s="75">
        <v>11.0</v>
      </c>
      <c r="C23" s="76" t="s">
        <v>124</v>
      </c>
      <c r="D23" s="76" t="s">
        <v>125</v>
      </c>
      <c r="E23" s="108"/>
      <c r="F23" s="109"/>
      <c r="G23" s="268"/>
      <c r="H23" s="225"/>
      <c r="I23" s="269"/>
      <c r="J23" s="113"/>
      <c r="K23" s="111"/>
      <c r="L23" s="111"/>
      <c r="M23" s="111"/>
      <c r="N23" s="111"/>
      <c r="O23" s="111"/>
      <c r="P23" s="111"/>
      <c r="Q23" s="111"/>
      <c r="R23" s="114" t="s">
        <v>8069</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idden="1">
      <c r="A24" s="627">
        <v>44965.0</v>
      </c>
      <c r="B24" s="435">
        <v>1.0</v>
      </c>
      <c r="C24" s="20" t="s">
        <v>12</v>
      </c>
      <c r="D24" s="20" t="s">
        <v>13</v>
      </c>
      <c r="E24" s="21" t="s">
        <v>8070</v>
      </c>
      <c r="F24" s="22"/>
      <c r="G24" s="630"/>
      <c r="H24" s="631"/>
      <c r="I24" s="632"/>
      <c r="J24" s="118" t="s">
        <v>221</v>
      </c>
      <c r="K24" s="24"/>
      <c r="L24" s="24"/>
      <c r="M24" s="25"/>
      <c r="N24" s="80" t="s">
        <v>8071</v>
      </c>
      <c r="O24" s="25"/>
      <c r="P24" s="633" t="s">
        <v>8072</v>
      </c>
      <c r="Q24" s="245"/>
      <c r="R24" s="585" t="s">
        <v>8073</v>
      </c>
      <c r="S24" s="24"/>
      <c r="T24" s="121"/>
      <c r="U24" s="24"/>
      <c r="V24" s="22"/>
      <c r="W24" s="26"/>
      <c r="X24" s="27" t="s">
        <v>12</v>
      </c>
      <c r="Y24" s="27" t="s">
        <v>13</v>
      </c>
      <c r="Z24" s="28"/>
      <c r="AA24" s="14"/>
      <c r="AB24" s="15" t="str">
        <f>IFERROR(__xludf.DUMMYFUNCTION("join("","",filter(split($H$83,"",""),ARRAYFORMULA(ISERROR(FIND(split($H$83,"",""),CONCATENATE(E24:V24))))=TRUE))"),"СЗ,202,206,210,401,402,403,404,405,406,408,410,АЗ")</f>
        <v>СЗ,202,206,210,401,402,403,404,405,406,408,410,АЗ</v>
      </c>
      <c r="AC24" s="14"/>
      <c r="AD24" s="14"/>
      <c r="AE24" s="14"/>
      <c r="AF24" s="29"/>
      <c r="AG24" s="29"/>
      <c r="AH24" s="29"/>
    </row>
    <row r="25" hidden="1">
      <c r="A25" s="30"/>
      <c r="B25" s="436">
        <v>2.0</v>
      </c>
      <c r="C25" s="32" t="s">
        <v>21</v>
      </c>
      <c r="D25" s="32" t="s">
        <v>22</v>
      </c>
      <c r="E25" s="51" t="s">
        <v>8074</v>
      </c>
      <c r="F25" s="41"/>
      <c r="G25" s="404"/>
      <c r="H25" s="634"/>
      <c r="I25" s="635"/>
      <c r="J25" s="35" t="s">
        <v>8075</v>
      </c>
      <c r="K25" s="13"/>
      <c r="L25" s="40" t="s">
        <v>8076</v>
      </c>
      <c r="M25" s="13"/>
      <c r="N25" s="40" t="s">
        <v>8077</v>
      </c>
      <c r="O25" s="13"/>
      <c r="P25" s="636"/>
      <c r="Q25" s="139"/>
      <c r="R25" s="575" t="s">
        <v>8078</v>
      </c>
      <c r="S25" s="41"/>
      <c r="T25" s="103"/>
      <c r="U25" s="36"/>
      <c r="V25" s="41"/>
      <c r="W25" s="26"/>
      <c r="X25" s="42" t="s">
        <v>21</v>
      </c>
      <c r="Y25" s="42" t="s">
        <v>22</v>
      </c>
      <c r="Z25" s="28"/>
      <c r="AA25" s="14"/>
      <c r="AB25" s="15" t="str">
        <f>IFERROR(__xludf.DUMMYFUNCTION("join("","",filter(split($H$83,"",""),ARRAYFORMULA(ISERROR(FIND(split($H$83,"",""),CONCATENATE(E25:V25))))=TRUE))"),"СЗ,202,206,210,401,402,403,404,405,406,408,409,410,АЗ")</f>
        <v>СЗ,202,206,210,401,402,403,404,405,406,408,409,410,АЗ</v>
      </c>
      <c r="AC25" s="14"/>
      <c r="AD25" s="14"/>
      <c r="AE25" s="14"/>
      <c r="AF25" s="29"/>
      <c r="AG25" s="29"/>
      <c r="AH25" s="29"/>
    </row>
    <row r="26" hidden="1">
      <c r="A26" s="30"/>
      <c r="B26" s="436">
        <v>3.0</v>
      </c>
      <c r="C26" s="32" t="s">
        <v>33</v>
      </c>
      <c r="D26" s="32" t="s">
        <v>34</v>
      </c>
      <c r="E26" s="37" t="s">
        <v>8079</v>
      </c>
      <c r="F26" s="41"/>
      <c r="G26" s="51" t="s">
        <v>8080</v>
      </c>
      <c r="H26" s="36"/>
      <c r="I26" s="41"/>
      <c r="J26" s="95" t="s">
        <v>8081</v>
      </c>
      <c r="K26" s="13"/>
      <c r="L26" s="123" t="s">
        <v>8082</v>
      </c>
      <c r="M26" s="41"/>
      <c r="N26" s="40" t="s">
        <v>8083</v>
      </c>
      <c r="O26" s="13"/>
      <c r="P26" s="636"/>
      <c r="Q26" s="139"/>
      <c r="R26" s="89" t="s">
        <v>8084</v>
      </c>
      <c r="S26" s="41"/>
      <c r="T26" s="125" t="s">
        <v>8085</v>
      </c>
      <c r="U26" s="36"/>
      <c r="V26" s="41"/>
      <c r="W26" s="26"/>
      <c r="X26" s="42" t="s">
        <v>33</v>
      </c>
      <c r="Y26" s="42" t="s">
        <v>34</v>
      </c>
      <c r="Z26" s="48" t="s">
        <v>47</v>
      </c>
      <c r="AA26" s="85" t="str">
        <f>AA$5</f>
        <v/>
      </c>
      <c r="AB26" s="15" t="str">
        <f>IFERROR(__xludf.DUMMYFUNCTION("join("","",filter(split($H$83,"",""),ARRAYFORMULA(ISERROR(FIND(split($H$83,"",""),CONCATENATE(E26:V26))))=TRUE))"),"СЗ,206,210,401,402,403,404,405,406,408,409,410,АЗ")</f>
        <v>СЗ,206,210,401,402,403,404,405,406,408,409,410,АЗ</v>
      </c>
      <c r="AC26" s="14"/>
      <c r="AD26" s="14"/>
      <c r="AE26" s="14"/>
      <c r="AF26" s="29"/>
      <c r="AG26" s="29"/>
      <c r="AH26" s="29"/>
    </row>
    <row r="27" hidden="1">
      <c r="A27" s="30"/>
      <c r="B27" s="436">
        <v>4.0</v>
      </c>
      <c r="C27" s="32" t="s">
        <v>48</v>
      </c>
      <c r="D27" s="32" t="s">
        <v>49</v>
      </c>
      <c r="E27" s="33" t="s">
        <v>8086</v>
      </c>
      <c r="F27" s="286" t="s">
        <v>8087</v>
      </c>
      <c r="G27" s="37" t="s">
        <v>8088</v>
      </c>
      <c r="H27" s="36"/>
      <c r="I27" s="41"/>
      <c r="J27" s="51" t="s">
        <v>8089</v>
      </c>
      <c r="K27" s="41"/>
      <c r="L27" s="45" t="s">
        <v>8090</v>
      </c>
      <c r="M27" s="13"/>
      <c r="N27" s="127" t="s">
        <v>8091</v>
      </c>
      <c r="O27" s="13"/>
      <c r="P27" s="636"/>
      <c r="Q27" s="139"/>
      <c r="R27" s="34" t="s">
        <v>8092</v>
      </c>
      <c r="S27" s="132" t="s">
        <v>8093</v>
      </c>
      <c r="T27" s="125" t="s">
        <v>8094</v>
      </c>
      <c r="U27" s="36"/>
      <c r="V27" s="41"/>
      <c r="W27" s="26"/>
      <c r="X27" s="42" t="s">
        <v>48</v>
      </c>
      <c r="Y27" s="42" t="s">
        <v>49</v>
      </c>
      <c r="Z27" s="48" t="s">
        <v>57</v>
      </c>
      <c r="AA27" s="85" t="str">
        <f>AA$6</f>
        <v/>
      </c>
      <c r="AB27" s="15" t="str">
        <f>IFERROR(__xludf.DUMMYFUNCTION("join("","",filter(split($H$83,"",""),ARRAYFORMULA(ISERROR(FIND(split($H$83,"",""),CONCATENATE(E27:V27))))=TRUE))"),"СЗ,206,402,403,404,405,406,408,409,410,АЗ")</f>
        <v>СЗ,206,402,403,404,405,406,408,409,410,АЗ</v>
      </c>
      <c r="AC27" s="14"/>
      <c r="AD27" s="199"/>
      <c r="AE27" s="14"/>
      <c r="AF27" s="29"/>
      <c r="AG27" s="29"/>
      <c r="AH27" s="29"/>
    </row>
    <row r="28" hidden="1">
      <c r="A28" s="30"/>
      <c r="B28" s="436">
        <v>5.0</v>
      </c>
      <c r="C28" s="32" t="s">
        <v>58</v>
      </c>
      <c r="D28" s="53">
        <v>44847.0</v>
      </c>
      <c r="E28" s="33" t="s">
        <v>8095</v>
      </c>
      <c r="F28" s="92" t="s">
        <v>8096</v>
      </c>
      <c r="G28" s="37" t="s">
        <v>8097</v>
      </c>
      <c r="H28" s="36"/>
      <c r="I28" s="41"/>
      <c r="J28" s="123" t="s">
        <v>8098</v>
      </c>
      <c r="K28" s="41"/>
      <c r="L28" s="45" t="s">
        <v>8099</v>
      </c>
      <c r="M28" s="13"/>
      <c r="N28" s="51" t="s">
        <v>8100</v>
      </c>
      <c r="O28" s="41"/>
      <c r="P28" s="636"/>
      <c r="Q28" s="139"/>
      <c r="R28" s="34" t="s">
        <v>8101</v>
      </c>
      <c r="S28" s="132" t="s">
        <v>8102</v>
      </c>
      <c r="T28" s="128" t="s">
        <v>8103</v>
      </c>
      <c r="U28" s="8"/>
      <c r="V28" s="129"/>
      <c r="W28" s="26"/>
      <c r="X28" s="42" t="s">
        <v>58</v>
      </c>
      <c r="Y28" s="54">
        <v>44847.0</v>
      </c>
      <c r="Z28" s="48" t="s">
        <v>70</v>
      </c>
      <c r="AA28" s="85" t="str">
        <f>AA$7</f>
        <v/>
      </c>
      <c r="AB28" s="15" t="str">
        <f>IFERROR(__xludf.DUMMYFUNCTION("join("","",filter(split($H$83,"",""),ARRAYFORMULA(ISERROR(FIND(split($H$83,"",""),CONCATENATE(E28:V28))))=TRUE))"),"СЗ,206,402,403,404,405,406,408,409,410")</f>
        <v>СЗ,206,402,403,404,405,406,408,409,410</v>
      </c>
      <c r="AC28" s="14"/>
      <c r="AD28" s="199"/>
      <c r="AE28" s="14"/>
      <c r="AF28" s="29"/>
      <c r="AG28" s="29"/>
      <c r="AH28" s="29"/>
    </row>
    <row r="29" hidden="1">
      <c r="A29" s="30"/>
      <c r="B29" s="436">
        <v>6.0</v>
      </c>
      <c r="C29" s="55" t="s">
        <v>71</v>
      </c>
      <c r="D29" s="56" t="s">
        <v>72</v>
      </c>
      <c r="E29" s="39" t="s">
        <v>8104</v>
      </c>
      <c r="F29" s="34" t="s">
        <v>8105</v>
      </c>
      <c r="G29" s="40"/>
      <c r="H29" s="41"/>
      <c r="I29" s="34"/>
      <c r="J29" s="35" t="s">
        <v>8106</v>
      </c>
      <c r="K29" s="13"/>
      <c r="L29" s="51" t="s">
        <v>8107</v>
      </c>
      <c r="M29" s="41"/>
      <c r="N29" s="130" t="s">
        <v>8108</v>
      </c>
      <c r="O29" s="13"/>
      <c r="P29" s="636"/>
      <c r="Q29" s="139"/>
      <c r="R29" s="92" t="s">
        <v>8109</v>
      </c>
      <c r="V29" s="134"/>
      <c r="W29" s="26"/>
      <c r="X29" s="58" t="s">
        <v>71</v>
      </c>
      <c r="Y29" s="59" t="s">
        <v>72</v>
      </c>
      <c r="Z29" s="48" t="s">
        <v>84</v>
      </c>
      <c r="AA29" s="85" t="str">
        <f>AA$8</f>
        <v/>
      </c>
      <c r="AB29" s="15" t="str">
        <f>IFERROR(__xludf.DUMMYFUNCTION("join("","",filter(split($H$83,"",""),ARRAYFORMULA(ISERROR(FIND(split($H$83,"",""),CONCATENATE(E29:V29))))=TRUE))"),"СЗ,206,401,402,403,404,405,406,408,409,410,АЗ")</f>
        <v>СЗ,206,401,402,403,404,405,406,408,409,410,АЗ</v>
      </c>
      <c r="AC29" s="14"/>
      <c r="AD29" s="199"/>
      <c r="AE29" s="14"/>
      <c r="AF29" s="29"/>
      <c r="AG29" s="29"/>
      <c r="AH29" s="29"/>
    </row>
    <row r="30" hidden="1">
      <c r="A30" s="30"/>
      <c r="B30" s="436">
        <v>7.0</v>
      </c>
      <c r="C30" s="32" t="s">
        <v>85</v>
      </c>
      <c r="D30" s="32" t="s">
        <v>86</v>
      </c>
      <c r="E30" s="39" t="s">
        <v>8110</v>
      </c>
      <c r="F30" s="34" t="s">
        <v>8111</v>
      </c>
      <c r="G30" s="40"/>
      <c r="H30" s="41"/>
      <c r="I30" s="34"/>
      <c r="J30" s="35"/>
      <c r="K30" s="13"/>
      <c r="L30" s="123"/>
      <c r="M30" s="41"/>
      <c r="N30" s="130" t="s">
        <v>8112</v>
      </c>
      <c r="O30" s="13"/>
      <c r="P30" s="142"/>
      <c r="Q30" s="72"/>
      <c r="R30" s="92" t="s">
        <v>8113</v>
      </c>
      <c r="V30" s="134"/>
      <c r="W30" s="26"/>
      <c r="X30" s="42" t="s">
        <v>85</v>
      </c>
      <c r="Y30" s="42" t="s">
        <v>86</v>
      </c>
      <c r="Z30" s="48" t="s">
        <v>97</v>
      </c>
      <c r="AA30" s="85" t="str">
        <f>AA$9</f>
        <v/>
      </c>
      <c r="AB30" s="15" t="str">
        <f>IFERROR(__xludf.DUMMYFUNCTION("join("","",filter(split($H$83,"",""),ARRAYFORMULA(ISERROR(FIND(split($H$83,"",""),CONCATENATE(E30:V30))))=TRUE))"),"СЗ,КЗ,202,206,401,402,403,404,405,406,408,409,410,АЗ")</f>
        <v>СЗ,КЗ,202,206,401,402,403,404,405,406,408,409,410,АЗ</v>
      </c>
      <c r="AC30" s="14"/>
      <c r="AE30" s="14"/>
      <c r="AF30" s="29"/>
      <c r="AG30" s="29"/>
      <c r="AH30" s="29"/>
    </row>
    <row r="31" hidden="1">
      <c r="A31" s="30"/>
      <c r="B31" s="436">
        <v>8.0</v>
      </c>
      <c r="C31" s="32" t="s">
        <v>98</v>
      </c>
      <c r="D31" s="32" t="s">
        <v>99</v>
      </c>
      <c r="E31" s="141" t="s">
        <v>8114</v>
      </c>
      <c r="F31" s="13"/>
      <c r="G31" s="630"/>
      <c r="H31" s="8"/>
      <c r="I31" s="129"/>
      <c r="J31" s="637" t="s">
        <v>8115</v>
      </c>
      <c r="K31" s="36"/>
      <c r="L31" s="36"/>
      <c r="M31" s="13"/>
      <c r="N31" s="45" t="s">
        <v>8116</v>
      </c>
      <c r="O31" s="13"/>
      <c r="P31" s="140"/>
      <c r="Q31" s="4"/>
      <c r="R31" s="144"/>
      <c r="S31" s="133"/>
      <c r="V31" s="134"/>
      <c r="W31" s="26"/>
      <c r="X31" s="42" t="s">
        <v>98</v>
      </c>
      <c r="Y31" s="42" t="s">
        <v>99</v>
      </c>
      <c r="Z31" s="11"/>
      <c r="AA31" s="14"/>
      <c r="AB31" s="15" t="str">
        <f>IFERROR(__xludf.DUMMYFUNCTION("join("","",filter(split($H$83,"",""),ARRAYFORMULA(ISERROR(FIND(split($H$83,"",""),CONCATENATE(E31:V31))))=TRUE))"),"СЗ,КЗ,201,206,210,401,402,403,404,405,406,408,409,АЗ")</f>
        <v>СЗ,КЗ,201,206,210,401,402,403,404,405,406,408,409,АЗ</v>
      </c>
      <c r="AC31" s="14"/>
      <c r="AD31" s="14"/>
      <c r="AE31" s="14"/>
      <c r="AF31" s="29"/>
      <c r="AG31" s="29"/>
      <c r="AH31" s="29"/>
    </row>
    <row r="32" hidden="1">
      <c r="A32" s="30"/>
      <c r="B32" s="436">
        <v>9.0</v>
      </c>
      <c r="C32" s="65">
        <v>44697.0</v>
      </c>
      <c r="D32" s="44" t="s">
        <v>109</v>
      </c>
      <c r="E32" s="141" t="s">
        <v>8117</v>
      </c>
      <c r="F32" s="13"/>
      <c r="G32" s="142"/>
      <c r="H32" s="64"/>
      <c r="I32" s="88"/>
      <c r="J32" s="637" t="s">
        <v>8118</v>
      </c>
      <c r="K32" s="36"/>
      <c r="L32" s="36"/>
      <c r="M32" s="13"/>
      <c r="N32" s="45" t="s">
        <v>8119</v>
      </c>
      <c r="O32" s="13"/>
      <c r="P32" s="142"/>
      <c r="Q32" s="72"/>
      <c r="R32" s="144"/>
      <c r="S32" s="92"/>
      <c r="T32" s="64"/>
      <c r="U32" s="64"/>
      <c r="V32" s="88"/>
      <c r="W32" s="26"/>
      <c r="X32" s="69">
        <v>44697.0</v>
      </c>
      <c r="Y32" s="70" t="s">
        <v>109</v>
      </c>
      <c r="Z32" s="28"/>
      <c r="AA32" s="14"/>
      <c r="AB32" s="15" t="str">
        <f>IFERROR(__xludf.DUMMYFUNCTION("join("","",filter(split($H$83,"",""),ARRAYFORMULA(ISERROR(FIND(split($H$83,"",""),CONCATENATE(E32:V32))))=TRUE))"),"СЗ,КЗ,201,206,210,401,402,403,404,405,406,408,409,АЗ")</f>
        <v>СЗ,КЗ,201,206,210,401,402,403,404,405,406,408,409,АЗ</v>
      </c>
      <c r="AC32" s="14"/>
      <c r="AD32" s="14"/>
      <c r="AE32" s="14"/>
      <c r="AF32" s="29"/>
      <c r="AG32" s="29"/>
      <c r="AH32" s="29"/>
    </row>
    <row r="33" hidden="1">
      <c r="A33" s="30"/>
      <c r="B33" s="436">
        <v>10.0</v>
      </c>
      <c r="C33" s="44" t="s">
        <v>120</v>
      </c>
      <c r="D33" s="44" t="s">
        <v>121</v>
      </c>
      <c r="E33" s="141" t="s">
        <v>8120</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idden="1">
      <c r="A34" s="74"/>
      <c r="B34" s="438">
        <v>11.0</v>
      </c>
      <c r="C34" s="76" t="s">
        <v>124</v>
      </c>
      <c r="D34" s="76" t="s">
        <v>125</v>
      </c>
      <c r="E34" s="141" t="s">
        <v>8121</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idden="1">
      <c r="A35" s="627">
        <v>44966.0</v>
      </c>
      <c r="B35" s="19">
        <v>1.0</v>
      </c>
      <c r="C35" s="20" t="s">
        <v>12</v>
      </c>
      <c r="D35" s="20" t="s">
        <v>13</v>
      </c>
      <c r="E35" s="80" t="s">
        <v>8122</v>
      </c>
      <c r="F35" s="25"/>
      <c r="G35" s="638" t="s">
        <v>8123</v>
      </c>
      <c r="H35" s="24"/>
      <c r="I35" s="25"/>
      <c r="J35" s="157" t="s">
        <v>8124</v>
      </c>
      <c r="K35" s="13"/>
      <c r="L35" s="156" t="s">
        <v>8125</v>
      </c>
      <c r="M35" s="156" t="s">
        <v>8126</v>
      </c>
      <c r="N35" s="80" t="s">
        <v>8127</v>
      </c>
      <c r="O35" s="25"/>
      <c r="P35" s="156" t="s">
        <v>8128</v>
      </c>
      <c r="Q35" s="156" t="s">
        <v>8129</v>
      </c>
      <c r="R35" s="159" t="s">
        <v>8130</v>
      </c>
      <c r="S35" s="160" t="s">
        <v>8131</v>
      </c>
      <c r="T35" s="161" t="s">
        <v>8132</v>
      </c>
      <c r="U35" s="24"/>
      <c r="V35" s="22"/>
      <c r="W35" s="26"/>
      <c r="X35" s="27" t="s">
        <v>12</v>
      </c>
      <c r="Y35" s="27" t="s">
        <v>13</v>
      </c>
      <c r="Z35" s="28"/>
      <c r="AA35" s="14"/>
      <c r="AB35" s="15" t="str">
        <f>IFERROR(__xludf.DUMMYFUNCTION("join("","",filter(split($H$83,"",""),ARRAYFORMULA(ISERROR(FIND(split($H$83,"",""),CONCATENATE(E35:V35))))=TRUE))"),"СЗ,206,403,410")</f>
        <v>СЗ,206,403,410</v>
      </c>
      <c r="AC35" s="14"/>
      <c r="AD35" s="14"/>
      <c r="AE35" s="14"/>
      <c r="AF35" s="29"/>
      <c r="AG35" s="29"/>
      <c r="AH35" s="29"/>
    </row>
    <row r="36" hidden="1">
      <c r="A36" s="30"/>
      <c r="B36" s="31">
        <v>2.0</v>
      </c>
      <c r="C36" s="32" t="s">
        <v>21</v>
      </c>
      <c r="D36" s="32" t="s">
        <v>22</v>
      </c>
      <c r="E36" s="45" t="s">
        <v>8133</v>
      </c>
      <c r="F36" s="13"/>
      <c r="G36" s="44" t="s">
        <v>8134</v>
      </c>
      <c r="H36" s="40" t="s">
        <v>312</v>
      </c>
      <c r="I36" s="13"/>
      <c r="J36" s="157" t="s">
        <v>313</v>
      </c>
      <c r="K36" s="13"/>
      <c r="L36" s="44" t="s">
        <v>8135</v>
      </c>
      <c r="M36" s="44" t="s">
        <v>8136</v>
      </c>
      <c r="N36" s="45" t="s">
        <v>316</v>
      </c>
      <c r="O36" s="13"/>
      <c r="P36" s="44" t="s">
        <v>8137</v>
      </c>
      <c r="Q36" s="44" t="s">
        <v>8138</v>
      </c>
      <c r="R36" s="162" t="s">
        <v>8139</v>
      </c>
      <c r="S36" s="90" t="s">
        <v>320</v>
      </c>
      <c r="T36" s="163" t="s">
        <v>8140</v>
      </c>
      <c r="U36" s="36"/>
      <c r="V36" s="41"/>
      <c r="W36" s="26"/>
      <c r="X36" s="42" t="s">
        <v>21</v>
      </c>
      <c r="Y36" s="42" t="s">
        <v>22</v>
      </c>
      <c r="Z36" s="28"/>
      <c r="AA36" s="14"/>
      <c r="AB36" s="15" t="str">
        <f>IFERROR(__xludf.DUMMYFUNCTION("join("","",filter(split($H$83,"",""),ARRAYFORMULA(ISERROR(FIND(split($H$83,"",""),CONCATENATE(E36:V36))))=TRUE))"),"СЗ,206,406,410,АЗ")</f>
        <v>СЗ,206,406,410,АЗ</v>
      </c>
      <c r="AC36" s="14"/>
      <c r="AD36" s="14"/>
      <c r="AE36" s="14"/>
      <c r="AF36" s="29"/>
      <c r="AG36" s="29"/>
      <c r="AH36" s="29"/>
    </row>
    <row r="37" hidden="1">
      <c r="A37" s="30"/>
      <c r="B37" s="31">
        <v>3.0</v>
      </c>
      <c r="C37" s="32" t="s">
        <v>33</v>
      </c>
      <c r="D37" s="32" t="s">
        <v>34</v>
      </c>
      <c r="E37" s="45" t="s">
        <v>8141</v>
      </c>
      <c r="F37" s="13"/>
      <c r="G37" s="638" t="s">
        <v>8142</v>
      </c>
      <c r="H37" s="25"/>
      <c r="I37" s="44" t="s">
        <v>8143</v>
      </c>
      <c r="J37" s="45" t="s">
        <v>8144</v>
      </c>
      <c r="K37" s="13"/>
      <c r="L37" s="44" t="s">
        <v>8145</v>
      </c>
      <c r="M37" s="44" t="s">
        <v>8146</v>
      </c>
      <c r="N37" s="164" t="s">
        <v>8147</v>
      </c>
      <c r="O37" s="36"/>
      <c r="P37" s="36"/>
      <c r="Q37" s="13"/>
      <c r="R37" s="44" t="s">
        <v>8148</v>
      </c>
      <c r="S37" s="44" t="s">
        <v>8149</v>
      </c>
      <c r="T37" s="87" t="s">
        <v>8150</v>
      </c>
      <c r="U37" s="36"/>
      <c r="V37" s="41"/>
      <c r="W37" s="26"/>
      <c r="X37" s="42" t="s">
        <v>33</v>
      </c>
      <c r="Y37" s="42" t="s">
        <v>34</v>
      </c>
      <c r="Z37" s="48" t="s">
        <v>47</v>
      </c>
      <c r="AA37" s="85" t="str">
        <f>AA$5</f>
        <v/>
      </c>
      <c r="AB37" s="15" t="str">
        <f>IFERROR(__xludf.DUMMYFUNCTION("join("","",filter(split($H$83,"",""),ARRAYFORMULA(ISERROR(FIND(split($H$83,"",""),CONCATENATE(E37:V37))))=TRUE))"),"КЗ,206,403,410,АЗ")</f>
        <v>КЗ,206,403,410,АЗ</v>
      </c>
      <c r="AC37" s="14"/>
      <c r="AD37" s="14"/>
      <c r="AE37" s="14"/>
      <c r="AF37" s="29"/>
      <c r="AG37" s="29"/>
      <c r="AH37" s="29"/>
    </row>
    <row r="38" hidden="1">
      <c r="A38" s="30"/>
      <c r="B38" s="31">
        <v>4.0</v>
      </c>
      <c r="C38" s="32" t="s">
        <v>48</v>
      </c>
      <c r="D38" s="32" t="s">
        <v>49</v>
      </c>
      <c r="E38" s="45" t="s">
        <v>8151</v>
      </c>
      <c r="F38" s="13"/>
      <c r="G38" s="132" t="s">
        <v>8152</v>
      </c>
      <c r="H38" s="45" t="s">
        <v>8153</v>
      </c>
      <c r="I38" s="13"/>
      <c r="J38" s="45" t="s">
        <v>8154</v>
      </c>
      <c r="K38" s="13"/>
      <c r="L38" s="44" t="s">
        <v>8155</v>
      </c>
      <c r="M38" s="44" t="s">
        <v>8156</v>
      </c>
      <c r="N38" s="164" t="s">
        <v>8157</v>
      </c>
      <c r="O38" s="36"/>
      <c r="P38" s="36"/>
      <c r="Q38" s="13"/>
      <c r="R38" s="44" t="s">
        <v>8158</v>
      </c>
      <c r="S38" s="44" t="s">
        <v>8159</v>
      </c>
      <c r="T38" s="87" t="s">
        <v>8160</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idden="1">
      <c r="A39" s="30"/>
      <c r="B39" s="31">
        <v>5.0</v>
      </c>
      <c r="C39" s="32" t="s">
        <v>58</v>
      </c>
      <c r="D39" s="53">
        <v>44847.0</v>
      </c>
      <c r="E39" s="45" t="s">
        <v>8161</v>
      </c>
      <c r="F39" s="13"/>
      <c r="G39" s="44" t="s">
        <v>8162</v>
      </c>
      <c r="H39" s="45" t="s">
        <v>8163</v>
      </c>
      <c r="I39" s="13"/>
      <c r="J39" s="44" t="s">
        <v>8164</v>
      </c>
      <c r="K39" s="44" t="s">
        <v>8165</v>
      </c>
      <c r="L39" s="45" t="s">
        <v>8166</v>
      </c>
      <c r="M39" s="13"/>
      <c r="N39" s="44" t="s">
        <v>8167</v>
      </c>
      <c r="O39" s="44" t="s">
        <v>8168</v>
      </c>
      <c r="P39" s="45" t="s">
        <v>8169</v>
      </c>
      <c r="Q39" s="13"/>
      <c r="R39" s="44" t="s">
        <v>8170</v>
      </c>
      <c r="S39" s="132" t="s">
        <v>8171</v>
      </c>
      <c r="T39" s="45" t="s">
        <v>8172</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idden="1">
      <c r="A40" s="30"/>
      <c r="B40" s="31">
        <v>6.0</v>
      </c>
      <c r="C40" s="55" t="s">
        <v>71</v>
      </c>
      <c r="D40" s="56" t="s">
        <v>72</v>
      </c>
      <c r="E40" s="45" t="s">
        <v>8173</v>
      </c>
      <c r="F40" s="13"/>
      <c r="G40" s="44" t="s">
        <v>355</v>
      </c>
      <c r="H40" s="45" t="s">
        <v>8174</v>
      </c>
      <c r="I40" s="13"/>
      <c r="J40" s="44" t="s">
        <v>8175</v>
      </c>
      <c r="K40" s="44" t="s">
        <v>8176</v>
      </c>
      <c r="L40" s="45" t="s">
        <v>8177</v>
      </c>
      <c r="M40" s="13"/>
      <c r="N40" s="44" t="s">
        <v>8178</v>
      </c>
      <c r="O40" s="44" t="s">
        <v>8179</v>
      </c>
      <c r="P40" s="45" t="s">
        <v>8180</v>
      </c>
      <c r="Q40" s="13"/>
      <c r="R40" s="44" t="s">
        <v>8181</v>
      </c>
      <c r="S40" s="132" t="s">
        <v>8182</v>
      </c>
      <c r="T40" s="45" t="s">
        <v>8183</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idden="1">
      <c r="A41" s="30"/>
      <c r="B41" s="31">
        <v>7.0</v>
      </c>
      <c r="C41" s="32" t="s">
        <v>85</v>
      </c>
      <c r="D41" s="32" t="s">
        <v>86</v>
      </c>
      <c r="E41" s="45" t="s">
        <v>8184</v>
      </c>
      <c r="F41" s="13"/>
      <c r="G41" s="44" t="s">
        <v>8185</v>
      </c>
      <c r="H41" s="45" t="s">
        <v>8186</v>
      </c>
      <c r="I41" s="13"/>
      <c r="J41" s="44" t="s">
        <v>8187</v>
      </c>
      <c r="K41" s="44" t="s">
        <v>8188</v>
      </c>
      <c r="L41" s="45" t="s">
        <v>8189</v>
      </c>
      <c r="M41" s="13"/>
      <c r="N41" s="87" t="s">
        <v>8190</v>
      </c>
      <c r="O41" s="13"/>
      <c r="P41" s="45" t="s">
        <v>8191</v>
      </c>
      <c r="Q41" s="13"/>
      <c r="R41" s="44" t="s">
        <v>8192</v>
      </c>
      <c r="S41" s="44" t="s">
        <v>8193</v>
      </c>
      <c r="T41" s="165" t="s">
        <v>8194</v>
      </c>
      <c r="U41" s="36"/>
      <c r="V41" s="41"/>
      <c r="W41" s="26"/>
      <c r="X41" s="42" t="s">
        <v>85</v>
      </c>
      <c r="Y41" s="42" t="s">
        <v>86</v>
      </c>
      <c r="Z41" s="48" t="s">
        <v>97</v>
      </c>
      <c r="AA41" s="85" t="str">
        <f>AA$9</f>
        <v/>
      </c>
      <c r="AB41" s="15" t="str">
        <f>IFERROR(__xludf.DUMMYFUNCTION("join("","",filter(split($H$83,"",""),ARRAYFORMULA(ISERROR(FIND(split($H$83,"",""),CONCATENATE(E41:V41))))=TRUE))"),"СЗ,КЗ,206,210,403,406,АЗ")</f>
        <v>СЗ,КЗ,206,210,403,406,АЗ</v>
      </c>
      <c r="AC41" s="14"/>
      <c r="AD41" s="14"/>
      <c r="AE41" s="14"/>
      <c r="AF41" s="29"/>
      <c r="AG41" s="29"/>
      <c r="AH41" s="29"/>
    </row>
    <row r="42" hidden="1">
      <c r="A42" s="30"/>
      <c r="B42" s="31">
        <v>8.0</v>
      </c>
      <c r="C42" s="32" t="s">
        <v>98</v>
      </c>
      <c r="D42" s="32" t="s">
        <v>99</v>
      </c>
      <c r="E42" s="45" t="s">
        <v>8195</v>
      </c>
      <c r="F42" s="13"/>
      <c r="G42" s="44" t="s">
        <v>8196</v>
      </c>
      <c r="H42" s="45" t="s">
        <v>379</v>
      </c>
      <c r="I42" s="13"/>
      <c r="J42" s="44" t="s">
        <v>8197</v>
      </c>
      <c r="K42" s="44" t="s">
        <v>8198</v>
      </c>
      <c r="L42" s="45" t="s">
        <v>8199</v>
      </c>
      <c r="M42" s="13"/>
      <c r="N42" s="87" t="s">
        <v>8200</v>
      </c>
      <c r="O42" s="13"/>
      <c r="P42" s="45" t="s">
        <v>8201</v>
      </c>
      <c r="Q42" s="13"/>
      <c r="R42" s="166"/>
      <c r="S42" s="13"/>
      <c r="T42" s="165" t="s">
        <v>8202</v>
      </c>
      <c r="U42" s="36"/>
      <c r="V42" s="41"/>
      <c r="W42" s="26"/>
      <c r="X42" s="42" t="s">
        <v>98</v>
      </c>
      <c r="Y42" s="42" t="s">
        <v>99</v>
      </c>
      <c r="Z42" s="11"/>
      <c r="AA42" s="14"/>
      <c r="AB42" s="15" t="str">
        <f>IFERROR(__xludf.DUMMYFUNCTION("join("","",filter(split($H$83,"",""),ARRAYFORMULA(ISERROR(FIND(split($H$83,"",""),CONCATENATE(E42:V42))))=TRUE))"),"СЗ,КЗ,206,210,403,404,405,406,АЗ")</f>
        <v>СЗ,КЗ,206,210,403,404,405,406,АЗ</v>
      </c>
      <c r="AC42" s="14"/>
      <c r="AD42" s="14"/>
      <c r="AE42" s="14"/>
      <c r="AF42" s="29"/>
      <c r="AG42" s="29"/>
      <c r="AH42" s="29"/>
    </row>
    <row r="43" hidden="1">
      <c r="A43" s="30"/>
      <c r="B43" s="31">
        <v>9.0</v>
      </c>
      <c r="C43" s="65">
        <v>44697.0</v>
      </c>
      <c r="D43" s="44" t="s">
        <v>109</v>
      </c>
      <c r="E43" s="167" t="s">
        <v>8203</v>
      </c>
      <c r="F43" s="4"/>
      <c r="G43" s="168"/>
      <c r="H43" s="169"/>
      <c r="I43" s="36"/>
      <c r="J43" s="13"/>
      <c r="K43" s="170"/>
      <c r="L43" s="4"/>
      <c r="M43" s="171"/>
      <c r="N43" s="45" t="s">
        <v>8204</v>
      </c>
      <c r="O43" s="13"/>
      <c r="P43" s="33" t="s">
        <v>8205</v>
      </c>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IFERROR(__xludf.DUMMYFUNCTION("join("","",filter(split($H$83,"",""),ARRAYFORMULA(ISERROR(FIND(split($H$83,"",""),CONCATENATE(E43:V43))))=TRUE))"),"КЗ,202,206,209,401,402,403,404,405,406,408,409,АЗ")</f>
        <v>КЗ,202,206,209,401,402,403,404,405,406,408,409,АЗ</v>
      </c>
      <c r="AC43" s="14"/>
      <c r="AD43" s="14"/>
      <c r="AE43" s="14"/>
      <c r="AF43" s="29"/>
      <c r="AG43" s="29"/>
      <c r="AH43" s="29"/>
    </row>
    <row r="44" hidden="1">
      <c r="A44" s="30"/>
      <c r="B44" s="31">
        <v>10.0</v>
      </c>
      <c r="C44" s="44" t="s">
        <v>120</v>
      </c>
      <c r="D44" s="44" t="s">
        <v>121</v>
      </c>
      <c r="E44" s="104"/>
      <c r="F44" s="72"/>
      <c r="G44" s="173"/>
      <c r="H44" s="169"/>
      <c r="I44" s="36"/>
      <c r="J44" s="13"/>
      <c r="K44" s="104"/>
      <c r="L44" s="72"/>
      <c r="M44" s="171"/>
      <c r="N44" s="45" t="s">
        <v>8206</v>
      </c>
      <c r="O44" s="13"/>
      <c r="P44" s="33" t="s">
        <v>8207</v>
      </c>
      <c r="Q44" s="104"/>
      <c r="R44" s="64"/>
      <c r="S44" s="64"/>
      <c r="T44" s="64"/>
      <c r="U44" s="64"/>
      <c r="V44" s="88"/>
      <c r="W44" s="26"/>
      <c r="X44" s="70" t="s">
        <v>120</v>
      </c>
      <c r="Y44" s="70" t="s">
        <v>121</v>
      </c>
      <c r="Z44" s="28"/>
      <c r="AA44" s="14"/>
      <c r="AB44" s="15" t="str">
        <f>IFERROR(__xludf.DUMMYFUNCTION("join("","",filter(split($H$83,"",""),ARRAYFORMULA(ISERROR(FIND(split($H$83,"",""),CONCATENATE(E44:V44))))=TRUE))"),"КЗ,201,202,206,209,401,402,403,404,405,406,408,409,410,АЗ")</f>
        <v>КЗ,201,202,206,209,401,402,403,404,405,406,408,409,410,АЗ</v>
      </c>
      <c r="AC44" s="14"/>
      <c r="AD44" s="14"/>
      <c r="AE44" s="14"/>
      <c r="AF44" s="29"/>
      <c r="AG44" s="29"/>
      <c r="AH44" s="29"/>
    </row>
    <row r="45" hidden="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c r="A46" s="627">
        <v>44967.0</v>
      </c>
      <c r="B46" s="19">
        <v>1.0</v>
      </c>
      <c r="C46" s="20" t="s">
        <v>12</v>
      </c>
      <c r="D46" s="20" t="s">
        <v>13</v>
      </c>
      <c r="E46" s="156" t="s">
        <v>8208</v>
      </c>
      <c r="F46" s="156" t="s">
        <v>8209</v>
      </c>
      <c r="G46" s="80"/>
      <c r="H46" s="25"/>
      <c r="I46" s="174"/>
      <c r="J46" s="175" t="s">
        <v>8210</v>
      </c>
      <c r="K46" s="25"/>
      <c r="L46" s="80" t="s">
        <v>8211</v>
      </c>
      <c r="M46" s="25"/>
      <c r="N46" s="156" t="s">
        <v>8212</v>
      </c>
      <c r="O46" s="156" t="s">
        <v>8213</v>
      </c>
      <c r="P46" s="80" t="s">
        <v>8214</v>
      </c>
      <c r="Q46" s="25"/>
      <c r="R46" s="80" t="s">
        <v>8215</v>
      </c>
      <c r="S46" s="25"/>
      <c r="T46" s="80" t="s">
        <v>8216</v>
      </c>
      <c r="U46" s="24"/>
      <c r="V46" s="22"/>
      <c r="W46" s="26"/>
      <c r="X46" s="27" t="s">
        <v>12</v>
      </c>
      <c r="Y46" s="27" t="s">
        <v>13</v>
      </c>
      <c r="Z46" s="28"/>
      <c r="AA46" s="14"/>
      <c r="AB46" s="15" t="str">
        <f>IFERROR(__xludf.DUMMYFUNCTION("join("","",filter(split($H$83,"",""),ARRAYFORMULA(ISERROR(FIND(split($H$83,"",""),CONCATENATE(E46:V46))))=TRUE))"),"СЗ,КЗ,202,206,402,408,409,410,АЗ")</f>
        <v>СЗ,КЗ,202,206,402,408,409,410,АЗ</v>
      </c>
      <c r="AC46" s="14"/>
      <c r="AD46" s="14"/>
      <c r="AE46" s="14"/>
      <c r="AF46" s="29"/>
      <c r="AG46" s="29"/>
      <c r="AH46" s="29"/>
    </row>
    <row r="47">
      <c r="A47" s="30"/>
      <c r="B47" s="31">
        <v>2.0</v>
      </c>
      <c r="C47" s="32" t="s">
        <v>21</v>
      </c>
      <c r="D47" s="32" t="s">
        <v>22</v>
      </c>
      <c r="E47" s="44" t="s">
        <v>8217</v>
      </c>
      <c r="F47" s="44" t="s">
        <v>8218</v>
      </c>
      <c r="G47" s="45"/>
      <c r="H47" s="13"/>
      <c r="I47" s="173"/>
      <c r="J47" s="157" t="s">
        <v>8219</v>
      </c>
      <c r="K47" s="13"/>
      <c r="L47" s="80" t="s">
        <v>8220</v>
      </c>
      <c r="M47" s="25"/>
      <c r="N47" s="44" t="s">
        <v>8221</v>
      </c>
      <c r="O47" s="44" t="s">
        <v>8222</v>
      </c>
      <c r="P47" s="45" t="s">
        <v>8223</v>
      </c>
      <c r="Q47" s="13"/>
      <c r="R47" s="44" t="s">
        <v>8224</v>
      </c>
      <c r="S47" s="90" t="s">
        <v>8225</v>
      </c>
      <c r="T47" s="45" t="s">
        <v>8226</v>
      </c>
      <c r="U47" s="36"/>
      <c r="V47" s="41"/>
      <c r="W47" s="26"/>
      <c r="X47" s="42" t="s">
        <v>21</v>
      </c>
      <c r="Y47" s="42" t="s">
        <v>22</v>
      </c>
      <c r="Z47" s="28"/>
      <c r="AA47" s="14"/>
      <c r="AB47" s="15" t="str">
        <f>IFERROR(__xludf.DUMMYFUNCTION("join("","",filter(split($H$83,"",""),ARRAYFORMULA(ISERROR(FIND(split($H$83,"",""),CONCATENATE(E47:V47))))=TRUE))"),"СЗ,КЗ,202,206,408,409,410,АЗ")</f>
        <v>СЗ,КЗ,202,206,408,409,410,АЗ</v>
      </c>
      <c r="AC47" s="14"/>
      <c r="AD47" s="14"/>
      <c r="AE47" s="14"/>
      <c r="AF47" s="29"/>
      <c r="AG47" s="29"/>
      <c r="AH47" s="29"/>
    </row>
    <row r="48">
      <c r="A48" s="30"/>
      <c r="B48" s="31">
        <v>3.0</v>
      </c>
      <c r="C48" s="32" t="s">
        <v>33</v>
      </c>
      <c r="D48" s="32" t="s">
        <v>34</v>
      </c>
      <c r="E48" s="40" t="s">
        <v>8227</v>
      </c>
      <c r="F48" s="13"/>
      <c r="G48" s="176" t="s">
        <v>8228</v>
      </c>
      <c r="H48" s="8"/>
      <c r="I48" s="4"/>
      <c r="J48" s="44" t="s">
        <v>8229</v>
      </c>
      <c r="K48" s="44" t="s">
        <v>8230</v>
      </c>
      <c r="L48" s="44" t="s">
        <v>8231</v>
      </c>
      <c r="M48" s="44" t="s">
        <v>8232</v>
      </c>
      <c r="N48" s="164" t="s">
        <v>8233</v>
      </c>
      <c r="O48" s="36"/>
      <c r="P48" s="36"/>
      <c r="Q48" s="13"/>
      <c r="R48" s="44" t="s">
        <v>8234</v>
      </c>
      <c r="S48" s="90" t="s">
        <v>8235</v>
      </c>
      <c r="T48" s="45" t="s">
        <v>8236</v>
      </c>
      <c r="U48" s="36"/>
      <c r="V48" s="41"/>
      <c r="W48" s="26"/>
      <c r="X48" s="42" t="s">
        <v>33</v>
      </c>
      <c r="Y48" s="42" t="s">
        <v>34</v>
      </c>
      <c r="Z48" s="48" t="s">
        <v>47</v>
      </c>
      <c r="AA48" s="85" t="str">
        <f>AA$5</f>
        <v/>
      </c>
      <c r="AB48" s="15" t="str">
        <f>IFERROR(__xludf.DUMMYFUNCTION("join("","",filter(split($H$83,"",""),ARRAYFORMULA(ISERROR(FIND(split($H$83,"",""),CONCATENATE(E48:V48))))=TRUE))"),"СЗ,КЗ,202,206,209,409,410")</f>
        <v>СЗ,КЗ,202,206,209,409,410</v>
      </c>
      <c r="AC48" s="14"/>
      <c r="AD48" s="14"/>
      <c r="AE48" s="14"/>
      <c r="AF48" s="29"/>
      <c r="AG48" s="29"/>
      <c r="AH48" s="29"/>
    </row>
    <row r="49">
      <c r="A49" s="30"/>
      <c r="B49" s="31">
        <v>4.0</v>
      </c>
      <c r="C49" s="32" t="s">
        <v>48</v>
      </c>
      <c r="D49" s="32" t="s">
        <v>49</v>
      </c>
      <c r="E49" s="40" t="s">
        <v>8237</v>
      </c>
      <c r="F49" s="13"/>
      <c r="G49" s="104"/>
      <c r="H49" s="64"/>
      <c r="I49" s="72"/>
      <c r="J49" s="44" t="s">
        <v>8238</v>
      </c>
      <c r="K49" s="44" t="s">
        <v>8239</v>
      </c>
      <c r="L49" s="44" t="s">
        <v>8240</v>
      </c>
      <c r="M49" s="44" t="s">
        <v>8241</v>
      </c>
      <c r="N49" s="164" t="s">
        <v>8242</v>
      </c>
      <c r="O49" s="36"/>
      <c r="P49" s="36"/>
      <c r="Q49" s="13"/>
      <c r="R49" s="90" t="s">
        <v>8243</v>
      </c>
      <c r="S49" s="133" t="s">
        <v>8244</v>
      </c>
      <c r="T49" s="45" t="s">
        <v>8245</v>
      </c>
      <c r="U49" s="36"/>
      <c r="V49" s="41"/>
      <c r="W49" s="26"/>
      <c r="X49" s="42" t="s">
        <v>48</v>
      </c>
      <c r="Y49" s="42" t="s">
        <v>49</v>
      </c>
      <c r="Z49" s="48" t="s">
        <v>57</v>
      </c>
      <c r="AA49" s="85" t="str">
        <f>AA$6</f>
        <v/>
      </c>
      <c r="AB49" s="15" t="str">
        <f>IFERROR(__xludf.DUMMYFUNCTION("join("","",filter(split($H$83,"",""),ARRAYFORMULA(ISERROR(FIND(split($H$83,"",""),CONCATENATE(E49:V49))))=TRUE))"),"СЗ,КЗ,201,202,206,209,410,АЗ")</f>
        <v>СЗ,КЗ,201,202,206,209,410,АЗ</v>
      </c>
      <c r="AC49" s="14"/>
      <c r="AD49" s="14"/>
      <c r="AE49" s="14"/>
      <c r="AF49" s="29"/>
      <c r="AG49" s="29"/>
      <c r="AH49" s="29"/>
    </row>
    <row r="50">
      <c r="A50" s="30"/>
      <c r="B50" s="31">
        <v>5.0</v>
      </c>
      <c r="C50" s="32" t="s">
        <v>58</v>
      </c>
      <c r="D50" s="53">
        <v>44847.0</v>
      </c>
      <c r="E50" s="45" t="s">
        <v>8246</v>
      </c>
      <c r="F50" s="13"/>
      <c r="G50" s="44" t="s">
        <v>8247</v>
      </c>
      <c r="H50" s="44" t="s">
        <v>8248</v>
      </c>
      <c r="I50" s="44" t="s">
        <v>8249</v>
      </c>
      <c r="J50" s="45" t="s">
        <v>8250</v>
      </c>
      <c r="K50" s="13"/>
      <c r="L50" s="45" t="s">
        <v>8251</v>
      </c>
      <c r="M50" s="13"/>
      <c r="N50" s="177" t="s">
        <v>8252</v>
      </c>
      <c r="O50" s="124" t="s">
        <v>8253</v>
      </c>
      <c r="P50" s="45" t="s">
        <v>8254</v>
      </c>
      <c r="Q50" s="13"/>
      <c r="R50" s="162" t="s">
        <v>8255</v>
      </c>
      <c r="S50" s="133" t="s">
        <v>8256</v>
      </c>
      <c r="T50" s="45" t="s">
        <v>8257</v>
      </c>
      <c r="U50" s="36"/>
      <c r="V50" s="41"/>
      <c r="W50" s="26"/>
      <c r="X50" s="42" t="s">
        <v>58</v>
      </c>
      <c r="Y50" s="54">
        <v>44847.0</v>
      </c>
      <c r="Z50" s="48" t="s">
        <v>70</v>
      </c>
      <c r="AA50" s="85" t="str">
        <f>AA$7</f>
        <v/>
      </c>
      <c r="AB50" s="15" t="str">
        <f>IFERROR(__xludf.DUMMYFUNCTION("join("","",filter(split($H$83,"",""),ARRAYFORMULA(ISERROR(FIND(split($H$83,"",""),CONCATENATE(E50:V50))))=TRUE))"),"СЗ,КЗ,206,404,409,410")</f>
        <v>СЗ,КЗ,206,404,409,410</v>
      </c>
      <c r="AC50" s="14"/>
      <c r="AD50" s="14"/>
      <c r="AE50" s="14"/>
      <c r="AF50" s="29"/>
      <c r="AG50" s="29"/>
      <c r="AH50" s="29"/>
    </row>
    <row r="51">
      <c r="A51" s="30"/>
      <c r="B51" s="31">
        <v>6.0</v>
      </c>
      <c r="C51" s="55" t="s">
        <v>71</v>
      </c>
      <c r="D51" s="56" t="s">
        <v>72</v>
      </c>
      <c r="E51" s="45" t="s">
        <v>8258</v>
      </c>
      <c r="F51" s="13"/>
      <c r="G51" s="44" t="s">
        <v>8259</v>
      </c>
      <c r="H51" s="44" t="s">
        <v>8260</v>
      </c>
      <c r="I51" s="44" t="s">
        <v>8261</v>
      </c>
      <c r="J51" s="45" t="s">
        <v>8262</v>
      </c>
      <c r="K51" s="13"/>
      <c r="L51" s="45" t="s">
        <v>8263</v>
      </c>
      <c r="M51" s="13"/>
      <c r="N51" s="177" t="s">
        <v>8264</v>
      </c>
      <c r="O51" s="124" t="s">
        <v>8265</v>
      </c>
      <c r="P51" s="45" t="s">
        <v>8266</v>
      </c>
      <c r="Q51" s="13"/>
      <c r="R51" s="180" t="s">
        <v>8267</v>
      </c>
      <c r="S51" s="178" t="s">
        <v>8268</v>
      </c>
      <c r="T51" s="44" t="s">
        <v>8269</v>
      </c>
      <c r="U51" s="44" t="s">
        <v>8270</v>
      </c>
      <c r="V51" s="34"/>
      <c r="W51" s="179"/>
      <c r="X51" s="58" t="s">
        <v>71</v>
      </c>
      <c r="Y51" s="59" t="s">
        <v>72</v>
      </c>
      <c r="Z51" s="48" t="s">
        <v>84</v>
      </c>
      <c r="AA51" s="85"/>
      <c r="AB51" s="15" t="str">
        <f>IFERROR(__xludf.DUMMYFUNCTION("join("","",filter(split($H$83,"",""),ARRAYFORMULA(ISERROR(FIND(split($H$83,"",""),CONCATENATE(E51:V51))))=TRUE))"),"СЗ,206,404,409,410")</f>
        <v>СЗ,206,404,409,410</v>
      </c>
      <c r="AC51" s="15" t="str">
        <f>IFERROR(__xludf.DUMMYFUNCTION("join("","",filter(split(#REF!,"",""),ARRAYFORMULA(ISERROR(FIND(split(#REF!,"",""),CONCATENATE(E51:S51))))=TRUE))"),"#REF!")</f>
        <v>#REF!</v>
      </c>
      <c r="AD51" s="14"/>
      <c r="AE51" s="14"/>
      <c r="AF51" s="29"/>
      <c r="AG51" s="29"/>
      <c r="AH51" s="29"/>
    </row>
    <row r="52">
      <c r="A52" s="30"/>
      <c r="B52" s="31">
        <v>7.0</v>
      </c>
      <c r="C52" s="32" t="s">
        <v>85</v>
      </c>
      <c r="D52" s="32" t="s">
        <v>86</v>
      </c>
      <c r="E52" s="45" t="s">
        <v>8271</v>
      </c>
      <c r="F52" s="13"/>
      <c r="G52" s="45" t="s">
        <v>8272</v>
      </c>
      <c r="H52" s="13"/>
      <c r="I52" s="44" t="s">
        <v>8273</v>
      </c>
      <c r="J52" s="45" t="s">
        <v>8274</v>
      </c>
      <c r="K52" s="13"/>
      <c r="L52" s="45" t="s">
        <v>8275</v>
      </c>
      <c r="M52" s="13"/>
      <c r="N52" s="86" t="s">
        <v>8276</v>
      </c>
      <c r="O52" s="13"/>
      <c r="P52" s="124" t="s">
        <v>8277</v>
      </c>
      <c r="Q52" s="90"/>
      <c r="R52" s="180" t="s">
        <v>8278</v>
      </c>
      <c r="S52" s="181" t="s">
        <v>8279</v>
      </c>
      <c r="T52" s="44" t="s">
        <v>472</v>
      </c>
      <c r="U52" s="44"/>
      <c r="V52" s="34"/>
      <c r="W52" s="26"/>
      <c r="X52" s="42" t="s">
        <v>85</v>
      </c>
      <c r="Y52" s="42" t="s">
        <v>86</v>
      </c>
      <c r="Z52" s="48" t="s">
        <v>97</v>
      </c>
      <c r="AA52" s="85" t="str">
        <f>AA$9</f>
        <v/>
      </c>
      <c r="AB52" s="15" t="str">
        <f>IFERROR(__xludf.DUMMYFUNCTION("join("","",filter(split($H$83,"",""),ARRAYFORMULA(ISERROR(FIND(split($H$83,"",""),CONCATENATE(E52:V52))))=TRUE))"),"СЗ,206,403,404,406,410")</f>
        <v>СЗ,206,403,404,406,410</v>
      </c>
      <c r="AC52" s="14"/>
      <c r="AD52" s="14"/>
      <c r="AE52" s="14"/>
      <c r="AF52" s="29"/>
      <c r="AG52" s="29"/>
      <c r="AH52" s="29"/>
    </row>
    <row r="53">
      <c r="A53" s="30"/>
      <c r="B53" s="31">
        <v>8.0</v>
      </c>
      <c r="C53" s="32" t="s">
        <v>98</v>
      </c>
      <c r="D53" s="32" t="s">
        <v>99</v>
      </c>
      <c r="E53" s="45" t="s">
        <v>8280</v>
      </c>
      <c r="F53" s="13"/>
      <c r="G53" s="416" t="s">
        <v>1913</v>
      </c>
      <c r="H53" s="86" t="s">
        <v>8281</v>
      </c>
      <c r="I53" s="13"/>
      <c r="J53" s="45" t="s">
        <v>8282</v>
      </c>
      <c r="K53" s="13"/>
      <c r="L53" s="45" t="s">
        <v>8283</v>
      </c>
      <c r="M53" s="13"/>
      <c r="N53" s="182"/>
      <c r="O53" s="177" t="s">
        <v>8284</v>
      </c>
      <c r="P53" s="124" t="s">
        <v>8285</v>
      </c>
      <c r="Q53" s="90"/>
      <c r="R53" s="183" t="s">
        <v>8286</v>
      </c>
      <c r="S53" s="181" t="s">
        <v>8287</v>
      </c>
      <c r="T53" s="144"/>
      <c r="U53" s="144"/>
      <c r="V53" s="184"/>
      <c r="W53" s="26"/>
      <c r="X53" s="42" t="s">
        <v>98</v>
      </c>
      <c r="Y53" s="42" t="s">
        <v>99</v>
      </c>
      <c r="Z53" s="11"/>
      <c r="AA53" s="14"/>
      <c r="AB53" s="15" t="str">
        <f>IFERROR(__xludf.DUMMYFUNCTION("join("","",filter(split($H$83,"",""),ARRAYFORMULA(ISERROR(FIND(split($H$83,"",""),CONCATENATE(E53:V53))))=TRUE))"),"СЗ,201,206,401,403,404,405,408,410")</f>
        <v>СЗ,201,206,401,403,404,405,408,410</v>
      </c>
      <c r="AC53" s="14"/>
      <c r="AD53" s="14"/>
      <c r="AE53" s="14"/>
      <c r="AF53" s="29"/>
      <c r="AG53" s="29"/>
      <c r="AH53" s="29"/>
    </row>
    <row r="54">
      <c r="A54" s="30"/>
      <c r="B54" s="31">
        <v>9.0</v>
      </c>
      <c r="C54" s="65">
        <v>44697.0</v>
      </c>
      <c r="D54" s="44" t="s">
        <v>109</v>
      </c>
      <c r="E54" s="187" t="s">
        <v>5804</v>
      </c>
      <c r="F54" s="8"/>
      <c r="G54" s="8"/>
      <c r="H54" s="8"/>
      <c r="I54" s="8"/>
      <c r="J54" s="8"/>
      <c r="K54" s="8"/>
      <c r="L54" s="8"/>
      <c r="M54" s="8"/>
      <c r="N54" s="163"/>
      <c r="O54" s="177" t="s">
        <v>7494</v>
      </c>
      <c r="P54" s="187" t="s">
        <v>5804</v>
      </c>
      <c r="Q54" s="8"/>
      <c r="R54" s="8"/>
      <c r="S54" s="8"/>
      <c r="T54" s="8"/>
      <c r="U54" s="8"/>
      <c r="V54" s="8"/>
      <c r="W54" s="186"/>
      <c r="X54" s="69">
        <v>44697.0</v>
      </c>
      <c r="Y54" s="70" t="s">
        <v>109</v>
      </c>
      <c r="Z54" s="28"/>
      <c r="AA54" s="14"/>
      <c r="AB54" s="15" t="str">
        <f>IFERROR(__xludf.DUMMYFUNCTION("join("","",filter(split($H$83,"",""),ARRAYFORMULA(ISERROR(FIND(split($H$83,"",""),CONCATENATE(E54:V54))))=TRUE))"),"201,206,209,401,403,404,405,408,410,АЗ")</f>
        <v>201,206,209,401,403,404,405,408,410,АЗ</v>
      </c>
      <c r="AC54" s="14"/>
      <c r="AD54" s="14"/>
      <c r="AE54" s="14"/>
      <c r="AF54" s="29"/>
      <c r="AG54" s="29"/>
      <c r="AH54" s="29"/>
    </row>
    <row r="55">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c r="A57" s="627">
        <v>44968.0</v>
      </c>
      <c r="B57" s="191">
        <v>1.0</v>
      </c>
      <c r="C57" s="192" t="str">
        <f>D$1</f>
        <v/>
      </c>
      <c r="D57" s="72"/>
      <c r="E57" s="193"/>
      <c r="F57" s="193"/>
      <c r="G57" s="194" t="s">
        <v>481</v>
      </c>
      <c r="H57" s="64"/>
      <c r="I57" s="72"/>
      <c r="J57" s="195"/>
      <c r="K57" s="64"/>
      <c r="L57" s="64"/>
      <c r="M57" s="72"/>
      <c r="N57" s="193"/>
      <c r="O57" s="177"/>
      <c r="P57" s="187" t="s">
        <v>8288</v>
      </c>
      <c r="Q57" s="8"/>
      <c r="R57" s="8"/>
      <c r="S57" s="4"/>
      <c r="T57" s="193"/>
      <c r="U57" s="193"/>
      <c r="V57" s="193"/>
      <c r="W57" s="15"/>
      <c r="X57" s="197" t="str">
        <f>Y$1</f>
        <v/>
      </c>
      <c r="Y57" s="13"/>
      <c r="Z57" s="28"/>
      <c r="AA57" s="14"/>
      <c r="AB57" s="15"/>
      <c r="AC57" s="14"/>
      <c r="AD57" s="14"/>
      <c r="AE57" s="14"/>
      <c r="AF57" s="29"/>
      <c r="AG57" s="29"/>
      <c r="AH57" s="29"/>
    </row>
    <row r="58">
      <c r="A58" s="30"/>
      <c r="B58" s="31">
        <v>2.0</v>
      </c>
      <c r="C58" s="85"/>
      <c r="D58" s="85"/>
      <c r="E58" s="15"/>
      <c r="F58" s="15"/>
      <c r="G58" s="15"/>
      <c r="H58" s="15"/>
      <c r="I58" s="15"/>
      <c r="J58" s="15"/>
      <c r="K58" s="15"/>
      <c r="L58" s="15"/>
      <c r="M58" s="15"/>
      <c r="N58" s="15"/>
      <c r="O58" s="177"/>
      <c r="P58" s="104"/>
      <c r="Q58" s="64"/>
      <c r="R58" s="64"/>
      <c r="S58" s="72"/>
      <c r="T58" s="15"/>
      <c r="U58" s="15"/>
      <c r="V58" s="15"/>
      <c r="W58" s="15"/>
      <c r="X58" s="85"/>
      <c r="Y58" s="85"/>
      <c r="Z58" s="198"/>
      <c r="AA58" s="14"/>
      <c r="AB58" s="15"/>
      <c r="AC58" s="14"/>
      <c r="AD58" s="14"/>
      <c r="AE58" s="14"/>
      <c r="AF58" s="29"/>
      <c r="AG58" s="29"/>
      <c r="AH58" s="29"/>
    </row>
    <row r="59">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80">
    <mergeCell ref="G1:I1"/>
    <mergeCell ref="N1:O1"/>
    <mergeCell ref="P1:Q1"/>
    <mergeCell ref="R1:S1"/>
    <mergeCell ref="A2:A12"/>
    <mergeCell ref="P3:Q3"/>
    <mergeCell ref="A13:A23"/>
    <mergeCell ref="P22:S22"/>
    <mergeCell ref="L25:M25"/>
    <mergeCell ref="N25:O25"/>
    <mergeCell ref="L26:M26"/>
    <mergeCell ref="N26:O26"/>
    <mergeCell ref="J24:M24"/>
    <mergeCell ref="L27:M27"/>
    <mergeCell ref="J28:K28"/>
    <mergeCell ref="J29:K29"/>
    <mergeCell ref="E33:F33"/>
    <mergeCell ref="E34:F34"/>
    <mergeCell ref="G35:I35"/>
    <mergeCell ref="J35:K35"/>
    <mergeCell ref="N32:O32"/>
    <mergeCell ref="N35:O35"/>
    <mergeCell ref="N27:O27"/>
    <mergeCell ref="L28:M28"/>
    <mergeCell ref="N28:O28"/>
    <mergeCell ref="N31:O31"/>
    <mergeCell ref="P31:Q32"/>
    <mergeCell ref="J32:M32"/>
    <mergeCell ref="G33:Q34"/>
    <mergeCell ref="N17:O17"/>
    <mergeCell ref="E18:F18"/>
    <mergeCell ref="H18:I18"/>
    <mergeCell ref="J18:K18"/>
    <mergeCell ref="L18:M18"/>
    <mergeCell ref="N18:O18"/>
    <mergeCell ref="E19:F19"/>
    <mergeCell ref="H19:I19"/>
    <mergeCell ref="P19:Q19"/>
    <mergeCell ref="E20:F20"/>
    <mergeCell ref="H20:I20"/>
    <mergeCell ref="P20:Q20"/>
    <mergeCell ref="H21:M21"/>
    <mergeCell ref="N21:O21"/>
    <mergeCell ref="P21:Q21"/>
    <mergeCell ref="R21:S21"/>
    <mergeCell ref="T21:V21"/>
    <mergeCell ref="T22:V22"/>
    <mergeCell ref="R23:V23"/>
    <mergeCell ref="T24:V24"/>
    <mergeCell ref="T25:V25"/>
    <mergeCell ref="E21:F22"/>
    <mergeCell ref="G21:G22"/>
    <mergeCell ref="G30:H30"/>
    <mergeCell ref="E31:F31"/>
    <mergeCell ref="G31:I32"/>
    <mergeCell ref="J36:K36"/>
    <mergeCell ref="N36:O36"/>
    <mergeCell ref="T39:V39"/>
    <mergeCell ref="T40:V40"/>
    <mergeCell ref="T41:V41"/>
    <mergeCell ref="T42:V42"/>
    <mergeCell ref="T26:V26"/>
    <mergeCell ref="T27:V27"/>
    <mergeCell ref="T28:V32"/>
    <mergeCell ref="T35:V35"/>
    <mergeCell ref="T36:V36"/>
    <mergeCell ref="T37:V37"/>
    <mergeCell ref="T38:V38"/>
    <mergeCell ref="H41:I41"/>
    <mergeCell ref="H42:I42"/>
    <mergeCell ref="G43:G44"/>
    <mergeCell ref="H43:J43"/>
    <mergeCell ref="K43:L44"/>
    <mergeCell ref="H44:J44"/>
    <mergeCell ref="I46:I47"/>
    <mergeCell ref="G48:I49"/>
    <mergeCell ref="J50:K50"/>
    <mergeCell ref="L50:M50"/>
    <mergeCell ref="J51:K51"/>
    <mergeCell ref="L51:M51"/>
    <mergeCell ref="J52:K52"/>
    <mergeCell ref="L52:M52"/>
    <mergeCell ref="K66:L66"/>
    <mergeCell ref="K67:L67"/>
    <mergeCell ref="K68:L68"/>
    <mergeCell ref="G52:H52"/>
    <mergeCell ref="H53:I53"/>
    <mergeCell ref="J53:K53"/>
    <mergeCell ref="L53:M53"/>
    <mergeCell ref="E54:M55"/>
    <mergeCell ref="G57:I57"/>
    <mergeCell ref="J57:M57"/>
    <mergeCell ref="H36:I36"/>
    <mergeCell ref="G37:H37"/>
    <mergeCell ref="J37:K37"/>
    <mergeCell ref="N37:Q37"/>
    <mergeCell ref="H38:I38"/>
    <mergeCell ref="J38:K38"/>
    <mergeCell ref="N38:Q38"/>
    <mergeCell ref="H39:I39"/>
    <mergeCell ref="L39:M39"/>
    <mergeCell ref="P39:Q39"/>
    <mergeCell ref="H40:I40"/>
    <mergeCell ref="L40:M40"/>
    <mergeCell ref="P40:Q40"/>
    <mergeCell ref="P41:Q41"/>
    <mergeCell ref="N43:O43"/>
    <mergeCell ref="N44:O44"/>
    <mergeCell ref="N52:O52"/>
    <mergeCell ref="L41:M41"/>
    <mergeCell ref="N41:O41"/>
    <mergeCell ref="L42:M42"/>
    <mergeCell ref="N42:O42"/>
    <mergeCell ref="P42:Q42"/>
    <mergeCell ref="R42:S42"/>
    <mergeCell ref="Q43:V44"/>
    <mergeCell ref="G46:H46"/>
    <mergeCell ref="J46:K46"/>
    <mergeCell ref="L46:M46"/>
    <mergeCell ref="P46:Q46"/>
    <mergeCell ref="R46:S46"/>
    <mergeCell ref="T46:V46"/>
    <mergeCell ref="T48:V48"/>
    <mergeCell ref="T49:V49"/>
    <mergeCell ref="P50:Q50"/>
    <mergeCell ref="T50:V50"/>
    <mergeCell ref="P51:Q51"/>
    <mergeCell ref="P54:V55"/>
    <mergeCell ref="P57:S58"/>
    <mergeCell ref="X57:Y57"/>
    <mergeCell ref="G47:H47"/>
    <mergeCell ref="J47:K47"/>
    <mergeCell ref="L47:M47"/>
    <mergeCell ref="P47:Q47"/>
    <mergeCell ref="T47:V47"/>
    <mergeCell ref="N48:Q48"/>
    <mergeCell ref="N49:Q49"/>
    <mergeCell ref="E26:F26"/>
    <mergeCell ref="E48:F48"/>
    <mergeCell ref="A46:A56"/>
    <mergeCell ref="A57:A67"/>
    <mergeCell ref="C1:D1"/>
    <mergeCell ref="E13:F13"/>
    <mergeCell ref="A24:A34"/>
    <mergeCell ref="E24:F24"/>
    <mergeCell ref="E25:F25"/>
    <mergeCell ref="A35:A45"/>
    <mergeCell ref="E53:F53"/>
    <mergeCell ref="C57:D57"/>
    <mergeCell ref="E32:F32"/>
    <mergeCell ref="E35:F35"/>
    <mergeCell ref="E36:F36"/>
    <mergeCell ref="E37:F37"/>
    <mergeCell ref="E38:F38"/>
    <mergeCell ref="E39:F39"/>
    <mergeCell ref="E40:F40"/>
    <mergeCell ref="E41:F41"/>
    <mergeCell ref="E42:F42"/>
    <mergeCell ref="E43:F44"/>
    <mergeCell ref="E49:F49"/>
    <mergeCell ref="E50:F50"/>
    <mergeCell ref="E51:F51"/>
    <mergeCell ref="E52:F52"/>
    <mergeCell ref="T1:V1"/>
    <mergeCell ref="X1:Y1"/>
    <mergeCell ref="E1:F1"/>
    <mergeCell ref="E2:F2"/>
    <mergeCell ref="G2:I2"/>
    <mergeCell ref="J2:M2"/>
    <mergeCell ref="P2:Q2"/>
    <mergeCell ref="R2:S2"/>
    <mergeCell ref="T2:V2"/>
    <mergeCell ref="G3:I3"/>
    <mergeCell ref="J3:K3"/>
    <mergeCell ref="L3:M3"/>
    <mergeCell ref="N3:O3"/>
    <mergeCell ref="T3:V3"/>
    <mergeCell ref="N4:O4"/>
    <mergeCell ref="P4:Q4"/>
    <mergeCell ref="T4:V4"/>
    <mergeCell ref="T5:V5"/>
    <mergeCell ref="T6:V6"/>
    <mergeCell ref="H5:I5"/>
    <mergeCell ref="N5:O5"/>
    <mergeCell ref="P5:Q5"/>
    <mergeCell ref="R5:S5"/>
    <mergeCell ref="H6:I6"/>
    <mergeCell ref="N6:O6"/>
    <mergeCell ref="P6:Q6"/>
    <mergeCell ref="R6:S6"/>
    <mergeCell ref="H7:I7"/>
    <mergeCell ref="J7:K7"/>
    <mergeCell ref="L7:M7"/>
    <mergeCell ref="N7:O7"/>
    <mergeCell ref="P7:Q7"/>
    <mergeCell ref="R7:S7"/>
    <mergeCell ref="U7:V7"/>
    <mergeCell ref="U8:V8"/>
    <mergeCell ref="R9:V9"/>
    <mergeCell ref="H8:I8"/>
    <mergeCell ref="J8:K8"/>
    <mergeCell ref="L8:M8"/>
    <mergeCell ref="N8:O8"/>
    <mergeCell ref="P8:Q8"/>
    <mergeCell ref="R8:S8"/>
    <mergeCell ref="H9:I9"/>
    <mergeCell ref="J9:K9"/>
    <mergeCell ref="L9:M9"/>
    <mergeCell ref="N9:O9"/>
    <mergeCell ref="E10:F10"/>
    <mergeCell ref="H10:I10"/>
    <mergeCell ref="J10:K10"/>
    <mergeCell ref="L10:M10"/>
    <mergeCell ref="S10:V10"/>
    <mergeCell ref="T11:V11"/>
    <mergeCell ref="U13:V13"/>
    <mergeCell ref="U14:V14"/>
    <mergeCell ref="T15:V15"/>
    <mergeCell ref="T16:V16"/>
    <mergeCell ref="J1:M1"/>
    <mergeCell ref="J4:K4"/>
    <mergeCell ref="L4:M4"/>
    <mergeCell ref="N10:O10"/>
    <mergeCell ref="E11:S11"/>
    <mergeCell ref="H13:I13"/>
    <mergeCell ref="J13:K13"/>
    <mergeCell ref="L13:M13"/>
    <mergeCell ref="N13:O13"/>
    <mergeCell ref="P13:Q13"/>
    <mergeCell ref="R13:S13"/>
    <mergeCell ref="E14:F14"/>
    <mergeCell ref="H14:I14"/>
    <mergeCell ref="J14:K14"/>
    <mergeCell ref="L14:M14"/>
    <mergeCell ref="N14:O14"/>
    <mergeCell ref="P14:Q14"/>
    <mergeCell ref="R14:S14"/>
    <mergeCell ref="E15:F15"/>
    <mergeCell ref="G15:I15"/>
    <mergeCell ref="J15:K15"/>
    <mergeCell ref="L15:M15"/>
    <mergeCell ref="N15:O15"/>
    <mergeCell ref="P15:Q15"/>
    <mergeCell ref="E16:F16"/>
    <mergeCell ref="G16:I16"/>
    <mergeCell ref="J16:K16"/>
    <mergeCell ref="L16:M16"/>
    <mergeCell ref="N16:O16"/>
    <mergeCell ref="P16:Q16"/>
    <mergeCell ref="E17:F17"/>
    <mergeCell ref="H17:I17"/>
    <mergeCell ref="J17:K17"/>
    <mergeCell ref="L17:M17"/>
    <mergeCell ref="T17:V17"/>
    <mergeCell ref="T18:V18"/>
    <mergeCell ref="T19:V19"/>
    <mergeCell ref="T20:V20"/>
    <mergeCell ref="H22:M22"/>
    <mergeCell ref="N22:O22"/>
    <mergeCell ref="N24:O24"/>
    <mergeCell ref="P24:Q30"/>
    <mergeCell ref="R24:S24"/>
    <mergeCell ref="R25:S25"/>
    <mergeCell ref="R26:S26"/>
    <mergeCell ref="J25:K25"/>
    <mergeCell ref="G26:I26"/>
    <mergeCell ref="J26:K26"/>
    <mergeCell ref="G27:I27"/>
    <mergeCell ref="J27:K27"/>
    <mergeCell ref="G28:I28"/>
    <mergeCell ref="G29:H29"/>
    <mergeCell ref="L30:M30"/>
    <mergeCell ref="J31:M31"/>
    <mergeCell ref="J19:K19"/>
    <mergeCell ref="M19:N20"/>
    <mergeCell ref="J20:K20"/>
    <mergeCell ref="L29:M29"/>
    <mergeCell ref="N29:O29"/>
    <mergeCell ref="J30:K30"/>
    <mergeCell ref="N30:O30"/>
  </mergeCells>
  <conditionalFormatting sqref="E1:R86 S1:S28 T1:T86 U1:U31 AD27:AD30 S31:S86 V32:V34 U35:U86 V50:V52 W51">
    <cfRule type="containsText" dxfId="0" priority="1" operator="containsText" text="Физика">
      <formula>NOT(ISERROR(SEARCH(("Физика"),(E1))))</formula>
    </cfRule>
  </conditionalFormatting>
  <conditionalFormatting sqref="N52:O52 E54:W55">
    <cfRule type="containsText" dxfId="1" priority="2" operator="containsText" text="Шерашова">
      <formula>NOT(ISERROR(SEARCH(("Шерашова"),(N52))))</formula>
    </cfRule>
  </conditionalFormatting>
  <conditionalFormatting sqref="E2:N53 O2:O54 P2:R53 S2:S28 T2:T53 U2:U31 AD27:AD30 S31:S53 V32:V34 U35:U53 V50:V52 W51 O57:O58 P57 K61:L68">
    <cfRule type="containsText" dxfId="2" priority="3" operator="containsText" text="Шерашова">
      <formula>NOT(ISERROR(SEARCH(("Шерашова"),(E2))))</formula>
    </cfRule>
  </conditionalFormatting>
  <conditionalFormatting sqref="E2:N53 O2:O54 P2:R53 S2:S28 T2:T53 U2:U31 AD27:AD30 S31:S53 V32:V34 U35:U53 V50:V52 W51 O57:O58 P57 K61:L68">
    <cfRule type="containsText" dxfId="3" priority="4" operator="containsText" text="Англ">
      <formula>NOT(ISERROR(SEARCH(("Англ"),(E2))))</formula>
    </cfRule>
  </conditionalFormatting>
  <conditionalFormatting sqref="E2:N53 O2:O54 P2:R53 S2:S28 T2:T53 U2:U31 AD27:AD30 S31:S53 V32:V34 U35:U53 V50:V52 W51 O57:O58 P57 K61:L68">
    <cfRule type="containsText" dxfId="4" priority="5" operator="containsText" text="Театр">
      <formula>NOT(ISERROR(SEARCH(("Театр"),(E2))))</formula>
    </cfRule>
  </conditionalFormatting>
  <conditionalFormatting sqref="E2:N53 O2:O54 P2:R53 S2:S28 T2:T53 U2:U31 AD27:AD30 S31:S53 V32:V34 U35:U53 V50:V52 W51 O57:O58 P57 K61:L68">
    <cfRule type="containsText" dxfId="5" priority="6" operator="containsText" text="Колечкин">
      <formula>NOT(ISERROR(SEARCH(("Колечкин"),(E2))))</formula>
    </cfRule>
  </conditionalFormatting>
  <conditionalFormatting sqref="E2:G72 H2:H73 I2:R72 S2:S28 T2:W72 AD27:AD30 S31:S72">
    <cfRule type="containsText" dxfId="0" priority="7" operator="containsText" text="Репнев">
      <formula>NOT(ISERROR(SEARCH(("Репнев"),(E2))))</formula>
    </cfRule>
  </conditionalFormatting>
  <conditionalFormatting sqref="E2:G65 H2:H73 I2:J65 K2:L68 M2:R65 S2:S28 T2:W65 AD27:AD30 S31:S65">
    <cfRule type="containsText" dxfId="6" priority="8" operator="containsText" text="Рогацкина">
      <formula>NOT(ISERROR(SEARCH(("Рогацкина"),(E2))))</formula>
    </cfRule>
  </conditionalFormatting>
  <conditionalFormatting sqref="E2:G67 H2:H73 I2:J67 K2:L68 M2:R67 S2:S28 T2:W67 AD27:AD30 S31:S67">
    <cfRule type="containsText" dxfId="7" priority="9" operator="containsText" text="Белоусова">
      <formula>NOT(ISERROR(SEARCH(("Белоусова"),(E2))))</formula>
    </cfRule>
  </conditionalFormatting>
  <conditionalFormatting sqref="E2:G60 H2:H73 I2:J65 K2:L68 M2:M65 N2:R60 S2:S28 T2:W60 AD27:AD30 S31:S60">
    <cfRule type="containsText" dxfId="8" priority="10" operator="containsText" text="Караванова">
      <formula>NOT(ISERROR(SEARCH(("Караванова"),(E2))))</formula>
    </cfRule>
  </conditionalFormatting>
  <conditionalFormatting sqref="E2:G63 H2:H73 I2:J65 K2:L68 M2:M65 N2:R63 S2:S28 T2:W63 AD27:AD30 S31:S63">
    <cfRule type="containsText" dxfId="9" priority="11" operator="containsText" text="Дронзик">
      <formula>NOT(ISERROR(SEARCH(("Дронзик"),(E2))))</formula>
    </cfRule>
  </conditionalFormatting>
  <conditionalFormatting sqref="E2:G64 H2:H73 I2:J65 K2:L68 M2:M65 N2:R64 S2:S28 T2:W64 AD27:AD30 S31:S64">
    <cfRule type="containsText" dxfId="10" priority="12" operator="containsText" text="Старунова">
      <formula>NOT(ISERROR(SEARCH(("Старунова"),(E2))))</formula>
    </cfRule>
  </conditionalFormatting>
  <conditionalFormatting sqref="E2:G62 H2:H73 I2:J65 K2:L68 M2:M65 N2:R62 S2:S28 T2:W62 AD27:AD30 S31:S62">
    <cfRule type="containsText" dxfId="11" priority="13" operator="containsText" text="Харитонов">
      <formula>NOT(ISERROR(SEARCH(("Харитонов"),(E2))))</formula>
    </cfRule>
  </conditionalFormatting>
  <conditionalFormatting sqref="E2:G67 H2:H73 I2:J67 K2:L68 M2:R67 S2:S28 T2:W67 AD27:AD30 S31:S67">
    <cfRule type="containsText" dxfId="12" priority="14" operator="containsText" text="Хуснутдинов">
      <formula>NOT(ISERROR(SEARCH(("Хуснутдинов"),(E2))))</formula>
    </cfRule>
  </conditionalFormatting>
  <conditionalFormatting sqref="E2:G66 H2:H73 I2:J66 K2:L68 M2:R66 S2:S28 T2:W66 AD27:AD30 S31:S66">
    <cfRule type="containsText" dxfId="13" priority="15" operator="containsText" text="Решетников">
      <formula>NOT(ISERROR(SEARCH(("Решетников"),(E2))))</formula>
    </cfRule>
  </conditionalFormatting>
  <conditionalFormatting sqref="E2:G69 H2:H73 I2:R69 S2:S28 T2:W69 AD27:AD30 S31:S69">
    <cfRule type="containsText" dxfId="14" priority="16" operator="containsText" text="Заводов">
      <formula>NOT(ISERROR(SEARCH(("Заводов"),(E2))))</formula>
    </cfRule>
  </conditionalFormatting>
  <conditionalFormatting sqref="E1:G66 H1:H73 I1:J66 K1:L68 M1:R66 S1:S28 T1:W66 AD27:AD30 S31:S66">
    <cfRule type="containsText" dxfId="15" priority="17" operator="containsText" text="Абрамов">
      <formula>NOT(ISERROR(SEARCH(("Абрамов"),(E1))))</formula>
    </cfRule>
  </conditionalFormatting>
  <conditionalFormatting sqref="E2:G67 H2:H73 I2:J67 K2:L68 M2:R67 S2:S28 T2:W67 AD27:AD30 S31:S67">
    <cfRule type="containsText" dxfId="16" priority="18" operator="containsText" text="Климов">
      <formula>NOT(ISERROR(SEARCH(("Климов"),(E2))))</formula>
    </cfRule>
  </conditionalFormatting>
  <conditionalFormatting sqref="E2:G61 H2:H73 I2:J65 K2:L68 M2:M65 N2:R61 S2:S28 T2:W61 AD27:AD30 S31:S61">
    <cfRule type="containsText" dxfId="17" priority="19" operator="containsText" text="Клейменов">
      <formula>NOT(ISERROR(SEARCH(("Клейменов"),(E2))))</formula>
    </cfRule>
  </conditionalFormatting>
  <conditionalFormatting sqref="E2:G68 H2:H73 I2:R68 S2:S28 T2:W68 AD27:AD30 S31:S68">
    <cfRule type="containsText" dxfId="18" priority="20" operator="containsText" text="Попович">
      <formula>NOT(ISERROR(SEARCH(("Попович"),(E2))))</formula>
    </cfRule>
  </conditionalFormatting>
  <conditionalFormatting sqref="E2:G68 H2:H73 I2:R68 S2:S28 T2:W68 AD27:AD30 S31:S68">
    <cfRule type="containsText" dxfId="19" priority="21" operator="containsText" text="Исмаилов">
      <formula>NOT(ISERROR(SEARCH(("Исмаилов"),(E2))))</formula>
    </cfRule>
  </conditionalFormatting>
  <conditionalFormatting sqref="E2:E20 F2:F12 G2:I45 J2:K49 L2:Q45 R2:S6 T2:V8 S10:S28 T10:V45 R11:R46 F15:F17 F19:F20 E24:E53 F24:F30 AD27:AD30 S31:S32 F32:F45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R65 S2:S28 T2:W65 AD27:AD30 S31:S65">
    <cfRule type="containsText" dxfId="21" priority="23" operator="containsText" text="Краснова">
      <formula>NOT(ISERROR(SEARCH(("Краснова"),(E2))))</formula>
    </cfRule>
  </conditionalFormatting>
  <conditionalFormatting sqref="E2:G65 H2:H73 I2:J65 K2:L68 M2:R65 S2:S28 T2:W65 AD27:AD30 S31:S65">
    <cfRule type="containsText" dxfId="22" priority="24" operator="containsText" text="Белоус">
      <formula>NOT(ISERROR(SEARCH(("Белоус"),(E2))))</formula>
    </cfRule>
  </conditionalFormatting>
  <conditionalFormatting sqref="E2:G65 H2:H73 I2:J65 K2:L68 M2:R65 S2:S28 T2:W65 AD27:AD30 S31:S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1 E53">
      <formula1>IF(COUNTA(filter($E1:$W1,ARRAYFORMULA(ISERROR(FIND(join(",",filter(split($H$83,","),ARRAYFORMULA(ISERROR(FIND(split($H$83,","),E50)))=FALSE)),$E1:$W1))=FALSE)))&gt;1,FALSE,TRUE)</formula1>
    </dataValidation>
    <dataValidation type="custom" allowBlank="1" showDropDown="1" sqref="N5:N6 N13:N14 G24:I25 N25:N26 T24:T27 T37:T38 N41:N42">
      <formula1>IF(COUNTA(filter($E7:$W7,ARRAYFORMULA(ISERROR(FIND(join(",",filter(split($H$83,","),ARRAYFORMULA(ISERROR(FIND(split($H$83,","),G5)))=FALSE)),$E7:$W7))=FALSE)))&gt;1,FALSE,TRUE)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E31: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O19:O20 N24 N29:N30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R24 J26">
      <formula1>IF(COUNTA(filter($E17:$W17,ARRAYFORMULA(ISERROR(FIND(join(",",filter(split($H$83,","),ARRAYFORMULA(ISERROR(FIND(split($H$83,","),J13)))=FALSE)),$E17:$W17))=FALSE)))&gt;1,FALSE,TRUE)</formula1>
    </dataValidation>
    <dataValidation type="custom" allowBlank="1" showDropDown="1" sqref="E3:F3 G4 J5:J6 E15:E16 E46:E47 J48:J49 G50:G52">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E26 F28 R27:S28 E29:E30 H36 G37:G38 E48:E49 N52:N54">
      <formula1>IF(COUNTA(filter($E8:$W8,ARRAYFORMULA(ISERROR(FIND(join(",",filter(split($H$83,","),ARRAYFORMULA(ISERROR(FIND(split($H$83,","),E7)))=FALSE)),$E8:$W8))=FALSE)))&gt;1,FALSE,TRUE)</formula1>
    </dataValidation>
    <dataValidation type="custom" allowBlank="1" showDropDown="1" sqref="N2:P2 R2 T2 G2:G3 J2:J3 L4 P3:P4 G5:H6 K5:M6 T5:T6 L7:L8 P7:P8 T7:U8 G7:G9 H10 J9:J10 N9:N10 Q9:Q10 S10 W2:W10 E12:W12 E13:E14 H13:H14 L13:L14 E17:E18 G15:G18 L17:L18 S17:S18 L19:M19 H19:H20 J15:J20 L20 G21 R19:R21 T21 H22 G23:R23 J24 R25 E27:F27 E28 T28 F29:G30 J31:J32 W13:W32 R33:R34 T33:W34 G35:G36 L35:M36 P35:Q36 I37:J37 H38 J38 L37:N38 E37:E40 G39:G40 J39:K40 N39:P40 R37:S40 R41:T41 J41:L42 T42 E43 G41:H43 K43 Q43 H44 M43:N44 W35:W44 E45:W45 I46 F46:G47 L46:L47 N46:P47 G48 L48:M49 L51 N50:O51 I50:I52 P52 G53:H53 E54 O53:P54 N55:O55 W46:W55 E56:W56 E57:G57 J57 N57:O57 E58: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 P43:P44">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R29:R30 S32 R47:R48 T51:V52 P57">
      <formula1>IF(COUNTA(filter($E28:$W28,ARRAYFORMULA(ISERROR(FIND(join(",",filter(split($H$83,","),ARRAYFORMULA(ISERROR(FIND(split($H$83,","),P29)))=FALSE)),$E28:$W28))=FALSE)))&gt;1,FALSE,TRUE)</formula1>
    </dataValidation>
    <dataValidation type="custom" allowBlank="1" showDropDown="1" sqref="P13:P16 G27:G28 L27:L28 J29: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6.13"/>
    <col customWidth="1" min="2" max="3" width="20.0"/>
    <col customWidth="1" min="4" max="4" width="27.63"/>
    <col customWidth="1" min="5" max="5" width="20.0"/>
    <col customWidth="1" min="6" max="6" width="33.38"/>
    <col customWidth="1" min="7" max="8" width="20.0"/>
    <col customWidth="1" min="9" max="9" width="24.63"/>
    <col customWidth="1" min="11" max="11" width="24.0"/>
  </cols>
  <sheetData>
    <row r="1">
      <c r="A1" s="639" t="s">
        <v>221</v>
      </c>
      <c r="B1" s="640">
        <v>5.0</v>
      </c>
      <c r="C1" s="641">
        <v>6.0</v>
      </c>
      <c r="D1" s="641" t="s">
        <v>2793</v>
      </c>
      <c r="E1" s="640">
        <v>8.0</v>
      </c>
      <c r="F1" s="641">
        <v>9.0</v>
      </c>
      <c r="G1" s="641" t="s">
        <v>8289</v>
      </c>
      <c r="H1" s="641" t="s">
        <v>8290</v>
      </c>
      <c r="I1" s="641">
        <v>11.0</v>
      </c>
      <c r="J1" s="642"/>
      <c r="K1" s="642"/>
      <c r="L1" s="642"/>
      <c r="M1" s="642"/>
      <c r="N1" s="642"/>
      <c r="O1" s="642"/>
      <c r="P1" s="642"/>
      <c r="Q1" s="642"/>
      <c r="R1" s="642"/>
      <c r="S1" s="642"/>
      <c r="T1" s="642"/>
      <c r="U1" s="642"/>
      <c r="V1" s="642"/>
      <c r="W1" s="642"/>
      <c r="X1" s="642"/>
      <c r="Y1" s="642"/>
      <c r="Z1" s="642"/>
    </row>
    <row r="2">
      <c r="A2" s="90" t="s">
        <v>8291</v>
      </c>
      <c r="B2" s="643"/>
      <c r="C2" s="644"/>
      <c r="D2" s="643"/>
      <c r="E2" s="643"/>
      <c r="F2" s="643"/>
      <c r="G2" s="643"/>
      <c r="H2" s="643"/>
      <c r="I2" s="645"/>
      <c r="J2" s="646"/>
      <c r="K2" s="646"/>
      <c r="L2" s="646"/>
      <c r="M2" s="646"/>
      <c r="N2" s="646"/>
      <c r="O2" s="646"/>
      <c r="P2" s="646"/>
      <c r="Q2" s="646"/>
      <c r="R2" s="646"/>
      <c r="S2" s="646"/>
      <c r="T2" s="646"/>
      <c r="U2" s="646"/>
      <c r="V2" s="646"/>
      <c r="W2" s="646"/>
      <c r="X2" s="646"/>
      <c r="Y2" s="646"/>
      <c r="Z2" s="646"/>
    </row>
    <row r="3">
      <c r="A3" s="90" t="s">
        <v>8292</v>
      </c>
      <c r="B3" s="643"/>
      <c r="C3" s="647"/>
      <c r="D3" s="648"/>
      <c r="E3" s="649"/>
      <c r="F3" s="650"/>
      <c r="G3" s="643"/>
      <c r="H3" s="649"/>
      <c r="I3" s="645"/>
      <c r="J3" s="651"/>
      <c r="K3" s="646"/>
      <c r="L3" s="646"/>
      <c r="M3" s="646"/>
      <c r="N3" s="646"/>
      <c r="O3" s="646"/>
      <c r="P3" s="646"/>
      <c r="Q3" s="646"/>
      <c r="R3" s="646"/>
      <c r="S3" s="646"/>
      <c r="T3" s="646"/>
      <c r="U3" s="646"/>
      <c r="V3" s="646"/>
      <c r="W3" s="646"/>
      <c r="X3" s="646"/>
      <c r="Y3" s="646"/>
      <c r="Z3" s="646"/>
    </row>
    <row r="4">
      <c r="A4" s="90" t="s">
        <v>8293</v>
      </c>
      <c r="B4" s="643"/>
      <c r="C4" s="643"/>
      <c r="D4" s="649"/>
      <c r="E4" s="649"/>
      <c r="F4" s="652"/>
      <c r="G4" s="653"/>
      <c r="H4" s="643"/>
      <c r="I4" s="645"/>
      <c r="J4" s="646"/>
      <c r="K4" s="646"/>
      <c r="L4" s="646"/>
      <c r="M4" s="646"/>
      <c r="N4" s="646"/>
      <c r="O4" s="646"/>
      <c r="P4" s="646"/>
      <c r="Q4" s="646"/>
      <c r="R4" s="646"/>
      <c r="S4" s="646"/>
      <c r="T4" s="646"/>
      <c r="U4" s="646"/>
      <c r="V4" s="646"/>
      <c r="W4" s="646"/>
      <c r="X4" s="646"/>
      <c r="Y4" s="646"/>
      <c r="Z4" s="646"/>
    </row>
    <row r="5">
      <c r="A5" s="90" t="s">
        <v>8294</v>
      </c>
      <c r="B5" s="649"/>
      <c r="C5" s="649"/>
      <c r="D5" s="654"/>
      <c r="E5" s="654"/>
      <c r="F5" s="643"/>
      <c r="G5" s="643"/>
      <c r="H5" s="643"/>
      <c r="I5" s="653"/>
      <c r="J5" s="655"/>
      <c r="K5" s="655"/>
      <c r="L5" s="655"/>
      <c r="M5" s="655"/>
      <c r="N5" s="655"/>
      <c r="O5" s="655"/>
      <c r="P5" s="655"/>
      <c r="Q5" s="655"/>
      <c r="R5" s="655"/>
      <c r="S5" s="655"/>
      <c r="T5" s="655"/>
      <c r="U5" s="655"/>
      <c r="V5" s="655"/>
      <c r="W5" s="655"/>
      <c r="X5" s="655"/>
      <c r="Y5" s="655"/>
      <c r="Z5" s="655"/>
    </row>
    <row r="6">
      <c r="A6" s="656" t="s">
        <v>8295</v>
      </c>
      <c r="B6" s="643"/>
      <c r="C6" s="657"/>
      <c r="D6" s="658"/>
      <c r="E6" s="643"/>
      <c r="F6" s="659"/>
      <c r="G6" s="658"/>
      <c r="H6" s="660"/>
      <c r="I6" s="645"/>
      <c r="J6" s="646"/>
      <c r="K6" s="646"/>
      <c r="L6" s="646"/>
      <c r="M6" s="646"/>
      <c r="N6" s="646"/>
      <c r="O6" s="646"/>
      <c r="P6" s="646"/>
      <c r="Q6" s="646"/>
      <c r="R6" s="646"/>
      <c r="S6" s="646"/>
      <c r="T6" s="646"/>
      <c r="U6" s="646"/>
      <c r="V6" s="646"/>
      <c r="W6" s="646"/>
      <c r="X6" s="646"/>
      <c r="Y6" s="646"/>
      <c r="Z6" s="646"/>
    </row>
    <row r="7">
      <c r="A7" s="661" t="s">
        <v>8296</v>
      </c>
      <c r="B7" s="662" t="s">
        <v>8297</v>
      </c>
      <c r="C7" s="662" t="s">
        <v>8297</v>
      </c>
      <c r="D7" s="662" t="s">
        <v>8297</v>
      </c>
      <c r="E7" s="662" t="s">
        <v>8297</v>
      </c>
      <c r="F7" s="662" t="s">
        <v>8297</v>
      </c>
      <c r="G7" s="662" t="s">
        <v>8297</v>
      </c>
      <c r="H7" s="662" t="s">
        <v>8297</v>
      </c>
      <c r="I7" s="659" t="s">
        <v>8298</v>
      </c>
      <c r="J7" s="646"/>
      <c r="K7" s="646"/>
      <c r="L7" s="646"/>
      <c r="M7" s="646"/>
      <c r="N7" s="646"/>
      <c r="O7" s="646"/>
      <c r="P7" s="646"/>
      <c r="Q7" s="646"/>
      <c r="R7" s="646"/>
      <c r="S7" s="646"/>
      <c r="T7" s="646"/>
      <c r="U7" s="646"/>
      <c r="V7" s="646"/>
      <c r="W7" s="646"/>
      <c r="X7" s="646"/>
      <c r="Y7" s="646"/>
      <c r="Z7" s="646"/>
    </row>
    <row r="8">
      <c r="A8" s="90" t="s">
        <v>8299</v>
      </c>
      <c r="B8" s="662" t="s">
        <v>8297</v>
      </c>
      <c r="C8" s="662" t="s">
        <v>8297</v>
      </c>
      <c r="D8" s="662" t="s">
        <v>8297</v>
      </c>
      <c r="E8" s="662" t="s">
        <v>8297</v>
      </c>
      <c r="F8" s="662" t="s">
        <v>8297</v>
      </c>
      <c r="G8" s="662" t="s">
        <v>8297</v>
      </c>
      <c r="H8" s="662" t="s">
        <v>8297</v>
      </c>
      <c r="I8" s="662" t="s">
        <v>8297</v>
      </c>
      <c r="J8" s="646"/>
      <c r="K8" s="646"/>
      <c r="L8" s="646"/>
      <c r="M8" s="646"/>
      <c r="N8" s="646"/>
      <c r="O8" s="646"/>
      <c r="P8" s="646"/>
      <c r="Q8" s="646"/>
      <c r="R8" s="646"/>
      <c r="S8" s="646"/>
      <c r="T8" s="646"/>
      <c r="U8" s="646"/>
      <c r="V8" s="646"/>
      <c r="W8" s="646"/>
      <c r="X8" s="646"/>
      <c r="Y8" s="646"/>
      <c r="Z8" s="646"/>
    </row>
    <row r="9">
      <c r="A9" s="663" t="s">
        <v>8300</v>
      </c>
      <c r="B9" s="659" t="s">
        <v>8301</v>
      </c>
      <c r="C9" s="659" t="s">
        <v>8302</v>
      </c>
      <c r="D9" s="659" t="s">
        <v>8303</v>
      </c>
      <c r="E9" s="659" t="s">
        <v>8304</v>
      </c>
      <c r="F9" s="664" t="s">
        <v>8305</v>
      </c>
      <c r="G9" s="665" t="s">
        <v>8306</v>
      </c>
      <c r="H9" s="659" t="s">
        <v>8307</v>
      </c>
      <c r="I9" s="666" t="s">
        <v>8308</v>
      </c>
      <c r="J9" s="667"/>
      <c r="K9" s="668" t="s">
        <v>8309</v>
      </c>
      <c r="L9" s="667"/>
      <c r="M9" s="667"/>
      <c r="N9" s="667"/>
      <c r="O9" s="667"/>
      <c r="P9" s="667"/>
      <c r="Q9" s="667"/>
      <c r="R9" s="667"/>
      <c r="S9" s="667"/>
      <c r="T9" s="667"/>
      <c r="U9" s="667"/>
      <c r="V9" s="667"/>
      <c r="W9" s="667"/>
      <c r="X9" s="667"/>
      <c r="Y9" s="667"/>
      <c r="Z9" s="667"/>
    </row>
    <row r="10">
      <c r="A10" s="663" t="s">
        <v>8310</v>
      </c>
      <c r="B10" s="664" t="s">
        <v>8311</v>
      </c>
      <c r="C10" s="669" t="s">
        <v>8312</v>
      </c>
      <c r="D10" s="666" t="s">
        <v>8313</v>
      </c>
      <c r="E10" s="664" t="s">
        <v>8314</v>
      </c>
      <c r="F10" s="666" t="s">
        <v>8315</v>
      </c>
      <c r="G10" s="662" t="s">
        <v>8316</v>
      </c>
      <c r="H10" s="659"/>
      <c r="I10" s="670" t="s">
        <v>8317</v>
      </c>
      <c r="J10" s="671"/>
      <c r="K10" s="667"/>
      <c r="L10" s="667"/>
      <c r="M10" s="667"/>
      <c r="N10" s="667"/>
      <c r="O10" s="667"/>
      <c r="P10" s="667"/>
      <c r="Q10" s="667"/>
      <c r="R10" s="667"/>
      <c r="S10" s="667"/>
      <c r="T10" s="667"/>
      <c r="U10" s="667"/>
      <c r="V10" s="667"/>
      <c r="W10" s="667"/>
      <c r="X10" s="667"/>
      <c r="Y10" s="667"/>
      <c r="Z10" s="667"/>
    </row>
    <row r="11">
      <c r="A11" s="672" t="s">
        <v>8318</v>
      </c>
      <c r="B11" s="673" t="s">
        <v>8319</v>
      </c>
      <c r="C11" s="669" t="s">
        <v>8320</v>
      </c>
      <c r="D11" s="666" t="s">
        <v>8321</v>
      </c>
      <c r="E11" s="662" t="s">
        <v>8322</v>
      </c>
      <c r="F11" s="664" t="s">
        <v>8323</v>
      </c>
      <c r="G11" s="674" t="s">
        <v>8324</v>
      </c>
      <c r="H11" s="13"/>
      <c r="I11" s="673" t="s">
        <v>8325</v>
      </c>
      <c r="J11" s="675"/>
      <c r="K11" s="667"/>
      <c r="L11" s="667"/>
      <c r="M11" s="667"/>
      <c r="N11" s="667"/>
      <c r="O11" s="667"/>
      <c r="P11" s="667"/>
      <c r="Q11" s="667"/>
      <c r="R11" s="667"/>
      <c r="S11" s="667"/>
      <c r="T11" s="667"/>
      <c r="U11" s="667"/>
      <c r="V11" s="667"/>
      <c r="W11" s="667"/>
      <c r="X11" s="667"/>
      <c r="Y11" s="667"/>
      <c r="Z11" s="667"/>
    </row>
    <row r="12">
      <c r="A12" s="222"/>
      <c r="B12" s="676"/>
      <c r="C12" s="677" t="s">
        <v>8326</v>
      </c>
      <c r="D12" s="72"/>
      <c r="E12" s="677"/>
      <c r="F12" s="677"/>
      <c r="G12" s="678"/>
      <c r="H12" s="678"/>
      <c r="I12" s="678"/>
      <c r="J12" s="667"/>
      <c r="K12" s="667"/>
      <c r="L12" s="667"/>
      <c r="M12" s="667"/>
      <c r="N12" s="667"/>
      <c r="O12" s="667"/>
      <c r="P12" s="667"/>
      <c r="Q12" s="667"/>
      <c r="R12" s="667"/>
      <c r="S12" s="667"/>
      <c r="T12" s="667"/>
      <c r="U12" s="667"/>
      <c r="V12" s="667"/>
      <c r="W12" s="667"/>
      <c r="X12" s="667"/>
      <c r="Y12" s="667"/>
      <c r="Z12" s="667"/>
    </row>
    <row r="13">
      <c r="A13" s="173"/>
      <c r="B13" s="676"/>
      <c r="C13" s="677" t="s">
        <v>8327</v>
      </c>
      <c r="D13" s="64"/>
      <c r="E13" s="64"/>
      <c r="F13" s="64"/>
      <c r="G13" s="64"/>
      <c r="H13" s="64"/>
      <c r="I13" s="72"/>
      <c r="J13" s="667"/>
      <c r="K13" s="667"/>
      <c r="L13" s="667"/>
      <c r="M13" s="667"/>
      <c r="N13" s="667"/>
      <c r="O13" s="667"/>
      <c r="P13" s="667"/>
      <c r="Q13" s="667"/>
      <c r="R13" s="667"/>
      <c r="S13" s="667"/>
      <c r="T13" s="667"/>
      <c r="U13" s="667"/>
      <c r="V13" s="667"/>
      <c r="W13" s="667"/>
      <c r="X13" s="667"/>
      <c r="Y13" s="667"/>
      <c r="Z13" s="667"/>
    </row>
    <row r="14">
      <c r="A14" s="663" t="s">
        <v>8328</v>
      </c>
      <c r="B14" s="676"/>
      <c r="C14" s="664" t="s">
        <v>8329</v>
      </c>
      <c r="D14" s="664"/>
      <c r="E14" s="664"/>
      <c r="F14" s="666"/>
      <c r="G14" s="676"/>
      <c r="H14" s="676"/>
      <c r="I14" s="666"/>
      <c r="J14" s="667"/>
      <c r="K14" s="667"/>
      <c r="L14" s="667"/>
      <c r="M14" s="667"/>
      <c r="N14" s="667"/>
      <c r="O14" s="667"/>
      <c r="P14" s="667"/>
      <c r="Q14" s="667"/>
      <c r="R14" s="667"/>
      <c r="S14" s="667"/>
      <c r="T14" s="667"/>
      <c r="U14" s="667"/>
      <c r="V14" s="667"/>
      <c r="W14" s="667"/>
      <c r="X14" s="667"/>
      <c r="Y14" s="667"/>
      <c r="Z14" s="667"/>
    </row>
    <row r="15">
      <c r="A15" s="663" t="s">
        <v>8330</v>
      </c>
      <c r="B15" s="679" t="s">
        <v>8331</v>
      </c>
      <c r="C15" s="36"/>
      <c r="D15" s="36"/>
      <c r="E15" s="36"/>
      <c r="F15" s="36"/>
      <c r="G15" s="36"/>
      <c r="H15" s="36"/>
      <c r="I15" s="13"/>
      <c r="J15" s="667"/>
      <c r="K15" s="667"/>
      <c r="L15" s="667"/>
      <c r="M15" s="667"/>
      <c r="N15" s="667"/>
      <c r="O15" s="667"/>
      <c r="P15" s="667"/>
      <c r="Q15" s="667"/>
      <c r="R15" s="667"/>
      <c r="S15" s="667"/>
      <c r="T15" s="667"/>
      <c r="U15" s="667"/>
      <c r="V15" s="667"/>
      <c r="W15" s="667"/>
      <c r="X15" s="667"/>
      <c r="Y15" s="667"/>
      <c r="Z15" s="667"/>
    </row>
    <row r="16">
      <c r="A16" s="663" t="s">
        <v>8332</v>
      </c>
      <c r="B16" s="659" t="s">
        <v>8333</v>
      </c>
      <c r="C16" s="680"/>
      <c r="D16" s="659" t="s">
        <v>8334</v>
      </c>
      <c r="E16" s="680"/>
      <c r="F16" s="681" t="s">
        <v>8335</v>
      </c>
      <c r="G16" s="680"/>
      <c r="H16" s="680"/>
      <c r="I16" s="680"/>
      <c r="J16" s="667"/>
      <c r="K16" s="667"/>
      <c r="L16" s="667"/>
      <c r="M16" s="667"/>
      <c r="N16" s="667"/>
      <c r="O16" s="667"/>
      <c r="P16" s="667"/>
      <c r="Q16" s="667"/>
      <c r="R16" s="667"/>
      <c r="S16" s="667"/>
      <c r="T16" s="667"/>
      <c r="U16" s="667"/>
      <c r="V16" s="667"/>
      <c r="W16" s="667"/>
      <c r="X16" s="667"/>
      <c r="Y16" s="667"/>
      <c r="Z16" s="667"/>
    </row>
    <row r="17">
      <c r="A17" s="663" t="s">
        <v>8336</v>
      </c>
      <c r="B17" s="660" t="s">
        <v>8337</v>
      </c>
      <c r="C17" s="664" t="s">
        <v>8338</v>
      </c>
      <c r="D17" s="664" t="s">
        <v>8339</v>
      </c>
      <c r="E17" s="659" t="s">
        <v>8340</v>
      </c>
      <c r="F17" s="666" t="s">
        <v>8341</v>
      </c>
      <c r="G17" s="674" t="s">
        <v>8342</v>
      </c>
      <c r="H17" s="13"/>
      <c r="I17" s="673" t="s">
        <v>8343</v>
      </c>
      <c r="J17" s="671"/>
      <c r="K17" s="667"/>
      <c r="L17" s="667"/>
      <c r="M17" s="667"/>
      <c r="N17" s="667"/>
      <c r="O17" s="667"/>
      <c r="P17" s="667"/>
      <c r="Q17" s="667"/>
      <c r="R17" s="667"/>
      <c r="S17" s="667"/>
      <c r="T17" s="667"/>
      <c r="U17" s="667"/>
      <c r="V17" s="667"/>
      <c r="W17" s="667"/>
      <c r="X17" s="667"/>
      <c r="Y17" s="667"/>
      <c r="Z17" s="667"/>
    </row>
    <row r="18" ht="184.5" customHeight="1">
      <c r="A18" s="90" t="s">
        <v>8344</v>
      </c>
      <c r="B18" s="664"/>
      <c r="C18" s="665" t="s">
        <v>8345</v>
      </c>
      <c r="D18" s="664" t="s">
        <v>8346</v>
      </c>
      <c r="E18" s="664" t="s">
        <v>8347</v>
      </c>
      <c r="F18" s="659" t="s">
        <v>8348</v>
      </c>
      <c r="G18" s="660" t="s">
        <v>8349</v>
      </c>
      <c r="H18" s="659" t="s">
        <v>8350</v>
      </c>
      <c r="I18" s="659" t="s">
        <v>8324</v>
      </c>
      <c r="J18" s="655"/>
      <c r="K18" s="682" t="s">
        <v>8351</v>
      </c>
      <c r="L18" s="655"/>
      <c r="M18" s="655"/>
      <c r="N18" s="655"/>
      <c r="O18" s="655"/>
      <c r="P18" s="655"/>
      <c r="Q18" s="655"/>
      <c r="R18" s="655"/>
      <c r="S18" s="655"/>
      <c r="T18" s="655"/>
      <c r="U18" s="655"/>
      <c r="V18" s="655"/>
      <c r="W18" s="655"/>
      <c r="X18" s="655"/>
      <c r="Y18" s="655"/>
      <c r="Z18" s="655"/>
    </row>
    <row r="19">
      <c r="A19" s="90" t="s">
        <v>8352</v>
      </c>
      <c r="B19" s="664"/>
      <c r="C19" s="664" t="s">
        <v>8353</v>
      </c>
      <c r="D19" s="683" t="s">
        <v>8354</v>
      </c>
      <c r="E19" s="36"/>
      <c r="F19" s="36"/>
      <c r="G19" s="36"/>
      <c r="H19" s="664"/>
      <c r="I19" s="684" t="s">
        <v>8355</v>
      </c>
      <c r="J19" s="655"/>
      <c r="K19" s="655"/>
      <c r="L19" s="655"/>
      <c r="M19" s="655"/>
      <c r="N19" s="655"/>
      <c r="O19" s="655"/>
      <c r="P19" s="655"/>
      <c r="Q19" s="655"/>
      <c r="R19" s="655"/>
      <c r="S19" s="655"/>
      <c r="T19" s="655"/>
      <c r="U19" s="655"/>
      <c r="V19" s="655"/>
      <c r="W19" s="655"/>
      <c r="X19" s="655"/>
      <c r="Y19" s="655"/>
      <c r="Z19" s="655"/>
    </row>
    <row r="20" ht="63.75" customHeight="1">
      <c r="A20" s="90" t="s">
        <v>8356</v>
      </c>
      <c r="B20" s="639"/>
      <c r="C20" s="639"/>
      <c r="D20" s="685" t="s">
        <v>8357</v>
      </c>
      <c r="E20" s="639"/>
      <c r="F20" s="685" t="s">
        <v>8357</v>
      </c>
      <c r="G20" s="662"/>
      <c r="H20" s="639"/>
      <c r="I20" s="639"/>
      <c r="J20" s="646"/>
      <c r="K20" s="646"/>
      <c r="L20" s="646"/>
      <c r="M20" s="646"/>
      <c r="N20" s="646"/>
      <c r="O20" s="646"/>
      <c r="P20" s="646"/>
      <c r="Q20" s="646"/>
      <c r="R20" s="646"/>
      <c r="S20" s="646"/>
      <c r="T20" s="646"/>
      <c r="U20" s="646"/>
      <c r="V20" s="646"/>
      <c r="W20" s="646"/>
      <c r="X20" s="646"/>
      <c r="Y20" s="646"/>
      <c r="Z20" s="646"/>
    </row>
    <row r="21">
      <c r="A21" s="656" t="s">
        <v>8358</v>
      </c>
      <c r="B21" s="686" t="s">
        <v>8359</v>
      </c>
      <c r="C21" s="8"/>
      <c r="D21" s="8"/>
      <c r="E21" s="8"/>
      <c r="F21" s="8"/>
      <c r="G21" s="8"/>
      <c r="H21" s="8"/>
      <c r="I21" s="4"/>
      <c r="J21" s="646"/>
      <c r="K21" s="646"/>
      <c r="L21" s="646"/>
      <c r="M21" s="646"/>
      <c r="N21" s="646"/>
      <c r="O21" s="646"/>
      <c r="P21" s="646"/>
      <c r="Q21" s="646"/>
      <c r="R21" s="646"/>
      <c r="S21" s="646"/>
      <c r="T21" s="646"/>
      <c r="U21" s="646"/>
      <c r="V21" s="646"/>
      <c r="W21" s="646"/>
      <c r="X21" s="646"/>
      <c r="Y21" s="646"/>
      <c r="Z21" s="646"/>
    </row>
    <row r="22">
      <c r="A22" s="173"/>
      <c r="B22" s="104"/>
      <c r="C22" s="64"/>
      <c r="D22" s="64"/>
      <c r="E22" s="64"/>
      <c r="F22" s="64"/>
      <c r="G22" s="64"/>
      <c r="H22" s="64"/>
      <c r="I22" s="72"/>
      <c r="J22" s="646"/>
      <c r="K22" s="646"/>
      <c r="L22" s="646"/>
      <c r="M22" s="646"/>
      <c r="N22" s="646"/>
      <c r="O22" s="646"/>
      <c r="P22" s="646"/>
      <c r="Q22" s="646"/>
      <c r="R22" s="646"/>
      <c r="S22" s="646"/>
      <c r="T22" s="646"/>
      <c r="U22" s="646"/>
      <c r="V22" s="646"/>
      <c r="W22" s="646"/>
      <c r="X22" s="646"/>
      <c r="Y22" s="646"/>
      <c r="Z22" s="646"/>
    </row>
    <row r="23">
      <c r="A23" s="687"/>
      <c r="B23" s="645"/>
      <c r="C23" s="645"/>
      <c r="D23" s="645"/>
      <c r="E23" s="645"/>
      <c r="F23" s="645"/>
      <c r="G23" s="645"/>
      <c r="H23" s="645"/>
      <c r="I23" s="645"/>
      <c r="J23" s="646"/>
      <c r="K23" s="646"/>
      <c r="L23" s="646"/>
      <c r="M23" s="646"/>
      <c r="N23" s="646"/>
      <c r="O23" s="646"/>
      <c r="P23" s="646"/>
      <c r="Q23" s="646"/>
      <c r="R23" s="646"/>
      <c r="S23" s="646"/>
      <c r="T23" s="646"/>
      <c r="U23" s="646"/>
      <c r="V23" s="646"/>
      <c r="W23" s="646"/>
      <c r="X23" s="646"/>
      <c r="Y23" s="646"/>
      <c r="Z23" s="646"/>
    </row>
    <row r="24">
      <c r="A24" s="639"/>
      <c r="B24" s="688"/>
      <c r="C24" s="688"/>
      <c r="D24" s="688"/>
      <c r="E24" s="688"/>
      <c r="F24" s="688"/>
      <c r="G24" s="688"/>
      <c r="H24" s="688"/>
      <c r="I24" s="688"/>
      <c r="J24" s="642"/>
      <c r="K24" s="642"/>
      <c r="L24" s="642"/>
      <c r="M24" s="642"/>
      <c r="N24" s="642"/>
      <c r="O24" s="642"/>
      <c r="P24" s="642"/>
      <c r="Q24" s="642"/>
      <c r="R24" s="642"/>
      <c r="S24" s="642"/>
      <c r="T24" s="642"/>
      <c r="U24" s="642"/>
      <c r="V24" s="642"/>
      <c r="W24" s="642"/>
      <c r="X24" s="642"/>
      <c r="Y24" s="642"/>
      <c r="Z24" s="642"/>
    </row>
    <row r="25">
      <c r="A25" s="643"/>
      <c r="B25" s="645"/>
      <c r="C25" s="645"/>
      <c r="D25" s="645"/>
      <c r="E25" s="645"/>
      <c r="F25" s="645"/>
      <c r="G25" s="645"/>
      <c r="H25" s="645"/>
      <c r="I25" s="645"/>
      <c r="J25" s="646"/>
      <c r="K25" s="646"/>
      <c r="L25" s="646"/>
      <c r="M25" s="646"/>
      <c r="N25" s="646"/>
      <c r="O25" s="646"/>
      <c r="P25" s="646"/>
      <c r="Q25" s="646"/>
      <c r="R25" s="646"/>
      <c r="S25" s="646"/>
      <c r="T25" s="646"/>
      <c r="U25" s="646"/>
      <c r="V25" s="646"/>
      <c r="W25" s="646"/>
      <c r="X25" s="646"/>
      <c r="Y25" s="646"/>
      <c r="Z25" s="646"/>
    </row>
    <row r="26">
      <c r="A26" s="643"/>
      <c r="B26" s="645"/>
      <c r="C26" s="645"/>
      <c r="D26" s="645"/>
      <c r="E26" s="645"/>
      <c r="F26" s="645"/>
      <c r="G26" s="645"/>
      <c r="H26" s="645"/>
      <c r="I26" s="645"/>
      <c r="J26" s="646"/>
      <c r="K26" s="646"/>
      <c r="L26" s="646"/>
      <c r="M26" s="646"/>
      <c r="N26" s="646"/>
      <c r="O26" s="646"/>
      <c r="P26" s="646"/>
      <c r="Q26" s="646"/>
      <c r="R26" s="646"/>
      <c r="S26" s="646"/>
      <c r="T26" s="646"/>
      <c r="U26" s="646"/>
      <c r="V26" s="646"/>
      <c r="W26" s="646"/>
      <c r="X26" s="646"/>
      <c r="Y26" s="646"/>
      <c r="Z26" s="646"/>
    </row>
    <row r="27">
      <c r="A27" s="643"/>
      <c r="B27" s="645"/>
      <c r="C27" s="645"/>
      <c r="E27" s="645"/>
      <c r="F27" s="645"/>
      <c r="G27" s="645"/>
      <c r="H27" s="645"/>
      <c r="I27" s="645"/>
      <c r="J27" s="646"/>
      <c r="K27" s="646"/>
      <c r="L27" s="646"/>
      <c r="M27" s="646"/>
      <c r="N27" s="646"/>
      <c r="O27" s="646"/>
      <c r="P27" s="646"/>
      <c r="Q27" s="646"/>
      <c r="R27" s="646"/>
      <c r="S27" s="646"/>
      <c r="T27" s="646"/>
      <c r="U27" s="646"/>
      <c r="V27" s="646"/>
      <c r="W27" s="646"/>
      <c r="X27" s="646"/>
      <c r="Y27" s="646"/>
      <c r="Z27" s="646"/>
    </row>
    <row r="28">
      <c r="A28" s="643"/>
      <c r="B28" s="645"/>
      <c r="C28" s="645"/>
      <c r="D28" s="645"/>
      <c r="E28" s="645"/>
      <c r="F28" s="645"/>
      <c r="G28" s="645"/>
      <c r="H28" s="645"/>
      <c r="I28" s="645"/>
      <c r="J28" s="646"/>
      <c r="K28" s="646"/>
      <c r="L28" s="646"/>
      <c r="M28" s="646"/>
      <c r="N28" s="646"/>
      <c r="O28" s="646"/>
      <c r="P28" s="646"/>
      <c r="Q28" s="646"/>
      <c r="R28" s="646"/>
      <c r="S28" s="646"/>
      <c r="T28" s="646"/>
      <c r="U28" s="646"/>
      <c r="V28" s="646"/>
      <c r="W28" s="646"/>
      <c r="X28" s="646"/>
      <c r="Y28" s="646"/>
      <c r="Z28" s="646"/>
    </row>
    <row r="29">
      <c r="A29" s="643"/>
      <c r="B29" s="645"/>
      <c r="C29" s="645"/>
      <c r="D29" s="645"/>
      <c r="E29" s="645"/>
      <c r="F29" s="645"/>
      <c r="G29" s="645"/>
      <c r="H29" s="645"/>
      <c r="I29" s="645"/>
      <c r="J29" s="646"/>
      <c r="K29" s="646"/>
      <c r="L29" s="646"/>
      <c r="M29" s="646"/>
      <c r="N29" s="646"/>
      <c r="O29" s="646"/>
      <c r="P29" s="646"/>
      <c r="Q29" s="646"/>
      <c r="R29" s="646"/>
      <c r="S29" s="646"/>
      <c r="T29" s="646"/>
      <c r="U29" s="646"/>
      <c r="V29" s="646"/>
      <c r="W29" s="646"/>
      <c r="X29" s="646"/>
      <c r="Y29" s="646"/>
      <c r="Z29" s="646"/>
    </row>
    <row r="30">
      <c r="A30" s="643"/>
      <c r="B30" s="645"/>
      <c r="C30" s="645"/>
      <c r="D30" s="645"/>
      <c r="E30" s="645"/>
      <c r="F30" s="645"/>
      <c r="G30" s="645"/>
      <c r="H30" s="645"/>
      <c r="I30" s="645"/>
      <c r="J30" s="646"/>
      <c r="K30" s="646"/>
      <c r="L30" s="646"/>
      <c r="M30" s="646"/>
      <c r="N30" s="646"/>
      <c r="O30" s="646"/>
      <c r="P30" s="646"/>
      <c r="Q30" s="646"/>
      <c r="R30" s="646"/>
      <c r="S30" s="646"/>
      <c r="T30" s="646"/>
      <c r="U30" s="646"/>
      <c r="V30" s="646"/>
      <c r="W30" s="646"/>
      <c r="X30" s="646"/>
      <c r="Y30" s="646"/>
      <c r="Z30" s="646"/>
    </row>
    <row r="31">
      <c r="A31" s="676"/>
      <c r="B31" s="645"/>
      <c r="C31" s="645"/>
      <c r="D31" s="645"/>
      <c r="E31" s="645"/>
      <c r="F31" s="645"/>
      <c r="G31" s="645"/>
      <c r="H31" s="645"/>
      <c r="I31" s="645"/>
      <c r="J31" s="646"/>
      <c r="K31" s="646"/>
      <c r="L31" s="646"/>
      <c r="M31" s="646"/>
      <c r="N31" s="646"/>
      <c r="O31" s="646"/>
      <c r="P31" s="646"/>
      <c r="Q31" s="646"/>
      <c r="R31" s="646"/>
      <c r="S31" s="646"/>
      <c r="T31" s="646"/>
      <c r="U31" s="646"/>
      <c r="V31" s="646"/>
      <c r="W31" s="646"/>
      <c r="X31" s="646"/>
      <c r="Y31" s="646"/>
      <c r="Z31" s="646"/>
    </row>
    <row r="32">
      <c r="A32" s="643"/>
      <c r="B32" s="645"/>
      <c r="C32" s="645"/>
      <c r="D32" s="645"/>
      <c r="E32" s="645"/>
      <c r="F32" s="645"/>
      <c r="G32" s="645"/>
      <c r="H32" s="645"/>
      <c r="I32" s="645"/>
      <c r="J32" s="646"/>
      <c r="K32" s="646"/>
      <c r="L32" s="646"/>
      <c r="M32" s="646"/>
      <c r="N32" s="646"/>
      <c r="O32" s="646"/>
      <c r="P32" s="646"/>
      <c r="Q32" s="646"/>
      <c r="R32" s="646"/>
      <c r="S32" s="646"/>
      <c r="T32" s="646"/>
      <c r="U32" s="646"/>
      <c r="V32" s="646"/>
      <c r="W32" s="646"/>
      <c r="X32" s="646"/>
      <c r="Y32" s="646"/>
      <c r="Z32" s="646"/>
    </row>
    <row r="33">
      <c r="A33" s="643"/>
      <c r="B33" s="645"/>
      <c r="C33" s="645"/>
      <c r="D33" s="645"/>
      <c r="E33" s="645"/>
      <c r="F33" s="645"/>
      <c r="G33" s="645"/>
      <c r="H33" s="645"/>
      <c r="I33" s="645"/>
      <c r="J33" s="646"/>
      <c r="K33" s="646"/>
      <c r="L33" s="646"/>
      <c r="M33" s="646"/>
      <c r="N33" s="646"/>
      <c r="O33" s="646"/>
      <c r="P33" s="646"/>
      <c r="Q33" s="646"/>
      <c r="R33" s="646"/>
      <c r="S33" s="646"/>
      <c r="T33" s="646"/>
      <c r="U33" s="646"/>
      <c r="V33" s="646"/>
      <c r="W33" s="646"/>
      <c r="X33" s="646"/>
      <c r="Y33" s="646"/>
      <c r="Z33" s="646"/>
    </row>
    <row r="34">
      <c r="A34" s="643"/>
      <c r="B34" s="645"/>
      <c r="C34" s="645"/>
      <c r="D34" s="645"/>
      <c r="E34" s="645"/>
      <c r="F34" s="645"/>
      <c r="G34" s="645"/>
      <c r="H34" s="645"/>
      <c r="I34" s="645"/>
      <c r="J34" s="646"/>
      <c r="K34" s="646"/>
      <c r="L34" s="646"/>
      <c r="M34" s="646"/>
      <c r="N34" s="646"/>
      <c r="O34" s="646"/>
      <c r="P34" s="646"/>
      <c r="Q34" s="646"/>
      <c r="R34" s="646"/>
      <c r="S34" s="646"/>
      <c r="T34" s="646"/>
      <c r="U34" s="646"/>
      <c r="V34" s="646"/>
      <c r="W34" s="646"/>
      <c r="X34" s="646"/>
      <c r="Y34" s="646"/>
      <c r="Z34" s="646"/>
    </row>
    <row r="35">
      <c r="A35" s="643"/>
      <c r="B35" s="645"/>
      <c r="C35" s="645"/>
      <c r="D35" s="645"/>
      <c r="E35" s="645"/>
      <c r="F35" s="645"/>
      <c r="G35" s="645"/>
      <c r="H35" s="645"/>
      <c r="I35" s="645"/>
      <c r="J35" s="646"/>
      <c r="K35" s="646"/>
      <c r="L35" s="646"/>
      <c r="M35" s="646"/>
      <c r="N35" s="646"/>
      <c r="O35" s="646"/>
      <c r="P35" s="646"/>
      <c r="Q35" s="646"/>
      <c r="R35" s="646"/>
      <c r="S35" s="646"/>
      <c r="T35" s="646"/>
      <c r="U35" s="646"/>
      <c r="V35" s="646"/>
      <c r="W35" s="646"/>
      <c r="X35" s="646"/>
      <c r="Y35" s="646"/>
      <c r="Z35" s="646"/>
    </row>
    <row r="36">
      <c r="A36" s="687"/>
      <c r="B36" s="646"/>
      <c r="C36" s="646"/>
      <c r="D36" s="646"/>
      <c r="E36" s="646"/>
      <c r="F36" s="646"/>
      <c r="G36" s="646"/>
      <c r="H36" s="646"/>
      <c r="I36" s="646"/>
      <c r="J36" s="646"/>
      <c r="K36" s="646"/>
      <c r="L36" s="646"/>
      <c r="M36" s="646"/>
      <c r="N36" s="646"/>
      <c r="O36" s="646"/>
      <c r="P36" s="646"/>
      <c r="Q36" s="646"/>
      <c r="R36" s="646"/>
      <c r="S36" s="646"/>
      <c r="T36" s="646"/>
      <c r="U36" s="646"/>
      <c r="V36" s="646"/>
      <c r="W36" s="646"/>
      <c r="X36" s="646"/>
      <c r="Y36" s="646"/>
      <c r="Z36" s="646"/>
    </row>
    <row r="37">
      <c r="A37" s="687"/>
      <c r="B37" s="646"/>
      <c r="C37" s="646"/>
      <c r="D37" s="646"/>
      <c r="E37" s="646"/>
      <c r="F37" s="646"/>
      <c r="G37" s="646"/>
      <c r="H37" s="646"/>
      <c r="I37" s="646"/>
      <c r="J37" s="646"/>
      <c r="K37" s="646"/>
      <c r="L37" s="646"/>
      <c r="M37" s="646"/>
      <c r="N37" s="646"/>
      <c r="O37" s="646"/>
      <c r="P37" s="646"/>
      <c r="Q37" s="646"/>
      <c r="R37" s="646"/>
      <c r="S37" s="646"/>
      <c r="T37" s="646"/>
      <c r="U37" s="646"/>
      <c r="V37" s="646"/>
      <c r="W37" s="646"/>
      <c r="X37" s="646"/>
      <c r="Y37" s="646"/>
      <c r="Z37" s="646"/>
    </row>
    <row r="38">
      <c r="A38" s="687"/>
      <c r="B38" s="646"/>
      <c r="C38" s="646"/>
      <c r="D38" s="646"/>
      <c r="E38" s="646"/>
      <c r="F38" s="646"/>
      <c r="G38" s="646"/>
      <c r="H38" s="646"/>
      <c r="I38" s="646"/>
      <c r="J38" s="646"/>
      <c r="K38" s="646"/>
      <c r="L38" s="646"/>
      <c r="M38" s="646"/>
      <c r="N38" s="646"/>
      <c r="O38" s="646"/>
      <c r="P38" s="646"/>
      <c r="Q38" s="646"/>
      <c r="R38" s="646"/>
      <c r="S38" s="646"/>
      <c r="T38" s="646"/>
      <c r="U38" s="646"/>
      <c r="V38" s="646"/>
      <c r="W38" s="646"/>
      <c r="X38" s="646"/>
      <c r="Y38" s="646"/>
      <c r="Z38" s="646"/>
    </row>
    <row r="39">
      <c r="A39" s="687"/>
      <c r="B39" s="646"/>
      <c r="C39" s="646"/>
      <c r="D39" s="646"/>
      <c r="E39" s="646"/>
      <c r="F39" s="646"/>
      <c r="G39" s="646"/>
      <c r="H39" s="646"/>
      <c r="I39" s="646"/>
      <c r="J39" s="646"/>
      <c r="K39" s="646"/>
      <c r="L39" s="646"/>
      <c r="M39" s="646"/>
      <c r="N39" s="646"/>
      <c r="O39" s="646"/>
      <c r="P39" s="646"/>
      <c r="Q39" s="646"/>
      <c r="R39" s="646"/>
      <c r="S39" s="646"/>
      <c r="T39" s="646"/>
      <c r="U39" s="646"/>
      <c r="V39" s="646"/>
      <c r="W39" s="646"/>
      <c r="X39" s="646"/>
      <c r="Y39" s="646"/>
      <c r="Z39" s="646"/>
    </row>
    <row r="40">
      <c r="A40" s="687"/>
      <c r="B40" s="646"/>
      <c r="C40" s="646"/>
      <c r="D40" s="646"/>
      <c r="E40" s="646"/>
      <c r="F40" s="646"/>
      <c r="G40" s="646"/>
      <c r="H40" s="646"/>
      <c r="I40" s="646"/>
      <c r="J40" s="646"/>
      <c r="K40" s="646"/>
      <c r="L40" s="646"/>
      <c r="M40" s="646"/>
      <c r="N40" s="646"/>
      <c r="O40" s="646"/>
      <c r="P40" s="646"/>
      <c r="Q40" s="646"/>
      <c r="R40" s="646"/>
      <c r="S40" s="646"/>
      <c r="T40" s="646"/>
      <c r="U40" s="646"/>
      <c r="V40" s="646"/>
      <c r="W40" s="646"/>
      <c r="X40" s="646"/>
      <c r="Y40" s="646"/>
      <c r="Z40" s="646"/>
    </row>
    <row r="41">
      <c r="A41" s="687"/>
      <c r="B41" s="646"/>
      <c r="C41" s="646"/>
      <c r="D41" s="646"/>
      <c r="E41" s="646"/>
      <c r="F41" s="646"/>
      <c r="G41" s="646"/>
      <c r="H41" s="646"/>
      <c r="I41" s="646"/>
      <c r="J41" s="646"/>
      <c r="K41" s="646"/>
      <c r="L41" s="646"/>
      <c r="M41" s="646"/>
      <c r="N41" s="646"/>
      <c r="O41" s="646"/>
      <c r="P41" s="646"/>
      <c r="Q41" s="646"/>
      <c r="R41" s="646"/>
      <c r="S41" s="646"/>
      <c r="T41" s="646"/>
      <c r="U41" s="646"/>
      <c r="V41" s="646"/>
      <c r="W41" s="646"/>
      <c r="X41" s="646"/>
      <c r="Y41" s="646"/>
      <c r="Z41" s="646"/>
    </row>
    <row r="42">
      <c r="A42" s="687"/>
      <c r="B42" s="646"/>
      <c r="C42" s="646"/>
      <c r="D42" s="646"/>
      <c r="E42" s="646"/>
      <c r="F42" s="646"/>
      <c r="G42" s="646"/>
      <c r="H42" s="646"/>
      <c r="I42" s="646"/>
      <c r="J42" s="646"/>
      <c r="K42" s="646"/>
      <c r="L42" s="646"/>
      <c r="M42" s="646"/>
      <c r="N42" s="646"/>
      <c r="O42" s="646"/>
      <c r="P42" s="646"/>
      <c r="Q42" s="646"/>
      <c r="R42" s="646"/>
      <c r="S42" s="646"/>
      <c r="T42" s="646"/>
      <c r="U42" s="646"/>
      <c r="V42" s="646"/>
      <c r="W42" s="646"/>
      <c r="X42" s="646"/>
      <c r="Y42" s="646"/>
      <c r="Z42" s="646"/>
    </row>
    <row r="43">
      <c r="A43" s="687"/>
      <c r="B43" s="646"/>
      <c r="C43" s="646"/>
      <c r="D43" s="646"/>
      <c r="E43" s="646"/>
      <c r="F43" s="646"/>
      <c r="G43" s="646"/>
      <c r="H43" s="646"/>
      <c r="I43" s="646"/>
      <c r="J43" s="646"/>
      <c r="K43" s="646"/>
      <c r="L43" s="646"/>
      <c r="M43" s="646"/>
      <c r="N43" s="646"/>
      <c r="O43" s="646"/>
      <c r="P43" s="646"/>
      <c r="Q43" s="646"/>
      <c r="R43" s="646"/>
      <c r="S43" s="646"/>
      <c r="T43" s="646"/>
      <c r="U43" s="646"/>
      <c r="V43" s="646"/>
      <c r="W43" s="646"/>
      <c r="X43" s="646"/>
      <c r="Y43" s="646"/>
      <c r="Z43" s="646"/>
    </row>
    <row r="44">
      <c r="A44" s="687"/>
      <c r="B44" s="646"/>
      <c r="C44" s="646"/>
      <c r="D44" s="646"/>
      <c r="E44" s="646"/>
      <c r="F44" s="646"/>
      <c r="G44" s="646"/>
      <c r="H44" s="646"/>
      <c r="I44" s="646"/>
      <c r="J44" s="646"/>
      <c r="K44" s="646"/>
      <c r="L44" s="646"/>
      <c r="M44" s="646"/>
      <c r="N44" s="646"/>
      <c r="O44" s="646"/>
      <c r="P44" s="646"/>
      <c r="Q44" s="646"/>
      <c r="R44" s="646"/>
      <c r="S44" s="646"/>
      <c r="T44" s="646"/>
      <c r="U44" s="646"/>
      <c r="V44" s="646"/>
      <c r="W44" s="646"/>
      <c r="X44" s="646"/>
      <c r="Y44" s="646"/>
      <c r="Z44" s="646"/>
    </row>
    <row r="45">
      <c r="A45" s="687"/>
      <c r="B45" s="646"/>
      <c r="C45" s="646"/>
      <c r="D45" s="646"/>
      <c r="E45" s="646"/>
      <c r="F45" s="646"/>
      <c r="G45" s="646"/>
      <c r="H45" s="646"/>
      <c r="I45" s="646"/>
      <c r="J45" s="646"/>
      <c r="K45" s="646"/>
      <c r="L45" s="646"/>
      <c r="M45" s="646"/>
      <c r="N45" s="646"/>
      <c r="O45" s="646"/>
      <c r="P45" s="646"/>
      <c r="Q45" s="646"/>
      <c r="R45" s="646"/>
      <c r="S45" s="646"/>
      <c r="T45" s="646"/>
      <c r="U45" s="646"/>
      <c r="V45" s="646"/>
      <c r="W45" s="646"/>
      <c r="X45" s="646"/>
      <c r="Y45" s="646"/>
      <c r="Z45" s="646"/>
    </row>
    <row r="46">
      <c r="A46" s="687"/>
      <c r="B46" s="646"/>
      <c r="C46" s="646"/>
      <c r="D46" s="646"/>
      <c r="E46" s="646"/>
      <c r="F46" s="646"/>
      <c r="G46" s="646"/>
      <c r="H46" s="646"/>
      <c r="I46" s="646"/>
      <c r="J46" s="646"/>
      <c r="K46" s="646"/>
      <c r="L46" s="646"/>
      <c r="M46" s="646"/>
      <c r="N46" s="646"/>
      <c r="O46" s="646"/>
      <c r="P46" s="646"/>
      <c r="Q46" s="646"/>
      <c r="R46" s="646"/>
      <c r="S46" s="646"/>
      <c r="T46" s="646"/>
      <c r="U46" s="646"/>
      <c r="V46" s="646"/>
      <c r="W46" s="646"/>
      <c r="X46" s="646"/>
      <c r="Y46" s="646"/>
      <c r="Z46" s="646"/>
    </row>
    <row r="47">
      <c r="A47" s="687"/>
      <c r="B47" s="646"/>
      <c r="C47" s="646"/>
      <c r="D47" s="646"/>
      <c r="E47" s="646"/>
      <c r="F47" s="646"/>
      <c r="G47" s="646"/>
      <c r="H47" s="646"/>
      <c r="I47" s="646"/>
      <c r="J47" s="646"/>
      <c r="K47" s="646"/>
      <c r="L47" s="646"/>
      <c r="M47" s="646"/>
      <c r="N47" s="646"/>
      <c r="O47" s="646"/>
      <c r="P47" s="646"/>
      <c r="Q47" s="646"/>
      <c r="R47" s="646"/>
      <c r="S47" s="646"/>
      <c r="T47" s="646"/>
      <c r="U47" s="646"/>
      <c r="V47" s="646"/>
      <c r="W47" s="646"/>
      <c r="X47" s="646"/>
      <c r="Y47" s="646"/>
      <c r="Z47" s="646"/>
    </row>
    <row r="48">
      <c r="A48" s="687"/>
      <c r="B48" s="646"/>
      <c r="C48" s="646"/>
      <c r="D48" s="646"/>
      <c r="E48" s="646"/>
      <c r="F48" s="646"/>
      <c r="G48" s="646"/>
      <c r="H48" s="646"/>
      <c r="I48" s="646"/>
      <c r="J48" s="646"/>
      <c r="K48" s="646"/>
      <c r="L48" s="646"/>
      <c r="M48" s="646"/>
      <c r="N48" s="646"/>
      <c r="O48" s="646"/>
      <c r="P48" s="646"/>
      <c r="Q48" s="646"/>
      <c r="R48" s="646"/>
      <c r="S48" s="646"/>
      <c r="T48" s="646"/>
      <c r="U48" s="646"/>
      <c r="V48" s="646"/>
      <c r="W48" s="646"/>
      <c r="X48" s="646"/>
      <c r="Y48" s="646"/>
      <c r="Z48" s="646"/>
    </row>
    <row r="49">
      <c r="A49" s="687"/>
      <c r="B49" s="646"/>
      <c r="C49" s="646"/>
      <c r="D49" s="646"/>
      <c r="E49" s="646"/>
      <c r="F49" s="646"/>
      <c r="G49" s="646"/>
      <c r="H49" s="646"/>
      <c r="I49" s="646"/>
      <c r="J49" s="646"/>
      <c r="K49" s="646"/>
      <c r="L49" s="646"/>
      <c r="M49" s="646"/>
      <c r="N49" s="646"/>
      <c r="O49" s="646"/>
      <c r="P49" s="646"/>
      <c r="Q49" s="646"/>
      <c r="R49" s="646"/>
      <c r="S49" s="646"/>
      <c r="T49" s="646"/>
      <c r="U49" s="646"/>
      <c r="V49" s="646"/>
      <c r="W49" s="646"/>
      <c r="X49" s="646"/>
      <c r="Y49" s="646"/>
      <c r="Z49" s="646"/>
    </row>
    <row r="50">
      <c r="A50" s="687"/>
      <c r="B50" s="646"/>
      <c r="C50" s="646"/>
      <c r="D50" s="646"/>
      <c r="E50" s="646"/>
      <c r="F50" s="646"/>
      <c r="G50" s="646"/>
      <c r="H50" s="646"/>
      <c r="I50" s="646"/>
      <c r="J50" s="646"/>
      <c r="K50" s="646"/>
      <c r="L50" s="646"/>
      <c r="M50" s="646"/>
      <c r="N50" s="646"/>
      <c r="O50" s="646"/>
      <c r="P50" s="646"/>
      <c r="Q50" s="646"/>
      <c r="R50" s="646"/>
      <c r="S50" s="646"/>
      <c r="T50" s="646"/>
      <c r="U50" s="646"/>
      <c r="V50" s="646"/>
      <c r="W50" s="646"/>
      <c r="X50" s="646"/>
      <c r="Y50" s="646"/>
      <c r="Z50" s="646"/>
    </row>
    <row r="51">
      <c r="A51" s="687"/>
      <c r="B51" s="646"/>
      <c r="C51" s="646"/>
      <c r="D51" s="646"/>
      <c r="E51" s="646"/>
      <c r="F51" s="646"/>
      <c r="G51" s="646"/>
      <c r="H51" s="646"/>
      <c r="I51" s="646"/>
      <c r="J51" s="646"/>
      <c r="K51" s="646"/>
      <c r="L51" s="646"/>
      <c r="M51" s="646"/>
      <c r="N51" s="646"/>
      <c r="O51" s="646"/>
      <c r="P51" s="646"/>
      <c r="Q51" s="646"/>
      <c r="R51" s="646"/>
      <c r="S51" s="646"/>
      <c r="T51" s="646"/>
      <c r="U51" s="646"/>
      <c r="V51" s="646"/>
      <c r="W51" s="646"/>
      <c r="X51" s="646"/>
      <c r="Y51" s="646"/>
      <c r="Z51" s="646"/>
    </row>
    <row r="52">
      <c r="A52" s="687"/>
      <c r="B52" s="646"/>
      <c r="C52" s="646"/>
      <c r="D52" s="646"/>
      <c r="E52" s="646"/>
      <c r="F52" s="646"/>
      <c r="G52" s="646"/>
      <c r="H52" s="646"/>
      <c r="I52" s="646"/>
      <c r="J52" s="646"/>
      <c r="K52" s="646"/>
      <c r="L52" s="646"/>
      <c r="M52" s="646"/>
      <c r="N52" s="646"/>
      <c r="O52" s="646"/>
      <c r="P52" s="646"/>
      <c r="Q52" s="646"/>
      <c r="R52" s="646"/>
      <c r="S52" s="646"/>
      <c r="T52" s="646"/>
      <c r="U52" s="646"/>
      <c r="V52" s="646"/>
      <c r="W52" s="646"/>
      <c r="X52" s="646"/>
      <c r="Y52" s="646"/>
      <c r="Z52" s="646"/>
    </row>
    <row r="53">
      <c r="A53" s="687"/>
      <c r="B53" s="646"/>
      <c r="C53" s="646"/>
      <c r="D53" s="646"/>
      <c r="E53" s="646"/>
      <c r="F53" s="646"/>
      <c r="G53" s="646"/>
      <c r="H53" s="646"/>
      <c r="I53" s="646"/>
      <c r="J53" s="646"/>
      <c r="K53" s="646"/>
      <c r="L53" s="646"/>
      <c r="M53" s="646"/>
      <c r="N53" s="646"/>
      <c r="O53" s="646"/>
      <c r="P53" s="646"/>
      <c r="Q53" s="646"/>
      <c r="R53" s="646"/>
      <c r="S53" s="646"/>
      <c r="T53" s="646"/>
      <c r="U53" s="646"/>
      <c r="V53" s="646"/>
      <c r="W53" s="646"/>
      <c r="X53" s="646"/>
      <c r="Y53" s="646"/>
      <c r="Z53" s="646"/>
    </row>
    <row r="54">
      <c r="A54" s="687"/>
      <c r="B54" s="646"/>
      <c r="C54" s="646"/>
      <c r="D54" s="646"/>
      <c r="E54" s="646"/>
      <c r="F54" s="646"/>
      <c r="G54" s="646"/>
      <c r="H54" s="646"/>
      <c r="I54" s="646"/>
      <c r="J54" s="646"/>
      <c r="K54" s="646"/>
      <c r="L54" s="646"/>
      <c r="M54" s="646"/>
      <c r="N54" s="646"/>
      <c r="O54" s="646"/>
      <c r="P54" s="646"/>
      <c r="Q54" s="646"/>
      <c r="R54" s="646"/>
      <c r="S54" s="646"/>
      <c r="T54" s="646"/>
      <c r="U54" s="646"/>
      <c r="V54" s="646"/>
      <c r="W54" s="646"/>
      <c r="X54" s="646"/>
      <c r="Y54" s="646"/>
      <c r="Z54" s="646"/>
    </row>
    <row r="55">
      <c r="A55" s="687"/>
      <c r="B55" s="646"/>
      <c r="C55" s="646"/>
      <c r="D55" s="646"/>
      <c r="E55" s="646"/>
      <c r="F55" s="646"/>
      <c r="G55" s="646"/>
      <c r="H55" s="646"/>
      <c r="I55" s="646"/>
      <c r="J55" s="646"/>
      <c r="K55" s="646"/>
      <c r="L55" s="646"/>
      <c r="M55" s="646"/>
      <c r="N55" s="646"/>
      <c r="O55" s="646"/>
      <c r="P55" s="646"/>
      <c r="Q55" s="646"/>
      <c r="R55" s="646"/>
      <c r="S55" s="646"/>
      <c r="T55" s="646"/>
      <c r="U55" s="646"/>
      <c r="V55" s="646"/>
      <c r="W55" s="646"/>
      <c r="X55" s="646"/>
      <c r="Y55" s="646"/>
      <c r="Z55" s="646"/>
    </row>
    <row r="56">
      <c r="A56" s="687"/>
      <c r="B56" s="646"/>
      <c r="C56" s="646"/>
      <c r="D56" s="646"/>
      <c r="E56" s="646"/>
      <c r="F56" s="646"/>
      <c r="G56" s="646"/>
      <c r="H56" s="646"/>
      <c r="I56" s="646"/>
      <c r="J56" s="646"/>
      <c r="K56" s="646"/>
      <c r="L56" s="646"/>
      <c r="M56" s="646"/>
      <c r="N56" s="646"/>
      <c r="O56" s="646"/>
      <c r="P56" s="646"/>
      <c r="Q56" s="646"/>
      <c r="R56" s="646"/>
      <c r="S56" s="646"/>
      <c r="T56" s="646"/>
      <c r="U56" s="646"/>
      <c r="V56" s="646"/>
      <c r="W56" s="646"/>
      <c r="X56" s="646"/>
      <c r="Y56" s="646"/>
      <c r="Z56" s="646"/>
    </row>
    <row r="57">
      <c r="A57" s="687"/>
      <c r="B57" s="646"/>
      <c r="C57" s="646"/>
      <c r="D57" s="646"/>
      <c r="E57" s="646"/>
      <c r="F57" s="646"/>
      <c r="G57" s="646"/>
      <c r="H57" s="646"/>
      <c r="I57" s="646"/>
      <c r="J57" s="646"/>
      <c r="K57" s="646"/>
      <c r="L57" s="646"/>
      <c r="M57" s="646"/>
      <c r="N57" s="646"/>
      <c r="O57" s="646"/>
      <c r="P57" s="646"/>
      <c r="Q57" s="646"/>
      <c r="R57" s="646"/>
      <c r="S57" s="646"/>
      <c r="T57" s="646"/>
      <c r="U57" s="646"/>
      <c r="V57" s="646"/>
      <c r="W57" s="646"/>
      <c r="X57" s="646"/>
      <c r="Y57" s="646"/>
      <c r="Z57" s="646"/>
    </row>
    <row r="58">
      <c r="A58" s="687"/>
      <c r="B58" s="646"/>
      <c r="C58" s="646"/>
      <c r="D58" s="646"/>
      <c r="E58" s="646"/>
      <c r="F58" s="646"/>
      <c r="G58" s="646"/>
      <c r="H58" s="646"/>
      <c r="I58" s="646"/>
      <c r="J58" s="646"/>
      <c r="K58" s="646"/>
      <c r="L58" s="646"/>
      <c r="M58" s="646"/>
      <c r="N58" s="646"/>
      <c r="O58" s="646"/>
      <c r="P58" s="646"/>
      <c r="Q58" s="646"/>
      <c r="R58" s="646"/>
      <c r="S58" s="646"/>
      <c r="T58" s="646"/>
      <c r="U58" s="646"/>
      <c r="V58" s="646"/>
      <c r="W58" s="646"/>
      <c r="X58" s="646"/>
      <c r="Y58" s="646"/>
      <c r="Z58" s="646"/>
    </row>
    <row r="59">
      <c r="A59" s="687"/>
      <c r="B59" s="646"/>
      <c r="C59" s="646"/>
      <c r="D59" s="646"/>
      <c r="E59" s="646"/>
      <c r="F59" s="646"/>
      <c r="G59" s="646"/>
      <c r="H59" s="646"/>
      <c r="I59" s="646"/>
      <c r="J59" s="646"/>
      <c r="K59" s="646"/>
      <c r="L59" s="646"/>
      <c r="M59" s="646"/>
      <c r="N59" s="646"/>
      <c r="O59" s="646"/>
      <c r="P59" s="646"/>
      <c r="Q59" s="646"/>
      <c r="R59" s="646"/>
      <c r="S59" s="646"/>
      <c r="T59" s="646"/>
      <c r="U59" s="646"/>
      <c r="V59" s="646"/>
      <c r="W59" s="646"/>
      <c r="X59" s="646"/>
      <c r="Y59" s="646"/>
      <c r="Z59" s="646"/>
    </row>
    <row r="60">
      <c r="A60" s="687"/>
      <c r="B60" s="646"/>
      <c r="C60" s="646"/>
      <c r="D60" s="646"/>
      <c r="E60" s="646"/>
      <c r="F60" s="646"/>
      <c r="G60" s="646"/>
      <c r="H60" s="646"/>
      <c r="I60" s="646"/>
      <c r="J60" s="646"/>
      <c r="K60" s="646"/>
      <c r="L60" s="646"/>
      <c r="M60" s="646"/>
      <c r="N60" s="646"/>
      <c r="O60" s="646"/>
      <c r="P60" s="646"/>
      <c r="Q60" s="646"/>
      <c r="R60" s="646"/>
      <c r="S60" s="646"/>
      <c r="T60" s="646"/>
      <c r="U60" s="646"/>
      <c r="V60" s="646"/>
      <c r="W60" s="646"/>
      <c r="X60" s="646"/>
      <c r="Y60" s="646"/>
      <c r="Z60" s="646"/>
    </row>
    <row r="61">
      <c r="A61" s="687"/>
      <c r="B61" s="646"/>
      <c r="C61" s="646"/>
      <c r="D61" s="646"/>
      <c r="E61" s="646"/>
      <c r="F61" s="646"/>
      <c r="G61" s="646"/>
      <c r="H61" s="646"/>
      <c r="I61" s="646"/>
      <c r="J61" s="646"/>
      <c r="K61" s="646"/>
      <c r="L61" s="646"/>
      <c r="M61" s="646"/>
      <c r="N61" s="646"/>
      <c r="O61" s="646"/>
      <c r="P61" s="646"/>
      <c r="Q61" s="646"/>
      <c r="R61" s="646"/>
      <c r="S61" s="646"/>
      <c r="T61" s="646"/>
      <c r="U61" s="646"/>
      <c r="V61" s="646"/>
      <c r="W61" s="646"/>
      <c r="X61" s="646"/>
      <c r="Y61" s="646"/>
      <c r="Z61" s="646"/>
    </row>
    <row r="62">
      <c r="A62" s="687"/>
      <c r="B62" s="646"/>
      <c r="C62" s="646"/>
      <c r="D62" s="646"/>
      <c r="E62" s="646"/>
      <c r="F62" s="646"/>
      <c r="G62" s="646"/>
      <c r="H62" s="646"/>
      <c r="I62" s="646"/>
      <c r="J62" s="646"/>
      <c r="K62" s="646"/>
      <c r="L62" s="646"/>
      <c r="M62" s="646"/>
      <c r="N62" s="646"/>
      <c r="O62" s="646"/>
      <c r="P62" s="646"/>
      <c r="Q62" s="646"/>
      <c r="R62" s="646"/>
      <c r="S62" s="646"/>
      <c r="T62" s="646"/>
      <c r="U62" s="646"/>
      <c r="V62" s="646"/>
      <c r="W62" s="646"/>
      <c r="X62" s="646"/>
      <c r="Y62" s="646"/>
      <c r="Z62" s="646"/>
    </row>
    <row r="63">
      <c r="A63" s="687"/>
      <c r="B63" s="646"/>
      <c r="C63" s="646"/>
      <c r="D63" s="646"/>
      <c r="E63" s="646"/>
      <c r="F63" s="646"/>
      <c r="G63" s="646"/>
      <c r="H63" s="646"/>
      <c r="I63" s="646"/>
      <c r="J63" s="646"/>
      <c r="K63" s="646"/>
      <c r="L63" s="646"/>
      <c r="M63" s="646"/>
      <c r="N63" s="646"/>
      <c r="O63" s="646"/>
      <c r="P63" s="646"/>
      <c r="Q63" s="646"/>
      <c r="R63" s="646"/>
      <c r="S63" s="646"/>
      <c r="T63" s="646"/>
      <c r="U63" s="646"/>
      <c r="V63" s="646"/>
      <c r="W63" s="646"/>
      <c r="X63" s="646"/>
      <c r="Y63" s="646"/>
      <c r="Z63" s="646"/>
    </row>
    <row r="64">
      <c r="A64" s="687"/>
      <c r="B64" s="646"/>
      <c r="C64" s="646"/>
      <c r="D64" s="646"/>
      <c r="E64" s="646"/>
      <c r="F64" s="646"/>
      <c r="G64" s="646"/>
      <c r="H64" s="646"/>
      <c r="I64" s="646"/>
      <c r="J64" s="646"/>
      <c r="K64" s="646"/>
      <c r="L64" s="646"/>
      <c r="M64" s="646"/>
      <c r="N64" s="646"/>
      <c r="O64" s="646"/>
      <c r="P64" s="646"/>
      <c r="Q64" s="646"/>
      <c r="R64" s="646"/>
      <c r="S64" s="646"/>
      <c r="T64" s="646"/>
      <c r="U64" s="646"/>
      <c r="V64" s="646"/>
      <c r="W64" s="646"/>
      <c r="X64" s="646"/>
      <c r="Y64" s="646"/>
      <c r="Z64" s="646"/>
    </row>
    <row r="65">
      <c r="A65" s="687"/>
      <c r="B65" s="646"/>
      <c r="C65" s="646"/>
      <c r="D65" s="646"/>
      <c r="E65" s="646"/>
      <c r="F65" s="646"/>
      <c r="G65" s="646"/>
      <c r="H65" s="646"/>
      <c r="I65" s="646"/>
      <c r="J65" s="646"/>
      <c r="K65" s="646"/>
      <c r="L65" s="646"/>
      <c r="M65" s="646"/>
      <c r="N65" s="646"/>
      <c r="O65" s="646"/>
      <c r="P65" s="646"/>
      <c r="Q65" s="646"/>
      <c r="R65" s="646"/>
      <c r="S65" s="646"/>
      <c r="T65" s="646"/>
      <c r="U65" s="646"/>
      <c r="V65" s="646"/>
      <c r="W65" s="646"/>
      <c r="X65" s="646"/>
      <c r="Y65" s="646"/>
      <c r="Z65" s="646"/>
    </row>
    <row r="66">
      <c r="A66" s="687"/>
      <c r="B66" s="646"/>
      <c r="C66" s="646"/>
      <c r="D66" s="646"/>
      <c r="E66" s="646"/>
      <c r="F66" s="646"/>
      <c r="G66" s="646"/>
      <c r="H66" s="646"/>
      <c r="I66" s="646"/>
      <c r="J66" s="646"/>
      <c r="K66" s="646"/>
      <c r="L66" s="646"/>
      <c r="M66" s="646"/>
      <c r="N66" s="646"/>
      <c r="O66" s="646"/>
      <c r="P66" s="646"/>
      <c r="Q66" s="646"/>
      <c r="R66" s="646"/>
      <c r="S66" s="646"/>
      <c r="T66" s="646"/>
      <c r="U66" s="646"/>
      <c r="V66" s="646"/>
      <c r="W66" s="646"/>
      <c r="X66" s="646"/>
      <c r="Y66" s="646"/>
      <c r="Z66" s="646"/>
    </row>
    <row r="67">
      <c r="A67" s="687"/>
      <c r="B67" s="646"/>
      <c r="C67" s="646"/>
      <c r="D67" s="646"/>
      <c r="E67" s="646"/>
      <c r="F67" s="646"/>
      <c r="G67" s="646"/>
      <c r="H67" s="646"/>
      <c r="I67" s="646"/>
      <c r="J67" s="646"/>
      <c r="K67" s="646"/>
      <c r="L67" s="646"/>
      <c r="M67" s="646"/>
      <c r="N67" s="646"/>
      <c r="O67" s="646"/>
      <c r="P67" s="646"/>
      <c r="Q67" s="646"/>
      <c r="R67" s="646"/>
      <c r="S67" s="646"/>
      <c r="T67" s="646"/>
      <c r="U67" s="646"/>
      <c r="V67" s="646"/>
      <c r="W67" s="646"/>
      <c r="X67" s="646"/>
      <c r="Y67" s="646"/>
      <c r="Z67" s="646"/>
    </row>
    <row r="68">
      <c r="A68" s="687"/>
      <c r="B68" s="646"/>
      <c r="C68" s="646"/>
      <c r="D68" s="646"/>
      <c r="E68" s="646"/>
      <c r="F68" s="646"/>
      <c r="G68" s="646"/>
      <c r="H68" s="646"/>
      <c r="I68" s="646"/>
      <c r="J68" s="646"/>
      <c r="K68" s="646"/>
      <c r="L68" s="646"/>
      <c r="M68" s="646"/>
      <c r="N68" s="646"/>
      <c r="O68" s="646"/>
      <c r="P68" s="646"/>
      <c r="Q68" s="646"/>
      <c r="R68" s="646"/>
      <c r="S68" s="646"/>
      <c r="T68" s="646"/>
      <c r="U68" s="646"/>
      <c r="V68" s="646"/>
      <c r="W68" s="646"/>
      <c r="X68" s="646"/>
      <c r="Y68" s="646"/>
      <c r="Z68" s="646"/>
    </row>
    <row r="69">
      <c r="A69" s="687"/>
      <c r="B69" s="646"/>
      <c r="C69" s="646"/>
      <c r="D69" s="646"/>
      <c r="E69" s="646"/>
      <c r="F69" s="646"/>
      <c r="G69" s="646"/>
      <c r="H69" s="646"/>
      <c r="I69" s="646"/>
      <c r="J69" s="646"/>
      <c r="K69" s="646"/>
      <c r="L69" s="646"/>
      <c r="M69" s="646"/>
      <c r="N69" s="646"/>
      <c r="O69" s="646"/>
      <c r="P69" s="646"/>
      <c r="Q69" s="646"/>
      <c r="R69" s="646"/>
      <c r="S69" s="646"/>
      <c r="T69" s="646"/>
      <c r="U69" s="646"/>
      <c r="V69" s="646"/>
      <c r="W69" s="646"/>
      <c r="X69" s="646"/>
      <c r="Y69" s="646"/>
      <c r="Z69" s="646"/>
    </row>
    <row r="70">
      <c r="A70" s="687"/>
      <c r="B70" s="646"/>
      <c r="C70" s="646"/>
      <c r="D70" s="646"/>
      <c r="E70" s="646"/>
      <c r="F70" s="646"/>
      <c r="G70" s="646"/>
      <c r="H70" s="646"/>
      <c r="I70" s="646"/>
      <c r="J70" s="646"/>
      <c r="K70" s="646"/>
      <c r="L70" s="646"/>
      <c r="M70" s="646"/>
      <c r="N70" s="646"/>
      <c r="O70" s="646"/>
      <c r="P70" s="646"/>
      <c r="Q70" s="646"/>
      <c r="R70" s="646"/>
      <c r="S70" s="646"/>
      <c r="T70" s="646"/>
      <c r="U70" s="646"/>
      <c r="V70" s="646"/>
      <c r="W70" s="646"/>
      <c r="X70" s="646"/>
      <c r="Y70" s="646"/>
      <c r="Z70" s="646"/>
    </row>
    <row r="71">
      <c r="A71" s="687"/>
      <c r="B71" s="646"/>
      <c r="C71" s="646"/>
      <c r="D71" s="646"/>
      <c r="E71" s="646"/>
      <c r="F71" s="646"/>
      <c r="G71" s="646"/>
      <c r="H71" s="646"/>
      <c r="I71" s="646"/>
      <c r="J71" s="646"/>
      <c r="K71" s="646"/>
      <c r="L71" s="646"/>
      <c r="M71" s="646"/>
      <c r="N71" s="646"/>
      <c r="O71" s="646"/>
      <c r="P71" s="646"/>
      <c r="Q71" s="646"/>
      <c r="R71" s="646"/>
      <c r="S71" s="646"/>
      <c r="T71" s="646"/>
      <c r="U71" s="646"/>
      <c r="V71" s="646"/>
      <c r="W71" s="646"/>
      <c r="X71" s="646"/>
      <c r="Y71" s="646"/>
      <c r="Z71" s="646"/>
    </row>
    <row r="72">
      <c r="A72" s="687"/>
      <c r="B72" s="646"/>
      <c r="C72" s="646"/>
      <c r="D72" s="646"/>
      <c r="E72" s="646"/>
      <c r="F72" s="646"/>
      <c r="G72" s="646"/>
      <c r="H72" s="646"/>
      <c r="I72" s="646"/>
      <c r="J72" s="646"/>
      <c r="K72" s="646"/>
      <c r="L72" s="646"/>
      <c r="M72" s="646"/>
      <c r="N72" s="646"/>
      <c r="O72" s="646"/>
      <c r="P72" s="646"/>
      <c r="Q72" s="646"/>
      <c r="R72" s="646"/>
      <c r="S72" s="646"/>
      <c r="T72" s="646"/>
      <c r="U72" s="646"/>
      <c r="V72" s="646"/>
      <c r="W72" s="646"/>
      <c r="X72" s="646"/>
      <c r="Y72" s="646"/>
      <c r="Z72" s="646"/>
    </row>
    <row r="73">
      <c r="A73" s="687"/>
      <c r="B73" s="646"/>
      <c r="C73" s="646"/>
      <c r="D73" s="646"/>
      <c r="E73" s="646"/>
      <c r="F73" s="646"/>
      <c r="G73" s="646"/>
      <c r="H73" s="646"/>
      <c r="I73" s="646"/>
      <c r="J73" s="646"/>
      <c r="K73" s="646"/>
      <c r="L73" s="646"/>
      <c r="M73" s="646"/>
      <c r="N73" s="646"/>
      <c r="O73" s="646"/>
      <c r="P73" s="646"/>
      <c r="Q73" s="646"/>
      <c r="R73" s="646"/>
      <c r="S73" s="646"/>
      <c r="T73" s="646"/>
      <c r="U73" s="646"/>
      <c r="V73" s="646"/>
      <c r="W73" s="646"/>
      <c r="X73" s="646"/>
      <c r="Y73" s="646"/>
      <c r="Z73" s="646"/>
    </row>
    <row r="74">
      <c r="A74" s="687"/>
      <c r="B74" s="646"/>
      <c r="C74" s="646"/>
      <c r="D74" s="646"/>
      <c r="E74" s="646"/>
      <c r="F74" s="646"/>
      <c r="G74" s="646"/>
      <c r="H74" s="646"/>
      <c r="I74" s="646"/>
      <c r="J74" s="646"/>
      <c r="K74" s="646"/>
      <c r="L74" s="646"/>
      <c r="M74" s="646"/>
      <c r="N74" s="646"/>
      <c r="O74" s="646"/>
      <c r="P74" s="646"/>
      <c r="Q74" s="646"/>
      <c r="R74" s="646"/>
      <c r="S74" s="646"/>
      <c r="T74" s="646"/>
      <c r="U74" s="646"/>
      <c r="V74" s="646"/>
      <c r="W74" s="646"/>
      <c r="X74" s="646"/>
      <c r="Y74" s="646"/>
      <c r="Z74" s="646"/>
    </row>
    <row r="75">
      <c r="A75" s="687"/>
      <c r="B75" s="646"/>
      <c r="C75" s="646"/>
      <c r="D75" s="646"/>
      <c r="E75" s="646"/>
      <c r="F75" s="646"/>
      <c r="G75" s="646"/>
      <c r="H75" s="646"/>
      <c r="I75" s="646"/>
      <c r="J75" s="646"/>
      <c r="K75" s="646"/>
      <c r="L75" s="646"/>
      <c r="M75" s="646"/>
      <c r="N75" s="646"/>
      <c r="O75" s="646"/>
      <c r="P75" s="646"/>
      <c r="Q75" s="646"/>
      <c r="R75" s="646"/>
      <c r="S75" s="646"/>
      <c r="T75" s="646"/>
      <c r="U75" s="646"/>
      <c r="V75" s="646"/>
      <c r="W75" s="646"/>
      <c r="X75" s="646"/>
      <c r="Y75" s="646"/>
      <c r="Z75" s="646"/>
    </row>
    <row r="76">
      <c r="A76" s="687"/>
      <c r="B76" s="646"/>
      <c r="C76" s="646"/>
      <c r="D76" s="646"/>
      <c r="E76" s="646"/>
      <c r="F76" s="646"/>
      <c r="G76" s="646"/>
      <c r="H76" s="646"/>
      <c r="I76" s="646"/>
      <c r="J76" s="646"/>
      <c r="K76" s="646"/>
      <c r="L76" s="646"/>
      <c r="M76" s="646"/>
      <c r="N76" s="646"/>
      <c r="O76" s="646"/>
      <c r="P76" s="646"/>
      <c r="Q76" s="646"/>
      <c r="R76" s="646"/>
      <c r="S76" s="646"/>
      <c r="T76" s="646"/>
      <c r="U76" s="646"/>
      <c r="V76" s="646"/>
      <c r="W76" s="646"/>
      <c r="X76" s="646"/>
      <c r="Y76" s="646"/>
      <c r="Z76" s="646"/>
    </row>
    <row r="77">
      <c r="A77" s="687"/>
      <c r="B77" s="646"/>
      <c r="C77" s="646"/>
      <c r="D77" s="646"/>
      <c r="E77" s="646"/>
      <c r="F77" s="646"/>
      <c r="G77" s="646"/>
      <c r="H77" s="646"/>
      <c r="I77" s="646"/>
      <c r="J77" s="646"/>
      <c r="K77" s="646"/>
      <c r="L77" s="646"/>
      <c r="M77" s="646"/>
      <c r="N77" s="646"/>
      <c r="O77" s="646"/>
      <c r="P77" s="646"/>
      <c r="Q77" s="646"/>
      <c r="R77" s="646"/>
      <c r="S77" s="646"/>
      <c r="T77" s="646"/>
      <c r="U77" s="646"/>
      <c r="V77" s="646"/>
      <c r="W77" s="646"/>
      <c r="X77" s="646"/>
      <c r="Y77" s="646"/>
      <c r="Z77" s="646"/>
    </row>
    <row r="78">
      <c r="A78" s="687"/>
      <c r="B78" s="646"/>
      <c r="C78" s="646"/>
      <c r="D78" s="646"/>
      <c r="E78" s="646"/>
      <c r="F78" s="646"/>
      <c r="G78" s="646"/>
      <c r="H78" s="646"/>
      <c r="I78" s="646"/>
      <c r="J78" s="646"/>
      <c r="K78" s="646"/>
      <c r="L78" s="646"/>
      <c r="M78" s="646"/>
      <c r="N78" s="646"/>
      <c r="O78" s="646"/>
      <c r="P78" s="646"/>
      <c r="Q78" s="646"/>
      <c r="R78" s="646"/>
      <c r="S78" s="646"/>
      <c r="T78" s="646"/>
      <c r="U78" s="646"/>
      <c r="V78" s="646"/>
      <c r="W78" s="646"/>
      <c r="X78" s="646"/>
      <c r="Y78" s="646"/>
      <c r="Z78" s="646"/>
    </row>
    <row r="79">
      <c r="A79" s="687"/>
      <c r="B79" s="646"/>
      <c r="C79" s="646"/>
      <c r="D79" s="646"/>
      <c r="E79" s="646"/>
      <c r="F79" s="646"/>
      <c r="G79" s="646"/>
      <c r="H79" s="646"/>
      <c r="I79" s="646"/>
      <c r="J79" s="646"/>
      <c r="K79" s="646"/>
      <c r="L79" s="646"/>
      <c r="M79" s="646"/>
      <c r="N79" s="646"/>
      <c r="O79" s="646"/>
      <c r="P79" s="646"/>
      <c r="Q79" s="646"/>
      <c r="R79" s="646"/>
      <c r="S79" s="646"/>
      <c r="T79" s="646"/>
      <c r="U79" s="646"/>
      <c r="V79" s="646"/>
      <c r="W79" s="646"/>
      <c r="X79" s="646"/>
      <c r="Y79" s="646"/>
      <c r="Z79" s="646"/>
    </row>
    <row r="80">
      <c r="A80" s="687"/>
      <c r="B80" s="646"/>
      <c r="C80" s="646"/>
      <c r="D80" s="646"/>
      <c r="E80" s="646"/>
      <c r="F80" s="646"/>
      <c r="G80" s="646"/>
      <c r="H80" s="646"/>
      <c r="I80" s="646"/>
      <c r="J80" s="646"/>
      <c r="K80" s="646"/>
      <c r="L80" s="646"/>
      <c r="M80" s="646"/>
      <c r="N80" s="646"/>
      <c r="O80" s="646"/>
      <c r="P80" s="646"/>
      <c r="Q80" s="646"/>
      <c r="R80" s="646"/>
      <c r="S80" s="646"/>
      <c r="T80" s="646"/>
      <c r="U80" s="646"/>
      <c r="V80" s="646"/>
      <c r="W80" s="646"/>
      <c r="X80" s="646"/>
      <c r="Y80" s="646"/>
      <c r="Z80" s="646"/>
    </row>
    <row r="81">
      <c r="A81" s="687"/>
      <c r="B81" s="646"/>
      <c r="C81" s="646"/>
      <c r="D81" s="646"/>
      <c r="E81" s="646"/>
      <c r="F81" s="646"/>
      <c r="G81" s="646"/>
      <c r="H81" s="646"/>
      <c r="I81" s="646"/>
      <c r="J81" s="646"/>
      <c r="K81" s="646"/>
      <c r="L81" s="646"/>
      <c r="M81" s="646"/>
      <c r="N81" s="646"/>
      <c r="O81" s="646"/>
      <c r="P81" s="646"/>
      <c r="Q81" s="646"/>
      <c r="R81" s="646"/>
      <c r="S81" s="646"/>
      <c r="T81" s="646"/>
      <c r="U81" s="646"/>
      <c r="V81" s="646"/>
      <c r="W81" s="646"/>
      <c r="X81" s="646"/>
      <c r="Y81" s="646"/>
      <c r="Z81" s="646"/>
    </row>
    <row r="82">
      <c r="A82" s="687"/>
      <c r="B82" s="646"/>
      <c r="C82" s="646"/>
      <c r="D82" s="646"/>
      <c r="E82" s="646"/>
      <c r="F82" s="646"/>
      <c r="G82" s="646"/>
      <c r="H82" s="646"/>
      <c r="I82" s="646"/>
      <c r="J82" s="646"/>
      <c r="K82" s="646"/>
      <c r="L82" s="646"/>
      <c r="M82" s="646"/>
      <c r="N82" s="646"/>
      <c r="O82" s="646"/>
      <c r="P82" s="646"/>
      <c r="Q82" s="646"/>
      <c r="R82" s="646"/>
      <c r="S82" s="646"/>
      <c r="T82" s="646"/>
      <c r="U82" s="646"/>
      <c r="V82" s="646"/>
      <c r="W82" s="646"/>
      <c r="X82" s="646"/>
      <c r="Y82" s="646"/>
      <c r="Z82" s="646"/>
    </row>
    <row r="83">
      <c r="A83" s="687"/>
      <c r="B83" s="646"/>
      <c r="C83" s="646"/>
      <c r="D83" s="646"/>
      <c r="E83" s="646"/>
      <c r="F83" s="646"/>
      <c r="G83" s="646"/>
      <c r="H83" s="646"/>
      <c r="I83" s="646"/>
      <c r="J83" s="646"/>
      <c r="K83" s="646"/>
      <c r="L83" s="646"/>
      <c r="M83" s="646"/>
      <c r="N83" s="646"/>
      <c r="O83" s="646"/>
      <c r="P83" s="646"/>
      <c r="Q83" s="646"/>
      <c r="R83" s="646"/>
      <c r="S83" s="646"/>
      <c r="T83" s="646"/>
      <c r="U83" s="646"/>
      <c r="V83" s="646"/>
      <c r="W83" s="646"/>
      <c r="X83" s="646"/>
      <c r="Y83" s="646"/>
      <c r="Z83" s="646"/>
    </row>
    <row r="84">
      <c r="A84" s="687"/>
      <c r="B84" s="646"/>
      <c r="C84" s="646"/>
      <c r="D84" s="646"/>
      <c r="E84" s="646"/>
      <c r="F84" s="646"/>
      <c r="G84" s="646"/>
      <c r="H84" s="646"/>
      <c r="I84" s="646"/>
      <c r="J84" s="646"/>
      <c r="K84" s="646"/>
      <c r="L84" s="646"/>
      <c r="M84" s="646"/>
      <c r="N84" s="646"/>
      <c r="O84" s="646"/>
      <c r="P84" s="646"/>
      <c r="Q84" s="646"/>
      <c r="R84" s="646"/>
      <c r="S84" s="646"/>
      <c r="T84" s="646"/>
      <c r="U84" s="646"/>
      <c r="V84" s="646"/>
      <c r="W84" s="646"/>
      <c r="X84" s="646"/>
      <c r="Y84" s="646"/>
      <c r="Z84" s="646"/>
    </row>
    <row r="85">
      <c r="A85" s="687"/>
      <c r="B85" s="646"/>
      <c r="C85" s="646"/>
      <c r="D85" s="646"/>
      <c r="E85" s="646"/>
      <c r="F85" s="646"/>
      <c r="G85" s="646"/>
      <c r="H85" s="646"/>
      <c r="I85" s="646"/>
      <c r="J85" s="646"/>
      <c r="K85" s="646"/>
      <c r="L85" s="646"/>
      <c r="M85" s="646"/>
      <c r="N85" s="646"/>
      <c r="O85" s="646"/>
      <c r="P85" s="646"/>
      <c r="Q85" s="646"/>
      <c r="R85" s="646"/>
      <c r="S85" s="646"/>
      <c r="T85" s="646"/>
      <c r="U85" s="646"/>
      <c r="V85" s="646"/>
      <c r="W85" s="646"/>
      <c r="X85" s="646"/>
      <c r="Y85" s="646"/>
      <c r="Z85" s="646"/>
    </row>
    <row r="86">
      <c r="A86" s="687"/>
      <c r="B86" s="646"/>
      <c r="C86" s="646"/>
      <c r="D86" s="646"/>
      <c r="E86" s="646"/>
      <c r="F86" s="646"/>
      <c r="G86" s="646"/>
      <c r="H86" s="646"/>
      <c r="I86" s="646"/>
      <c r="J86" s="646"/>
      <c r="K86" s="646"/>
      <c r="L86" s="646"/>
      <c r="M86" s="646"/>
      <c r="N86" s="646"/>
      <c r="O86" s="646"/>
      <c r="P86" s="646"/>
      <c r="Q86" s="646"/>
      <c r="R86" s="646"/>
      <c r="S86" s="646"/>
      <c r="T86" s="646"/>
      <c r="U86" s="646"/>
      <c r="V86" s="646"/>
      <c r="W86" s="646"/>
      <c r="X86" s="646"/>
      <c r="Y86" s="646"/>
      <c r="Z86" s="646"/>
    </row>
    <row r="87">
      <c r="A87" s="687"/>
      <c r="B87" s="646"/>
      <c r="C87" s="646"/>
      <c r="D87" s="646"/>
      <c r="E87" s="646"/>
      <c r="F87" s="646"/>
      <c r="G87" s="646"/>
      <c r="H87" s="646"/>
      <c r="I87" s="646"/>
      <c r="J87" s="646"/>
      <c r="K87" s="646"/>
      <c r="L87" s="646"/>
      <c r="M87" s="646"/>
      <c r="N87" s="646"/>
      <c r="O87" s="646"/>
      <c r="P87" s="646"/>
      <c r="Q87" s="646"/>
      <c r="R87" s="646"/>
      <c r="S87" s="646"/>
      <c r="T87" s="646"/>
      <c r="U87" s="646"/>
      <c r="V87" s="646"/>
      <c r="W87" s="646"/>
      <c r="X87" s="646"/>
      <c r="Y87" s="646"/>
      <c r="Z87" s="646"/>
    </row>
    <row r="88">
      <c r="A88" s="687"/>
      <c r="B88" s="646"/>
      <c r="C88" s="646"/>
      <c r="D88" s="646"/>
      <c r="E88" s="646"/>
      <c r="F88" s="646"/>
      <c r="G88" s="646"/>
      <c r="H88" s="646"/>
      <c r="I88" s="646"/>
      <c r="J88" s="646"/>
      <c r="K88" s="646"/>
      <c r="L88" s="646"/>
      <c r="M88" s="646"/>
      <c r="N88" s="646"/>
      <c r="O88" s="646"/>
      <c r="P88" s="646"/>
      <c r="Q88" s="646"/>
      <c r="R88" s="646"/>
      <c r="S88" s="646"/>
      <c r="T88" s="646"/>
      <c r="U88" s="646"/>
      <c r="V88" s="646"/>
      <c r="W88" s="646"/>
      <c r="X88" s="646"/>
      <c r="Y88" s="646"/>
      <c r="Z88" s="646"/>
    </row>
    <row r="89">
      <c r="A89" s="687"/>
      <c r="B89" s="646"/>
      <c r="C89" s="646"/>
      <c r="D89" s="646"/>
      <c r="E89" s="646"/>
      <c r="F89" s="646"/>
      <c r="G89" s="646"/>
      <c r="H89" s="646"/>
      <c r="I89" s="646"/>
      <c r="J89" s="646"/>
      <c r="K89" s="646"/>
      <c r="L89" s="646"/>
      <c r="M89" s="646"/>
      <c r="N89" s="646"/>
      <c r="O89" s="646"/>
      <c r="P89" s="646"/>
      <c r="Q89" s="646"/>
      <c r="R89" s="646"/>
      <c r="S89" s="646"/>
      <c r="T89" s="646"/>
      <c r="U89" s="646"/>
      <c r="V89" s="646"/>
      <c r="W89" s="646"/>
      <c r="X89" s="646"/>
      <c r="Y89" s="646"/>
      <c r="Z89" s="646"/>
    </row>
    <row r="90">
      <c r="A90" s="687"/>
      <c r="B90" s="646"/>
      <c r="C90" s="646"/>
      <c r="D90" s="646"/>
      <c r="E90" s="646"/>
      <c r="F90" s="646"/>
      <c r="G90" s="646"/>
      <c r="H90" s="646"/>
      <c r="I90" s="646"/>
      <c r="J90" s="646"/>
      <c r="K90" s="646"/>
      <c r="L90" s="646"/>
      <c r="M90" s="646"/>
      <c r="N90" s="646"/>
      <c r="O90" s="646"/>
      <c r="P90" s="646"/>
      <c r="Q90" s="646"/>
      <c r="R90" s="646"/>
      <c r="S90" s="646"/>
      <c r="T90" s="646"/>
      <c r="U90" s="646"/>
      <c r="V90" s="646"/>
      <c r="W90" s="646"/>
      <c r="X90" s="646"/>
      <c r="Y90" s="646"/>
      <c r="Z90" s="646"/>
    </row>
    <row r="91">
      <c r="A91" s="687"/>
      <c r="B91" s="646"/>
      <c r="C91" s="646"/>
      <c r="D91" s="646"/>
      <c r="E91" s="646"/>
      <c r="F91" s="646"/>
      <c r="G91" s="646"/>
      <c r="H91" s="646"/>
      <c r="I91" s="646"/>
      <c r="J91" s="646"/>
      <c r="K91" s="646"/>
      <c r="L91" s="646"/>
      <c r="M91" s="646"/>
      <c r="N91" s="646"/>
      <c r="O91" s="646"/>
      <c r="P91" s="646"/>
      <c r="Q91" s="646"/>
      <c r="R91" s="646"/>
      <c r="S91" s="646"/>
      <c r="T91" s="646"/>
      <c r="U91" s="646"/>
      <c r="V91" s="646"/>
      <c r="W91" s="646"/>
      <c r="X91" s="646"/>
      <c r="Y91" s="646"/>
      <c r="Z91" s="646"/>
    </row>
    <row r="92">
      <c r="A92" s="687"/>
      <c r="B92" s="646"/>
      <c r="C92" s="646"/>
      <c r="D92" s="646"/>
      <c r="E92" s="646"/>
      <c r="F92" s="646"/>
      <c r="G92" s="646"/>
      <c r="H92" s="646"/>
      <c r="I92" s="646"/>
      <c r="J92" s="646"/>
      <c r="K92" s="646"/>
      <c r="L92" s="646"/>
      <c r="M92" s="646"/>
      <c r="N92" s="646"/>
      <c r="O92" s="646"/>
      <c r="P92" s="646"/>
      <c r="Q92" s="646"/>
      <c r="R92" s="646"/>
      <c r="S92" s="646"/>
      <c r="T92" s="646"/>
      <c r="U92" s="646"/>
      <c r="V92" s="646"/>
      <c r="W92" s="646"/>
      <c r="X92" s="646"/>
      <c r="Y92" s="646"/>
      <c r="Z92" s="646"/>
    </row>
    <row r="93">
      <c r="A93" s="687"/>
      <c r="B93" s="646"/>
      <c r="C93" s="646"/>
      <c r="D93" s="646"/>
      <c r="E93" s="646"/>
      <c r="F93" s="646"/>
      <c r="G93" s="646"/>
      <c r="H93" s="646"/>
      <c r="I93" s="646"/>
      <c r="J93" s="646"/>
      <c r="K93" s="646"/>
      <c r="L93" s="646"/>
      <c r="M93" s="646"/>
      <c r="N93" s="646"/>
      <c r="O93" s="646"/>
      <c r="P93" s="646"/>
      <c r="Q93" s="646"/>
      <c r="R93" s="646"/>
      <c r="S93" s="646"/>
      <c r="T93" s="646"/>
      <c r="U93" s="646"/>
      <c r="V93" s="646"/>
      <c r="W93" s="646"/>
      <c r="X93" s="646"/>
      <c r="Y93" s="646"/>
      <c r="Z93" s="646"/>
    </row>
    <row r="94">
      <c r="A94" s="687"/>
      <c r="B94" s="646"/>
      <c r="C94" s="646"/>
      <c r="D94" s="646"/>
      <c r="E94" s="646"/>
      <c r="F94" s="646"/>
      <c r="G94" s="646"/>
      <c r="H94" s="646"/>
      <c r="I94" s="646"/>
      <c r="J94" s="646"/>
      <c r="K94" s="646"/>
      <c r="L94" s="646"/>
      <c r="M94" s="646"/>
      <c r="N94" s="646"/>
      <c r="O94" s="646"/>
      <c r="P94" s="646"/>
      <c r="Q94" s="646"/>
      <c r="R94" s="646"/>
      <c r="S94" s="646"/>
      <c r="T94" s="646"/>
      <c r="U94" s="646"/>
      <c r="V94" s="646"/>
      <c r="W94" s="646"/>
      <c r="X94" s="646"/>
      <c r="Y94" s="646"/>
      <c r="Z94" s="646"/>
    </row>
    <row r="95">
      <c r="A95" s="687"/>
      <c r="B95" s="646"/>
      <c r="C95" s="646"/>
      <c r="D95" s="646"/>
      <c r="E95" s="646"/>
      <c r="F95" s="646"/>
      <c r="G95" s="646"/>
      <c r="H95" s="646"/>
      <c r="I95" s="646"/>
      <c r="J95" s="646"/>
      <c r="K95" s="646"/>
      <c r="L95" s="646"/>
      <c r="M95" s="646"/>
      <c r="N95" s="646"/>
      <c r="O95" s="646"/>
      <c r="P95" s="646"/>
      <c r="Q95" s="646"/>
      <c r="R95" s="646"/>
      <c r="S95" s="646"/>
      <c r="T95" s="646"/>
      <c r="U95" s="646"/>
      <c r="V95" s="646"/>
      <c r="W95" s="646"/>
      <c r="X95" s="646"/>
      <c r="Y95" s="646"/>
      <c r="Z95" s="646"/>
    </row>
    <row r="96">
      <c r="A96" s="687"/>
      <c r="B96" s="646"/>
      <c r="C96" s="646"/>
      <c r="D96" s="646"/>
      <c r="E96" s="646"/>
      <c r="F96" s="646"/>
      <c r="G96" s="646"/>
      <c r="H96" s="646"/>
      <c r="I96" s="646"/>
      <c r="J96" s="646"/>
      <c r="K96" s="646"/>
      <c r="L96" s="646"/>
      <c r="M96" s="646"/>
      <c r="N96" s="646"/>
      <c r="O96" s="646"/>
      <c r="P96" s="646"/>
      <c r="Q96" s="646"/>
      <c r="R96" s="646"/>
      <c r="S96" s="646"/>
      <c r="T96" s="646"/>
      <c r="U96" s="646"/>
      <c r="V96" s="646"/>
      <c r="W96" s="646"/>
      <c r="X96" s="646"/>
      <c r="Y96" s="646"/>
      <c r="Z96" s="646"/>
    </row>
    <row r="97">
      <c r="A97" s="687"/>
      <c r="B97" s="646"/>
      <c r="C97" s="646"/>
      <c r="D97" s="646"/>
      <c r="E97" s="646"/>
      <c r="F97" s="646"/>
      <c r="G97" s="646"/>
      <c r="H97" s="646"/>
      <c r="I97" s="646"/>
      <c r="J97" s="646"/>
      <c r="K97" s="646"/>
      <c r="L97" s="646"/>
      <c r="M97" s="646"/>
      <c r="N97" s="646"/>
      <c r="O97" s="646"/>
      <c r="P97" s="646"/>
      <c r="Q97" s="646"/>
      <c r="R97" s="646"/>
      <c r="S97" s="646"/>
      <c r="T97" s="646"/>
      <c r="U97" s="646"/>
      <c r="V97" s="646"/>
      <c r="W97" s="646"/>
      <c r="X97" s="646"/>
      <c r="Y97" s="646"/>
      <c r="Z97" s="646"/>
    </row>
    <row r="98">
      <c r="A98" s="687"/>
      <c r="B98" s="646"/>
      <c r="C98" s="646"/>
      <c r="D98" s="646"/>
      <c r="E98" s="646"/>
      <c r="F98" s="646"/>
      <c r="G98" s="646"/>
      <c r="H98" s="646"/>
      <c r="I98" s="646"/>
      <c r="J98" s="646"/>
      <c r="K98" s="646"/>
      <c r="L98" s="646"/>
      <c r="M98" s="646"/>
      <c r="N98" s="646"/>
      <c r="O98" s="646"/>
      <c r="P98" s="646"/>
      <c r="Q98" s="646"/>
      <c r="R98" s="646"/>
      <c r="S98" s="646"/>
      <c r="T98" s="646"/>
      <c r="U98" s="646"/>
      <c r="V98" s="646"/>
      <c r="W98" s="646"/>
      <c r="X98" s="646"/>
      <c r="Y98" s="646"/>
      <c r="Z98" s="646"/>
    </row>
    <row r="99">
      <c r="A99" s="687"/>
      <c r="B99" s="646"/>
      <c r="C99" s="646"/>
      <c r="D99" s="646"/>
      <c r="E99" s="646"/>
      <c r="F99" s="646"/>
      <c r="G99" s="646"/>
      <c r="H99" s="646"/>
      <c r="I99" s="646"/>
      <c r="J99" s="646"/>
      <c r="K99" s="646"/>
      <c r="L99" s="646"/>
      <c r="M99" s="646"/>
      <c r="N99" s="646"/>
      <c r="O99" s="646"/>
      <c r="P99" s="646"/>
      <c r="Q99" s="646"/>
      <c r="R99" s="646"/>
      <c r="S99" s="646"/>
      <c r="T99" s="646"/>
      <c r="U99" s="646"/>
      <c r="V99" s="646"/>
      <c r="W99" s="646"/>
      <c r="X99" s="646"/>
      <c r="Y99" s="646"/>
      <c r="Z99" s="646"/>
    </row>
    <row r="100">
      <c r="A100" s="687"/>
      <c r="B100" s="646"/>
      <c r="C100" s="646"/>
      <c r="D100" s="646"/>
      <c r="E100" s="646"/>
      <c r="F100" s="646"/>
      <c r="G100" s="646"/>
      <c r="H100" s="646"/>
      <c r="I100" s="646"/>
      <c r="J100" s="646"/>
      <c r="K100" s="646"/>
      <c r="L100" s="646"/>
      <c r="M100" s="646"/>
      <c r="N100" s="646"/>
      <c r="O100" s="646"/>
      <c r="P100" s="646"/>
      <c r="Q100" s="646"/>
      <c r="R100" s="646"/>
      <c r="S100" s="646"/>
      <c r="T100" s="646"/>
      <c r="U100" s="646"/>
      <c r="V100" s="646"/>
      <c r="W100" s="646"/>
      <c r="X100" s="646"/>
      <c r="Y100" s="646"/>
      <c r="Z100" s="646"/>
    </row>
    <row r="101">
      <c r="A101" s="687"/>
      <c r="B101" s="646"/>
      <c r="C101" s="646"/>
      <c r="D101" s="646"/>
      <c r="E101" s="646"/>
      <c r="F101" s="646"/>
      <c r="G101" s="646"/>
      <c r="H101" s="646"/>
      <c r="I101" s="646"/>
      <c r="J101" s="646"/>
      <c r="K101" s="646"/>
      <c r="L101" s="646"/>
      <c r="M101" s="646"/>
      <c r="N101" s="646"/>
      <c r="O101" s="646"/>
      <c r="P101" s="646"/>
      <c r="Q101" s="646"/>
      <c r="R101" s="646"/>
      <c r="S101" s="646"/>
      <c r="T101" s="646"/>
      <c r="U101" s="646"/>
      <c r="V101" s="646"/>
      <c r="W101" s="646"/>
      <c r="X101" s="646"/>
      <c r="Y101" s="646"/>
      <c r="Z101" s="646"/>
    </row>
    <row r="102">
      <c r="A102" s="687"/>
      <c r="B102" s="646"/>
      <c r="C102" s="646"/>
      <c r="D102" s="646"/>
      <c r="E102" s="646"/>
      <c r="F102" s="646"/>
      <c r="G102" s="646"/>
      <c r="H102" s="646"/>
      <c r="I102" s="646"/>
      <c r="J102" s="646"/>
      <c r="K102" s="646"/>
      <c r="L102" s="646"/>
      <c r="M102" s="646"/>
      <c r="N102" s="646"/>
      <c r="O102" s="646"/>
      <c r="P102" s="646"/>
      <c r="Q102" s="646"/>
      <c r="R102" s="646"/>
      <c r="S102" s="646"/>
      <c r="T102" s="646"/>
      <c r="U102" s="646"/>
      <c r="V102" s="646"/>
      <c r="W102" s="646"/>
      <c r="X102" s="646"/>
      <c r="Y102" s="646"/>
      <c r="Z102" s="646"/>
    </row>
    <row r="103">
      <c r="A103" s="687"/>
      <c r="B103" s="646"/>
      <c r="C103" s="646"/>
      <c r="D103" s="646"/>
      <c r="E103" s="646"/>
      <c r="F103" s="646"/>
      <c r="G103" s="646"/>
      <c r="H103" s="646"/>
      <c r="I103" s="646"/>
      <c r="J103" s="646"/>
      <c r="K103" s="646"/>
      <c r="L103" s="646"/>
      <c r="M103" s="646"/>
      <c r="N103" s="646"/>
      <c r="O103" s="646"/>
      <c r="P103" s="646"/>
      <c r="Q103" s="646"/>
      <c r="R103" s="646"/>
      <c r="S103" s="646"/>
      <c r="T103" s="646"/>
      <c r="U103" s="646"/>
      <c r="V103" s="646"/>
      <c r="W103" s="646"/>
      <c r="X103" s="646"/>
      <c r="Y103" s="646"/>
      <c r="Z103" s="646"/>
    </row>
    <row r="104">
      <c r="A104" s="687"/>
      <c r="B104" s="646"/>
      <c r="C104" s="646"/>
      <c r="D104" s="646"/>
      <c r="E104" s="646"/>
      <c r="F104" s="646"/>
      <c r="G104" s="646"/>
      <c r="H104" s="646"/>
      <c r="I104" s="646"/>
      <c r="J104" s="646"/>
      <c r="K104" s="646"/>
      <c r="L104" s="646"/>
      <c r="M104" s="646"/>
      <c r="N104" s="646"/>
      <c r="O104" s="646"/>
      <c r="P104" s="646"/>
      <c r="Q104" s="646"/>
      <c r="R104" s="646"/>
      <c r="S104" s="646"/>
      <c r="T104" s="646"/>
      <c r="U104" s="646"/>
      <c r="V104" s="646"/>
      <c r="W104" s="646"/>
      <c r="X104" s="646"/>
      <c r="Y104" s="646"/>
      <c r="Z104" s="646"/>
    </row>
    <row r="105">
      <c r="A105" s="687"/>
      <c r="B105" s="646"/>
      <c r="C105" s="646"/>
      <c r="D105" s="646"/>
      <c r="E105" s="646"/>
      <c r="F105" s="646"/>
      <c r="G105" s="646"/>
      <c r="H105" s="646"/>
      <c r="I105" s="646"/>
      <c r="J105" s="646"/>
      <c r="K105" s="646"/>
      <c r="L105" s="646"/>
      <c r="M105" s="646"/>
      <c r="N105" s="646"/>
      <c r="O105" s="646"/>
      <c r="P105" s="646"/>
      <c r="Q105" s="646"/>
      <c r="R105" s="646"/>
      <c r="S105" s="646"/>
      <c r="T105" s="646"/>
      <c r="U105" s="646"/>
      <c r="V105" s="646"/>
      <c r="W105" s="646"/>
      <c r="X105" s="646"/>
      <c r="Y105" s="646"/>
      <c r="Z105" s="646"/>
    </row>
    <row r="106">
      <c r="A106" s="687"/>
      <c r="B106" s="646"/>
      <c r="C106" s="646"/>
      <c r="D106" s="646"/>
      <c r="E106" s="646"/>
      <c r="F106" s="646"/>
      <c r="G106" s="646"/>
      <c r="H106" s="646"/>
      <c r="I106" s="646"/>
      <c r="J106" s="646"/>
      <c r="K106" s="646"/>
      <c r="L106" s="646"/>
      <c r="M106" s="646"/>
      <c r="N106" s="646"/>
      <c r="O106" s="646"/>
      <c r="P106" s="646"/>
      <c r="Q106" s="646"/>
      <c r="R106" s="646"/>
      <c r="S106" s="646"/>
      <c r="T106" s="646"/>
      <c r="U106" s="646"/>
      <c r="V106" s="646"/>
      <c r="W106" s="646"/>
      <c r="X106" s="646"/>
      <c r="Y106" s="646"/>
      <c r="Z106" s="646"/>
    </row>
    <row r="107">
      <c r="A107" s="687"/>
      <c r="B107" s="646"/>
      <c r="C107" s="646"/>
      <c r="D107" s="646"/>
      <c r="E107" s="646"/>
      <c r="F107" s="646"/>
      <c r="G107" s="646"/>
      <c r="H107" s="646"/>
      <c r="I107" s="646"/>
      <c r="J107" s="646"/>
      <c r="K107" s="646"/>
      <c r="L107" s="646"/>
      <c r="M107" s="646"/>
      <c r="N107" s="646"/>
      <c r="O107" s="646"/>
      <c r="P107" s="646"/>
      <c r="Q107" s="646"/>
      <c r="R107" s="646"/>
      <c r="S107" s="646"/>
      <c r="T107" s="646"/>
      <c r="U107" s="646"/>
      <c r="V107" s="646"/>
      <c r="W107" s="646"/>
      <c r="X107" s="646"/>
      <c r="Y107" s="646"/>
      <c r="Z107" s="646"/>
    </row>
    <row r="108">
      <c r="A108" s="687"/>
      <c r="B108" s="646"/>
      <c r="C108" s="646"/>
      <c r="D108" s="646"/>
      <c r="E108" s="646"/>
      <c r="F108" s="646"/>
      <c r="G108" s="646"/>
      <c r="H108" s="646"/>
      <c r="I108" s="646"/>
      <c r="J108" s="646"/>
      <c r="K108" s="646"/>
      <c r="L108" s="646"/>
      <c r="M108" s="646"/>
      <c r="N108" s="646"/>
      <c r="O108" s="646"/>
      <c r="P108" s="646"/>
      <c r="Q108" s="646"/>
      <c r="R108" s="646"/>
      <c r="S108" s="646"/>
      <c r="T108" s="646"/>
      <c r="U108" s="646"/>
      <c r="V108" s="646"/>
      <c r="W108" s="646"/>
      <c r="X108" s="646"/>
      <c r="Y108" s="646"/>
      <c r="Z108" s="646"/>
    </row>
    <row r="109">
      <c r="A109" s="687"/>
      <c r="B109" s="646"/>
      <c r="C109" s="646"/>
      <c r="D109" s="646"/>
      <c r="E109" s="646"/>
      <c r="F109" s="646"/>
      <c r="G109" s="646"/>
      <c r="H109" s="646"/>
      <c r="I109" s="646"/>
      <c r="J109" s="646"/>
      <c r="K109" s="646"/>
      <c r="L109" s="646"/>
      <c r="M109" s="646"/>
      <c r="N109" s="646"/>
      <c r="O109" s="646"/>
      <c r="P109" s="646"/>
      <c r="Q109" s="646"/>
      <c r="R109" s="646"/>
      <c r="S109" s="646"/>
      <c r="T109" s="646"/>
      <c r="U109" s="646"/>
      <c r="V109" s="646"/>
      <c r="W109" s="646"/>
      <c r="X109" s="646"/>
      <c r="Y109" s="646"/>
      <c r="Z109" s="646"/>
    </row>
    <row r="110">
      <c r="A110" s="687"/>
      <c r="B110" s="646"/>
      <c r="C110" s="646"/>
      <c r="D110" s="646"/>
      <c r="E110" s="646"/>
      <c r="F110" s="646"/>
      <c r="G110" s="646"/>
      <c r="H110" s="646"/>
      <c r="I110" s="646"/>
      <c r="J110" s="646"/>
      <c r="K110" s="646"/>
      <c r="L110" s="646"/>
      <c r="M110" s="646"/>
      <c r="N110" s="646"/>
      <c r="O110" s="646"/>
      <c r="P110" s="646"/>
      <c r="Q110" s="646"/>
      <c r="R110" s="646"/>
      <c r="S110" s="646"/>
      <c r="T110" s="646"/>
      <c r="U110" s="646"/>
      <c r="V110" s="646"/>
      <c r="W110" s="646"/>
      <c r="X110" s="646"/>
      <c r="Y110" s="646"/>
      <c r="Z110" s="646"/>
    </row>
    <row r="111">
      <c r="A111" s="687"/>
      <c r="B111" s="646"/>
      <c r="C111" s="646"/>
      <c r="D111" s="646"/>
      <c r="E111" s="646"/>
      <c r="F111" s="646"/>
      <c r="G111" s="646"/>
      <c r="H111" s="646"/>
      <c r="I111" s="646"/>
      <c r="J111" s="646"/>
      <c r="K111" s="646"/>
      <c r="L111" s="646"/>
      <c r="M111" s="646"/>
      <c r="N111" s="646"/>
      <c r="O111" s="646"/>
      <c r="P111" s="646"/>
      <c r="Q111" s="646"/>
      <c r="R111" s="646"/>
      <c r="S111" s="646"/>
      <c r="T111" s="646"/>
      <c r="U111" s="646"/>
      <c r="V111" s="646"/>
      <c r="W111" s="646"/>
      <c r="X111" s="646"/>
      <c r="Y111" s="646"/>
      <c r="Z111" s="646"/>
    </row>
    <row r="112">
      <c r="A112" s="687"/>
      <c r="B112" s="646"/>
      <c r="C112" s="646"/>
      <c r="D112" s="646"/>
      <c r="E112" s="646"/>
      <c r="F112" s="646"/>
      <c r="G112" s="646"/>
      <c r="H112" s="646"/>
      <c r="I112" s="646"/>
      <c r="J112" s="646"/>
      <c r="K112" s="646"/>
      <c r="L112" s="646"/>
      <c r="M112" s="646"/>
      <c r="N112" s="646"/>
      <c r="O112" s="646"/>
      <c r="P112" s="646"/>
      <c r="Q112" s="646"/>
      <c r="R112" s="646"/>
      <c r="S112" s="646"/>
      <c r="T112" s="646"/>
      <c r="U112" s="646"/>
      <c r="V112" s="646"/>
      <c r="W112" s="646"/>
      <c r="X112" s="646"/>
      <c r="Y112" s="646"/>
      <c r="Z112" s="646"/>
    </row>
    <row r="113">
      <c r="A113" s="687"/>
      <c r="B113" s="646"/>
      <c r="C113" s="646"/>
      <c r="D113" s="646"/>
      <c r="E113" s="646"/>
      <c r="F113" s="646"/>
      <c r="G113" s="646"/>
      <c r="H113" s="646"/>
      <c r="I113" s="646"/>
      <c r="J113" s="646"/>
      <c r="K113" s="646"/>
      <c r="L113" s="646"/>
      <c r="M113" s="646"/>
      <c r="N113" s="646"/>
      <c r="O113" s="646"/>
      <c r="P113" s="646"/>
      <c r="Q113" s="646"/>
      <c r="R113" s="646"/>
      <c r="S113" s="646"/>
      <c r="T113" s="646"/>
      <c r="U113" s="646"/>
      <c r="V113" s="646"/>
      <c r="W113" s="646"/>
      <c r="X113" s="646"/>
      <c r="Y113" s="646"/>
      <c r="Z113" s="646"/>
    </row>
    <row r="114">
      <c r="A114" s="687"/>
      <c r="B114" s="646"/>
      <c r="C114" s="646"/>
      <c r="D114" s="646"/>
      <c r="E114" s="646"/>
      <c r="F114" s="646"/>
      <c r="G114" s="646"/>
      <c r="H114" s="646"/>
      <c r="I114" s="646"/>
      <c r="J114" s="646"/>
      <c r="K114" s="646"/>
      <c r="L114" s="646"/>
      <c r="M114" s="646"/>
      <c r="N114" s="646"/>
      <c r="O114" s="646"/>
      <c r="P114" s="646"/>
      <c r="Q114" s="646"/>
      <c r="R114" s="646"/>
      <c r="S114" s="646"/>
      <c r="T114" s="646"/>
      <c r="U114" s="646"/>
      <c r="V114" s="646"/>
      <c r="W114" s="646"/>
      <c r="X114" s="646"/>
      <c r="Y114" s="646"/>
      <c r="Z114" s="646"/>
    </row>
    <row r="115">
      <c r="A115" s="687"/>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row>
    <row r="116">
      <c r="A116" s="687"/>
      <c r="B116" s="646"/>
      <c r="C116" s="646"/>
      <c r="D116" s="646"/>
      <c r="E116" s="646"/>
      <c r="F116" s="646"/>
      <c r="G116" s="646"/>
      <c r="H116" s="646"/>
      <c r="I116" s="646"/>
      <c r="J116" s="646"/>
      <c r="K116" s="646"/>
      <c r="L116" s="646"/>
      <c r="M116" s="646"/>
      <c r="N116" s="646"/>
      <c r="O116" s="646"/>
      <c r="P116" s="646"/>
      <c r="Q116" s="646"/>
      <c r="R116" s="646"/>
      <c r="S116" s="646"/>
      <c r="T116" s="646"/>
      <c r="U116" s="646"/>
      <c r="V116" s="646"/>
      <c r="W116" s="646"/>
      <c r="X116" s="646"/>
      <c r="Y116" s="646"/>
      <c r="Z116" s="646"/>
    </row>
    <row r="117">
      <c r="A117" s="687"/>
      <c r="B117" s="646"/>
      <c r="C117" s="646"/>
      <c r="D117" s="646"/>
      <c r="E117" s="646"/>
      <c r="F117" s="646"/>
      <c r="G117" s="646"/>
      <c r="H117" s="646"/>
      <c r="I117" s="646"/>
      <c r="J117" s="646"/>
      <c r="K117" s="646"/>
      <c r="L117" s="646"/>
      <c r="M117" s="646"/>
      <c r="N117" s="646"/>
      <c r="O117" s="646"/>
      <c r="P117" s="646"/>
      <c r="Q117" s="646"/>
      <c r="R117" s="646"/>
      <c r="S117" s="646"/>
      <c r="T117" s="646"/>
      <c r="U117" s="646"/>
      <c r="V117" s="646"/>
      <c r="W117" s="646"/>
      <c r="X117" s="646"/>
      <c r="Y117" s="646"/>
      <c r="Z117" s="646"/>
    </row>
    <row r="118">
      <c r="A118" s="687"/>
      <c r="B118" s="646"/>
      <c r="C118" s="646"/>
      <c r="D118" s="646"/>
      <c r="E118" s="646"/>
      <c r="F118" s="646"/>
      <c r="G118" s="646"/>
      <c r="H118" s="646"/>
      <c r="I118" s="646"/>
      <c r="J118" s="646"/>
      <c r="K118" s="646"/>
      <c r="L118" s="646"/>
      <c r="M118" s="646"/>
      <c r="N118" s="646"/>
      <c r="O118" s="646"/>
      <c r="P118" s="646"/>
      <c r="Q118" s="646"/>
      <c r="R118" s="646"/>
      <c r="S118" s="646"/>
      <c r="T118" s="646"/>
      <c r="U118" s="646"/>
      <c r="V118" s="646"/>
      <c r="W118" s="646"/>
      <c r="X118" s="646"/>
      <c r="Y118" s="646"/>
      <c r="Z118" s="646"/>
    </row>
    <row r="119">
      <c r="A119" s="687"/>
      <c r="B119" s="646"/>
      <c r="C119" s="646"/>
      <c r="D119" s="646"/>
      <c r="E119" s="646"/>
      <c r="F119" s="646"/>
      <c r="G119" s="646"/>
      <c r="H119" s="646"/>
      <c r="I119" s="646"/>
      <c r="J119" s="646"/>
      <c r="K119" s="646"/>
      <c r="L119" s="646"/>
      <c r="M119" s="646"/>
      <c r="N119" s="646"/>
      <c r="O119" s="646"/>
      <c r="P119" s="646"/>
      <c r="Q119" s="646"/>
      <c r="R119" s="646"/>
      <c r="S119" s="646"/>
      <c r="T119" s="646"/>
      <c r="U119" s="646"/>
      <c r="V119" s="646"/>
      <c r="W119" s="646"/>
      <c r="X119" s="646"/>
      <c r="Y119" s="646"/>
      <c r="Z119" s="646"/>
    </row>
    <row r="120">
      <c r="A120" s="687"/>
      <c r="B120" s="646"/>
      <c r="C120" s="646"/>
      <c r="D120" s="646"/>
      <c r="E120" s="646"/>
      <c r="F120" s="646"/>
      <c r="G120" s="646"/>
      <c r="H120" s="646"/>
      <c r="I120" s="646"/>
      <c r="J120" s="646"/>
      <c r="K120" s="646"/>
      <c r="L120" s="646"/>
      <c r="M120" s="646"/>
      <c r="N120" s="646"/>
      <c r="O120" s="646"/>
      <c r="P120" s="646"/>
      <c r="Q120" s="646"/>
      <c r="R120" s="646"/>
      <c r="S120" s="646"/>
      <c r="T120" s="646"/>
      <c r="U120" s="646"/>
      <c r="V120" s="646"/>
      <c r="W120" s="646"/>
      <c r="X120" s="646"/>
      <c r="Y120" s="646"/>
      <c r="Z120" s="646"/>
    </row>
    <row r="121">
      <c r="A121" s="687"/>
      <c r="B121" s="646"/>
      <c r="C121" s="646"/>
      <c r="D121" s="646"/>
      <c r="E121" s="646"/>
      <c r="F121" s="646"/>
      <c r="G121" s="646"/>
      <c r="H121" s="646"/>
      <c r="I121" s="646"/>
      <c r="J121" s="646"/>
      <c r="K121" s="646"/>
      <c r="L121" s="646"/>
      <c r="M121" s="646"/>
      <c r="N121" s="646"/>
      <c r="O121" s="646"/>
      <c r="P121" s="646"/>
      <c r="Q121" s="646"/>
      <c r="R121" s="646"/>
      <c r="S121" s="646"/>
      <c r="T121" s="646"/>
      <c r="U121" s="646"/>
      <c r="V121" s="646"/>
      <c r="W121" s="646"/>
      <c r="X121" s="646"/>
      <c r="Y121" s="646"/>
      <c r="Z121" s="646"/>
    </row>
    <row r="122">
      <c r="A122" s="687"/>
      <c r="B122" s="646"/>
      <c r="C122" s="646"/>
      <c r="D122" s="646"/>
      <c r="E122" s="646"/>
      <c r="F122" s="646"/>
      <c r="G122" s="646"/>
      <c r="H122" s="646"/>
      <c r="I122" s="646"/>
      <c r="J122" s="646"/>
      <c r="K122" s="646"/>
      <c r="L122" s="646"/>
      <c r="M122" s="646"/>
      <c r="N122" s="646"/>
      <c r="O122" s="646"/>
      <c r="P122" s="646"/>
      <c r="Q122" s="646"/>
      <c r="R122" s="646"/>
      <c r="S122" s="646"/>
      <c r="T122" s="646"/>
      <c r="U122" s="646"/>
      <c r="V122" s="646"/>
      <c r="W122" s="646"/>
      <c r="X122" s="646"/>
      <c r="Y122" s="646"/>
      <c r="Z122" s="646"/>
    </row>
    <row r="123">
      <c r="A123" s="687"/>
      <c r="B123" s="646"/>
      <c r="C123" s="646"/>
      <c r="D123" s="646"/>
      <c r="E123" s="646"/>
      <c r="F123" s="646"/>
      <c r="G123" s="646"/>
      <c r="H123" s="646"/>
      <c r="I123" s="646"/>
      <c r="J123" s="646"/>
      <c r="K123" s="646"/>
      <c r="L123" s="646"/>
      <c r="M123" s="646"/>
      <c r="N123" s="646"/>
      <c r="O123" s="646"/>
      <c r="P123" s="646"/>
      <c r="Q123" s="646"/>
      <c r="R123" s="646"/>
      <c r="S123" s="646"/>
      <c r="T123" s="646"/>
      <c r="U123" s="646"/>
      <c r="V123" s="646"/>
      <c r="W123" s="646"/>
      <c r="X123" s="646"/>
      <c r="Y123" s="646"/>
      <c r="Z123" s="646"/>
    </row>
    <row r="124">
      <c r="A124" s="687"/>
      <c r="B124" s="646"/>
      <c r="C124" s="646"/>
      <c r="D124" s="646"/>
      <c r="E124" s="646"/>
      <c r="F124" s="646"/>
      <c r="G124" s="646"/>
      <c r="H124" s="646"/>
      <c r="I124" s="646"/>
      <c r="J124" s="646"/>
      <c r="K124" s="646"/>
      <c r="L124" s="646"/>
      <c r="M124" s="646"/>
      <c r="N124" s="646"/>
      <c r="O124" s="646"/>
      <c r="P124" s="646"/>
      <c r="Q124" s="646"/>
      <c r="R124" s="646"/>
      <c r="S124" s="646"/>
      <c r="T124" s="646"/>
      <c r="U124" s="646"/>
      <c r="V124" s="646"/>
      <c r="W124" s="646"/>
      <c r="X124" s="646"/>
      <c r="Y124" s="646"/>
      <c r="Z124" s="646"/>
    </row>
    <row r="125">
      <c r="A125" s="687"/>
      <c r="B125" s="646"/>
      <c r="C125" s="646"/>
      <c r="D125" s="646"/>
      <c r="E125" s="646"/>
      <c r="F125" s="646"/>
      <c r="G125" s="646"/>
      <c r="H125" s="646"/>
      <c r="I125" s="646"/>
      <c r="J125" s="646"/>
      <c r="K125" s="646"/>
      <c r="L125" s="646"/>
      <c r="M125" s="646"/>
      <c r="N125" s="646"/>
      <c r="O125" s="646"/>
      <c r="P125" s="646"/>
      <c r="Q125" s="646"/>
      <c r="R125" s="646"/>
      <c r="S125" s="646"/>
      <c r="T125" s="646"/>
      <c r="U125" s="646"/>
      <c r="V125" s="646"/>
      <c r="W125" s="646"/>
      <c r="X125" s="646"/>
      <c r="Y125" s="646"/>
      <c r="Z125" s="646"/>
    </row>
    <row r="126">
      <c r="A126" s="687"/>
      <c r="B126" s="646"/>
      <c r="C126" s="646"/>
      <c r="D126" s="646"/>
      <c r="E126" s="646"/>
      <c r="F126" s="646"/>
      <c r="G126" s="646"/>
      <c r="H126" s="646"/>
      <c r="I126" s="646"/>
      <c r="J126" s="646"/>
      <c r="K126" s="646"/>
      <c r="L126" s="646"/>
      <c r="M126" s="646"/>
      <c r="N126" s="646"/>
      <c r="O126" s="646"/>
      <c r="P126" s="646"/>
      <c r="Q126" s="646"/>
      <c r="R126" s="646"/>
      <c r="S126" s="646"/>
      <c r="T126" s="646"/>
      <c r="U126" s="646"/>
      <c r="V126" s="646"/>
      <c r="W126" s="646"/>
      <c r="X126" s="646"/>
      <c r="Y126" s="646"/>
      <c r="Z126" s="646"/>
    </row>
    <row r="127">
      <c r="A127" s="687"/>
      <c r="B127" s="646"/>
      <c r="C127" s="646"/>
      <c r="D127" s="646"/>
      <c r="E127" s="646"/>
      <c r="F127" s="646"/>
      <c r="G127" s="646"/>
      <c r="H127" s="646"/>
      <c r="I127" s="646"/>
      <c r="J127" s="646"/>
      <c r="K127" s="646"/>
      <c r="L127" s="646"/>
      <c r="M127" s="646"/>
      <c r="N127" s="646"/>
      <c r="O127" s="646"/>
      <c r="P127" s="646"/>
      <c r="Q127" s="646"/>
      <c r="R127" s="646"/>
      <c r="S127" s="646"/>
      <c r="T127" s="646"/>
      <c r="U127" s="646"/>
      <c r="V127" s="646"/>
      <c r="W127" s="646"/>
      <c r="X127" s="646"/>
      <c r="Y127" s="646"/>
      <c r="Z127" s="646"/>
    </row>
    <row r="128">
      <c r="A128" s="687"/>
      <c r="B128" s="646"/>
      <c r="C128" s="646"/>
      <c r="D128" s="646"/>
      <c r="E128" s="646"/>
      <c r="F128" s="646"/>
      <c r="G128" s="646"/>
      <c r="H128" s="646"/>
      <c r="I128" s="646"/>
      <c r="J128" s="646"/>
      <c r="K128" s="646"/>
      <c r="L128" s="646"/>
      <c r="M128" s="646"/>
      <c r="N128" s="646"/>
      <c r="O128" s="646"/>
      <c r="P128" s="646"/>
      <c r="Q128" s="646"/>
      <c r="R128" s="646"/>
      <c r="S128" s="646"/>
      <c r="T128" s="646"/>
      <c r="U128" s="646"/>
      <c r="V128" s="646"/>
      <c r="W128" s="646"/>
      <c r="X128" s="646"/>
      <c r="Y128" s="646"/>
      <c r="Z128" s="646"/>
    </row>
    <row r="129">
      <c r="A129" s="687"/>
      <c r="B129" s="646"/>
      <c r="C129" s="646"/>
      <c r="D129" s="646"/>
      <c r="E129" s="646"/>
      <c r="F129" s="646"/>
      <c r="G129" s="646"/>
      <c r="H129" s="646"/>
      <c r="I129" s="646"/>
      <c r="J129" s="646"/>
      <c r="K129" s="646"/>
      <c r="L129" s="646"/>
      <c r="M129" s="646"/>
      <c r="N129" s="646"/>
      <c r="O129" s="646"/>
      <c r="P129" s="646"/>
      <c r="Q129" s="646"/>
      <c r="R129" s="646"/>
      <c r="S129" s="646"/>
      <c r="T129" s="646"/>
      <c r="U129" s="646"/>
      <c r="V129" s="646"/>
      <c r="W129" s="646"/>
      <c r="X129" s="646"/>
      <c r="Y129" s="646"/>
      <c r="Z129" s="646"/>
    </row>
    <row r="130">
      <c r="A130" s="687"/>
      <c r="B130" s="646"/>
      <c r="C130" s="646"/>
      <c r="D130" s="646"/>
      <c r="E130" s="646"/>
      <c r="F130" s="646"/>
      <c r="G130" s="646"/>
      <c r="H130" s="646"/>
      <c r="I130" s="646"/>
      <c r="J130" s="646"/>
      <c r="K130" s="646"/>
      <c r="L130" s="646"/>
      <c r="M130" s="646"/>
      <c r="N130" s="646"/>
      <c r="O130" s="646"/>
      <c r="P130" s="646"/>
      <c r="Q130" s="646"/>
      <c r="R130" s="646"/>
      <c r="S130" s="646"/>
      <c r="T130" s="646"/>
      <c r="U130" s="646"/>
      <c r="V130" s="646"/>
      <c r="W130" s="646"/>
      <c r="X130" s="646"/>
      <c r="Y130" s="646"/>
      <c r="Z130" s="646"/>
    </row>
    <row r="131">
      <c r="A131" s="687"/>
      <c r="B131" s="646"/>
      <c r="C131" s="646"/>
      <c r="D131" s="646"/>
      <c r="E131" s="646"/>
      <c r="F131" s="646"/>
      <c r="G131" s="646"/>
      <c r="H131" s="646"/>
      <c r="I131" s="646"/>
      <c r="J131" s="646"/>
      <c r="K131" s="646"/>
      <c r="L131" s="646"/>
      <c r="M131" s="646"/>
      <c r="N131" s="646"/>
      <c r="O131" s="646"/>
      <c r="P131" s="646"/>
      <c r="Q131" s="646"/>
      <c r="R131" s="646"/>
      <c r="S131" s="646"/>
      <c r="T131" s="646"/>
      <c r="U131" s="646"/>
      <c r="V131" s="646"/>
      <c r="W131" s="646"/>
      <c r="X131" s="646"/>
      <c r="Y131" s="646"/>
      <c r="Z131" s="646"/>
    </row>
    <row r="132">
      <c r="A132" s="687"/>
      <c r="B132" s="646"/>
      <c r="C132" s="646"/>
      <c r="D132" s="646"/>
      <c r="E132" s="646"/>
      <c r="F132" s="646"/>
      <c r="G132" s="646"/>
      <c r="H132" s="646"/>
      <c r="I132" s="646"/>
      <c r="J132" s="646"/>
      <c r="K132" s="646"/>
      <c r="L132" s="646"/>
      <c r="M132" s="646"/>
      <c r="N132" s="646"/>
      <c r="O132" s="646"/>
      <c r="P132" s="646"/>
      <c r="Q132" s="646"/>
      <c r="R132" s="646"/>
      <c r="S132" s="646"/>
      <c r="T132" s="646"/>
      <c r="U132" s="646"/>
      <c r="V132" s="646"/>
      <c r="W132" s="646"/>
      <c r="X132" s="646"/>
      <c r="Y132" s="646"/>
      <c r="Z132" s="646"/>
    </row>
    <row r="133">
      <c r="A133" s="687"/>
      <c r="B133" s="646"/>
      <c r="C133" s="646"/>
      <c r="D133" s="646"/>
      <c r="E133" s="646"/>
      <c r="F133" s="646"/>
      <c r="G133" s="646"/>
      <c r="H133" s="646"/>
      <c r="I133" s="646"/>
      <c r="J133" s="646"/>
      <c r="K133" s="646"/>
      <c r="L133" s="646"/>
      <c r="M133" s="646"/>
      <c r="N133" s="646"/>
      <c r="O133" s="646"/>
      <c r="P133" s="646"/>
      <c r="Q133" s="646"/>
      <c r="R133" s="646"/>
      <c r="S133" s="646"/>
      <c r="T133" s="646"/>
      <c r="U133" s="646"/>
      <c r="V133" s="646"/>
      <c r="W133" s="646"/>
      <c r="X133" s="646"/>
      <c r="Y133" s="646"/>
      <c r="Z133" s="646"/>
    </row>
    <row r="134">
      <c r="A134" s="687"/>
      <c r="B134" s="646"/>
      <c r="C134" s="646"/>
      <c r="D134" s="646"/>
      <c r="E134" s="646"/>
      <c r="F134" s="646"/>
      <c r="G134" s="646"/>
      <c r="H134" s="646"/>
      <c r="I134" s="646"/>
      <c r="J134" s="646"/>
      <c r="K134" s="646"/>
      <c r="L134" s="646"/>
      <c r="M134" s="646"/>
      <c r="N134" s="646"/>
      <c r="O134" s="646"/>
      <c r="P134" s="646"/>
      <c r="Q134" s="646"/>
      <c r="R134" s="646"/>
      <c r="S134" s="646"/>
      <c r="T134" s="646"/>
      <c r="U134" s="646"/>
      <c r="V134" s="646"/>
      <c r="W134" s="646"/>
      <c r="X134" s="646"/>
      <c r="Y134" s="646"/>
      <c r="Z134" s="646"/>
    </row>
    <row r="135">
      <c r="A135" s="687"/>
      <c r="B135" s="646"/>
      <c r="C135" s="646"/>
      <c r="D135" s="646"/>
      <c r="E135" s="646"/>
      <c r="F135" s="646"/>
      <c r="G135" s="646"/>
      <c r="H135" s="646"/>
      <c r="I135" s="646"/>
      <c r="J135" s="646"/>
      <c r="K135" s="646"/>
      <c r="L135" s="646"/>
      <c r="M135" s="646"/>
      <c r="N135" s="646"/>
      <c r="O135" s="646"/>
      <c r="P135" s="646"/>
      <c r="Q135" s="646"/>
      <c r="R135" s="646"/>
      <c r="S135" s="646"/>
      <c r="T135" s="646"/>
      <c r="U135" s="646"/>
      <c r="V135" s="646"/>
      <c r="W135" s="646"/>
      <c r="X135" s="646"/>
      <c r="Y135" s="646"/>
      <c r="Z135" s="646"/>
    </row>
    <row r="136">
      <c r="A136" s="687"/>
      <c r="B136" s="646"/>
      <c r="C136" s="646"/>
      <c r="D136" s="646"/>
      <c r="E136" s="646"/>
      <c r="F136" s="646"/>
      <c r="G136" s="646"/>
      <c r="H136" s="646"/>
      <c r="I136" s="646"/>
      <c r="J136" s="646"/>
      <c r="K136" s="646"/>
      <c r="L136" s="646"/>
      <c r="M136" s="646"/>
      <c r="N136" s="646"/>
      <c r="O136" s="646"/>
      <c r="P136" s="646"/>
      <c r="Q136" s="646"/>
      <c r="R136" s="646"/>
      <c r="S136" s="646"/>
      <c r="T136" s="646"/>
      <c r="U136" s="646"/>
      <c r="V136" s="646"/>
      <c r="W136" s="646"/>
      <c r="X136" s="646"/>
      <c r="Y136" s="646"/>
      <c r="Z136" s="646"/>
    </row>
    <row r="137">
      <c r="A137" s="687"/>
      <c r="B137" s="646"/>
      <c r="C137" s="646"/>
      <c r="D137" s="646"/>
      <c r="E137" s="646"/>
      <c r="F137" s="646"/>
      <c r="G137" s="646"/>
      <c r="H137" s="646"/>
      <c r="I137" s="646"/>
      <c r="J137" s="646"/>
      <c r="K137" s="646"/>
      <c r="L137" s="646"/>
      <c r="M137" s="646"/>
      <c r="N137" s="646"/>
      <c r="O137" s="646"/>
      <c r="P137" s="646"/>
      <c r="Q137" s="646"/>
      <c r="R137" s="646"/>
      <c r="S137" s="646"/>
      <c r="T137" s="646"/>
      <c r="U137" s="646"/>
      <c r="V137" s="646"/>
      <c r="W137" s="646"/>
      <c r="X137" s="646"/>
      <c r="Y137" s="646"/>
      <c r="Z137" s="646"/>
    </row>
    <row r="138">
      <c r="A138" s="687"/>
      <c r="B138" s="646"/>
      <c r="C138" s="646"/>
      <c r="D138" s="646"/>
      <c r="E138" s="646"/>
      <c r="F138" s="646"/>
      <c r="G138" s="646"/>
      <c r="H138" s="646"/>
      <c r="I138" s="646"/>
      <c r="J138" s="646"/>
      <c r="K138" s="646"/>
      <c r="L138" s="646"/>
      <c r="M138" s="646"/>
      <c r="N138" s="646"/>
      <c r="O138" s="646"/>
      <c r="P138" s="646"/>
      <c r="Q138" s="646"/>
      <c r="R138" s="646"/>
      <c r="S138" s="646"/>
      <c r="T138" s="646"/>
      <c r="U138" s="646"/>
      <c r="V138" s="646"/>
      <c r="W138" s="646"/>
      <c r="X138" s="646"/>
      <c r="Y138" s="646"/>
      <c r="Z138" s="646"/>
    </row>
    <row r="139">
      <c r="A139" s="687"/>
      <c r="B139" s="646"/>
      <c r="C139" s="646"/>
      <c r="D139" s="646"/>
      <c r="E139" s="646"/>
      <c r="F139" s="646"/>
      <c r="G139" s="646"/>
      <c r="H139" s="646"/>
      <c r="I139" s="646"/>
      <c r="J139" s="646"/>
      <c r="K139" s="646"/>
      <c r="L139" s="646"/>
      <c r="M139" s="646"/>
      <c r="N139" s="646"/>
      <c r="O139" s="646"/>
      <c r="P139" s="646"/>
      <c r="Q139" s="646"/>
      <c r="R139" s="646"/>
      <c r="S139" s="646"/>
      <c r="T139" s="646"/>
      <c r="U139" s="646"/>
      <c r="V139" s="646"/>
      <c r="W139" s="646"/>
      <c r="X139" s="646"/>
      <c r="Y139" s="646"/>
      <c r="Z139" s="646"/>
    </row>
    <row r="140">
      <c r="A140" s="687"/>
      <c r="B140" s="646"/>
      <c r="C140" s="646"/>
      <c r="D140" s="646"/>
      <c r="E140" s="646"/>
      <c r="F140" s="646"/>
      <c r="G140" s="646"/>
      <c r="H140" s="646"/>
      <c r="I140" s="646"/>
      <c r="J140" s="646"/>
      <c r="K140" s="646"/>
      <c r="L140" s="646"/>
      <c r="M140" s="646"/>
      <c r="N140" s="646"/>
      <c r="O140" s="646"/>
      <c r="P140" s="646"/>
      <c r="Q140" s="646"/>
      <c r="R140" s="646"/>
      <c r="S140" s="646"/>
      <c r="T140" s="646"/>
      <c r="U140" s="646"/>
      <c r="V140" s="646"/>
      <c r="W140" s="646"/>
      <c r="X140" s="646"/>
      <c r="Y140" s="646"/>
      <c r="Z140" s="646"/>
    </row>
    <row r="141">
      <c r="A141" s="687"/>
      <c r="B141" s="646"/>
      <c r="C141" s="646"/>
      <c r="D141" s="646"/>
      <c r="E141" s="646"/>
      <c r="F141" s="646"/>
      <c r="G141" s="646"/>
      <c r="H141" s="646"/>
      <c r="I141" s="646"/>
      <c r="J141" s="646"/>
      <c r="K141" s="646"/>
      <c r="L141" s="646"/>
      <c r="M141" s="646"/>
      <c r="N141" s="646"/>
      <c r="O141" s="646"/>
      <c r="P141" s="646"/>
      <c r="Q141" s="646"/>
      <c r="R141" s="646"/>
      <c r="S141" s="646"/>
      <c r="T141" s="646"/>
      <c r="U141" s="646"/>
      <c r="V141" s="646"/>
      <c r="W141" s="646"/>
      <c r="X141" s="646"/>
      <c r="Y141" s="646"/>
      <c r="Z141" s="646"/>
    </row>
    <row r="142">
      <c r="A142" s="687"/>
      <c r="B142" s="646"/>
      <c r="C142" s="646"/>
      <c r="D142" s="646"/>
      <c r="E142" s="646"/>
      <c r="F142" s="646"/>
      <c r="G142" s="646"/>
      <c r="H142" s="646"/>
      <c r="I142" s="646"/>
      <c r="J142" s="646"/>
      <c r="K142" s="646"/>
      <c r="L142" s="646"/>
      <c r="M142" s="646"/>
      <c r="N142" s="646"/>
      <c r="O142" s="646"/>
      <c r="P142" s="646"/>
      <c r="Q142" s="646"/>
      <c r="R142" s="646"/>
      <c r="S142" s="646"/>
      <c r="T142" s="646"/>
      <c r="U142" s="646"/>
      <c r="V142" s="646"/>
      <c r="W142" s="646"/>
      <c r="X142" s="646"/>
      <c r="Y142" s="646"/>
      <c r="Z142" s="646"/>
    </row>
    <row r="143">
      <c r="A143" s="687"/>
      <c r="B143" s="646"/>
      <c r="C143" s="646"/>
      <c r="D143" s="646"/>
      <c r="E143" s="646"/>
      <c r="F143" s="646"/>
      <c r="G143" s="646"/>
      <c r="H143" s="646"/>
      <c r="I143" s="646"/>
      <c r="J143" s="646"/>
      <c r="K143" s="646"/>
      <c r="L143" s="646"/>
      <c r="M143" s="646"/>
      <c r="N143" s="646"/>
      <c r="O143" s="646"/>
      <c r="P143" s="646"/>
      <c r="Q143" s="646"/>
      <c r="R143" s="646"/>
      <c r="S143" s="646"/>
      <c r="T143" s="646"/>
      <c r="U143" s="646"/>
      <c r="V143" s="646"/>
      <c r="W143" s="646"/>
      <c r="X143" s="646"/>
      <c r="Y143" s="646"/>
      <c r="Z143" s="646"/>
    </row>
    <row r="144">
      <c r="A144" s="687"/>
      <c r="B144" s="646"/>
      <c r="C144" s="646"/>
      <c r="D144" s="646"/>
      <c r="E144" s="646"/>
      <c r="F144" s="646"/>
      <c r="G144" s="646"/>
      <c r="H144" s="646"/>
      <c r="I144" s="646"/>
      <c r="J144" s="646"/>
      <c r="K144" s="646"/>
      <c r="L144" s="646"/>
      <c r="M144" s="646"/>
      <c r="N144" s="646"/>
      <c r="O144" s="646"/>
      <c r="P144" s="646"/>
      <c r="Q144" s="646"/>
      <c r="R144" s="646"/>
      <c r="S144" s="646"/>
      <c r="T144" s="646"/>
      <c r="U144" s="646"/>
      <c r="V144" s="646"/>
      <c r="W144" s="646"/>
      <c r="X144" s="646"/>
      <c r="Y144" s="646"/>
      <c r="Z144" s="646"/>
    </row>
    <row r="145">
      <c r="A145" s="687"/>
      <c r="B145" s="646"/>
      <c r="C145" s="646"/>
      <c r="D145" s="646"/>
      <c r="E145" s="646"/>
      <c r="F145" s="646"/>
      <c r="G145" s="646"/>
      <c r="H145" s="646"/>
      <c r="I145" s="646"/>
      <c r="J145" s="646"/>
      <c r="K145" s="646"/>
      <c r="L145" s="646"/>
      <c r="M145" s="646"/>
      <c r="N145" s="646"/>
      <c r="O145" s="646"/>
      <c r="P145" s="646"/>
      <c r="Q145" s="646"/>
      <c r="R145" s="646"/>
      <c r="S145" s="646"/>
      <c r="T145" s="646"/>
      <c r="U145" s="646"/>
      <c r="V145" s="646"/>
      <c r="W145" s="646"/>
      <c r="X145" s="646"/>
      <c r="Y145" s="646"/>
      <c r="Z145" s="646"/>
    </row>
    <row r="146">
      <c r="A146" s="687"/>
      <c r="B146" s="646"/>
      <c r="C146" s="646"/>
      <c r="D146" s="646"/>
      <c r="E146" s="646"/>
      <c r="F146" s="646"/>
      <c r="G146" s="646"/>
      <c r="H146" s="646"/>
      <c r="I146" s="646"/>
      <c r="J146" s="646"/>
      <c r="K146" s="646"/>
      <c r="L146" s="646"/>
      <c r="M146" s="646"/>
      <c r="N146" s="646"/>
      <c r="O146" s="646"/>
      <c r="P146" s="646"/>
      <c r="Q146" s="646"/>
      <c r="R146" s="646"/>
      <c r="S146" s="646"/>
      <c r="T146" s="646"/>
      <c r="U146" s="646"/>
      <c r="V146" s="646"/>
      <c r="W146" s="646"/>
      <c r="X146" s="646"/>
      <c r="Y146" s="646"/>
      <c r="Z146" s="646"/>
    </row>
    <row r="147">
      <c r="A147" s="687"/>
      <c r="B147" s="646"/>
      <c r="C147" s="646"/>
      <c r="D147" s="646"/>
      <c r="E147" s="646"/>
      <c r="F147" s="646"/>
      <c r="G147" s="646"/>
      <c r="H147" s="646"/>
      <c r="I147" s="646"/>
      <c r="J147" s="646"/>
      <c r="K147" s="646"/>
      <c r="L147" s="646"/>
      <c r="M147" s="646"/>
      <c r="N147" s="646"/>
      <c r="O147" s="646"/>
      <c r="P147" s="646"/>
      <c r="Q147" s="646"/>
      <c r="R147" s="646"/>
      <c r="S147" s="646"/>
      <c r="T147" s="646"/>
      <c r="U147" s="646"/>
      <c r="V147" s="646"/>
      <c r="W147" s="646"/>
      <c r="X147" s="646"/>
      <c r="Y147" s="646"/>
      <c r="Z147" s="646"/>
    </row>
    <row r="148">
      <c r="A148" s="687"/>
      <c r="B148" s="646"/>
      <c r="C148" s="646"/>
      <c r="D148" s="646"/>
      <c r="E148" s="646"/>
      <c r="F148" s="646"/>
      <c r="G148" s="646"/>
      <c r="H148" s="646"/>
      <c r="I148" s="646"/>
      <c r="J148" s="646"/>
      <c r="K148" s="646"/>
      <c r="L148" s="646"/>
      <c r="M148" s="646"/>
      <c r="N148" s="646"/>
      <c r="O148" s="646"/>
      <c r="P148" s="646"/>
      <c r="Q148" s="646"/>
      <c r="R148" s="646"/>
      <c r="S148" s="646"/>
      <c r="T148" s="646"/>
      <c r="U148" s="646"/>
      <c r="V148" s="646"/>
      <c r="W148" s="646"/>
      <c r="X148" s="646"/>
      <c r="Y148" s="646"/>
      <c r="Z148" s="646"/>
    </row>
    <row r="149">
      <c r="A149" s="687"/>
      <c r="B149" s="646"/>
      <c r="C149" s="646"/>
      <c r="D149" s="646"/>
      <c r="E149" s="646"/>
      <c r="F149" s="646"/>
      <c r="G149" s="646"/>
      <c r="H149" s="646"/>
      <c r="I149" s="646"/>
      <c r="J149" s="646"/>
      <c r="K149" s="646"/>
      <c r="L149" s="646"/>
      <c r="M149" s="646"/>
      <c r="N149" s="646"/>
      <c r="O149" s="646"/>
      <c r="P149" s="646"/>
      <c r="Q149" s="646"/>
      <c r="R149" s="646"/>
      <c r="S149" s="646"/>
      <c r="T149" s="646"/>
      <c r="U149" s="646"/>
      <c r="V149" s="646"/>
      <c r="W149" s="646"/>
      <c r="X149" s="646"/>
      <c r="Y149" s="646"/>
      <c r="Z149" s="646"/>
    </row>
    <row r="150">
      <c r="A150" s="687"/>
      <c r="B150" s="646"/>
      <c r="C150" s="646"/>
      <c r="D150" s="646"/>
      <c r="E150" s="646"/>
      <c r="F150" s="646"/>
      <c r="G150" s="646"/>
      <c r="H150" s="646"/>
      <c r="I150" s="646"/>
      <c r="J150" s="646"/>
      <c r="K150" s="646"/>
      <c r="L150" s="646"/>
      <c r="M150" s="646"/>
      <c r="N150" s="646"/>
      <c r="O150" s="646"/>
      <c r="P150" s="646"/>
      <c r="Q150" s="646"/>
      <c r="R150" s="646"/>
      <c r="S150" s="646"/>
      <c r="T150" s="646"/>
      <c r="U150" s="646"/>
      <c r="V150" s="646"/>
      <c r="W150" s="646"/>
      <c r="X150" s="646"/>
      <c r="Y150" s="646"/>
      <c r="Z150" s="646"/>
    </row>
    <row r="151">
      <c r="A151" s="687"/>
      <c r="B151" s="646"/>
      <c r="C151" s="646"/>
      <c r="D151" s="646"/>
      <c r="E151" s="646"/>
      <c r="F151" s="646"/>
      <c r="G151" s="646"/>
      <c r="H151" s="646"/>
      <c r="I151" s="646"/>
      <c r="J151" s="646"/>
      <c r="K151" s="646"/>
      <c r="L151" s="646"/>
      <c r="M151" s="646"/>
      <c r="N151" s="646"/>
      <c r="O151" s="646"/>
      <c r="P151" s="646"/>
      <c r="Q151" s="646"/>
      <c r="R151" s="646"/>
      <c r="S151" s="646"/>
      <c r="T151" s="646"/>
      <c r="U151" s="646"/>
      <c r="V151" s="646"/>
      <c r="W151" s="646"/>
      <c r="X151" s="646"/>
      <c r="Y151" s="646"/>
      <c r="Z151" s="646"/>
    </row>
    <row r="152">
      <c r="A152" s="687"/>
      <c r="B152" s="646"/>
      <c r="C152" s="646"/>
      <c r="D152" s="646"/>
      <c r="E152" s="646"/>
      <c r="F152" s="646"/>
      <c r="G152" s="646"/>
      <c r="H152" s="646"/>
      <c r="I152" s="646"/>
      <c r="J152" s="646"/>
      <c r="K152" s="646"/>
      <c r="L152" s="646"/>
      <c r="M152" s="646"/>
      <c r="N152" s="646"/>
      <c r="O152" s="646"/>
      <c r="P152" s="646"/>
      <c r="Q152" s="646"/>
      <c r="R152" s="646"/>
      <c r="S152" s="646"/>
      <c r="T152" s="646"/>
      <c r="U152" s="646"/>
      <c r="V152" s="646"/>
      <c r="W152" s="646"/>
      <c r="X152" s="646"/>
      <c r="Y152" s="646"/>
      <c r="Z152" s="646"/>
    </row>
    <row r="153">
      <c r="A153" s="687"/>
      <c r="B153" s="646"/>
      <c r="C153" s="646"/>
      <c r="D153" s="646"/>
      <c r="E153" s="646"/>
      <c r="F153" s="646"/>
      <c r="G153" s="646"/>
      <c r="H153" s="646"/>
      <c r="I153" s="646"/>
      <c r="J153" s="646"/>
      <c r="K153" s="646"/>
      <c r="L153" s="646"/>
      <c r="M153" s="646"/>
      <c r="N153" s="646"/>
      <c r="O153" s="646"/>
      <c r="P153" s="646"/>
      <c r="Q153" s="646"/>
      <c r="R153" s="646"/>
      <c r="S153" s="646"/>
      <c r="T153" s="646"/>
      <c r="U153" s="646"/>
      <c r="V153" s="646"/>
      <c r="W153" s="646"/>
      <c r="X153" s="646"/>
      <c r="Y153" s="646"/>
      <c r="Z153" s="646"/>
    </row>
    <row r="154">
      <c r="A154" s="687"/>
      <c r="B154" s="646"/>
      <c r="C154" s="646"/>
      <c r="D154" s="646"/>
      <c r="E154" s="646"/>
      <c r="F154" s="646"/>
      <c r="G154" s="646"/>
      <c r="H154" s="646"/>
      <c r="I154" s="646"/>
      <c r="J154" s="646"/>
      <c r="K154" s="646"/>
      <c r="L154" s="646"/>
      <c r="M154" s="646"/>
      <c r="N154" s="646"/>
      <c r="O154" s="646"/>
      <c r="P154" s="646"/>
      <c r="Q154" s="646"/>
      <c r="R154" s="646"/>
      <c r="S154" s="646"/>
      <c r="T154" s="646"/>
      <c r="U154" s="646"/>
      <c r="V154" s="646"/>
      <c r="W154" s="646"/>
      <c r="X154" s="646"/>
      <c r="Y154" s="646"/>
      <c r="Z154" s="646"/>
    </row>
    <row r="155">
      <c r="A155" s="687"/>
      <c r="B155" s="646"/>
      <c r="C155" s="646"/>
      <c r="D155" s="646"/>
      <c r="E155" s="646"/>
      <c r="F155" s="646"/>
      <c r="G155" s="646"/>
      <c r="H155" s="646"/>
      <c r="I155" s="646"/>
      <c r="J155" s="646"/>
      <c r="K155" s="646"/>
      <c r="L155" s="646"/>
      <c r="M155" s="646"/>
      <c r="N155" s="646"/>
      <c r="O155" s="646"/>
      <c r="P155" s="646"/>
      <c r="Q155" s="646"/>
      <c r="R155" s="646"/>
      <c r="S155" s="646"/>
      <c r="T155" s="646"/>
      <c r="U155" s="646"/>
      <c r="V155" s="646"/>
      <c r="W155" s="646"/>
      <c r="X155" s="646"/>
      <c r="Y155" s="646"/>
      <c r="Z155" s="646"/>
    </row>
    <row r="156">
      <c r="A156" s="687"/>
      <c r="B156" s="646"/>
      <c r="C156" s="646"/>
      <c r="D156" s="646"/>
      <c r="E156" s="646"/>
      <c r="F156" s="646"/>
      <c r="G156" s="646"/>
      <c r="H156" s="646"/>
      <c r="I156" s="646"/>
      <c r="J156" s="646"/>
      <c r="K156" s="646"/>
      <c r="L156" s="646"/>
      <c r="M156" s="646"/>
      <c r="N156" s="646"/>
      <c r="O156" s="646"/>
      <c r="P156" s="646"/>
      <c r="Q156" s="646"/>
      <c r="R156" s="646"/>
      <c r="S156" s="646"/>
      <c r="T156" s="646"/>
      <c r="U156" s="646"/>
      <c r="V156" s="646"/>
      <c r="W156" s="646"/>
      <c r="X156" s="646"/>
      <c r="Y156" s="646"/>
      <c r="Z156" s="646"/>
    </row>
    <row r="157">
      <c r="A157" s="687"/>
      <c r="B157" s="646"/>
      <c r="C157" s="646"/>
      <c r="D157" s="646"/>
      <c r="E157" s="646"/>
      <c r="F157" s="646"/>
      <c r="G157" s="646"/>
      <c r="H157" s="646"/>
      <c r="I157" s="646"/>
      <c r="J157" s="646"/>
      <c r="K157" s="646"/>
      <c r="L157" s="646"/>
      <c r="M157" s="646"/>
      <c r="N157" s="646"/>
      <c r="O157" s="646"/>
      <c r="P157" s="646"/>
      <c r="Q157" s="646"/>
      <c r="R157" s="646"/>
      <c r="S157" s="646"/>
      <c r="T157" s="646"/>
      <c r="U157" s="646"/>
      <c r="V157" s="646"/>
      <c r="W157" s="646"/>
      <c r="X157" s="646"/>
      <c r="Y157" s="646"/>
      <c r="Z157" s="646"/>
    </row>
    <row r="158">
      <c r="A158" s="687"/>
      <c r="B158" s="646"/>
      <c r="C158" s="646"/>
      <c r="D158" s="646"/>
      <c r="E158" s="646"/>
      <c r="F158" s="646"/>
      <c r="G158" s="646"/>
      <c r="H158" s="646"/>
      <c r="I158" s="646"/>
      <c r="J158" s="646"/>
      <c r="K158" s="646"/>
      <c r="L158" s="646"/>
      <c r="M158" s="646"/>
      <c r="N158" s="646"/>
      <c r="O158" s="646"/>
      <c r="P158" s="646"/>
      <c r="Q158" s="646"/>
      <c r="R158" s="646"/>
      <c r="S158" s="646"/>
      <c r="T158" s="646"/>
      <c r="U158" s="646"/>
      <c r="V158" s="646"/>
      <c r="W158" s="646"/>
      <c r="X158" s="646"/>
      <c r="Y158" s="646"/>
      <c r="Z158" s="646"/>
    </row>
    <row r="159">
      <c r="A159" s="687"/>
      <c r="B159" s="646"/>
      <c r="C159" s="646"/>
      <c r="D159" s="646"/>
      <c r="E159" s="646"/>
      <c r="F159" s="646"/>
      <c r="G159" s="646"/>
      <c r="H159" s="646"/>
      <c r="I159" s="646"/>
      <c r="J159" s="646"/>
      <c r="K159" s="646"/>
      <c r="L159" s="646"/>
      <c r="M159" s="646"/>
      <c r="N159" s="646"/>
      <c r="O159" s="646"/>
      <c r="P159" s="646"/>
      <c r="Q159" s="646"/>
      <c r="R159" s="646"/>
      <c r="S159" s="646"/>
      <c r="T159" s="646"/>
      <c r="U159" s="646"/>
      <c r="V159" s="646"/>
      <c r="W159" s="646"/>
      <c r="X159" s="646"/>
      <c r="Y159" s="646"/>
      <c r="Z159" s="646"/>
    </row>
    <row r="160">
      <c r="A160" s="687"/>
      <c r="B160" s="646"/>
      <c r="C160" s="646"/>
      <c r="D160" s="646"/>
      <c r="E160" s="646"/>
      <c r="F160" s="646"/>
      <c r="G160" s="646"/>
      <c r="H160" s="646"/>
      <c r="I160" s="646"/>
      <c r="J160" s="646"/>
      <c r="K160" s="646"/>
      <c r="L160" s="646"/>
      <c r="M160" s="646"/>
      <c r="N160" s="646"/>
      <c r="O160" s="646"/>
      <c r="P160" s="646"/>
      <c r="Q160" s="646"/>
      <c r="R160" s="646"/>
      <c r="S160" s="646"/>
      <c r="T160" s="646"/>
      <c r="U160" s="646"/>
      <c r="V160" s="646"/>
      <c r="W160" s="646"/>
      <c r="X160" s="646"/>
      <c r="Y160" s="646"/>
      <c r="Z160" s="646"/>
    </row>
    <row r="161">
      <c r="A161" s="687"/>
      <c r="B161" s="646"/>
      <c r="C161" s="646"/>
      <c r="D161" s="646"/>
      <c r="E161" s="646"/>
      <c r="F161" s="646"/>
      <c r="G161" s="646"/>
      <c r="H161" s="646"/>
      <c r="I161" s="646"/>
      <c r="J161" s="646"/>
      <c r="K161" s="646"/>
      <c r="L161" s="646"/>
      <c r="M161" s="646"/>
      <c r="N161" s="646"/>
      <c r="O161" s="646"/>
      <c r="P161" s="646"/>
      <c r="Q161" s="646"/>
      <c r="R161" s="646"/>
      <c r="S161" s="646"/>
      <c r="T161" s="646"/>
      <c r="U161" s="646"/>
      <c r="V161" s="646"/>
      <c r="W161" s="646"/>
      <c r="X161" s="646"/>
      <c r="Y161" s="646"/>
      <c r="Z161" s="646"/>
    </row>
    <row r="162">
      <c r="A162" s="687"/>
      <c r="B162" s="646"/>
      <c r="C162" s="646"/>
      <c r="D162" s="646"/>
      <c r="E162" s="646"/>
      <c r="F162" s="646"/>
      <c r="G162" s="646"/>
      <c r="H162" s="646"/>
      <c r="I162" s="646"/>
      <c r="J162" s="646"/>
      <c r="K162" s="646"/>
      <c r="L162" s="646"/>
      <c r="M162" s="646"/>
      <c r="N162" s="646"/>
      <c r="O162" s="646"/>
      <c r="P162" s="646"/>
      <c r="Q162" s="646"/>
      <c r="R162" s="646"/>
      <c r="S162" s="646"/>
      <c r="T162" s="646"/>
      <c r="U162" s="646"/>
      <c r="V162" s="646"/>
      <c r="W162" s="646"/>
      <c r="X162" s="646"/>
      <c r="Y162" s="646"/>
      <c r="Z162" s="646"/>
    </row>
    <row r="163">
      <c r="A163" s="687"/>
      <c r="B163" s="646"/>
      <c r="C163" s="646"/>
      <c r="D163" s="646"/>
      <c r="E163" s="646"/>
      <c r="F163" s="646"/>
      <c r="G163" s="646"/>
      <c r="H163" s="646"/>
      <c r="I163" s="646"/>
      <c r="J163" s="646"/>
      <c r="K163" s="646"/>
      <c r="L163" s="646"/>
      <c r="M163" s="646"/>
      <c r="N163" s="646"/>
      <c r="O163" s="646"/>
      <c r="P163" s="646"/>
      <c r="Q163" s="646"/>
      <c r="R163" s="646"/>
      <c r="S163" s="646"/>
      <c r="T163" s="646"/>
      <c r="U163" s="646"/>
      <c r="V163" s="646"/>
      <c r="W163" s="646"/>
      <c r="X163" s="646"/>
      <c r="Y163" s="646"/>
      <c r="Z163" s="646"/>
    </row>
    <row r="164">
      <c r="A164" s="687"/>
      <c r="B164" s="646"/>
      <c r="C164" s="646"/>
      <c r="D164" s="646"/>
      <c r="E164" s="646"/>
      <c r="F164" s="646"/>
      <c r="G164" s="646"/>
      <c r="H164" s="646"/>
      <c r="I164" s="646"/>
      <c r="J164" s="646"/>
      <c r="K164" s="646"/>
      <c r="L164" s="646"/>
      <c r="M164" s="646"/>
      <c r="N164" s="646"/>
      <c r="O164" s="646"/>
      <c r="P164" s="646"/>
      <c r="Q164" s="646"/>
      <c r="R164" s="646"/>
      <c r="S164" s="646"/>
      <c r="T164" s="646"/>
      <c r="U164" s="646"/>
      <c r="V164" s="646"/>
      <c r="W164" s="646"/>
      <c r="X164" s="646"/>
      <c r="Y164" s="646"/>
      <c r="Z164" s="646"/>
    </row>
    <row r="165">
      <c r="A165" s="687"/>
      <c r="B165" s="646"/>
      <c r="C165" s="646"/>
      <c r="D165" s="646"/>
      <c r="E165" s="646"/>
      <c r="F165" s="646"/>
      <c r="G165" s="646"/>
      <c r="H165" s="646"/>
      <c r="I165" s="646"/>
      <c r="J165" s="646"/>
      <c r="K165" s="646"/>
      <c r="L165" s="646"/>
      <c r="M165" s="646"/>
      <c r="N165" s="646"/>
      <c r="O165" s="646"/>
      <c r="P165" s="646"/>
      <c r="Q165" s="646"/>
      <c r="R165" s="646"/>
      <c r="S165" s="646"/>
      <c r="T165" s="646"/>
      <c r="U165" s="646"/>
      <c r="V165" s="646"/>
      <c r="W165" s="646"/>
      <c r="X165" s="646"/>
      <c r="Y165" s="646"/>
      <c r="Z165" s="646"/>
    </row>
    <row r="166">
      <c r="A166" s="687"/>
      <c r="B166" s="646"/>
      <c r="C166" s="646"/>
      <c r="D166" s="646"/>
      <c r="E166" s="646"/>
      <c r="F166" s="646"/>
      <c r="G166" s="646"/>
      <c r="H166" s="646"/>
      <c r="I166" s="646"/>
      <c r="J166" s="646"/>
      <c r="K166" s="646"/>
      <c r="L166" s="646"/>
      <c r="M166" s="646"/>
      <c r="N166" s="646"/>
      <c r="O166" s="646"/>
      <c r="P166" s="646"/>
      <c r="Q166" s="646"/>
      <c r="R166" s="646"/>
      <c r="S166" s="646"/>
      <c r="T166" s="646"/>
      <c r="U166" s="646"/>
      <c r="V166" s="646"/>
      <c r="W166" s="646"/>
      <c r="X166" s="646"/>
      <c r="Y166" s="646"/>
      <c r="Z166" s="646"/>
    </row>
    <row r="167">
      <c r="A167" s="687"/>
      <c r="B167" s="646"/>
      <c r="C167" s="646"/>
      <c r="D167" s="646"/>
      <c r="E167" s="646"/>
      <c r="F167" s="646"/>
      <c r="G167" s="646"/>
      <c r="H167" s="646"/>
      <c r="I167" s="646"/>
      <c r="J167" s="646"/>
      <c r="K167" s="646"/>
      <c r="L167" s="646"/>
      <c r="M167" s="646"/>
      <c r="N167" s="646"/>
      <c r="O167" s="646"/>
      <c r="P167" s="646"/>
      <c r="Q167" s="646"/>
      <c r="R167" s="646"/>
      <c r="S167" s="646"/>
      <c r="T167" s="646"/>
      <c r="U167" s="646"/>
      <c r="V167" s="646"/>
      <c r="W167" s="646"/>
      <c r="X167" s="646"/>
      <c r="Y167" s="646"/>
      <c r="Z167" s="646"/>
    </row>
    <row r="168">
      <c r="A168" s="687"/>
      <c r="B168" s="646"/>
      <c r="C168" s="646"/>
      <c r="D168" s="646"/>
      <c r="E168" s="646"/>
      <c r="F168" s="646"/>
      <c r="G168" s="646"/>
      <c r="H168" s="646"/>
      <c r="I168" s="646"/>
      <c r="J168" s="646"/>
      <c r="K168" s="646"/>
      <c r="L168" s="646"/>
      <c r="M168" s="646"/>
      <c r="N168" s="646"/>
      <c r="O168" s="646"/>
      <c r="P168" s="646"/>
      <c r="Q168" s="646"/>
      <c r="R168" s="646"/>
      <c r="S168" s="646"/>
      <c r="T168" s="646"/>
      <c r="U168" s="646"/>
      <c r="V168" s="646"/>
      <c r="W168" s="646"/>
      <c r="X168" s="646"/>
      <c r="Y168" s="646"/>
      <c r="Z168" s="646"/>
    </row>
    <row r="169">
      <c r="A169" s="687"/>
      <c r="B169" s="646"/>
      <c r="C169" s="646"/>
      <c r="D169" s="646"/>
      <c r="E169" s="646"/>
      <c r="F169" s="646"/>
      <c r="G169" s="646"/>
      <c r="H169" s="646"/>
      <c r="I169" s="646"/>
      <c r="J169" s="646"/>
      <c r="K169" s="646"/>
      <c r="L169" s="646"/>
      <c r="M169" s="646"/>
      <c r="N169" s="646"/>
      <c r="O169" s="646"/>
      <c r="P169" s="646"/>
      <c r="Q169" s="646"/>
      <c r="R169" s="646"/>
      <c r="S169" s="646"/>
      <c r="T169" s="646"/>
      <c r="U169" s="646"/>
      <c r="V169" s="646"/>
      <c r="W169" s="646"/>
      <c r="X169" s="646"/>
      <c r="Y169" s="646"/>
      <c r="Z169" s="646"/>
    </row>
    <row r="170">
      <c r="A170" s="687"/>
      <c r="B170" s="646"/>
      <c r="C170" s="646"/>
      <c r="D170" s="646"/>
      <c r="E170" s="646"/>
      <c r="F170" s="646"/>
      <c r="G170" s="646"/>
      <c r="H170" s="646"/>
      <c r="I170" s="646"/>
      <c r="J170" s="646"/>
      <c r="K170" s="646"/>
      <c r="L170" s="646"/>
      <c r="M170" s="646"/>
      <c r="N170" s="646"/>
      <c r="O170" s="646"/>
      <c r="P170" s="646"/>
      <c r="Q170" s="646"/>
      <c r="R170" s="646"/>
      <c r="S170" s="646"/>
      <c r="T170" s="646"/>
      <c r="U170" s="646"/>
      <c r="V170" s="646"/>
      <c r="W170" s="646"/>
      <c r="X170" s="646"/>
      <c r="Y170" s="646"/>
      <c r="Z170" s="646"/>
    </row>
    <row r="171">
      <c r="A171" s="687"/>
      <c r="B171" s="646"/>
      <c r="C171" s="646"/>
      <c r="D171" s="646"/>
      <c r="E171" s="646"/>
      <c r="F171" s="646"/>
      <c r="G171" s="646"/>
      <c r="H171" s="646"/>
      <c r="I171" s="646"/>
      <c r="J171" s="646"/>
      <c r="K171" s="646"/>
      <c r="L171" s="646"/>
      <c r="M171" s="646"/>
      <c r="N171" s="646"/>
      <c r="O171" s="646"/>
      <c r="P171" s="646"/>
      <c r="Q171" s="646"/>
      <c r="R171" s="646"/>
      <c r="S171" s="646"/>
      <c r="T171" s="646"/>
      <c r="U171" s="646"/>
      <c r="V171" s="646"/>
      <c r="W171" s="646"/>
      <c r="X171" s="646"/>
      <c r="Y171" s="646"/>
      <c r="Z171" s="646"/>
    </row>
    <row r="172">
      <c r="A172" s="687"/>
      <c r="B172" s="646"/>
      <c r="C172" s="646"/>
      <c r="D172" s="646"/>
      <c r="E172" s="646"/>
      <c r="F172" s="646"/>
      <c r="G172" s="646"/>
      <c r="H172" s="646"/>
      <c r="I172" s="646"/>
      <c r="J172" s="646"/>
      <c r="K172" s="646"/>
      <c r="L172" s="646"/>
      <c r="M172" s="646"/>
      <c r="N172" s="646"/>
      <c r="O172" s="646"/>
      <c r="P172" s="646"/>
      <c r="Q172" s="646"/>
      <c r="R172" s="646"/>
      <c r="S172" s="646"/>
      <c r="T172" s="646"/>
      <c r="U172" s="646"/>
      <c r="V172" s="646"/>
      <c r="W172" s="646"/>
      <c r="X172" s="646"/>
      <c r="Y172" s="646"/>
      <c r="Z172" s="646"/>
    </row>
    <row r="173">
      <c r="A173" s="687"/>
      <c r="B173" s="646"/>
      <c r="C173" s="646"/>
      <c r="D173" s="646"/>
      <c r="E173" s="646"/>
      <c r="F173" s="646"/>
      <c r="G173" s="646"/>
      <c r="H173" s="646"/>
      <c r="I173" s="646"/>
      <c r="J173" s="646"/>
      <c r="K173" s="646"/>
      <c r="L173" s="646"/>
      <c r="M173" s="646"/>
      <c r="N173" s="646"/>
      <c r="O173" s="646"/>
      <c r="P173" s="646"/>
      <c r="Q173" s="646"/>
      <c r="R173" s="646"/>
      <c r="S173" s="646"/>
      <c r="T173" s="646"/>
      <c r="U173" s="646"/>
      <c r="V173" s="646"/>
      <c r="W173" s="646"/>
      <c r="X173" s="646"/>
      <c r="Y173" s="646"/>
      <c r="Z173" s="646"/>
    </row>
    <row r="174">
      <c r="A174" s="687"/>
      <c r="B174" s="646"/>
      <c r="C174" s="646"/>
      <c r="D174" s="646"/>
      <c r="E174" s="646"/>
      <c r="F174" s="646"/>
      <c r="G174" s="646"/>
      <c r="H174" s="646"/>
      <c r="I174" s="646"/>
      <c r="J174" s="646"/>
      <c r="K174" s="646"/>
      <c r="L174" s="646"/>
      <c r="M174" s="646"/>
      <c r="N174" s="646"/>
      <c r="O174" s="646"/>
      <c r="P174" s="646"/>
      <c r="Q174" s="646"/>
      <c r="R174" s="646"/>
      <c r="S174" s="646"/>
      <c r="T174" s="646"/>
      <c r="U174" s="646"/>
      <c r="V174" s="646"/>
      <c r="W174" s="646"/>
      <c r="X174" s="646"/>
      <c r="Y174" s="646"/>
      <c r="Z174" s="646"/>
    </row>
    <row r="175">
      <c r="A175" s="687"/>
      <c r="B175" s="646"/>
      <c r="C175" s="646"/>
      <c r="D175" s="646"/>
      <c r="E175" s="646"/>
      <c r="F175" s="646"/>
      <c r="G175" s="646"/>
      <c r="H175" s="646"/>
      <c r="I175" s="646"/>
      <c r="J175" s="646"/>
      <c r="K175" s="646"/>
      <c r="L175" s="646"/>
      <c r="M175" s="646"/>
      <c r="N175" s="646"/>
      <c r="O175" s="646"/>
      <c r="P175" s="646"/>
      <c r="Q175" s="646"/>
      <c r="R175" s="646"/>
      <c r="S175" s="646"/>
      <c r="T175" s="646"/>
      <c r="U175" s="646"/>
      <c r="V175" s="646"/>
      <c r="W175" s="646"/>
      <c r="X175" s="646"/>
      <c r="Y175" s="646"/>
      <c r="Z175" s="646"/>
    </row>
    <row r="176">
      <c r="A176" s="687"/>
      <c r="B176" s="646"/>
      <c r="C176" s="646"/>
      <c r="D176" s="646"/>
      <c r="E176" s="646"/>
      <c r="F176" s="646"/>
      <c r="G176" s="646"/>
      <c r="H176" s="646"/>
      <c r="I176" s="646"/>
      <c r="J176" s="646"/>
      <c r="K176" s="646"/>
      <c r="L176" s="646"/>
      <c r="M176" s="646"/>
      <c r="N176" s="646"/>
      <c r="O176" s="646"/>
      <c r="P176" s="646"/>
      <c r="Q176" s="646"/>
      <c r="R176" s="646"/>
      <c r="S176" s="646"/>
      <c r="T176" s="646"/>
      <c r="U176" s="646"/>
      <c r="V176" s="646"/>
      <c r="W176" s="646"/>
      <c r="X176" s="646"/>
      <c r="Y176" s="646"/>
      <c r="Z176" s="646"/>
    </row>
    <row r="177">
      <c r="A177" s="687"/>
      <c r="B177" s="646"/>
      <c r="C177" s="646"/>
      <c r="D177" s="646"/>
      <c r="E177" s="646"/>
      <c r="F177" s="646"/>
      <c r="G177" s="646"/>
      <c r="H177" s="646"/>
      <c r="I177" s="646"/>
      <c r="J177" s="646"/>
      <c r="K177" s="646"/>
      <c r="L177" s="646"/>
      <c r="M177" s="646"/>
      <c r="N177" s="646"/>
      <c r="O177" s="646"/>
      <c r="P177" s="646"/>
      <c r="Q177" s="646"/>
      <c r="R177" s="646"/>
      <c r="S177" s="646"/>
      <c r="T177" s="646"/>
      <c r="U177" s="646"/>
      <c r="V177" s="646"/>
      <c r="W177" s="646"/>
      <c r="X177" s="646"/>
      <c r="Y177" s="646"/>
      <c r="Z177" s="646"/>
    </row>
    <row r="178">
      <c r="A178" s="687"/>
      <c r="B178" s="646"/>
      <c r="C178" s="646"/>
      <c r="D178" s="646"/>
      <c r="E178" s="646"/>
      <c r="F178" s="646"/>
      <c r="G178" s="646"/>
      <c r="H178" s="646"/>
      <c r="I178" s="646"/>
      <c r="J178" s="646"/>
      <c r="K178" s="646"/>
      <c r="L178" s="646"/>
      <c r="M178" s="646"/>
      <c r="N178" s="646"/>
      <c r="O178" s="646"/>
      <c r="P178" s="646"/>
      <c r="Q178" s="646"/>
      <c r="R178" s="646"/>
      <c r="S178" s="646"/>
      <c r="T178" s="646"/>
      <c r="U178" s="646"/>
      <c r="V178" s="646"/>
      <c r="W178" s="646"/>
      <c r="X178" s="646"/>
      <c r="Y178" s="646"/>
      <c r="Z178" s="646"/>
    </row>
    <row r="179">
      <c r="A179" s="687"/>
      <c r="B179" s="646"/>
      <c r="C179" s="646"/>
      <c r="D179" s="646"/>
      <c r="E179" s="646"/>
      <c r="F179" s="646"/>
      <c r="G179" s="646"/>
      <c r="H179" s="646"/>
      <c r="I179" s="646"/>
      <c r="J179" s="646"/>
      <c r="K179" s="646"/>
      <c r="L179" s="646"/>
      <c r="M179" s="646"/>
      <c r="N179" s="646"/>
      <c r="O179" s="646"/>
      <c r="P179" s="646"/>
      <c r="Q179" s="646"/>
      <c r="R179" s="646"/>
      <c r="S179" s="646"/>
      <c r="T179" s="646"/>
      <c r="U179" s="646"/>
      <c r="V179" s="646"/>
      <c r="W179" s="646"/>
      <c r="X179" s="646"/>
      <c r="Y179" s="646"/>
      <c r="Z179" s="646"/>
    </row>
    <row r="180">
      <c r="A180" s="687"/>
      <c r="B180" s="646"/>
      <c r="C180" s="646"/>
      <c r="D180" s="646"/>
      <c r="E180" s="646"/>
      <c r="F180" s="646"/>
      <c r="G180" s="646"/>
      <c r="H180" s="646"/>
      <c r="I180" s="646"/>
      <c r="J180" s="646"/>
      <c r="K180" s="646"/>
      <c r="L180" s="646"/>
      <c r="M180" s="646"/>
      <c r="N180" s="646"/>
      <c r="O180" s="646"/>
      <c r="P180" s="646"/>
      <c r="Q180" s="646"/>
      <c r="R180" s="646"/>
      <c r="S180" s="646"/>
      <c r="T180" s="646"/>
      <c r="U180" s="646"/>
      <c r="V180" s="646"/>
      <c r="W180" s="646"/>
      <c r="X180" s="646"/>
      <c r="Y180" s="646"/>
      <c r="Z180" s="646"/>
    </row>
    <row r="181">
      <c r="A181" s="687"/>
      <c r="B181" s="646"/>
      <c r="C181" s="646"/>
      <c r="D181" s="646"/>
      <c r="E181" s="646"/>
      <c r="F181" s="646"/>
      <c r="G181" s="646"/>
      <c r="H181" s="646"/>
      <c r="I181" s="646"/>
      <c r="J181" s="646"/>
      <c r="K181" s="646"/>
      <c r="L181" s="646"/>
      <c r="M181" s="646"/>
      <c r="N181" s="646"/>
      <c r="O181" s="646"/>
      <c r="P181" s="646"/>
      <c r="Q181" s="646"/>
      <c r="R181" s="646"/>
      <c r="S181" s="646"/>
      <c r="T181" s="646"/>
      <c r="U181" s="646"/>
      <c r="V181" s="646"/>
      <c r="W181" s="646"/>
      <c r="X181" s="646"/>
      <c r="Y181" s="646"/>
      <c r="Z181" s="646"/>
    </row>
    <row r="182">
      <c r="A182" s="687"/>
      <c r="B182" s="646"/>
      <c r="C182" s="646"/>
      <c r="D182" s="646"/>
      <c r="E182" s="646"/>
      <c r="F182" s="646"/>
      <c r="G182" s="646"/>
      <c r="H182" s="646"/>
      <c r="I182" s="646"/>
      <c r="J182" s="646"/>
      <c r="K182" s="646"/>
      <c r="L182" s="646"/>
      <c r="M182" s="646"/>
      <c r="N182" s="646"/>
      <c r="O182" s="646"/>
      <c r="P182" s="646"/>
      <c r="Q182" s="646"/>
      <c r="R182" s="646"/>
      <c r="S182" s="646"/>
      <c r="T182" s="646"/>
      <c r="U182" s="646"/>
      <c r="V182" s="646"/>
      <c r="W182" s="646"/>
      <c r="X182" s="646"/>
      <c r="Y182" s="646"/>
      <c r="Z182" s="646"/>
    </row>
    <row r="183">
      <c r="A183" s="687"/>
      <c r="B183" s="646"/>
      <c r="C183" s="646"/>
      <c r="D183" s="646"/>
      <c r="E183" s="646"/>
      <c r="F183" s="646"/>
      <c r="G183" s="646"/>
      <c r="H183" s="646"/>
      <c r="I183" s="646"/>
      <c r="J183" s="646"/>
      <c r="K183" s="646"/>
      <c r="L183" s="646"/>
      <c r="M183" s="646"/>
      <c r="N183" s="646"/>
      <c r="O183" s="646"/>
      <c r="P183" s="646"/>
      <c r="Q183" s="646"/>
      <c r="R183" s="646"/>
      <c r="S183" s="646"/>
      <c r="T183" s="646"/>
      <c r="U183" s="646"/>
      <c r="V183" s="646"/>
      <c r="W183" s="646"/>
      <c r="X183" s="646"/>
      <c r="Y183" s="646"/>
      <c r="Z183" s="646"/>
    </row>
    <row r="184">
      <c r="A184" s="687"/>
      <c r="B184" s="646"/>
      <c r="C184" s="646"/>
      <c r="D184" s="646"/>
      <c r="E184" s="646"/>
      <c r="F184" s="646"/>
      <c r="G184" s="646"/>
      <c r="H184" s="646"/>
      <c r="I184" s="646"/>
      <c r="J184" s="646"/>
      <c r="K184" s="646"/>
      <c r="L184" s="646"/>
      <c r="M184" s="646"/>
      <c r="N184" s="646"/>
      <c r="O184" s="646"/>
      <c r="P184" s="646"/>
      <c r="Q184" s="646"/>
      <c r="R184" s="646"/>
      <c r="S184" s="646"/>
      <c r="T184" s="646"/>
      <c r="U184" s="646"/>
      <c r="V184" s="646"/>
      <c r="W184" s="646"/>
      <c r="X184" s="646"/>
      <c r="Y184" s="646"/>
      <c r="Z184" s="646"/>
    </row>
    <row r="185">
      <c r="A185" s="687"/>
      <c r="B185" s="646"/>
      <c r="C185" s="646"/>
      <c r="D185" s="646"/>
      <c r="E185" s="646"/>
      <c r="F185" s="646"/>
      <c r="G185" s="646"/>
      <c r="H185" s="646"/>
      <c r="I185" s="646"/>
      <c r="J185" s="646"/>
      <c r="K185" s="646"/>
      <c r="L185" s="646"/>
      <c r="M185" s="646"/>
      <c r="N185" s="646"/>
      <c r="O185" s="646"/>
      <c r="P185" s="646"/>
      <c r="Q185" s="646"/>
      <c r="R185" s="646"/>
      <c r="S185" s="646"/>
      <c r="T185" s="646"/>
      <c r="U185" s="646"/>
      <c r="V185" s="646"/>
      <c r="W185" s="646"/>
      <c r="X185" s="646"/>
      <c r="Y185" s="646"/>
      <c r="Z185" s="646"/>
    </row>
    <row r="186">
      <c r="A186" s="687"/>
      <c r="B186" s="646"/>
      <c r="C186" s="646"/>
      <c r="D186" s="646"/>
      <c r="E186" s="646"/>
      <c r="F186" s="646"/>
      <c r="G186" s="646"/>
      <c r="H186" s="646"/>
      <c r="I186" s="646"/>
      <c r="J186" s="646"/>
      <c r="K186" s="646"/>
      <c r="L186" s="646"/>
      <c r="M186" s="646"/>
      <c r="N186" s="646"/>
      <c r="O186" s="646"/>
      <c r="P186" s="646"/>
      <c r="Q186" s="646"/>
      <c r="R186" s="646"/>
      <c r="S186" s="646"/>
      <c r="T186" s="646"/>
      <c r="U186" s="646"/>
      <c r="V186" s="646"/>
      <c r="W186" s="646"/>
      <c r="X186" s="646"/>
      <c r="Y186" s="646"/>
      <c r="Z186" s="646"/>
    </row>
    <row r="187">
      <c r="A187" s="687"/>
      <c r="B187" s="646"/>
      <c r="C187" s="646"/>
      <c r="D187" s="646"/>
      <c r="E187" s="646"/>
      <c r="F187" s="646"/>
      <c r="G187" s="646"/>
      <c r="H187" s="646"/>
      <c r="I187" s="646"/>
      <c r="J187" s="646"/>
      <c r="K187" s="646"/>
      <c r="L187" s="646"/>
      <c r="M187" s="646"/>
      <c r="N187" s="646"/>
      <c r="O187" s="646"/>
      <c r="P187" s="646"/>
      <c r="Q187" s="646"/>
      <c r="R187" s="646"/>
      <c r="S187" s="646"/>
      <c r="T187" s="646"/>
      <c r="U187" s="646"/>
      <c r="V187" s="646"/>
      <c r="W187" s="646"/>
      <c r="X187" s="646"/>
      <c r="Y187" s="646"/>
      <c r="Z187" s="646"/>
    </row>
    <row r="188">
      <c r="A188" s="687"/>
      <c r="B188" s="646"/>
      <c r="C188" s="646"/>
      <c r="D188" s="646"/>
      <c r="E188" s="646"/>
      <c r="F188" s="646"/>
      <c r="G188" s="646"/>
      <c r="H188" s="646"/>
      <c r="I188" s="646"/>
      <c r="J188" s="646"/>
      <c r="K188" s="646"/>
      <c r="L188" s="646"/>
      <c r="M188" s="646"/>
      <c r="N188" s="646"/>
      <c r="O188" s="646"/>
      <c r="P188" s="646"/>
      <c r="Q188" s="646"/>
      <c r="R188" s="646"/>
      <c r="S188" s="646"/>
      <c r="T188" s="646"/>
      <c r="U188" s="646"/>
      <c r="V188" s="646"/>
      <c r="W188" s="646"/>
      <c r="X188" s="646"/>
      <c r="Y188" s="646"/>
      <c r="Z188" s="646"/>
    </row>
    <row r="189">
      <c r="A189" s="687"/>
      <c r="B189" s="646"/>
      <c r="C189" s="646"/>
      <c r="D189" s="646"/>
      <c r="E189" s="646"/>
      <c r="F189" s="646"/>
      <c r="G189" s="646"/>
      <c r="H189" s="646"/>
      <c r="I189" s="646"/>
      <c r="J189" s="646"/>
      <c r="K189" s="646"/>
      <c r="L189" s="646"/>
      <c r="M189" s="646"/>
      <c r="N189" s="646"/>
      <c r="O189" s="646"/>
      <c r="P189" s="646"/>
      <c r="Q189" s="646"/>
      <c r="R189" s="646"/>
      <c r="S189" s="646"/>
      <c r="T189" s="646"/>
      <c r="U189" s="646"/>
      <c r="V189" s="646"/>
      <c r="W189" s="646"/>
      <c r="X189" s="646"/>
      <c r="Y189" s="646"/>
      <c r="Z189" s="646"/>
    </row>
    <row r="190">
      <c r="A190" s="687"/>
      <c r="B190" s="646"/>
      <c r="C190" s="646"/>
      <c r="D190" s="646"/>
      <c r="E190" s="646"/>
      <c r="F190" s="646"/>
      <c r="G190" s="646"/>
      <c r="H190" s="646"/>
      <c r="I190" s="646"/>
      <c r="J190" s="646"/>
      <c r="K190" s="646"/>
      <c r="L190" s="646"/>
      <c r="M190" s="646"/>
      <c r="N190" s="646"/>
      <c r="O190" s="646"/>
      <c r="P190" s="646"/>
      <c r="Q190" s="646"/>
      <c r="R190" s="646"/>
      <c r="S190" s="646"/>
      <c r="T190" s="646"/>
      <c r="U190" s="646"/>
      <c r="V190" s="646"/>
      <c r="W190" s="646"/>
      <c r="X190" s="646"/>
      <c r="Y190" s="646"/>
      <c r="Z190" s="646"/>
    </row>
    <row r="191">
      <c r="A191" s="687"/>
      <c r="B191" s="646"/>
      <c r="C191" s="646"/>
      <c r="D191" s="646"/>
      <c r="E191" s="646"/>
      <c r="F191" s="646"/>
      <c r="G191" s="646"/>
      <c r="H191" s="646"/>
      <c r="I191" s="646"/>
      <c r="J191" s="646"/>
      <c r="K191" s="646"/>
      <c r="L191" s="646"/>
      <c r="M191" s="646"/>
      <c r="N191" s="646"/>
      <c r="O191" s="646"/>
      <c r="P191" s="646"/>
      <c r="Q191" s="646"/>
      <c r="R191" s="646"/>
      <c r="S191" s="646"/>
      <c r="T191" s="646"/>
      <c r="U191" s="646"/>
      <c r="V191" s="646"/>
      <c r="W191" s="646"/>
      <c r="X191" s="646"/>
      <c r="Y191" s="646"/>
      <c r="Z191" s="646"/>
    </row>
    <row r="192">
      <c r="A192" s="687"/>
      <c r="B192" s="646"/>
      <c r="C192" s="646"/>
      <c r="D192" s="646"/>
      <c r="E192" s="646"/>
      <c r="F192" s="646"/>
      <c r="G192" s="646"/>
      <c r="H192" s="646"/>
      <c r="I192" s="646"/>
      <c r="J192" s="646"/>
      <c r="K192" s="646"/>
      <c r="L192" s="646"/>
      <c r="M192" s="646"/>
      <c r="N192" s="646"/>
      <c r="O192" s="646"/>
      <c r="P192" s="646"/>
      <c r="Q192" s="646"/>
      <c r="R192" s="646"/>
      <c r="S192" s="646"/>
      <c r="T192" s="646"/>
      <c r="U192" s="646"/>
      <c r="V192" s="646"/>
      <c r="W192" s="646"/>
      <c r="X192" s="646"/>
      <c r="Y192" s="646"/>
      <c r="Z192" s="646"/>
    </row>
    <row r="193">
      <c r="A193" s="687"/>
      <c r="B193" s="646"/>
      <c r="C193" s="646"/>
      <c r="D193" s="646"/>
      <c r="E193" s="646"/>
      <c r="F193" s="646"/>
      <c r="G193" s="646"/>
      <c r="H193" s="646"/>
      <c r="I193" s="646"/>
      <c r="J193" s="646"/>
      <c r="K193" s="646"/>
      <c r="L193" s="646"/>
      <c r="M193" s="646"/>
      <c r="N193" s="646"/>
      <c r="O193" s="646"/>
      <c r="P193" s="646"/>
      <c r="Q193" s="646"/>
      <c r="R193" s="646"/>
      <c r="S193" s="646"/>
      <c r="T193" s="646"/>
      <c r="U193" s="646"/>
      <c r="V193" s="646"/>
      <c r="W193" s="646"/>
      <c r="X193" s="646"/>
      <c r="Y193" s="646"/>
      <c r="Z193" s="646"/>
    </row>
    <row r="194">
      <c r="A194" s="687"/>
      <c r="B194" s="646"/>
      <c r="C194" s="646"/>
      <c r="D194" s="646"/>
      <c r="E194" s="646"/>
      <c r="F194" s="646"/>
      <c r="G194" s="646"/>
      <c r="H194" s="646"/>
      <c r="I194" s="646"/>
      <c r="J194" s="646"/>
      <c r="K194" s="646"/>
      <c r="L194" s="646"/>
      <c r="M194" s="646"/>
      <c r="N194" s="646"/>
      <c r="O194" s="646"/>
      <c r="P194" s="646"/>
      <c r="Q194" s="646"/>
      <c r="R194" s="646"/>
      <c r="S194" s="646"/>
      <c r="T194" s="646"/>
      <c r="U194" s="646"/>
      <c r="V194" s="646"/>
      <c r="W194" s="646"/>
      <c r="X194" s="646"/>
      <c r="Y194" s="646"/>
      <c r="Z194" s="646"/>
    </row>
    <row r="195">
      <c r="A195" s="687"/>
      <c r="B195" s="646"/>
      <c r="C195" s="646"/>
      <c r="D195" s="646"/>
      <c r="E195" s="646"/>
      <c r="F195" s="646"/>
      <c r="G195" s="646"/>
      <c r="H195" s="646"/>
      <c r="I195" s="646"/>
      <c r="J195" s="646"/>
      <c r="K195" s="646"/>
      <c r="L195" s="646"/>
      <c r="M195" s="646"/>
      <c r="N195" s="646"/>
      <c r="O195" s="646"/>
      <c r="P195" s="646"/>
      <c r="Q195" s="646"/>
      <c r="R195" s="646"/>
      <c r="S195" s="646"/>
      <c r="T195" s="646"/>
      <c r="U195" s="646"/>
      <c r="V195" s="646"/>
      <c r="W195" s="646"/>
      <c r="X195" s="646"/>
      <c r="Y195" s="646"/>
      <c r="Z195" s="646"/>
    </row>
    <row r="196">
      <c r="A196" s="687"/>
      <c r="B196" s="646"/>
      <c r="C196" s="646"/>
      <c r="D196" s="646"/>
      <c r="E196" s="646"/>
      <c r="F196" s="646"/>
      <c r="G196" s="646"/>
      <c r="H196" s="646"/>
      <c r="I196" s="646"/>
      <c r="J196" s="646"/>
      <c r="K196" s="646"/>
      <c r="L196" s="646"/>
      <c r="M196" s="646"/>
      <c r="N196" s="646"/>
      <c r="O196" s="646"/>
      <c r="P196" s="646"/>
      <c r="Q196" s="646"/>
      <c r="R196" s="646"/>
      <c r="S196" s="646"/>
      <c r="T196" s="646"/>
      <c r="U196" s="646"/>
      <c r="V196" s="646"/>
      <c r="W196" s="646"/>
      <c r="X196" s="646"/>
      <c r="Y196" s="646"/>
      <c r="Z196" s="646"/>
    </row>
    <row r="197">
      <c r="A197" s="687"/>
      <c r="B197" s="646"/>
      <c r="C197" s="646"/>
      <c r="D197" s="646"/>
      <c r="E197" s="646"/>
      <c r="F197" s="646"/>
      <c r="G197" s="646"/>
      <c r="H197" s="646"/>
      <c r="I197" s="646"/>
      <c r="J197" s="646"/>
      <c r="K197" s="646"/>
      <c r="L197" s="646"/>
      <c r="M197" s="646"/>
      <c r="N197" s="646"/>
      <c r="O197" s="646"/>
      <c r="P197" s="646"/>
      <c r="Q197" s="646"/>
      <c r="R197" s="646"/>
      <c r="S197" s="646"/>
      <c r="T197" s="646"/>
      <c r="U197" s="646"/>
      <c r="V197" s="646"/>
      <c r="W197" s="646"/>
      <c r="X197" s="646"/>
      <c r="Y197" s="646"/>
      <c r="Z197" s="646"/>
    </row>
    <row r="198">
      <c r="A198" s="687"/>
      <c r="B198" s="646"/>
      <c r="C198" s="646"/>
      <c r="D198" s="646"/>
      <c r="E198" s="646"/>
      <c r="F198" s="646"/>
      <c r="G198" s="646"/>
      <c r="H198" s="646"/>
      <c r="I198" s="646"/>
      <c r="J198" s="646"/>
      <c r="K198" s="646"/>
      <c r="L198" s="646"/>
      <c r="M198" s="646"/>
      <c r="N198" s="646"/>
      <c r="O198" s="646"/>
      <c r="P198" s="646"/>
      <c r="Q198" s="646"/>
      <c r="R198" s="646"/>
      <c r="S198" s="646"/>
      <c r="T198" s="646"/>
      <c r="U198" s="646"/>
      <c r="V198" s="646"/>
      <c r="W198" s="646"/>
      <c r="X198" s="646"/>
      <c r="Y198" s="646"/>
      <c r="Z198" s="646"/>
    </row>
    <row r="199">
      <c r="A199" s="687"/>
      <c r="B199" s="646"/>
      <c r="C199" s="646"/>
      <c r="D199" s="646"/>
      <c r="E199" s="646"/>
      <c r="F199" s="646"/>
      <c r="G199" s="646"/>
      <c r="H199" s="646"/>
      <c r="I199" s="646"/>
      <c r="J199" s="646"/>
      <c r="K199" s="646"/>
      <c r="L199" s="646"/>
      <c r="M199" s="646"/>
      <c r="N199" s="646"/>
      <c r="O199" s="646"/>
      <c r="P199" s="646"/>
      <c r="Q199" s="646"/>
      <c r="R199" s="646"/>
      <c r="S199" s="646"/>
      <c r="T199" s="646"/>
      <c r="U199" s="646"/>
      <c r="V199" s="646"/>
      <c r="W199" s="646"/>
      <c r="X199" s="646"/>
      <c r="Y199" s="646"/>
      <c r="Z199" s="646"/>
    </row>
    <row r="200">
      <c r="A200" s="687"/>
      <c r="B200" s="646"/>
      <c r="C200" s="646"/>
      <c r="D200" s="646"/>
      <c r="E200" s="646"/>
      <c r="F200" s="646"/>
      <c r="G200" s="646"/>
      <c r="H200" s="646"/>
      <c r="I200" s="646"/>
      <c r="J200" s="646"/>
      <c r="K200" s="646"/>
      <c r="L200" s="646"/>
      <c r="M200" s="646"/>
      <c r="N200" s="646"/>
      <c r="O200" s="646"/>
      <c r="P200" s="646"/>
      <c r="Q200" s="646"/>
      <c r="R200" s="646"/>
      <c r="S200" s="646"/>
      <c r="T200" s="646"/>
      <c r="U200" s="646"/>
      <c r="V200" s="646"/>
      <c r="W200" s="646"/>
      <c r="X200" s="646"/>
      <c r="Y200" s="646"/>
      <c r="Z200" s="646"/>
    </row>
    <row r="201">
      <c r="A201" s="687"/>
      <c r="B201" s="646"/>
      <c r="C201" s="646"/>
      <c r="D201" s="646"/>
      <c r="E201" s="646"/>
      <c r="F201" s="646"/>
      <c r="G201" s="646"/>
      <c r="H201" s="646"/>
      <c r="I201" s="646"/>
      <c r="J201" s="646"/>
      <c r="K201" s="646"/>
      <c r="L201" s="646"/>
      <c r="M201" s="646"/>
      <c r="N201" s="646"/>
      <c r="O201" s="646"/>
      <c r="P201" s="646"/>
      <c r="Q201" s="646"/>
      <c r="R201" s="646"/>
      <c r="S201" s="646"/>
      <c r="T201" s="646"/>
      <c r="U201" s="646"/>
      <c r="V201" s="646"/>
      <c r="W201" s="646"/>
      <c r="X201" s="646"/>
      <c r="Y201" s="646"/>
      <c r="Z201" s="646"/>
    </row>
    <row r="202">
      <c r="A202" s="687"/>
      <c r="B202" s="646"/>
      <c r="C202" s="646"/>
      <c r="D202" s="646"/>
      <c r="E202" s="646"/>
      <c r="F202" s="646"/>
      <c r="G202" s="646"/>
      <c r="H202" s="646"/>
      <c r="I202" s="646"/>
      <c r="J202" s="646"/>
      <c r="K202" s="646"/>
      <c r="L202" s="646"/>
      <c r="M202" s="646"/>
      <c r="N202" s="646"/>
      <c r="O202" s="646"/>
      <c r="P202" s="646"/>
      <c r="Q202" s="646"/>
      <c r="R202" s="646"/>
      <c r="S202" s="646"/>
      <c r="T202" s="646"/>
      <c r="U202" s="646"/>
      <c r="V202" s="646"/>
      <c r="W202" s="646"/>
      <c r="X202" s="646"/>
      <c r="Y202" s="646"/>
      <c r="Z202" s="646"/>
    </row>
    <row r="203">
      <c r="A203" s="687"/>
      <c r="B203" s="646"/>
      <c r="C203" s="646"/>
      <c r="D203" s="646"/>
      <c r="E203" s="646"/>
      <c r="F203" s="646"/>
      <c r="G203" s="646"/>
      <c r="H203" s="646"/>
      <c r="I203" s="646"/>
      <c r="J203" s="646"/>
      <c r="K203" s="646"/>
      <c r="L203" s="646"/>
      <c r="M203" s="646"/>
      <c r="N203" s="646"/>
      <c r="O203" s="646"/>
      <c r="P203" s="646"/>
      <c r="Q203" s="646"/>
      <c r="R203" s="646"/>
      <c r="S203" s="646"/>
      <c r="T203" s="646"/>
      <c r="U203" s="646"/>
      <c r="V203" s="646"/>
      <c r="W203" s="646"/>
      <c r="X203" s="646"/>
      <c r="Y203" s="646"/>
      <c r="Z203" s="646"/>
    </row>
    <row r="204">
      <c r="A204" s="687"/>
      <c r="B204" s="646"/>
      <c r="C204" s="646"/>
      <c r="D204" s="646"/>
      <c r="E204" s="646"/>
      <c r="F204" s="646"/>
      <c r="G204" s="646"/>
      <c r="H204" s="646"/>
      <c r="I204" s="646"/>
      <c r="J204" s="646"/>
      <c r="K204" s="646"/>
      <c r="L204" s="646"/>
      <c r="M204" s="646"/>
      <c r="N204" s="646"/>
      <c r="O204" s="646"/>
      <c r="P204" s="646"/>
      <c r="Q204" s="646"/>
      <c r="R204" s="646"/>
      <c r="S204" s="646"/>
      <c r="T204" s="646"/>
      <c r="U204" s="646"/>
      <c r="V204" s="646"/>
      <c r="W204" s="646"/>
      <c r="X204" s="646"/>
      <c r="Y204" s="646"/>
      <c r="Z204" s="646"/>
    </row>
    <row r="205">
      <c r="A205" s="687"/>
      <c r="B205" s="646"/>
      <c r="C205" s="646"/>
      <c r="D205" s="646"/>
      <c r="E205" s="646"/>
      <c r="F205" s="646"/>
      <c r="G205" s="646"/>
      <c r="H205" s="646"/>
      <c r="I205" s="646"/>
      <c r="J205" s="646"/>
      <c r="K205" s="646"/>
      <c r="L205" s="646"/>
      <c r="M205" s="646"/>
      <c r="N205" s="646"/>
      <c r="O205" s="646"/>
      <c r="P205" s="646"/>
      <c r="Q205" s="646"/>
      <c r="R205" s="646"/>
      <c r="S205" s="646"/>
      <c r="T205" s="646"/>
      <c r="U205" s="646"/>
      <c r="V205" s="646"/>
      <c r="W205" s="646"/>
      <c r="X205" s="646"/>
      <c r="Y205" s="646"/>
      <c r="Z205" s="646"/>
    </row>
    <row r="206">
      <c r="A206" s="687"/>
      <c r="B206" s="646"/>
      <c r="C206" s="646"/>
      <c r="D206" s="646"/>
      <c r="E206" s="646"/>
      <c r="F206" s="646"/>
      <c r="G206" s="646"/>
      <c r="H206" s="646"/>
      <c r="I206" s="646"/>
      <c r="J206" s="646"/>
      <c r="K206" s="646"/>
      <c r="L206" s="646"/>
      <c r="M206" s="646"/>
      <c r="N206" s="646"/>
      <c r="O206" s="646"/>
      <c r="P206" s="646"/>
      <c r="Q206" s="646"/>
      <c r="R206" s="646"/>
      <c r="S206" s="646"/>
      <c r="T206" s="646"/>
      <c r="U206" s="646"/>
      <c r="V206" s="646"/>
      <c r="W206" s="646"/>
      <c r="X206" s="646"/>
      <c r="Y206" s="646"/>
      <c r="Z206" s="646"/>
    </row>
    <row r="207">
      <c r="A207" s="687"/>
      <c r="B207" s="646"/>
      <c r="C207" s="646"/>
      <c r="D207" s="646"/>
      <c r="E207" s="646"/>
      <c r="F207" s="646"/>
      <c r="G207" s="646"/>
      <c r="H207" s="646"/>
      <c r="I207" s="646"/>
      <c r="J207" s="646"/>
      <c r="K207" s="646"/>
      <c r="L207" s="646"/>
      <c r="M207" s="646"/>
      <c r="N207" s="646"/>
      <c r="O207" s="646"/>
      <c r="P207" s="646"/>
      <c r="Q207" s="646"/>
      <c r="R207" s="646"/>
      <c r="S207" s="646"/>
      <c r="T207" s="646"/>
      <c r="U207" s="646"/>
      <c r="V207" s="646"/>
      <c r="W207" s="646"/>
      <c r="X207" s="646"/>
      <c r="Y207" s="646"/>
      <c r="Z207" s="646"/>
    </row>
    <row r="208">
      <c r="A208" s="687"/>
      <c r="B208" s="646"/>
      <c r="C208" s="646"/>
      <c r="D208" s="646"/>
      <c r="E208" s="646"/>
      <c r="F208" s="646"/>
      <c r="G208" s="646"/>
      <c r="H208" s="646"/>
      <c r="I208" s="646"/>
      <c r="J208" s="646"/>
      <c r="K208" s="646"/>
      <c r="L208" s="646"/>
      <c r="M208" s="646"/>
      <c r="N208" s="646"/>
      <c r="O208" s="646"/>
      <c r="P208" s="646"/>
      <c r="Q208" s="646"/>
      <c r="R208" s="646"/>
      <c r="S208" s="646"/>
      <c r="T208" s="646"/>
      <c r="U208" s="646"/>
      <c r="V208" s="646"/>
      <c r="W208" s="646"/>
      <c r="X208" s="646"/>
      <c r="Y208" s="646"/>
      <c r="Z208" s="646"/>
    </row>
    <row r="209">
      <c r="A209" s="687"/>
      <c r="B209" s="646"/>
      <c r="C209" s="646"/>
      <c r="D209" s="646"/>
      <c r="E209" s="646"/>
      <c r="F209" s="646"/>
      <c r="G209" s="646"/>
      <c r="H209" s="646"/>
      <c r="I209" s="646"/>
      <c r="J209" s="646"/>
      <c r="K209" s="646"/>
      <c r="L209" s="646"/>
      <c r="M209" s="646"/>
      <c r="N209" s="646"/>
      <c r="O209" s="646"/>
      <c r="P209" s="646"/>
      <c r="Q209" s="646"/>
      <c r="R209" s="646"/>
      <c r="S209" s="646"/>
      <c r="T209" s="646"/>
      <c r="U209" s="646"/>
      <c r="V209" s="646"/>
      <c r="W209" s="646"/>
      <c r="X209" s="646"/>
      <c r="Y209" s="646"/>
      <c r="Z209" s="646"/>
    </row>
    <row r="210">
      <c r="A210" s="687"/>
      <c r="B210" s="646"/>
      <c r="C210" s="646"/>
      <c r="D210" s="646"/>
      <c r="E210" s="646"/>
      <c r="F210" s="646"/>
      <c r="G210" s="646"/>
      <c r="H210" s="646"/>
      <c r="I210" s="646"/>
      <c r="J210" s="646"/>
      <c r="K210" s="646"/>
      <c r="L210" s="646"/>
      <c r="M210" s="646"/>
      <c r="N210" s="646"/>
      <c r="O210" s="646"/>
      <c r="P210" s="646"/>
      <c r="Q210" s="646"/>
      <c r="R210" s="646"/>
      <c r="S210" s="646"/>
      <c r="T210" s="646"/>
      <c r="U210" s="646"/>
      <c r="V210" s="646"/>
      <c r="W210" s="646"/>
      <c r="X210" s="646"/>
      <c r="Y210" s="646"/>
      <c r="Z210" s="646"/>
    </row>
    <row r="211">
      <c r="A211" s="687"/>
      <c r="B211" s="646"/>
      <c r="C211" s="646"/>
      <c r="D211" s="646"/>
      <c r="E211" s="646"/>
      <c r="F211" s="646"/>
      <c r="G211" s="646"/>
      <c r="H211" s="646"/>
      <c r="I211" s="646"/>
      <c r="J211" s="646"/>
      <c r="K211" s="646"/>
      <c r="L211" s="646"/>
      <c r="M211" s="646"/>
      <c r="N211" s="646"/>
      <c r="O211" s="646"/>
      <c r="P211" s="646"/>
      <c r="Q211" s="646"/>
      <c r="R211" s="646"/>
      <c r="S211" s="646"/>
      <c r="T211" s="646"/>
      <c r="U211" s="646"/>
      <c r="V211" s="646"/>
      <c r="W211" s="646"/>
      <c r="X211" s="646"/>
      <c r="Y211" s="646"/>
      <c r="Z211" s="646"/>
    </row>
    <row r="212">
      <c r="A212" s="687"/>
      <c r="B212" s="646"/>
      <c r="C212" s="646"/>
      <c r="D212" s="646"/>
      <c r="E212" s="646"/>
      <c r="F212" s="646"/>
      <c r="G212" s="646"/>
      <c r="H212" s="646"/>
      <c r="I212" s="646"/>
      <c r="J212" s="646"/>
      <c r="K212" s="646"/>
      <c r="L212" s="646"/>
      <c r="M212" s="646"/>
      <c r="N212" s="646"/>
      <c r="O212" s="646"/>
      <c r="P212" s="646"/>
      <c r="Q212" s="646"/>
      <c r="R212" s="646"/>
      <c r="S212" s="646"/>
      <c r="T212" s="646"/>
      <c r="U212" s="646"/>
      <c r="V212" s="646"/>
      <c r="W212" s="646"/>
      <c r="X212" s="646"/>
      <c r="Y212" s="646"/>
      <c r="Z212" s="646"/>
    </row>
    <row r="213">
      <c r="A213" s="687"/>
      <c r="B213" s="646"/>
      <c r="C213" s="646"/>
      <c r="D213" s="646"/>
      <c r="E213" s="646"/>
      <c r="F213" s="646"/>
      <c r="G213" s="646"/>
      <c r="H213" s="646"/>
      <c r="I213" s="646"/>
      <c r="J213" s="646"/>
      <c r="K213" s="646"/>
      <c r="L213" s="646"/>
      <c r="M213" s="646"/>
      <c r="N213" s="646"/>
      <c r="O213" s="646"/>
      <c r="P213" s="646"/>
      <c r="Q213" s="646"/>
      <c r="R213" s="646"/>
      <c r="S213" s="646"/>
      <c r="T213" s="646"/>
      <c r="U213" s="646"/>
      <c r="V213" s="646"/>
      <c r="W213" s="646"/>
      <c r="X213" s="646"/>
      <c r="Y213" s="646"/>
      <c r="Z213" s="646"/>
    </row>
    <row r="214">
      <c r="A214" s="687"/>
      <c r="B214" s="646"/>
      <c r="C214" s="646"/>
      <c r="D214" s="646"/>
      <c r="E214" s="646"/>
      <c r="F214" s="646"/>
      <c r="G214" s="646"/>
      <c r="H214" s="646"/>
      <c r="I214" s="646"/>
      <c r="J214" s="646"/>
      <c r="K214" s="646"/>
      <c r="L214" s="646"/>
      <c r="M214" s="646"/>
      <c r="N214" s="646"/>
      <c r="O214" s="646"/>
      <c r="P214" s="646"/>
      <c r="Q214" s="646"/>
      <c r="R214" s="646"/>
      <c r="S214" s="646"/>
      <c r="T214" s="646"/>
      <c r="U214" s="646"/>
      <c r="V214" s="646"/>
      <c r="W214" s="646"/>
      <c r="X214" s="646"/>
      <c r="Y214" s="646"/>
      <c r="Z214" s="646"/>
    </row>
    <row r="215">
      <c r="A215" s="687"/>
      <c r="B215" s="646"/>
      <c r="C215" s="646"/>
      <c r="D215" s="646"/>
      <c r="E215" s="646"/>
      <c r="F215" s="646"/>
      <c r="G215" s="646"/>
      <c r="H215" s="646"/>
      <c r="I215" s="646"/>
      <c r="J215" s="646"/>
      <c r="K215" s="646"/>
      <c r="L215" s="646"/>
      <c r="M215" s="646"/>
      <c r="N215" s="646"/>
      <c r="O215" s="646"/>
      <c r="P215" s="646"/>
      <c r="Q215" s="646"/>
      <c r="R215" s="646"/>
      <c r="S215" s="646"/>
      <c r="T215" s="646"/>
      <c r="U215" s="646"/>
      <c r="V215" s="646"/>
      <c r="W215" s="646"/>
      <c r="X215" s="646"/>
      <c r="Y215" s="646"/>
      <c r="Z215" s="646"/>
    </row>
    <row r="216">
      <c r="A216" s="687"/>
      <c r="B216" s="646"/>
      <c r="C216" s="646"/>
      <c r="D216" s="646"/>
      <c r="E216" s="646"/>
      <c r="F216" s="646"/>
      <c r="G216" s="646"/>
      <c r="H216" s="646"/>
      <c r="I216" s="646"/>
      <c r="J216" s="646"/>
      <c r="K216" s="646"/>
      <c r="L216" s="646"/>
      <c r="M216" s="646"/>
      <c r="N216" s="646"/>
      <c r="O216" s="646"/>
      <c r="P216" s="646"/>
      <c r="Q216" s="646"/>
      <c r="R216" s="646"/>
      <c r="S216" s="646"/>
      <c r="T216" s="646"/>
      <c r="U216" s="646"/>
      <c r="V216" s="646"/>
      <c r="W216" s="646"/>
      <c r="X216" s="646"/>
      <c r="Y216" s="646"/>
      <c r="Z216" s="646"/>
    </row>
    <row r="217">
      <c r="A217" s="687"/>
      <c r="B217" s="646"/>
      <c r="C217" s="646"/>
      <c r="D217" s="646"/>
      <c r="E217" s="646"/>
      <c r="F217" s="646"/>
      <c r="G217" s="646"/>
      <c r="H217" s="646"/>
      <c r="I217" s="646"/>
      <c r="J217" s="646"/>
      <c r="K217" s="646"/>
      <c r="L217" s="646"/>
      <c r="M217" s="646"/>
      <c r="N217" s="646"/>
      <c r="O217" s="646"/>
      <c r="P217" s="646"/>
      <c r="Q217" s="646"/>
      <c r="R217" s="646"/>
      <c r="S217" s="646"/>
      <c r="T217" s="646"/>
      <c r="U217" s="646"/>
      <c r="V217" s="646"/>
      <c r="W217" s="646"/>
      <c r="X217" s="646"/>
      <c r="Y217" s="646"/>
      <c r="Z217" s="646"/>
    </row>
    <row r="218">
      <c r="A218" s="687"/>
      <c r="B218" s="646"/>
      <c r="C218" s="646"/>
      <c r="D218" s="646"/>
      <c r="E218" s="646"/>
      <c r="F218" s="646"/>
      <c r="G218" s="646"/>
      <c r="H218" s="646"/>
      <c r="I218" s="646"/>
      <c r="J218" s="646"/>
      <c r="K218" s="646"/>
      <c r="L218" s="646"/>
      <c r="M218" s="646"/>
      <c r="N218" s="646"/>
      <c r="O218" s="646"/>
      <c r="P218" s="646"/>
      <c r="Q218" s="646"/>
      <c r="R218" s="646"/>
      <c r="S218" s="646"/>
      <c r="T218" s="646"/>
      <c r="U218" s="646"/>
      <c r="V218" s="646"/>
      <c r="W218" s="646"/>
      <c r="X218" s="646"/>
      <c r="Y218" s="646"/>
      <c r="Z218" s="646"/>
    </row>
    <row r="219">
      <c r="A219" s="687"/>
      <c r="B219" s="646"/>
      <c r="C219" s="646"/>
      <c r="D219" s="646"/>
      <c r="E219" s="646"/>
      <c r="F219" s="646"/>
      <c r="G219" s="646"/>
      <c r="H219" s="646"/>
      <c r="I219" s="646"/>
      <c r="J219" s="646"/>
      <c r="K219" s="646"/>
      <c r="L219" s="646"/>
      <c r="M219" s="646"/>
      <c r="N219" s="646"/>
      <c r="O219" s="646"/>
      <c r="P219" s="646"/>
      <c r="Q219" s="646"/>
      <c r="R219" s="646"/>
      <c r="S219" s="646"/>
      <c r="T219" s="646"/>
      <c r="U219" s="646"/>
      <c r="V219" s="646"/>
      <c r="W219" s="646"/>
      <c r="X219" s="646"/>
      <c r="Y219" s="646"/>
      <c r="Z219" s="646"/>
    </row>
    <row r="220">
      <c r="A220" s="687"/>
      <c r="B220" s="646"/>
      <c r="C220" s="646"/>
      <c r="D220" s="646"/>
      <c r="E220" s="646"/>
      <c r="F220" s="646"/>
      <c r="G220" s="646"/>
      <c r="H220" s="646"/>
      <c r="I220" s="646"/>
      <c r="J220" s="646"/>
      <c r="K220" s="646"/>
      <c r="L220" s="646"/>
      <c r="M220" s="646"/>
      <c r="N220" s="646"/>
      <c r="O220" s="646"/>
      <c r="P220" s="646"/>
      <c r="Q220" s="646"/>
      <c r="R220" s="646"/>
      <c r="S220" s="646"/>
      <c r="T220" s="646"/>
      <c r="U220" s="646"/>
      <c r="V220" s="646"/>
      <c r="W220" s="646"/>
      <c r="X220" s="646"/>
      <c r="Y220" s="646"/>
      <c r="Z220" s="646"/>
    </row>
    <row r="221">
      <c r="A221" s="687"/>
      <c r="B221" s="646"/>
      <c r="C221" s="646"/>
      <c r="D221" s="646"/>
      <c r="E221" s="646"/>
      <c r="F221" s="646"/>
      <c r="G221" s="646"/>
      <c r="H221" s="646"/>
      <c r="I221" s="646"/>
      <c r="J221" s="646"/>
      <c r="K221" s="646"/>
      <c r="L221" s="646"/>
      <c r="M221" s="646"/>
      <c r="N221" s="646"/>
      <c r="O221" s="646"/>
      <c r="P221" s="646"/>
      <c r="Q221" s="646"/>
      <c r="R221" s="646"/>
      <c r="S221" s="646"/>
      <c r="T221" s="646"/>
      <c r="U221" s="646"/>
      <c r="V221" s="646"/>
      <c r="W221" s="646"/>
      <c r="X221" s="646"/>
      <c r="Y221" s="646"/>
      <c r="Z221" s="646"/>
    </row>
    <row r="222">
      <c r="A222" s="687"/>
      <c r="B222" s="646"/>
      <c r="C222" s="646"/>
      <c r="D222" s="646"/>
      <c r="E222" s="646"/>
      <c r="F222" s="646"/>
      <c r="G222" s="646"/>
      <c r="H222" s="646"/>
      <c r="I222" s="646"/>
      <c r="J222" s="646"/>
      <c r="K222" s="646"/>
      <c r="L222" s="646"/>
      <c r="M222" s="646"/>
      <c r="N222" s="646"/>
      <c r="O222" s="646"/>
      <c r="P222" s="646"/>
      <c r="Q222" s="646"/>
      <c r="R222" s="646"/>
      <c r="S222" s="646"/>
      <c r="T222" s="646"/>
      <c r="U222" s="646"/>
      <c r="V222" s="646"/>
      <c r="W222" s="646"/>
      <c r="X222" s="646"/>
      <c r="Y222" s="646"/>
      <c r="Z222" s="646"/>
    </row>
    <row r="223">
      <c r="A223" s="687"/>
      <c r="B223" s="646"/>
      <c r="C223" s="646"/>
      <c r="D223" s="646"/>
      <c r="E223" s="646"/>
      <c r="F223" s="646"/>
      <c r="G223" s="646"/>
      <c r="H223" s="646"/>
      <c r="I223" s="646"/>
      <c r="J223" s="646"/>
      <c r="K223" s="646"/>
      <c r="L223" s="646"/>
      <c r="M223" s="646"/>
      <c r="N223" s="646"/>
      <c r="O223" s="646"/>
      <c r="P223" s="646"/>
      <c r="Q223" s="646"/>
      <c r="R223" s="646"/>
      <c r="S223" s="646"/>
      <c r="T223" s="646"/>
      <c r="U223" s="646"/>
      <c r="V223" s="646"/>
      <c r="W223" s="646"/>
      <c r="X223" s="646"/>
      <c r="Y223" s="646"/>
      <c r="Z223" s="646"/>
    </row>
    <row r="224">
      <c r="A224" s="687"/>
      <c r="B224" s="646"/>
      <c r="C224" s="646"/>
      <c r="D224" s="646"/>
      <c r="E224" s="646"/>
      <c r="F224" s="646"/>
      <c r="G224" s="646"/>
      <c r="H224" s="646"/>
      <c r="I224" s="646"/>
      <c r="J224" s="646"/>
      <c r="K224" s="646"/>
      <c r="L224" s="646"/>
      <c r="M224" s="646"/>
      <c r="N224" s="646"/>
      <c r="O224" s="646"/>
      <c r="P224" s="646"/>
      <c r="Q224" s="646"/>
      <c r="R224" s="646"/>
      <c r="S224" s="646"/>
      <c r="T224" s="646"/>
      <c r="U224" s="646"/>
      <c r="V224" s="646"/>
      <c r="W224" s="646"/>
      <c r="X224" s="646"/>
      <c r="Y224" s="646"/>
      <c r="Z224" s="646"/>
    </row>
    <row r="225">
      <c r="A225" s="687"/>
      <c r="B225" s="646"/>
      <c r="C225" s="646"/>
      <c r="D225" s="646"/>
      <c r="E225" s="646"/>
      <c r="F225" s="646"/>
      <c r="G225" s="646"/>
      <c r="H225" s="646"/>
      <c r="I225" s="646"/>
      <c r="J225" s="646"/>
      <c r="K225" s="646"/>
      <c r="L225" s="646"/>
      <c r="M225" s="646"/>
      <c r="N225" s="646"/>
      <c r="O225" s="646"/>
      <c r="P225" s="646"/>
      <c r="Q225" s="646"/>
      <c r="R225" s="646"/>
      <c r="S225" s="646"/>
      <c r="T225" s="646"/>
      <c r="U225" s="646"/>
      <c r="V225" s="646"/>
      <c r="W225" s="646"/>
      <c r="X225" s="646"/>
      <c r="Y225" s="646"/>
      <c r="Z225" s="646"/>
    </row>
    <row r="226">
      <c r="A226" s="687"/>
      <c r="B226" s="646"/>
      <c r="C226" s="646"/>
      <c r="D226" s="646"/>
      <c r="E226" s="646"/>
      <c r="F226" s="646"/>
      <c r="G226" s="646"/>
      <c r="H226" s="646"/>
      <c r="I226" s="646"/>
      <c r="J226" s="646"/>
      <c r="K226" s="646"/>
      <c r="L226" s="646"/>
      <c r="M226" s="646"/>
      <c r="N226" s="646"/>
      <c r="O226" s="646"/>
      <c r="P226" s="646"/>
      <c r="Q226" s="646"/>
      <c r="R226" s="646"/>
      <c r="S226" s="646"/>
      <c r="T226" s="646"/>
      <c r="U226" s="646"/>
      <c r="V226" s="646"/>
      <c r="W226" s="646"/>
      <c r="X226" s="646"/>
      <c r="Y226" s="646"/>
      <c r="Z226" s="646"/>
    </row>
    <row r="227">
      <c r="A227" s="687"/>
      <c r="B227" s="646"/>
      <c r="C227" s="646"/>
      <c r="D227" s="646"/>
      <c r="E227" s="646"/>
      <c r="F227" s="646"/>
      <c r="G227" s="646"/>
      <c r="H227" s="646"/>
      <c r="I227" s="646"/>
      <c r="J227" s="646"/>
      <c r="K227" s="646"/>
      <c r="L227" s="646"/>
      <c r="M227" s="646"/>
      <c r="N227" s="646"/>
      <c r="O227" s="646"/>
      <c r="P227" s="646"/>
      <c r="Q227" s="646"/>
      <c r="R227" s="646"/>
      <c r="S227" s="646"/>
      <c r="T227" s="646"/>
      <c r="U227" s="646"/>
      <c r="V227" s="646"/>
      <c r="W227" s="646"/>
      <c r="X227" s="646"/>
      <c r="Y227" s="646"/>
      <c r="Z227" s="646"/>
    </row>
    <row r="228">
      <c r="A228" s="687"/>
      <c r="B228" s="646"/>
      <c r="C228" s="646"/>
      <c r="D228" s="646"/>
      <c r="E228" s="646"/>
      <c r="F228" s="646"/>
      <c r="G228" s="646"/>
      <c r="H228" s="646"/>
      <c r="I228" s="646"/>
      <c r="J228" s="646"/>
      <c r="K228" s="646"/>
      <c r="L228" s="646"/>
      <c r="M228" s="646"/>
      <c r="N228" s="646"/>
      <c r="O228" s="646"/>
      <c r="P228" s="646"/>
      <c r="Q228" s="646"/>
      <c r="R228" s="646"/>
      <c r="S228" s="646"/>
      <c r="T228" s="646"/>
      <c r="U228" s="646"/>
      <c r="V228" s="646"/>
      <c r="W228" s="646"/>
      <c r="X228" s="646"/>
      <c r="Y228" s="646"/>
      <c r="Z228" s="646"/>
    </row>
    <row r="229">
      <c r="A229" s="687"/>
      <c r="B229" s="646"/>
      <c r="C229" s="646"/>
      <c r="D229" s="646"/>
      <c r="E229" s="646"/>
      <c r="F229" s="646"/>
      <c r="G229" s="646"/>
      <c r="H229" s="646"/>
      <c r="I229" s="646"/>
      <c r="J229" s="646"/>
      <c r="K229" s="646"/>
      <c r="L229" s="646"/>
      <c r="M229" s="646"/>
      <c r="N229" s="646"/>
      <c r="O229" s="646"/>
      <c r="P229" s="646"/>
      <c r="Q229" s="646"/>
      <c r="R229" s="646"/>
      <c r="S229" s="646"/>
      <c r="T229" s="646"/>
      <c r="U229" s="646"/>
      <c r="V229" s="646"/>
      <c r="W229" s="646"/>
      <c r="X229" s="646"/>
      <c r="Y229" s="646"/>
      <c r="Z229" s="646"/>
    </row>
    <row r="230">
      <c r="A230" s="687"/>
      <c r="B230" s="646"/>
      <c r="C230" s="646"/>
      <c r="D230" s="646"/>
      <c r="E230" s="646"/>
      <c r="F230" s="646"/>
      <c r="G230" s="646"/>
      <c r="H230" s="646"/>
      <c r="I230" s="646"/>
      <c r="J230" s="646"/>
      <c r="K230" s="646"/>
      <c r="L230" s="646"/>
      <c r="M230" s="646"/>
      <c r="N230" s="646"/>
      <c r="O230" s="646"/>
      <c r="P230" s="646"/>
      <c r="Q230" s="646"/>
      <c r="R230" s="646"/>
      <c r="S230" s="646"/>
      <c r="T230" s="646"/>
      <c r="U230" s="646"/>
      <c r="V230" s="646"/>
      <c r="W230" s="646"/>
      <c r="X230" s="646"/>
      <c r="Y230" s="646"/>
      <c r="Z230" s="646"/>
    </row>
    <row r="231">
      <c r="A231" s="687"/>
      <c r="B231" s="646"/>
      <c r="C231" s="646"/>
      <c r="D231" s="646"/>
      <c r="E231" s="646"/>
      <c r="F231" s="646"/>
      <c r="G231" s="646"/>
      <c r="H231" s="646"/>
      <c r="I231" s="646"/>
      <c r="J231" s="646"/>
      <c r="K231" s="646"/>
      <c r="L231" s="646"/>
      <c r="M231" s="646"/>
      <c r="N231" s="646"/>
      <c r="O231" s="646"/>
      <c r="P231" s="646"/>
      <c r="Q231" s="646"/>
      <c r="R231" s="646"/>
      <c r="S231" s="646"/>
      <c r="T231" s="646"/>
      <c r="U231" s="646"/>
      <c r="V231" s="646"/>
      <c r="W231" s="646"/>
      <c r="X231" s="646"/>
      <c r="Y231" s="646"/>
      <c r="Z231" s="646"/>
    </row>
    <row r="232">
      <c r="A232" s="687"/>
      <c r="B232" s="646"/>
      <c r="C232" s="646"/>
      <c r="D232" s="646"/>
      <c r="E232" s="646"/>
      <c r="F232" s="646"/>
      <c r="G232" s="646"/>
      <c r="H232" s="646"/>
      <c r="I232" s="646"/>
      <c r="J232" s="646"/>
      <c r="K232" s="646"/>
      <c r="L232" s="646"/>
      <c r="M232" s="646"/>
      <c r="N232" s="646"/>
      <c r="O232" s="646"/>
      <c r="P232" s="646"/>
      <c r="Q232" s="646"/>
      <c r="R232" s="646"/>
      <c r="S232" s="646"/>
      <c r="T232" s="646"/>
      <c r="U232" s="646"/>
      <c r="V232" s="646"/>
      <c r="W232" s="646"/>
      <c r="X232" s="646"/>
      <c r="Y232" s="646"/>
      <c r="Z232" s="646"/>
    </row>
    <row r="233">
      <c r="A233" s="687"/>
      <c r="B233" s="646"/>
      <c r="C233" s="646"/>
      <c r="D233" s="646"/>
      <c r="E233" s="646"/>
      <c r="F233" s="646"/>
      <c r="G233" s="646"/>
      <c r="H233" s="646"/>
      <c r="I233" s="646"/>
      <c r="J233" s="646"/>
      <c r="K233" s="646"/>
      <c r="L233" s="646"/>
      <c r="M233" s="646"/>
      <c r="N233" s="646"/>
      <c r="O233" s="646"/>
      <c r="P233" s="646"/>
      <c r="Q233" s="646"/>
      <c r="R233" s="646"/>
      <c r="S233" s="646"/>
      <c r="T233" s="646"/>
      <c r="U233" s="646"/>
      <c r="V233" s="646"/>
      <c r="W233" s="646"/>
      <c r="X233" s="646"/>
      <c r="Y233" s="646"/>
      <c r="Z233" s="646"/>
    </row>
    <row r="234">
      <c r="A234" s="687"/>
      <c r="B234" s="646"/>
      <c r="C234" s="646"/>
      <c r="D234" s="646"/>
      <c r="E234" s="646"/>
      <c r="F234" s="646"/>
      <c r="G234" s="646"/>
      <c r="H234" s="646"/>
      <c r="I234" s="646"/>
      <c r="J234" s="646"/>
      <c r="K234" s="646"/>
      <c r="L234" s="646"/>
      <c r="M234" s="646"/>
      <c r="N234" s="646"/>
      <c r="O234" s="646"/>
      <c r="P234" s="646"/>
      <c r="Q234" s="646"/>
      <c r="R234" s="646"/>
      <c r="S234" s="646"/>
      <c r="T234" s="646"/>
      <c r="U234" s="646"/>
      <c r="V234" s="646"/>
      <c r="W234" s="646"/>
      <c r="X234" s="646"/>
      <c r="Y234" s="646"/>
      <c r="Z234" s="646"/>
    </row>
    <row r="235">
      <c r="A235" s="687"/>
      <c r="B235" s="646"/>
      <c r="C235" s="646"/>
      <c r="D235" s="646"/>
      <c r="E235" s="646"/>
      <c r="F235" s="646"/>
      <c r="G235" s="646"/>
      <c r="H235" s="646"/>
      <c r="I235" s="646"/>
      <c r="J235" s="646"/>
      <c r="K235" s="646"/>
      <c r="L235" s="646"/>
      <c r="M235" s="646"/>
      <c r="N235" s="646"/>
      <c r="O235" s="646"/>
      <c r="P235" s="646"/>
      <c r="Q235" s="646"/>
      <c r="R235" s="646"/>
      <c r="S235" s="646"/>
      <c r="T235" s="646"/>
      <c r="U235" s="646"/>
      <c r="V235" s="646"/>
      <c r="W235" s="646"/>
      <c r="X235" s="646"/>
      <c r="Y235" s="646"/>
      <c r="Z235" s="646"/>
    </row>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sheetData>
  <mergeCells count="9">
    <mergeCell ref="A21:A22"/>
    <mergeCell ref="B21:I22"/>
    <mergeCell ref="A11:A13"/>
    <mergeCell ref="G11:H11"/>
    <mergeCell ref="C12:D12"/>
    <mergeCell ref="C13:I13"/>
    <mergeCell ref="B15:I15"/>
    <mergeCell ref="G17:H17"/>
    <mergeCell ref="D19:G19"/>
  </mergeCells>
  <printOptions gridLines="1" horizontalCentered="1"/>
  <pageMargins bottom="0.75" footer="0.0" header="0.0" left="0.7" right="0.7" top="0.75"/>
  <pageSetup paperSize="9" scale="50" cellComments="atEnd" orientation="landscape"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26.2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689">
        <v>44984.0</v>
      </c>
      <c r="B2" s="19">
        <v>1.0</v>
      </c>
      <c r="C2" s="20" t="s">
        <v>12</v>
      </c>
      <c r="D2" s="20" t="s">
        <v>13</v>
      </c>
      <c r="E2" s="21" t="s">
        <v>8360</v>
      </c>
      <c r="F2" s="22"/>
      <c r="G2" s="23" t="s">
        <v>8361</v>
      </c>
      <c r="H2" s="24"/>
      <c r="I2" s="25"/>
      <c r="J2" s="21" t="s">
        <v>8362</v>
      </c>
      <c r="K2" s="24"/>
      <c r="L2" s="24"/>
      <c r="M2" s="25"/>
      <c r="N2" s="21" t="s">
        <v>8363</v>
      </c>
      <c r="O2" s="25"/>
      <c r="P2" s="21" t="s">
        <v>8364</v>
      </c>
      <c r="Q2" s="25"/>
      <c r="R2" s="21" t="s">
        <v>8365</v>
      </c>
      <c r="S2" s="25"/>
      <c r="T2" s="21" t="s">
        <v>8366</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8367</v>
      </c>
      <c r="F3" s="34" t="s">
        <v>8368</v>
      </c>
      <c r="G3" s="35" t="s">
        <v>25</v>
      </c>
      <c r="H3" s="36"/>
      <c r="I3" s="13"/>
      <c r="J3" s="37" t="s">
        <v>8369</v>
      </c>
      <c r="K3" s="13"/>
      <c r="L3" s="38" t="s">
        <v>8370</v>
      </c>
      <c r="M3" s="13"/>
      <c r="N3" s="37" t="s">
        <v>8371</v>
      </c>
      <c r="O3" s="13"/>
      <c r="P3" s="37" t="s">
        <v>8372</v>
      </c>
      <c r="Q3" s="13"/>
      <c r="R3" s="39" t="s">
        <v>8373</v>
      </c>
      <c r="S3" s="40" t="s">
        <v>8374</v>
      </c>
      <c r="T3" s="37" t="s">
        <v>8375</v>
      </c>
      <c r="U3" s="36"/>
      <c r="V3" s="41"/>
      <c r="W3" s="26"/>
      <c r="X3" s="42" t="s">
        <v>21</v>
      </c>
      <c r="Y3" s="42" t="s">
        <v>22</v>
      </c>
      <c r="Z3" s="28"/>
      <c r="AA3" s="14"/>
      <c r="AB3" s="15" t="str">
        <f>IFERROR(__xludf.DUMMYFUNCTION("join("","",filter(split($H$83,"",""),ARRAYFORMULA(ISERROR(FIND(split($H$83,"",""),CONCATENATE(E3:V3))))=TRUE))"),"201,206,403,404,405,406,410,АЗ")</f>
        <v>201,206,403,404,405,406,410,АЗ</v>
      </c>
      <c r="AC3" s="14"/>
      <c r="AD3" s="14"/>
      <c r="AE3" s="14"/>
      <c r="AF3" s="29"/>
      <c r="AG3" s="29"/>
      <c r="AH3" s="29"/>
    </row>
    <row r="4" ht="40.5" hidden="1" customHeight="1">
      <c r="A4" s="30"/>
      <c r="B4" s="31">
        <v>3.0</v>
      </c>
      <c r="C4" s="32" t="s">
        <v>33</v>
      </c>
      <c r="D4" s="32" t="s">
        <v>34</v>
      </c>
      <c r="E4" s="33" t="s">
        <v>8376</v>
      </c>
      <c r="F4" s="39" t="s">
        <v>8377</v>
      </c>
      <c r="G4" s="43" t="s">
        <v>8378</v>
      </c>
      <c r="H4" s="44" t="s">
        <v>8379</v>
      </c>
      <c r="I4" s="45" t="s">
        <v>8380</v>
      </c>
      <c r="J4" s="46" t="s">
        <v>8381</v>
      </c>
      <c r="K4" s="13"/>
      <c r="L4" s="45" t="s">
        <v>8382</v>
      </c>
      <c r="M4" s="13"/>
      <c r="N4" s="37" t="s">
        <v>8383</v>
      </c>
      <c r="O4" s="13"/>
      <c r="P4" s="37" t="s">
        <v>8384</v>
      </c>
      <c r="Q4" s="13"/>
      <c r="R4" s="39" t="s">
        <v>8385</v>
      </c>
      <c r="S4" s="40" t="s">
        <v>8386</v>
      </c>
      <c r="T4" s="37" t="s">
        <v>8387</v>
      </c>
      <c r="U4" s="36"/>
      <c r="V4" s="41"/>
      <c r="W4" s="26"/>
      <c r="X4" s="42" t="s">
        <v>33</v>
      </c>
      <c r="Y4" s="42" t="s">
        <v>34</v>
      </c>
      <c r="Z4" s="48" t="s">
        <v>47</v>
      </c>
      <c r="AA4" s="14"/>
      <c r="AB4" s="15" t="str">
        <f>IFERROR(__xludf.DUMMYFUNCTION("join("","",filter(split($H$83,"",""),ARRAYFORMULA(ISERROR(FIND(split($H$83,"",""),CONCATENATE(E4:V4))))=TRUE))"),"КЗ,201,202,206,404,406,АЗ")</f>
        <v>КЗ,201,202,206,404,406,АЗ</v>
      </c>
      <c r="AC4" s="14"/>
      <c r="AD4" s="14"/>
      <c r="AE4" s="14"/>
      <c r="AF4" s="29"/>
      <c r="AG4" s="29"/>
      <c r="AH4" s="29"/>
    </row>
    <row r="5" ht="40.5" hidden="1" customHeight="1">
      <c r="A5" s="30"/>
      <c r="B5" s="31">
        <v>4.0</v>
      </c>
      <c r="C5" s="32" t="s">
        <v>48</v>
      </c>
      <c r="D5" s="32" t="s">
        <v>49</v>
      </c>
      <c r="E5" s="33" t="s">
        <v>8388</v>
      </c>
      <c r="F5" s="39" t="s">
        <v>8389</v>
      </c>
      <c r="G5" s="43" t="s">
        <v>8390</v>
      </c>
      <c r="H5" s="45" t="s">
        <v>8391</v>
      </c>
      <c r="I5" s="13"/>
      <c r="J5" s="33" t="s">
        <v>8392</v>
      </c>
      <c r="K5" s="44" t="s">
        <v>8393</v>
      </c>
      <c r="L5" s="44" t="s">
        <v>8394</v>
      </c>
      <c r="M5" s="45" t="s">
        <v>8395</v>
      </c>
      <c r="N5" s="37" t="s">
        <v>8396</v>
      </c>
      <c r="O5" s="13"/>
      <c r="P5" s="37" t="s">
        <v>8397</v>
      </c>
      <c r="Q5" s="13"/>
      <c r="R5" s="51" t="s">
        <v>8398</v>
      </c>
      <c r="S5" s="13"/>
      <c r="T5" s="52" t="s">
        <v>8399</v>
      </c>
      <c r="U5" s="36"/>
      <c r="V5" s="41"/>
      <c r="W5" s="26"/>
      <c r="X5" s="42" t="s">
        <v>48</v>
      </c>
      <c r="Y5" s="42" t="s">
        <v>49</v>
      </c>
      <c r="Z5" s="48" t="s">
        <v>57</v>
      </c>
      <c r="AA5" s="14"/>
      <c r="AB5" s="15" t="str">
        <f>IFERROR(__xludf.DUMMYFUNCTION("join("","",filter(split($H$83,"",""),ARRAYFORMULA(ISERROR(FIND(split($H$83,"",""),CONCATENATE(E5:V5))))=TRUE))"),"СЗ,КЗ,202,206,403,406")</f>
        <v>СЗ,КЗ,202,206,403,406</v>
      </c>
      <c r="AC5" s="14"/>
      <c r="AD5" s="14"/>
      <c r="AE5" s="14"/>
      <c r="AF5" s="29"/>
      <c r="AG5" s="29"/>
      <c r="AH5" s="29"/>
    </row>
    <row r="6" ht="40.5" hidden="1" customHeight="1">
      <c r="A6" s="30"/>
      <c r="B6" s="31">
        <v>5.0</v>
      </c>
      <c r="C6" s="32" t="s">
        <v>58</v>
      </c>
      <c r="D6" s="53">
        <v>44847.0</v>
      </c>
      <c r="E6" s="39" t="s">
        <v>8400</v>
      </c>
      <c r="F6" s="34" t="s">
        <v>8401</v>
      </c>
      <c r="G6" s="43" t="s">
        <v>8402</v>
      </c>
      <c r="H6" s="45" t="s">
        <v>8403</v>
      </c>
      <c r="I6" s="13"/>
      <c r="J6" s="33" t="s">
        <v>8404</v>
      </c>
      <c r="K6" s="44" t="s">
        <v>64</v>
      </c>
      <c r="L6" s="44" t="s">
        <v>8405</v>
      </c>
      <c r="M6" s="45" t="s">
        <v>8406</v>
      </c>
      <c r="N6" s="37" t="s">
        <v>8407</v>
      </c>
      <c r="O6" s="13"/>
      <c r="P6" s="37" t="s">
        <v>8408</v>
      </c>
      <c r="Q6" s="13"/>
      <c r="R6" s="51" t="s">
        <v>8409</v>
      </c>
      <c r="S6" s="13"/>
      <c r="T6" s="52" t="s">
        <v>8410</v>
      </c>
      <c r="U6" s="36"/>
      <c r="V6" s="41"/>
      <c r="W6" s="26"/>
      <c r="X6" s="42" t="s">
        <v>58</v>
      </c>
      <c r="Y6" s="54">
        <v>44847.0</v>
      </c>
      <c r="Z6" s="48" t="s">
        <v>70</v>
      </c>
      <c r="AA6" s="14"/>
      <c r="AB6" s="15" t="str">
        <f>IFERROR(__xludf.DUMMYFUNCTION("join("","",filter(split($H$83,"",""),ARRAYFORMULA(ISERROR(FIND(split($H$83,"",""),CONCATENATE(E6:V6))))=TRUE))"),"СЗ,КЗ,202,206,403,406")</f>
        <v>СЗ,КЗ,202,206,403,406</v>
      </c>
      <c r="AC6" s="14"/>
      <c r="AD6" s="14"/>
      <c r="AE6" s="14"/>
      <c r="AF6" s="29"/>
      <c r="AG6" s="29"/>
      <c r="AH6" s="29"/>
    </row>
    <row r="7" ht="42.0" hidden="1" customHeight="1">
      <c r="A7" s="30"/>
      <c r="B7" s="31">
        <v>6.0</v>
      </c>
      <c r="C7" s="55" t="s">
        <v>71</v>
      </c>
      <c r="D7" s="56" t="s">
        <v>72</v>
      </c>
      <c r="E7" s="39" t="s">
        <v>8411</v>
      </c>
      <c r="F7" s="34" t="s">
        <v>8412</v>
      </c>
      <c r="G7" s="43" t="s">
        <v>8413</v>
      </c>
      <c r="H7" s="45" t="s">
        <v>8414</v>
      </c>
      <c r="I7" s="13"/>
      <c r="J7" s="37" t="s">
        <v>8415</v>
      </c>
      <c r="K7" s="13"/>
      <c r="L7" s="45" t="s">
        <v>8416</v>
      </c>
      <c r="M7" s="13"/>
      <c r="N7" s="37" t="s">
        <v>8417</v>
      </c>
      <c r="O7" s="13"/>
      <c r="P7" s="37" t="s">
        <v>8418</v>
      </c>
      <c r="Q7" s="13"/>
      <c r="R7" s="37" t="s">
        <v>8419</v>
      </c>
      <c r="S7" s="13"/>
      <c r="T7" s="33" t="s">
        <v>8420</v>
      </c>
      <c r="U7" s="45" t="s">
        <v>8421</v>
      </c>
      <c r="V7" s="41"/>
      <c r="W7" s="26"/>
      <c r="X7" s="58" t="s">
        <v>71</v>
      </c>
      <c r="Y7" s="59" t="s">
        <v>72</v>
      </c>
      <c r="Z7" s="48" t="s">
        <v>84</v>
      </c>
      <c r="AA7" s="14"/>
      <c r="AB7" s="15" t="str">
        <f>IFERROR(__xludf.DUMMYFUNCTION("join("","",filter(split($H$83,"",""),ARRAYFORMULA(ISERROR(FIND(split($H$83,"",""),CONCATENATE(E7:V7))))=TRUE))"),"КЗ,202,206,403,406,409,АЗ")</f>
        <v>КЗ,202,206,403,406,409,АЗ</v>
      </c>
      <c r="AC7" s="14"/>
      <c r="AD7" s="14"/>
      <c r="AE7" s="14"/>
      <c r="AF7" s="29"/>
      <c r="AG7" s="29"/>
      <c r="AH7" s="29"/>
    </row>
    <row r="8" ht="42.0" hidden="1" customHeight="1">
      <c r="A8" s="30"/>
      <c r="B8" s="31">
        <v>7.0</v>
      </c>
      <c r="C8" s="32" t="s">
        <v>85</v>
      </c>
      <c r="D8" s="32" t="s">
        <v>86</v>
      </c>
      <c r="E8" s="318" t="s">
        <v>8422</v>
      </c>
      <c r="F8" s="319" t="s">
        <v>8423</v>
      </c>
      <c r="G8" s="43" t="s">
        <v>8424</v>
      </c>
      <c r="H8" s="45" t="s">
        <v>8425</v>
      </c>
      <c r="I8" s="13"/>
      <c r="J8" s="37" t="s">
        <v>8426</v>
      </c>
      <c r="K8" s="13"/>
      <c r="L8" s="45" t="s">
        <v>8427</v>
      </c>
      <c r="M8" s="13"/>
      <c r="N8" s="37" t="s">
        <v>8428</v>
      </c>
      <c r="O8" s="13"/>
      <c r="P8" s="37" t="s">
        <v>8429</v>
      </c>
      <c r="Q8" s="13"/>
      <c r="R8" s="37" t="s">
        <v>8430</v>
      </c>
      <c r="S8" s="13"/>
      <c r="T8" s="43" t="s">
        <v>8431</v>
      </c>
      <c r="U8" s="45" t="s">
        <v>8432</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hidden="1" customHeight="1">
      <c r="A9" s="30"/>
      <c r="B9" s="31">
        <v>8.0</v>
      </c>
      <c r="C9" s="32" t="s">
        <v>98</v>
      </c>
      <c r="D9" s="32" t="s">
        <v>99</v>
      </c>
      <c r="E9" s="320" t="s">
        <v>8433</v>
      </c>
      <c r="F9" s="276" t="s">
        <v>8434</v>
      </c>
      <c r="G9" s="43" t="s">
        <v>8435</v>
      </c>
      <c r="H9" s="45" t="s">
        <v>8436</v>
      </c>
      <c r="I9" s="13"/>
      <c r="J9" s="37" t="s">
        <v>8437</v>
      </c>
      <c r="K9" s="13"/>
      <c r="L9" s="45" t="s">
        <v>8438</v>
      </c>
      <c r="M9" s="13"/>
      <c r="N9" s="61" t="s">
        <v>8439</v>
      </c>
      <c r="O9" s="13"/>
      <c r="P9" s="62" t="s">
        <v>8440</v>
      </c>
      <c r="Q9" s="45" t="s">
        <v>8441</v>
      </c>
      <c r="R9" s="63" t="s">
        <v>108</v>
      </c>
      <c r="S9" s="64"/>
      <c r="T9" s="64"/>
      <c r="U9" s="64"/>
      <c r="V9" s="64"/>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75.75" hidden="1" customHeight="1">
      <c r="A10" s="30"/>
      <c r="B10" s="31">
        <v>9.0</v>
      </c>
      <c r="C10" s="65">
        <v>44697.0</v>
      </c>
      <c r="D10" s="44" t="s">
        <v>109</v>
      </c>
      <c r="E10" s="66" t="s">
        <v>8442</v>
      </c>
      <c r="F10" s="67"/>
      <c r="G10" s="43" t="s">
        <v>8443</v>
      </c>
      <c r="H10" s="45" t="s">
        <v>8444</v>
      </c>
      <c r="I10" s="13"/>
      <c r="J10" s="37" t="s">
        <v>8445</v>
      </c>
      <c r="K10" s="13"/>
      <c r="L10" s="45" t="s">
        <v>8446</v>
      </c>
      <c r="M10" s="13"/>
      <c r="N10" s="61" t="s">
        <v>8447</v>
      </c>
      <c r="O10" s="13"/>
      <c r="P10" s="62" t="s">
        <v>8448</v>
      </c>
      <c r="Q10" s="68" t="s">
        <v>117</v>
      </c>
      <c r="R10" s="37"/>
      <c r="S10" s="68" t="s">
        <v>8449</v>
      </c>
      <c r="T10" s="36"/>
      <c r="U10" s="36"/>
      <c r="V10" s="41"/>
      <c r="W10" s="26"/>
      <c r="X10" s="69">
        <v>44697.0</v>
      </c>
      <c r="Y10" s="70" t="s">
        <v>109</v>
      </c>
      <c r="Z10" s="28"/>
      <c r="AA10" s="14"/>
      <c r="AB10" s="15" t="str">
        <f>IFERROR(__xludf.DUMMYFUNCTION("join("","",filter(split($H$83,"",""),ARRAYFORMULA(ISERROR(FIND(split($H$83,"",""),CONCATENATE(E10:V10))))=TRUE))"),"КЗ,206,210,403,405,406,408,409,АЗ")</f>
        <v>КЗ,206,210,403,405,406,408,409,АЗ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8450</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689">
        <v>44985.0</v>
      </c>
      <c r="B13" s="19">
        <v>1.0</v>
      </c>
      <c r="C13" s="20" t="s">
        <v>12</v>
      </c>
      <c r="D13" s="20" t="s">
        <v>13</v>
      </c>
      <c r="E13" s="80" t="s">
        <v>8451</v>
      </c>
      <c r="F13" s="25"/>
      <c r="G13" s="81" t="s">
        <v>8452</v>
      </c>
      <c r="H13" s="80" t="s">
        <v>8453</v>
      </c>
      <c r="I13" s="22"/>
      <c r="J13" s="23" t="s">
        <v>8454</v>
      </c>
      <c r="K13" s="25"/>
      <c r="L13" s="80" t="s">
        <v>8455</v>
      </c>
      <c r="M13" s="25"/>
      <c r="N13" s="690" t="s">
        <v>8456</v>
      </c>
      <c r="O13" s="25"/>
      <c r="P13" s="21" t="s">
        <v>8457</v>
      </c>
      <c r="Q13" s="22"/>
      <c r="R13" s="23" t="s">
        <v>8458</v>
      </c>
      <c r="S13" s="22"/>
      <c r="T13" s="84" t="s">
        <v>8459</v>
      </c>
      <c r="U13" s="80" t="s">
        <v>8460</v>
      </c>
      <c r="V13" s="22"/>
      <c r="W13" s="26"/>
      <c r="X13" s="27" t="s">
        <v>12</v>
      </c>
      <c r="Y13" s="27" t="s">
        <v>13</v>
      </c>
      <c r="Z13" s="28"/>
      <c r="AA13" s="85"/>
      <c r="AB13" s="15" t="str">
        <f>IFERROR(__xludf.DUMMYFUNCTION("join("","",filter(split($H$83,"",""),ARRAYFORMULA(ISERROR(FIND(split($H$83,"",""),CONCATENATE(E13:V13))))=TRUE))"),"СЗ,КЗ,209,403,410,АЗ")</f>
        <v>СЗ,КЗ,209,403,410,АЗ</v>
      </c>
      <c r="AC13" s="14"/>
      <c r="AD13" s="14"/>
      <c r="AE13" s="14"/>
      <c r="AF13" s="29"/>
      <c r="AG13" s="29"/>
      <c r="AH13" s="29"/>
    </row>
    <row r="14" ht="40.5" hidden="1" customHeight="1">
      <c r="A14" s="30"/>
      <c r="B14" s="31">
        <v>2.0</v>
      </c>
      <c r="C14" s="32" t="s">
        <v>21</v>
      </c>
      <c r="D14" s="32" t="s">
        <v>22</v>
      </c>
      <c r="E14" s="45" t="s">
        <v>8461</v>
      </c>
      <c r="F14" s="13"/>
      <c r="G14" s="46" t="s">
        <v>8462</v>
      </c>
      <c r="H14" s="81" t="s">
        <v>8463</v>
      </c>
      <c r="I14" s="24"/>
      <c r="J14" s="35" t="s">
        <v>8464</v>
      </c>
      <c r="K14" s="13"/>
      <c r="L14" s="45" t="s">
        <v>8465</v>
      </c>
      <c r="M14" s="13"/>
      <c r="N14" s="87" t="s">
        <v>8466</v>
      </c>
      <c r="O14" s="13"/>
      <c r="P14" s="37" t="s">
        <v>8467</v>
      </c>
      <c r="Q14" s="41"/>
      <c r="R14" s="35" t="s">
        <v>8468</v>
      </c>
      <c r="S14" s="41"/>
      <c r="T14" s="43" t="s">
        <v>8469</v>
      </c>
      <c r="U14" s="45" t="s">
        <v>8470</v>
      </c>
      <c r="V14" s="41"/>
      <c r="W14" s="26"/>
      <c r="X14" s="42" t="s">
        <v>21</v>
      </c>
      <c r="Y14" s="42" t="s">
        <v>22</v>
      </c>
      <c r="Z14" s="28"/>
      <c r="AA14" s="85"/>
      <c r="AB14" s="15" t="str">
        <f>IFERROR(__xludf.DUMMYFUNCTION("join("","",filter(split($H$83,"",""),ARRAYFORMULA(ISERROR(FIND(split($H$83,"",""),CONCATENATE(E14:V14))))=TRUE))"),"СЗ,КЗ,403,406,408,410,АЗ")</f>
        <v>СЗ,КЗ,403,406,408,410,АЗ</v>
      </c>
      <c r="AC14" s="14"/>
      <c r="AD14" s="14"/>
      <c r="AE14" s="14"/>
      <c r="AF14" s="29"/>
      <c r="AG14" s="29"/>
      <c r="AH14" s="29"/>
    </row>
    <row r="15" ht="40.5" hidden="1" customHeight="1">
      <c r="A15" s="30"/>
      <c r="B15" s="31">
        <v>3.0</v>
      </c>
      <c r="C15" s="32" t="s">
        <v>33</v>
      </c>
      <c r="D15" s="32" t="s">
        <v>34</v>
      </c>
      <c r="E15" s="40" t="s">
        <v>8471</v>
      </c>
      <c r="F15" s="13"/>
      <c r="G15" s="37" t="s">
        <v>8472</v>
      </c>
      <c r="H15" s="36"/>
      <c r="I15" s="41"/>
      <c r="J15" s="35" t="s">
        <v>8473</v>
      </c>
      <c r="K15" s="13"/>
      <c r="L15" s="45" t="s">
        <v>8474</v>
      </c>
      <c r="M15" s="13"/>
      <c r="N15" s="89" t="s">
        <v>8475</v>
      </c>
      <c r="O15" s="13"/>
      <c r="P15" s="37" t="s">
        <v>8476</v>
      </c>
      <c r="Q15" s="90" t="s">
        <v>8477</v>
      </c>
      <c r="R15" s="43" t="s">
        <v>8478</v>
      </c>
      <c r="S15" s="34" t="s">
        <v>8479</v>
      </c>
      <c r="T15" s="91" t="s">
        <v>8480</v>
      </c>
      <c r="U15" s="36"/>
      <c r="V15" s="41"/>
      <c r="W15" s="26"/>
      <c r="X15" s="42" t="s">
        <v>33</v>
      </c>
      <c r="Y15" s="42" t="s">
        <v>34</v>
      </c>
      <c r="Z15" s="48" t="s">
        <v>47</v>
      </c>
      <c r="AA15" s="85" t="str">
        <f>AA$5</f>
        <v/>
      </c>
      <c r="AB15" s="15" t="str">
        <f>IFERROR(__xludf.DUMMYFUNCTION("join("","",filter(split($H$83,"",""),ARRAYFORMULA(ISERROR(FIND(split($H$83,"",""),CONCATENATE(E15:V15))))=TRUE))"),"КЗ,201,206,403,406,408,410,АЗ")</f>
        <v>КЗ,201,206,403,406,408,410,АЗ</v>
      </c>
      <c r="AC15" s="14"/>
      <c r="AD15" s="14"/>
      <c r="AE15" s="14"/>
      <c r="AF15" s="29"/>
      <c r="AG15" s="29"/>
      <c r="AH15" s="29"/>
    </row>
    <row r="16" ht="40.5" hidden="1" customHeight="1">
      <c r="A16" s="30"/>
      <c r="B16" s="31">
        <v>4.0</v>
      </c>
      <c r="C16" s="32" t="s">
        <v>48</v>
      </c>
      <c r="D16" s="32" t="s">
        <v>49</v>
      </c>
      <c r="E16" s="40" t="s">
        <v>8481</v>
      </c>
      <c r="F16" s="13"/>
      <c r="G16" s="37" t="s">
        <v>8482</v>
      </c>
      <c r="H16" s="36"/>
      <c r="I16" s="41"/>
      <c r="J16" s="35" t="s">
        <v>8483</v>
      </c>
      <c r="K16" s="13"/>
      <c r="L16" s="45" t="s">
        <v>8484</v>
      </c>
      <c r="M16" s="13"/>
      <c r="N16" s="89" t="s">
        <v>8485</v>
      </c>
      <c r="O16" s="13"/>
      <c r="P16" s="37" t="s">
        <v>160</v>
      </c>
      <c r="Q16" s="90" t="s">
        <v>161</v>
      </c>
      <c r="R16" s="43" t="s">
        <v>8486</v>
      </c>
      <c r="S16" s="34" t="s">
        <v>8487</v>
      </c>
      <c r="T16" s="91" t="s">
        <v>8488</v>
      </c>
      <c r="U16" s="36"/>
      <c r="V16" s="41"/>
      <c r="W16" s="26"/>
      <c r="X16" s="42" t="s">
        <v>48</v>
      </c>
      <c r="Y16" s="42" t="s">
        <v>49</v>
      </c>
      <c r="Z16" s="48" t="s">
        <v>57</v>
      </c>
      <c r="AA16" s="85" t="str">
        <f>AA$6</f>
        <v/>
      </c>
      <c r="AB16" s="15" t="str">
        <f>IFERROR(__xludf.DUMMYFUNCTION("join("","",filter(split($H$83,"",""),ARRAYFORMULA(ISERROR(FIND(split($H$83,"",""),CONCATENATE(E16:V16))))=TRUE))"),"КЗ,201,206,403,406,408,410,АЗ")</f>
        <v>КЗ,201,206,403,406,408,410,АЗ</v>
      </c>
      <c r="AC16" s="14"/>
      <c r="AD16" s="14"/>
      <c r="AE16" s="14"/>
      <c r="AF16" s="29"/>
      <c r="AG16" s="29"/>
      <c r="AH16" s="29"/>
    </row>
    <row r="17" ht="40.5" hidden="1" customHeight="1">
      <c r="A17" s="30"/>
      <c r="B17" s="31">
        <v>5.0</v>
      </c>
      <c r="C17" s="32" t="s">
        <v>58</v>
      </c>
      <c r="D17" s="53">
        <v>44847.0</v>
      </c>
      <c r="E17" s="45" t="s">
        <v>8489</v>
      </c>
      <c r="F17" s="13"/>
      <c r="G17" s="33" t="s">
        <v>8490</v>
      </c>
      <c r="H17" s="45" t="s">
        <v>8491</v>
      </c>
      <c r="I17" s="41"/>
      <c r="J17" s="35" t="s">
        <v>8492</v>
      </c>
      <c r="K17" s="13"/>
      <c r="L17" s="40" t="s">
        <v>8493</v>
      </c>
      <c r="M17" s="13"/>
      <c r="N17" s="45" t="s">
        <v>8494</v>
      </c>
      <c r="O17" s="13"/>
      <c r="P17" s="33" t="s">
        <v>8495</v>
      </c>
      <c r="Q17" s="34" t="s">
        <v>8496</v>
      </c>
      <c r="R17" s="90" t="s">
        <v>8497</v>
      </c>
      <c r="S17" s="92" t="s">
        <v>8498</v>
      </c>
      <c r="T17" s="93" t="s">
        <v>8499</v>
      </c>
      <c r="U17" s="36"/>
      <c r="V17" s="41"/>
      <c r="W17" s="26"/>
      <c r="X17" s="42" t="s">
        <v>58</v>
      </c>
      <c r="Y17" s="54">
        <v>44847.0</v>
      </c>
      <c r="Z17" s="48" t="s">
        <v>70</v>
      </c>
      <c r="AA17" s="85" t="str">
        <f>AA$7</f>
        <v/>
      </c>
      <c r="AB17" s="15" t="str">
        <f>IFERROR(__xludf.DUMMYFUNCTION("join("","",filter(split($H$83,"",""),ARRAYFORMULA(ISERROR(FIND(split($H$83,"",""),CONCATENATE(E17:V17))))=TRUE))"),"СЗ,202,206,403,408,410,АЗ")</f>
        <v>СЗ,202,206,403,408,410,АЗ</v>
      </c>
      <c r="AC17" s="14"/>
      <c r="AD17" s="14"/>
      <c r="AE17" s="14"/>
      <c r="AF17" s="29"/>
      <c r="AG17" s="29"/>
      <c r="AH17" s="29"/>
    </row>
    <row r="18" ht="40.5" hidden="1" customHeight="1">
      <c r="A18" s="30"/>
      <c r="B18" s="31">
        <v>6.0</v>
      </c>
      <c r="C18" s="55" t="s">
        <v>71</v>
      </c>
      <c r="D18" s="56" t="s">
        <v>72</v>
      </c>
      <c r="E18" s="45" t="s">
        <v>8500</v>
      </c>
      <c r="F18" s="13"/>
      <c r="G18" s="33" t="s">
        <v>8501</v>
      </c>
      <c r="H18" s="45" t="s">
        <v>8502</v>
      </c>
      <c r="I18" s="41"/>
      <c r="J18" s="35" t="s">
        <v>8503</v>
      </c>
      <c r="K18" s="13"/>
      <c r="L18" s="40" t="s">
        <v>8504</v>
      </c>
      <c r="M18" s="13"/>
      <c r="N18" s="691" t="s">
        <v>8505</v>
      </c>
      <c r="O18" s="4"/>
      <c r="P18" s="33" t="s">
        <v>8506</v>
      </c>
      <c r="Q18" s="34" t="s">
        <v>8507</v>
      </c>
      <c r="R18" s="90" t="s">
        <v>161</v>
      </c>
      <c r="S18" s="92" t="s">
        <v>8508</v>
      </c>
      <c r="T18" s="93" t="s">
        <v>8509</v>
      </c>
      <c r="U18" s="36"/>
      <c r="V18" s="41"/>
      <c r="W18" s="26"/>
      <c r="X18" s="58" t="s">
        <v>71</v>
      </c>
      <c r="Y18" s="59" t="s">
        <v>72</v>
      </c>
      <c r="Z18" s="48" t="s">
        <v>84</v>
      </c>
      <c r="AA18" s="85" t="str">
        <f>AA$8</f>
        <v/>
      </c>
      <c r="AB18" s="15" t="str">
        <f>IFERROR(__xludf.DUMMYFUNCTION("join("","",filter(split($H$83,"",""),ARRAYFORMULA(ISERROR(FIND(split($H$83,"",""),CONCATENATE(E18:V18))))=TRUE))"),"СЗ,202,206,402,403,408,410,АЗ")</f>
        <v>СЗ,202,206,402,403,408,410,АЗ</v>
      </c>
      <c r="AC18" s="14"/>
      <c r="AD18" s="14"/>
      <c r="AE18" s="14"/>
      <c r="AF18" s="29"/>
      <c r="AG18" s="29"/>
      <c r="AH18" s="29"/>
    </row>
    <row r="19" ht="40.5" hidden="1" customHeight="1">
      <c r="A19" s="30"/>
      <c r="B19" s="31">
        <v>7.0</v>
      </c>
      <c r="C19" s="32" t="s">
        <v>85</v>
      </c>
      <c r="D19" s="32" t="s">
        <v>86</v>
      </c>
      <c r="E19" s="94" t="s">
        <v>8510</v>
      </c>
      <c r="F19" s="13"/>
      <c r="G19" s="33" t="s">
        <v>8511</v>
      </c>
      <c r="H19" s="45" t="s">
        <v>8512</v>
      </c>
      <c r="I19" s="41"/>
      <c r="J19" s="95" t="s">
        <v>8513</v>
      </c>
      <c r="K19" s="13"/>
      <c r="L19" s="45" t="s">
        <v>8514</v>
      </c>
      <c r="M19" s="13"/>
      <c r="N19" s="224"/>
      <c r="O19" s="139"/>
      <c r="P19" s="102" t="s">
        <v>8515</v>
      </c>
      <c r="Q19" s="41"/>
      <c r="R19" s="96" t="s">
        <v>8516</v>
      </c>
      <c r="S19" s="97" t="s">
        <v>8517</v>
      </c>
      <c r="T19" s="93" t="s">
        <v>8518</v>
      </c>
      <c r="U19" s="36"/>
      <c r="V19" s="41"/>
      <c r="W19" s="26"/>
      <c r="X19" s="42" t="s">
        <v>85</v>
      </c>
      <c r="Y19" s="42" t="s">
        <v>86</v>
      </c>
      <c r="Z19" s="48" t="s">
        <v>97</v>
      </c>
      <c r="AA19" s="85" t="str">
        <f>AA$9</f>
        <v/>
      </c>
      <c r="AB19" s="15" t="str">
        <f>IFERROR(__xludf.DUMMYFUNCTION("join("","",filter(split($H$83,"",""),ARRAYFORMULA(ISERROR(FIND(split($H$83,"",""),CONCATENATE(E19:V19))))=TRUE))"),"СЗ,КЗ,206,402,403,404,405,410,АЗ")</f>
        <v>СЗ,КЗ,206,402,403,404,405,410,АЗ</v>
      </c>
      <c r="AC19" s="14"/>
      <c r="AD19" s="14"/>
      <c r="AE19" s="14"/>
      <c r="AF19" s="29"/>
      <c r="AG19" s="29"/>
      <c r="AH19" s="29"/>
    </row>
    <row r="20" ht="40.5" hidden="1" customHeight="1">
      <c r="A20" s="30"/>
      <c r="B20" s="31">
        <v>8.0</v>
      </c>
      <c r="C20" s="32" t="s">
        <v>98</v>
      </c>
      <c r="D20" s="32" t="s">
        <v>99</v>
      </c>
      <c r="E20" s="94" t="s">
        <v>8519</v>
      </c>
      <c r="F20" s="13"/>
      <c r="G20" s="33" t="s">
        <v>8520</v>
      </c>
      <c r="H20" s="45" t="s">
        <v>8521</v>
      </c>
      <c r="I20" s="41"/>
      <c r="J20" s="95" t="s">
        <v>8522</v>
      </c>
      <c r="K20" s="13"/>
      <c r="L20" s="45" t="s">
        <v>8523</v>
      </c>
      <c r="M20" s="13"/>
      <c r="N20" s="224"/>
      <c r="O20" s="139"/>
      <c r="P20" s="37"/>
      <c r="Q20" s="41"/>
      <c r="R20" s="96" t="s">
        <v>8524</v>
      </c>
      <c r="S20" s="97" t="s">
        <v>8525</v>
      </c>
      <c r="T20" s="93" t="s">
        <v>8526</v>
      </c>
      <c r="U20" s="36"/>
      <c r="V20" s="41"/>
      <c r="W20" s="26"/>
      <c r="X20" s="42" t="s">
        <v>98</v>
      </c>
      <c r="Y20" s="42" t="s">
        <v>99</v>
      </c>
      <c r="Z20" s="11"/>
      <c r="AA20" s="98"/>
      <c r="AB20" s="15" t="str">
        <f>IFERROR(__xludf.DUMMYFUNCTION("join("","",filter(split($H$83,"",""),ARRAYFORMULA(ISERROR(FIND(split($H$83,"",""),CONCATENATE(E20:V20))))=TRUE))"),"СЗ,КЗ,206,402,403,404,405,410,АЗ")</f>
        <v>СЗ,КЗ,206,402,403,404,405,410,АЗ</v>
      </c>
      <c r="AC20" s="14"/>
      <c r="AD20" s="14"/>
      <c r="AE20" s="14"/>
      <c r="AF20" s="29"/>
      <c r="AG20" s="29"/>
      <c r="AH20" s="29"/>
    </row>
    <row r="21" ht="40.5" hidden="1" customHeight="1">
      <c r="A21" s="30"/>
      <c r="B21" s="31">
        <v>9.0</v>
      </c>
      <c r="C21" s="65">
        <v>44697.0</v>
      </c>
      <c r="D21" s="44" t="s">
        <v>109</v>
      </c>
      <c r="E21" s="99" t="s">
        <v>206</v>
      </c>
      <c r="F21" s="4"/>
      <c r="G21" s="100"/>
      <c r="H21" s="101" t="s">
        <v>208</v>
      </c>
      <c r="I21" s="36"/>
      <c r="J21" s="36"/>
      <c r="K21" s="36"/>
      <c r="L21" s="36"/>
      <c r="M21" s="13"/>
      <c r="N21" s="224"/>
      <c r="O21" s="139"/>
      <c r="P21" s="102"/>
      <c r="Q21" s="41"/>
      <c r="R21" s="35" t="s">
        <v>211</v>
      </c>
      <c r="S21" s="41"/>
      <c r="T21" s="103" t="s">
        <v>8527</v>
      </c>
      <c r="U21" s="36"/>
      <c r="V21" s="41"/>
      <c r="W21" s="26"/>
      <c r="X21" s="69">
        <v>44697.0</v>
      </c>
      <c r="Y21" s="70" t="s">
        <v>109</v>
      </c>
      <c r="Z21" s="28"/>
      <c r="AA21" s="98"/>
      <c r="AB21" s="15" t="str">
        <f>IFERROR(__xludf.DUMMYFUNCTION("join("","",filter(split($H$83,"",""),ARRAYFORMULA(ISERROR(FIND(split($H$83,"",""),CONCATENATE(E21:V21))))=TRUE))"),"201,202,206,209,210,401,402,403,404,405,406,408,АЗ")</f>
        <v>201,202,206,209,210,401,402,403,404,405,406,408,АЗ</v>
      </c>
      <c r="AC21" s="14"/>
      <c r="AD21" s="14"/>
      <c r="AE21" s="14"/>
      <c r="AF21" s="29"/>
      <c r="AG21" s="29"/>
      <c r="AH21" s="29"/>
    </row>
    <row r="22" ht="40.5" hidden="1" customHeight="1">
      <c r="A22" s="30"/>
      <c r="B22" s="31">
        <v>10.0</v>
      </c>
      <c r="C22" s="44" t="s">
        <v>120</v>
      </c>
      <c r="D22" s="44" t="s">
        <v>121</v>
      </c>
      <c r="E22" s="104"/>
      <c r="F22" s="72"/>
      <c r="G22" s="105"/>
      <c r="H22" s="106" t="s">
        <v>213</v>
      </c>
      <c r="I22" s="36"/>
      <c r="J22" s="36"/>
      <c r="K22" s="36"/>
      <c r="L22" s="36"/>
      <c r="M22" s="13"/>
      <c r="N22" s="104"/>
      <c r="O22" s="72"/>
      <c r="P22" s="101" t="s">
        <v>215</v>
      </c>
      <c r="Q22" s="36"/>
      <c r="R22" s="36"/>
      <c r="S22" s="13"/>
      <c r="T22" s="107" t="s">
        <v>8528</v>
      </c>
      <c r="U22" s="36"/>
      <c r="V22" s="41"/>
      <c r="W22" s="26"/>
      <c r="X22" s="70" t="s">
        <v>120</v>
      </c>
      <c r="Y22" s="70" t="s">
        <v>121</v>
      </c>
      <c r="Z22" s="28"/>
      <c r="AA22" s="98"/>
      <c r="AB22" s="15" t="str">
        <f>IFERROR(__xludf.DUMMYFUNCTION("join("","",filter(split($H$83,"",""),ARRAYFORMULA(ISERROR(FIND(split($H$83,"",""),CONCATENATE(E22:V22))))=TRUE))"),"201,202,206,209,210,401,402,403,404,405,406,408,409,АЗ")</f>
        <v>201,202,206,209,210,401,402,403,404,405,406,408,409,АЗ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76"/>
      <c r="P23" s="111"/>
      <c r="Q23" s="111"/>
      <c r="R23" s="114" t="s">
        <v>8529</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hidden="1" customHeight="1">
      <c r="A24" s="689">
        <v>44986.0</v>
      </c>
      <c r="B24" s="435">
        <v>1.0</v>
      </c>
      <c r="C24" s="20" t="s">
        <v>12</v>
      </c>
      <c r="D24" s="20" t="s">
        <v>13</v>
      </c>
      <c r="E24" s="21" t="s">
        <v>8530</v>
      </c>
      <c r="F24" s="22"/>
      <c r="G24" s="116" t="s">
        <v>8531</v>
      </c>
      <c r="H24" s="117" t="s">
        <v>8532</v>
      </c>
      <c r="I24" s="22"/>
      <c r="J24" s="118" t="s">
        <v>221</v>
      </c>
      <c r="K24" s="24"/>
      <c r="L24" s="24"/>
      <c r="M24" s="25"/>
      <c r="N24" s="80" t="s">
        <v>8533</v>
      </c>
      <c r="O24" s="25"/>
      <c r="P24" s="585" t="s">
        <v>8534</v>
      </c>
      <c r="Q24" s="24"/>
      <c r="R24" s="24"/>
      <c r="S24" s="22"/>
      <c r="T24" s="121" t="s">
        <v>8535</v>
      </c>
      <c r="U24" s="24"/>
      <c r="V24" s="22"/>
      <c r="W24" s="26"/>
      <c r="X24" s="27" t="s">
        <v>12</v>
      </c>
      <c r="Y24" s="27" t="s">
        <v>13</v>
      </c>
      <c r="Z24" s="28"/>
      <c r="AA24" s="14"/>
      <c r="AB24" s="15" t="str">
        <f>IFERROR(__xludf.DUMMYFUNCTION("join("","",filter(split($H$83,"",""),ARRAYFORMULA(ISERROR(FIND(split($H$83,"",""),CONCATENATE(E24:V24))))=TRUE))"),"СЗ,206,210,401,402,403,404,405,406,409,410,АЗ")</f>
        <v>СЗ,206,210,401,402,403,404,405,406,409,410,АЗ</v>
      </c>
      <c r="AC24" s="14"/>
      <c r="AD24" s="14"/>
      <c r="AE24" s="14"/>
      <c r="AF24" s="29"/>
      <c r="AG24" s="29"/>
      <c r="AH24" s="29"/>
    </row>
    <row r="25" ht="40.5" hidden="1" customHeight="1">
      <c r="A25" s="30"/>
      <c r="B25" s="436">
        <v>2.0</v>
      </c>
      <c r="C25" s="32" t="s">
        <v>21</v>
      </c>
      <c r="D25" s="32" t="s">
        <v>22</v>
      </c>
      <c r="E25" s="51" t="s">
        <v>8536</v>
      </c>
      <c r="F25" s="41"/>
      <c r="G25" s="39" t="s">
        <v>8537</v>
      </c>
      <c r="H25" s="89" t="s">
        <v>8538</v>
      </c>
      <c r="I25" s="41"/>
      <c r="J25" s="35" t="s">
        <v>8539</v>
      </c>
      <c r="K25" s="13"/>
      <c r="L25" s="40" t="s">
        <v>8540</v>
      </c>
      <c r="M25" s="13"/>
      <c r="N25" s="40" t="s">
        <v>231</v>
      </c>
      <c r="O25" s="13"/>
      <c r="P25" s="37" t="s">
        <v>8541</v>
      </c>
      <c r="Q25" s="13"/>
      <c r="R25" s="122" t="s">
        <v>8542</v>
      </c>
      <c r="S25" s="41"/>
      <c r="T25" s="103" t="s">
        <v>8543</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hidden="1" customHeight="1">
      <c r="A26" s="30"/>
      <c r="B26" s="436">
        <v>3.0</v>
      </c>
      <c r="C26" s="32" t="s">
        <v>33</v>
      </c>
      <c r="D26" s="32" t="s">
        <v>34</v>
      </c>
      <c r="E26" s="37" t="s">
        <v>8544</v>
      </c>
      <c r="F26" s="41"/>
      <c r="G26" s="51" t="s">
        <v>8545</v>
      </c>
      <c r="H26" s="36"/>
      <c r="I26" s="41"/>
      <c r="J26" s="95" t="s">
        <v>8546</v>
      </c>
      <c r="K26" s="13"/>
      <c r="L26" s="123" t="s">
        <v>8547</v>
      </c>
      <c r="M26" s="41"/>
      <c r="N26" s="40" t="s">
        <v>231</v>
      </c>
      <c r="O26" s="13"/>
      <c r="P26" s="39" t="s">
        <v>8548</v>
      </c>
      <c r="Q26" s="124" t="s">
        <v>8549</v>
      </c>
      <c r="R26" s="89" t="s">
        <v>8550</v>
      </c>
      <c r="S26" s="41"/>
      <c r="T26" s="125" t="s">
        <v>8551</v>
      </c>
      <c r="U26" s="36"/>
      <c r="V26" s="41"/>
      <c r="W26" s="26"/>
      <c r="X26" s="42" t="s">
        <v>33</v>
      </c>
      <c r="Y26" s="42" t="s">
        <v>34</v>
      </c>
      <c r="Z26" s="48" t="s">
        <v>47</v>
      </c>
      <c r="AA26" s="85" t="str">
        <f>AA$5</f>
        <v/>
      </c>
      <c r="AB26" s="15" t="str">
        <f>IFERROR(__xludf.DUMMYFUNCTION("join("","",filter(split($H$83,"",""),ARRAYFORMULA(ISERROR(FIND(split($H$83,"",""),CONCATENATE(E26:V26))))=TRUE))"),"СЗ,КЗ,206,210,403,404,405,408,410,АЗ")</f>
        <v>СЗ,КЗ,206,210,403,404,405,408,410,АЗ</v>
      </c>
      <c r="AC26" s="14"/>
      <c r="AD26" s="14"/>
      <c r="AE26" s="14"/>
      <c r="AF26" s="29"/>
      <c r="AG26" s="29"/>
      <c r="AH26" s="29"/>
    </row>
    <row r="27" ht="54.0" hidden="1" customHeight="1">
      <c r="A27" s="30"/>
      <c r="B27" s="436">
        <v>4.0</v>
      </c>
      <c r="C27" s="32" t="s">
        <v>48</v>
      </c>
      <c r="D27" s="32" t="s">
        <v>49</v>
      </c>
      <c r="E27" s="33" t="s">
        <v>8552</v>
      </c>
      <c r="F27" s="126" t="s">
        <v>8553</v>
      </c>
      <c r="G27" s="37" t="s">
        <v>8554</v>
      </c>
      <c r="H27" s="13"/>
      <c r="I27" s="92" t="s">
        <v>8555</v>
      </c>
      <c r="J27" s="107" t="s">
        <v>8556</v>
      </c>
      <c r="K27" s="13"/>
      <c r="L27" s="45" t="s">
        <v>8557</v>
      </c>
      <c r="M27" s="13"/>
      <c r="N27" s="127" t="s">
        <v>8558</v>
      </c>
      <c r="O27" s="13"/>
      <c r="P27" s="37" t="s">
        <v>8559</v>
      </c>
      <c r="Q27" s="13"/>
      <c r="R27" s="34" t="s">
        <v>8560</v>
      </c>
      <c r="S27" s="92" t="s">
        <v>8561</v>
      </c>
      <c r="T27" s="125" t="s">
        <v>8562</v>
      </c>
      <c r="U27" s="36"/>
      <c r="V27" s="41"/>
      <c r="W27" s="26"/>
      <c r="X27" s="42" t="s">
        <v>48</v>
      </c>
      <c r="Y27" s="42" t="s">
        <v>49</v>
      </c>
      <c r="Z27" s="48" t="s">
        <v>57</v>
      </c>
      <c r="AA27" s="85" t="str">
        <f>AA$6</f>
        <v/>
      </c>
      <c r="AB27" s="15" t="str">
        <f>IFERROR(__xludf.DUMMYFUNCTION("join("","",filter(split($H$83,"",""),ARRAYFORMULA(ISERROR(FIND(split($H$83,"",""),CONCATENATE(E27:V27))))=TRUE))"),"СЗ,202,206,403,404,408,410,АЗ")</f>
        <v>СЗ,202,206,403,404,408,410,АЗ</v>
      </c>
      <c r="AC27" s="14"/>
      <c r="AD27" s="14"/>
      <c r="AE27" s="14"/>
      <c r="AF27" s="29"/>
      <c r="AG27" s="29"/>
      <c r="AH27" s="29"/>
    </row>
    <row r="28" ht="53.25" hidden="1" customHeight="1">
      <c r="A28" s="30"/>
      <c r="B28" s="436">
        <v>5.0</v>
      </c>
      <c r="C28" s="32" t="s">
        <v>58</v>
      </c>
      <c r="D28" s="53">
        <v>44847.0</v>
      </c>
      <c r="E28" s="33" t="s">
        <v>8563</v>
      </c>
      <c r="F28" s="126" t="s">
        <v>8564</v>
      </c>
      <c r="G28" s="37" t="s">
        <v>8565</v>
      </c>
      <c r="H28" s="13"/>
      <c r="I28" s="92" t="s">
        <v>8566</v>
      </c>
      <c r="J28" s="123" t="s">
        <v>8567</v>
      </c>
      <c r="K28" s="41"/>
      <c r="L28" s="45" t="s">
        <v>8568</v>
      </c>
      <c r="M28" s="13"/>
      <c r="N28" s="89" t="s">
        <v>8569</v>
      </c>
      <c r="O28" s="13"/>
      <c r="P28" s="39" t="s">
        <v>8570</v>
      </c>
      <c r="Q28" s="124" t="s">
        <v>8571</v>
      </c>
      <c r="R28" s="34" t="s">
        <v>8572</v>
      </c>
      <c r="S28" s="92" t="s">
        <v>8573</v>
      </c>
      <c r="T28" s="128" t="s">
        <v>8574</v>
      </c>
      <c r="U28" s="8"/>
      <c r="V28" s="129"/>
      <c r="W28" s="26"/>
      <c r="X28" s="42" t="s">
        <v>58</v>
      </c>
      <c r="Y28" s="54">
        <v>44847.0</v>
      </c>
      <c r="Z28" s="48" t="s">
        <v>70</v>
      </c>
      <c r="AA28" s="85" t="str">
        <f>AA$7</f>
        <v/>
      </c>
      <c r="AB28" s="15" t="str">
        <f>IFERROR(__xludf.DUMMYFUNCTION("join("","",filter(split($H$83,"",""),ARRAYFORMULA(ISERROR(FIND(split($H$83,"",""),CONCATENATE(E28:V28))))=TRUE))"),"СЗ,206,209,403,404,408,410")</f>
        <v>СЗ,206,209,403,404,408,410</v>
      </c>
      <c r="AC28" s="14"/>
      <c r="AD28" s="14"/>
      <c r="AE28" s="14"/>
      <c r="AF28" s="29"/>
      <c r="AG28" s="29"/>
      <c r="AH28" s="29"/>
    </row>
    <row r="29" ht="40.5" hidden="1" customHeight="1">
      <c r="A29" s="30"/>
      <c r="B29" s="436">
        <v>6.0</v>
      </c>
      <c r="C29" s="55" t="s">
        <v>71</v>
      </c>
      <c r="D29" s="56" t="s">
        <v>72</v>
      </c>
      <c r="E29" s="126" t="s">
        <v>8575</v>
      </c>
      <c r="F29" s="34" t="s">
        <v>8576</v>
      </c>
      <c r="G29" s="40" t="s">
        <v>8577</v>
      </c>
      <c r="H29" s="41"/>
      <c r="I29" s="34" t="s">
        <v>8578</v>
      </c>
      <c r="J29" s="123" t="s">
        <v>8579</v>
      </c>
      <c r="K29" s="41"/>
      <c r="L29" s="89" t="s">
        <v>8580</v>
      </c>
      <c r="M29" s="13"/>
      <c r="N29" s="130" t="s">
        <v>8581</v>
      </c>
      <c r="O29" s="13"/>
      <c r="P29" s="131" t="s">
        <v>8582</v>
      </c>
      <c r="Q29" s="132" t="s">
        <v>8583</v>
      </c>
      <c r="R29" s="92" t="s">
        <v>8584</v>
      </c>
      <c r="V29" s="134"/>
      <c r="W29" s="26"/>
      <c r="X29" s="58" t="s">
        <v>71</v>
      </c>
      <c r="Y29" s="59" t="s">
        <v>72</v>
      </c>
      <c r="Z29" s="48" t="s">
        <v>84</v>
      </c>
      <c r="AA29" s="85" t="str">
        <f>AA$8</f>
        <v/>
      </c>
      <c r="AB29" s="15" t="str">
        <f>IFERROR(__xludf.DUMMYFUNCTION("join("","",filter(split($H$83,"",""),ARRAYFORMULA(ISERROR(FIND(split($H$83,"",""),CONCATENATE(E29:V29))))=TRUE))"),"СЗ,КЗ,201,206,403,404,408,410,АЗ")</f>
        <v>СЗ,КЗ,201,206,403,404,408,410,АЗ</v>
      </c>
      <c r="AC29" s="14"/>
      <c r="AD29" s="14"/>
      <c r="AE29" s="14"/>
      <c r="AF29" s="29"/>
      <c r="AG29" s="29"/>
      <c r="AH29" s="29"/>
    </row>
    <row r="30" ht="40.5" hidden="1" customHeight="1">
      <c r="A30" s="30"/>
      <c r="B30" s="436">
        <v>7.0</v>
      </c>
      <c r="C30" s="32" t="s">
        <v>85</v>
      </c>
      <c r="D30" s="32" t="s">
        <v>86</v>
      </c>
      <c r="E30" s="126" t="s">
        <v>8585</v>
      </c>
      <c r="F30" s="34" t="s">
        <v>8586</v>
      </c>
      <c r="G30" s="40" t="s">
        <v>8587</v>
      </c>
      <c r="H30" s="41"/>
      <c r="I30" s="34" t="s">
        <v>8588</v>
      </c>
      <c r="J30" s="35" t="s">
        <v>8589</v>
      </c>
      <c r="K30" s="13"/>
      <c r="L30" s="123" t="s">
        <v>8590</v>
      </c>
      <c r="M30" s="41"/>
      <c r="N30" s="130" t="s">
        <v>8591</v>
      </c>
      <c r="O30" s="13"/>
      <c r="P30" s="131" t="s">
        <v>8592</v>
      </c>
      <c r="Q30" s="132" t="s">
        <v>8593</v>
      </c>
      <c r="R30" s="92" t="s">
        <v>8594</v>
      </c>
      <c r="V30" s="134"/>
      <c r="W30" s="26"/>
      <c r="X30" s="42" t="s">
        <v>85</v>
      </c>
      <c r="Y30" s="42" t="s">
        <v>86</v>
      </c>
      <c r="Z30" s="48" t="s">
        <v>97</v>
      </c>
      <c r="AA30" s="85" t="str">
        <f>AA$9</f>
        <v/>
      </c>
      <c r="AB30" s="15" t="str">
        <f>IFERROR(__xludf.DUMMYFUNCTION("join("","",filter(split($H$83,"",""),ARRAYFORMULA(ISERROR(FIND(split($H$83,"",""),CONCATENATE(E30:V30))))=TRUE))"),"СЗ,КЗ,206,403,404,408,409,410,АЗ")</f>
        <v>СЗ,КЗ,206,403,404,408,409,410,АЗ</v>
      </c>
      <c r="AC30" s="14"/>
      <c r="AD30" s="14"/>
      <c r="AE30" s="14"/>
      <c r="AF30" s="29"/>
      <c r="AG30" s="29"/>
      <c r="AH30" s="29"/>
    </row>
    <row r="31" ht="52.5" hidden="1" customHeight="1">
      <c r="A31" s="30"/>
      <c r="B31" s="436">
        <v>8.0</v>
      </c>
      <c r="C31" s="32" t="s">
        <v>98</v>
      </c>
      <c r="D31" s="32" t="s">
        <v>99</v>
      </c>
      <c r="E31" s="46" t="s">
        <v>8595</v>
      </c>
      <c r="F31" s="41"/>
      <c r="G31" s="137" t="s">
        <v>8596</v>
      </c>
      <c r="H31" s="8"/>
      <c r="I31" s="129"/>
      <c r="J31" s="334" t="s">
        <v>8597</v>
      </c>
      <c r="K31" s="36"/>
      <c r="L31" s="36"/>
      <c r="M31" s="13"/>
      <c r="N31" s="45" t="s">
        <v>8598</v>
      </c>
      <c r="O31" s="13"/>
      <c r="P31" s="140" t="s">
        <v>8599</v>
      </c>
      <c r="Q31" s="4"/>
      <c r="R31" s="133"/>
      <c r="S31" s="133"/>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hidden="1" customHeight="1">
      <c r="A32" s="30"/>
      <c r="B32" s="436">
        <v>9.0</v>
      </c>
      <c r="C32" s="65">
        <v>44697.0</v>
      </c>
      <c r="D32" s="44" t="s">
        <v>109</v>
      </c>
      <c r="E32" s="141" t="s">
        <v>8600</v>
      </c>
      <c r="F32" s="13"/>
      <c r="G32" s="142"/>
      <c r="H32" s="64"/>
      <c r="I32" s="88"/>
      <c r="J32" s="334" t="s">
        <v>8601</v>
      </c>
      <c r="K32" s="36"/>
      <c r="L32" s="36"/>
      <c r="M32" s="13"/>
      <c r="N32" s="45" t="s">
        <v>8602</v>
      </c>
      <c r="O32" s="13"/>
      <c r="P32" s="142"/>
      <c r="Q32" s="72"/>
      <c r="R32" s="144"/>
      <c r="S32" s="92"/>
      <c r="T32" s="64"/>
      <c r="U32" s="64"/>
      <c r="V32" s="88"/>
      <c r="W32" s="26"/>
      <c r="X32" s="69">
        <v>44697.0</v>
      </c>
      <c r="Y32" s="70" t="s">
        <v>109</v>
      </c>
      <c r="Z32" s="28"/>
      <c r="AA32" s="14"/>
      <c r="AB32" s="15" t="str">
        <f>IFERROR(__xludf.DUMMYFUNCTION("join("","",filter(split($H$83,"",""),ARRAYFORMULA(ISERROR(FIND(split($H$83,"",""),CONCATENATE(E32:V32))))=TRUE))"),"СЗ,КЗ,201,206,210,401,402,403,404,405,406,408,409,АЗ")</f>
        <v>СЗ,КЗ,201,206,210,401,402,403,404,405,406,408,409,АЗ</v>
      </c>
      <c r="AC32" s="14"/>
      <c r="AD32" s="14"/>
      <c r="AE32" s="14"/>
      <c r="AF32" s="29"/>
      <c r="AG32" s="29"/>
      <c r="AH32" s="29"/>
    </row>
    <row r="33" ht="40.5" hidden="1" customHeight="1">
      <c r="A33" s="30"/>
      <c r="B33" s="436">
        <v>10.0</v>
      </c>
      <c r="C33" s="44" t="s">
        <v>120</v>
      </c>
      <c r="D33" s="44" t="s">
        <v>121</v>
      </c>
      <c r="E33" s="141" t="s">
        <v>8603</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8604</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689">
        <v>44987.0</v>
      </c>
      <c r="B35" s="19">
        <v>1.0</v>
      </c>
      <c r="C35" s="20" t="s">
        <v>12</v>
      </c>
      <c r="D35" s="20" t="s">
        <v>13</v>
      </c>
      <c r="E35" s="80" t="s">
        <v>8605</v>
      </c>
      <c r="F35" s="25"/>
      <c r="G35" s="156" t="s">
        <v>8606</v>
      </c>
      <c r="H35" s="117" t="s">
        <v>8607</v>
      </c>
      <c r="I35" s="25"/>
      <c r="J35" s="157" t="s">
        <v>8608</v>
      </c>
      <c r="K35" s="13"/>
      <c r="L35" s="156" t="s">
        <v>8609</v>
      </c>
      <c r="M35" s="156" t="s">
        <v>8610</v>
      </c>
      <c r="N35" s="80" t="s">
        <v>8611</v>
      </c>
      <c r="O35" s="25"/>
      <c r="P35" s="156" t="s">
        <v>8612</v>
      </c>
      <c r="Q35" s="156" t="s">
        <v>8613</v>
      </c>
      <c r="R35" s="159" t="s">
        <v>8614</v>
      </c>
      <c r="S35" s="160"/>
      <c r="T35" s="161" t="s">
        <v>8615</v>
      </c>
      <c r="U35" s="24"/>
      <c r="V35" s="22"/>
      <c r="W35" s="26"/>
      <c r="X35" s="27" t="s">
        <v>12</v>
      </c>
      <c r="Y35" s="27" t="s">
        <v>13</v>
      </c>
      <c r="Z35" s="28"/>
      <c r="AA35" s="14"/>
      <c r="AB35" s="15" t="str">
        <f>IFERROR(__xludf.DUMMYFUNCTION("join("","",filter(split($H$83,"",""),ARRAYFORMULA(ISERROR(FIND(split($H$83,"",""),CONCATENATE(E35:V35))))=TRUE))"),"СЗ,КЗ,206,406,410,АЗ")</f>
        <v>СЗ,КЗ,206,406,410,АЗ</v>
      </c>
      <c r="AC35" s="14"/>
      <c r="AD35" s="14"/>
      <c r="AE35" s="14"/>
      <c r="AF35" s="29"/>
      <c r="AG35" s="29"/>
      <c r="AH35" s="29"/>
    </row>
    <row r="36" ht="54.0" hidden="1" customHeight="1">
      <c r="A36" s="30"/>
      <c r="B36" s="31">
        <v>2.0</v>
      </c>
      <c r="C36" s="32" t="s">
        <v>21</v>
      </c>
      <c r="D36" s="32" t="s">
        <v>22</v>
      </c>
      <c r="E36" s="45" t="s">
        <v>8616</v>
      </c>
      <c r="F36" s="13"/>
      <c r="G36" s="44" t="s">
        <v>8617</v>
      </c>
      <c r="H36" s="40" t="s">
        <v>312</v>
      </c>
      <c r="I36" s="13"/>
      <c r="J36" s="157" t="s">
        <v>313</v>
      </c>
      <c r="K36" s="13"/>
      <c r="L36" s="44" t="s">
        <v>8618</v>
      </c>
      <c r="M36" s="44" t="s">
        <v>8619</v>
      </c>
      <c r="N36" s="45" t="s">
        <v>316</v>
      </c>
      <c r="O36" s="13"/>
      <c r="P36" s="44" t="s">
        <v>8620</v>
      </c>
      <c r="Q36" s="44" t="s">
        <v>8621</v>
      </c>
      <c r="R36" s="162" t="s">
        <v>8622</v>
      </c>
      <c r="S36" s="90"/>
      <c r="T36" s="163" t="s">
        <v>8623</v>
      </c>
      <c r="U36" s="36"/>
      <c r="V36" s="41"/>
      <c r="W36" s="26"/>
      <c r="X36" s="42" t="s">
        <v>21</v>
      </c>
      <c r="Y36" s="42" t="s">
        <v>22</v>
      </c>
      <c r="Z36" s="28"/>
      <c r="AA36" s="14"/>
      <c r="AB36" s="15" t="str">
        <f>IFERROR(__xludf.DUMMYFUNCTION("join("","",filter(split($H$83,"",""),ARRAYFORMULA(ISERROR(FIND(split($H$83,"",""),CONCATENATE(E36:V36))))=TRUE))"),"СЗ,КЗ,206,406,410,АЗ")</f>
        <v>СЗ,КЗ,206,406,410,АЗ</v>
      </c>
      <c r="AC36" s="14"/>
      <c r="AD36" s="14"/>
      <c r="AE36" s="14"/>
      <c r="AF36" s="29"/>
      <c r="AG36" s="29"/>
      <c r="AH36" s="29"/>
    </row>
    <row r="37" ht="56.25" hidden="1" customHeight="1">
      <c r="A37" s="30"/>
      <c r="B37" s="31">
        <v>3.0</v>
      </c>
      <c r="C37" s="32" t="s">
        <v>33</v>
      </c>
      <c r="D37" s="32" t="s">
        <v>34</v>
      </c>
      <c r="E37" s="45" t="s">
        <v>8624</v>
      </c>
      <c r="F37" s="13"/>
      <c r="G37" s="132" t="s">
        <v>8625</v>
      </c>
      <c r="H37" s="45" t="s">
        <v>8626</v>
      </c>
      <c r="I37" s="13"/>
      <c r="J37" s="45" t="s">
        <v>8627</v>
      </c>
      <c r="K37" s="13"/>
      <c r="L37" s="44" t="s">
        <v>8628</v>
      </c>
      <c r="M37" s="44" t="s">
        <v>8629</v>
      </c>
      <c r="N37" s="164" t="s">
        <v>8630</v>
      </c>
      <c r="O37" s="36"/>
      <c r="P37" s="36"/>
      <c r="Q37" s="13"/>
      <c r="R37" s="44" t="s">
        <v>8631</v>
      </c>
      <c r="S37" s="44" t="s">
        <v>8632</v>
      </c>
      <c r="T37" s="87" t="s">
        <v>8633</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hidden="1" customHeight="1">
      <c r="A38" s="30"/>
      <c r="B38" s="31">
        <v>4.0</v>
      </c>
      <c r="C38" s="32" t="s">
        <v>48</v>
      </c>
      <c r="D38" s="32" t="s">
        <v>49</v>
      </c>
      <c r="E38" s="45" t="s">
        <v>8634</v>
      </c>
      <c r="F38" s="13"/>
      <c r="G38" s="132" t="s">
        <v>8635</v>
      </c>
      <c r="H38" s="45" t="s">
        <v>8636</v>
      </c>
      <c r="I38" s="13"/>
      <c r="J38" s="45" t="s">
        <v>8637</v>
      </c>
      <c r="K38" s="13"/>
      <c r="L38" s="44" t="s">
        <v>8638</v>
      </c>
      <c r="M38" s="44" t="s">
        <v>8639</v>
      </c>
      <c r="N38" s="164" t="s">
        <v>8640</v>
      </c>
      <c r="O38" s="36"/>
      <c r="P38" s="36"/>
      <c r="Q38" s="13"/>
      <c r="R38" s="44" t="s">
        <v>8641</v>
      </c>
      <c r="S38" s="44" t="s">
        <v>8642</v>
      </c>
      <c r="T38" s="87" t="s">
        <v>8643</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hidden="1" customHeight="1">
      <c r="A39" s="30"/>
      <c r="B39" s="31">
        <v>5.0</v>
      </c>
      <c r="C39" s="32" t="s">
        <v>58</v>
      </c>
      <c r="D39" s="53">
        <v>44847.0</v>
      </c>
      <c r="E39" s="45" t="s">
        <v>8644</v>
      </c>
      <c r="F39" s="13"/>
      <c r="G39" s="44" t="s">
        <v>8645</v>
      </c>
      <c r="H39" s="45" t="s">
        <v>8646</v>
      </c>
      <c r="I39" s="13"/>
      <c r="J39" s="44" t="s">
        <v>8647</v>
      </c>
      <c r="K39" s="44" t="s">
        <v>8648</v>
      </c>
      <c r="L39" s="45" t="s">
        <v>8649</v>
      </c>
      <c r="M39" s="13"/>
      <c r="N39" s="44" t="s">
        <v>8650</v>
      </c>
      <c r="O39" s="44" t="s">
        <v>8651</v>
      </c>
      <c r="P39" s="45" t="s">
        <v>8652</v>
      </c>
      <c r="Q39" s="13"/>
      <c r="R39" s="44" t="s">
        <v>8653</v>
      </c>
      <c r="S39" s="132" t="s">
        <v>8654</v>
      </c>
      <c r="T39" s="45" t="s">
        <v>8655</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hidden="1" customHeight="1">
      <c r="A40" s="30"/>
      <c r="B40" s="31">
        <v>6.0</v>
      </c>
      <c r="C40" s="55" t="s">
        <v>71</v>
      </c>
      <c r="D40" s="56" t="s">
        <v>72</v>
      </c>
      <c r="E40" s="45" t="s">
        <v>8656</v>
      </c>
      <c r="F40" s="13"/>
      <c r="G40" s="44" t="s">
        <v>355</v>
      </c>
      <c r="H40" s="45" t="s">
        <v>8657</v>
      </c>
      <c r="I40" s="13"/>
      <c r="J40" s="44" t="s">
        <v>8658</v>
      </c>
      <c r="K40" s="44" t="s">
        <v>8659</v>
      </c>
      <c r="L40" s="45" t="s">
        <v>8660</v>
      </c>
      <c r="M40" s="13"/>
      <c r="N40" s="44" t="s">
        <v>8661</v>
      </c>
      <c r="O40" s="44" t="s">
        <v>8662</v>
      </c>
      <c r="P40" s="45" t="s">
        <v>8663</v>
      </c>
      <c r="Q40" s="13"/>
      <c r="R40" s="44" t="s">
        <v>8664</v>
      </c>
      <c r="S40" s="132" t="s">
        <v>8665</v>
      </c>
      <c r="T40" s="45" t="s">
        <v>8666</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hidden="1" customHeight="1">
      <c r="A41" s="30"/>
      <c r="B41" s="31">
        <v>7.0</v>
      </c>
      <c r="C41" s="32" t="s">
        <v>85</v>
      </c>
      <c r="D41" s="32" t="s">
        <v>86</v>
      </c>
      <c r="E41" s="45" t="s">
        <v>8667</v>
      </c>
      <c r="F41" s="13"/>
      <c r="G41" s="44" t="s">
        <v>8668</v>
      </c>
      <c r="H41" s="45" t="s">
        <v>8669</v>
      </c>
      <c r="I41" s="13"/>
      <c r="J41" s="44" t="s">
        <v>8670</v>
      </c>
      <c r="K41" s="44" t="s">
        <v>8671</v>
      </c>
      <c r="L41" s="45" t="s">
        <v>8672</v>
      </c>
      <c r="M41" s="13"/>
      <c r="N41" s="87" t="s">
        <v>8673</v>
      </c>
      <c r="O41" s="13"/>
      <c r="P41" s="45" t="s">
        <v>8674</v>
      </c>
      <c r="Q41" s="13"/>
      <c r="R41" s="44" t="s">
        <v>8675</v>
      </c>
      <c r="S41" s="44" t="s">
        <v>8676</v>
      </c>
      <c r="T41" s="165" t="s">
        <v>8677</v>
      </c>
      <c r="U41" s="36"/>
      <c r="V41" s="41"/>
      <c r="W41" s="26"/>
      <c r="X41" s="42" t="s">
        <v>85</v>
      </c>
      <c r="Y41" s="42" t="s">
        <v>86</v>
      </c>
      <c r="Z41" s="48" t="s">
        <v>97</v>
      </c>
      <c r="AA41" s="85" t="str">
        <f>AA$9</f>
        <v/>
      </c>
      <c r="AB41" s="15" t="str">
        <f>IFERROR(__xludf.DUMMYFUNCTION("join("","",filter(split($H$83,"",""),ARRAYFORMULA(ISERROR(FIND(split($H$83,"",""),CONCATENATE(E41:V41))))=TRUE))"),"СЗ,КЗ,206,210,403,406,АЗ")</f>
        <v>СЗ,КЗ,206,210,403,406,АЗ</v>
      </c>
      <c r="AC41" s="14"/>
      <c r="AD41" s="14"/>
      <c r="AE41" s="14"/>
      <c r="AF41" s="29"/>
      <c r="AG41" s="29"/>
      <c r="AH41" s="29"/>
    </row>
    <row r="42" ht="52.5" hidden="1" customHeight="1">
      <c r="A42" s="30"/>
      <c r="B42" s="31">
        <v>8.0</v>
      </c>
      <c r="C42" s="32" t="s">
        <v>98</v>
      </c>
      <c r="D42" s="32" t="s">
        <v>99</v>
      </c>
      <c r="E42" s="45" t="s">
        <v>8678</v>
      </c>
      <c r="F42" s="13"/>
      <c r="G42" s="44" t="s">
        <v>8679</v>
      </c>
      <c r="H42" s="45" t="s">
        <v>379</v>
      </c>
      <c r="I42" s="13"/>
      <c r="J42" s="44" t="s">
        <v>8680</v>
      </c>
      <c r="K42" s="44" t="s">
        <v>8681</v>
      </c>
      <c r="L42" s="45" t="s">
        <v>8682</v>
      </c>
      <c r="M42" s="13"/>
      <c r="N42" s="87" t="s">
        <v>8683</v>
      </c>
      <c r="O42" s="13"/>
      <c r="P42" s="45" t="s">
        <v>8684</v>
      </c>
      <c r="Q42" s="13"/>
      <c r="R42" s="166"/>
      <c r="S42" s="13"/>
      <c r="T42" s="165" t="s">
        <v>8685</v>
      </c>
      <c r="U42" s="36"/>
      <c r="V42" s="41"/>
      <c r="W42" s="26"/>
      <c r="X42" s="42" t="s">
        <v>98</v>
      </c>
      <c r="Y42" s="42" t="s">
        <v>99</v>
      </c>
      <c r="Z42" s="11"/>
      <c r="AA42" s="14"/>
      <c r="AB42" s="15" t="str">
        <f>IFERROR(__xludf.DUMMYFUNCTION("join("","",filter(split($H$83,"",""),ARRAYFORMULA(ISERROR(FIND(split($H$83,"",""),CONCATENATE(E42:V42))))=TRUE))"),"СЗ,КЗ,206,210,403,404,405,406,АЗ")</f>
        <v>СЗ,КЗ,206,210,403,404,405,406,АЗ</v>
      </c>
      <c r="AC42" s="14"/>
      <c r="AD42" s="14"/>
      <c r="AE42" s="14"/>
      <c r="AF42" s="29"/>
      <c r="AG42" s="29"/>
      <c r="AH42" s="29"/>
    </row>
    <row r="43" ht="40.5" hidden="1" customHeight="1">
      <c r="A43" s="30"/>
      <c r="B43" s="31">
        <v>9.0</v>
      </c>
      <c r="C43" s="65">
        <v>44697.0</v>
      </c>
      <c r="D43" s="44" t="s">
        <v>109</v>
      </c>
      <c r="E43" s="167" t="s">
        <v>8686</v>
      </c>
      <c r="F43" s="4"/>
      <c r="G43" s="168"/>
      <c r="H43" s="169" t="s">
        <v>8687</v>
      </c>
      <c r="I43" s="36"/>
      <c r="J43" s="13"/>
      <c r="K43" s="170"/>
      <c r="L43" s="4"/>
      <c r="M43" s="171"/>
      <c r="N43" s="45" t="s">
        <v>8688</v>
      </c>
      <c r="O43" s="13"/>
      <c r="P43" s="33" t="s">
        <v>8689</v>
      </c>
      <c r="Q43" s="172" t="s">
        <v>8690</v>
      </c>
      <c r="R43" s="8"/>
      <c r="S43" s="8"/>
      <c r="T43" s="8"/>
      <c r="U43" s="8"/>
      <c r="V43" s="129"/>
      <c r="W43" s="26"/>
      <c r="X43" s="69">
        <v>44697.0</v>
      </c>
      <c r="Y43" s="70" t="s">
        <v>109</v>
      </c>
      <c r="Z43" s="28"/>
      <c r="AA43" s="14"/>
      <c r="AB43" s="15" t="str">
        <f>IFERROR(__xludf.DUMMYFUNCTION("join("","",filter(split($H$83,"",""),ARRAYFORMULA(ISERROR(FIND(split($H$83,"",""),CONCATENATE(E43:V43))))=TRUE))"),"КЗ,202,206,209,401,403,404,405,406,408,409,АЗ")</f>
        <v>КЗ,202,206,209,401,403,404,405,406,408,409,АЗ</v>
      </c>
      <c r="AC43" s="14"/>
      <c r="AD43" s="14"/>
      <c r="AE43" s="14"/>
      <c r="AF43" s="29"/>
      <c r="AG43" s="29"/>
      <c r="AH43" s="29"/>
    </row>
    <row r="44" ht="40.5" hidden="1" customHeight="1">
      <c r="A44" s="30"/>
      <c r="B44" s="31">
        <v>10.0</v>
      </c>
      <c r="C44" s="44" t="s">
        <v>120</v>
      </c>
      <c r="D44" s="44" t="s">
        <v>121</v>
      </c>
      <c r="E44" s="104"/>
      <c r="F44" s="72"/>
      <c r="G44" s="173"/>
      <c r="H44" s="169" t="s">
        <v>8691</v>
      </c>
      <c r="I44" s="36"/>
      <c r="J44" s="13"/>
      <c r="K44" s="104"/>
      <c r="L44" s="72"/>
      <c r="M44" s="171"/>
      <c r="N44" s="45" t="s">
        <v>8692</v>
      </c>
      <c r="O44" s="13"/>
      <c r="P44" s="33" t="s">
        <v>8693</v>
      </c>
      <c r="Q44" s="104"/>
      <c r="R44" s="64"/>
      <c r="S44" s="64"/>
      <c r="T44" s="64"/>
      <c r="U44" s="64"/>
      <c r="V44" s="88"/>
      <c r="W44" s="26"/>
      <c r="X44" s="70" t="s">
        <v>120</v>
      </c>
      <c r="Y44" s="70" t="s">
        <v>121</v>
      </c>
      <c r="Z44" s="28"/>
      <c r="AA44" s="14"/>
      <c r="AB44" s="15" t="str">
        <f>IFERROR(__xludf.DUMMYFUNCTION("join("","",filter(split($H$83,"",""),ARRAYFORMULA(ISERROR(FIND(split($H$83,"",""),CONCATENATE(E44:V44))))=TRUE))"),"КЗ,201,202,206,209,401,403,404,405,406,408,409,410,АЗ")</f>
        <v>КЗ,201,202,206,209,401,403,404,405,406,408,409,410,АЗ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689">
        <v>44988.0</v>
      </c>
      <c r="B46" s="19">
        <v>1.0</v>
      </c>
      <c r="C46" s="20" t="s">
        <v>12</v>
      </c>
      <c r="D46" s="20" t="s">
        <v>13</v>
      </c>
      <c r="E46" s="156" t="s">
        <v>8694</v>
      </c>
      <c r="F46" s="156" t="s">
        <v>8695</v>
      </c>
      <c r="G46" s="45" t="s">
        <v>8696</v>
      </c>
      <c r="H46" s="13"/>
      <c r="I46" s="174" t="s">
        <v>8697</v>
      </c>
      <c r="J46" s="175" t="s">
        <v>8698</v>
      </c>
      <c r="K46" s="25"/>
      <c r="L46" s="80" t="s">
        <v>8699</v>
      </c>
      <c r="M46" s="25"/>
      <c r="N46" s="156" t="s">
        <v>8700</v>
      </c>
      <c r="O46" s="156" t="s">
        <v>8701</v>
      </c>
      <c r="P46" s="80" t="s">
        <v>8702</v>
      </c>
      <c r="Q46" s="25"/>
      <c r="R46" s="80" t="s">
        <v>8703</v>
      </c>
      <c r="S46" s="25"/>
      <c r="T46" s="80" t="s">
        <v>8704</v>
      </c>
      <c r="U46" s="24"/>
      <c r="V46" s="22"/>
      <c r="W46" s="26"/>
      <c r="X46" s="27" t="s">
        <v>12</v>
      </c>
      <c r="Y46" s="27" t="s">
        <v>13</v>
      </c>
      <c r="Z46" s="28"/>
      <c r="AA46" s="14"/>
      <c r="AB46" s="15" t="str">
        <f>IFERROR(__xludf.DUMMYFUNCTION("join("","",filter(split($H$83,"",""),ARRAYFORMULA(ISERROR(FIND(split($H$83,"",""),CONCATENATE(E46:V46))))=TRUE))"),"СЗ,КЗ,206,402,406,408,410")</f>
        <v>СЗ,КЗ,206,402,406,408,410</v>
      </c>
      <c r="AC46" s="14"/>
      <c r="AD46" s="14"/>
      <c r="AE46" s="14"/>
      <c r="AF46" s="29"/>
      <c r="AG46" s="29"/>
      <c r="AH46" s="29"/>
    </row>
    <row r="47" ht="40.5" customHeight="1">
      <c r="A47" s="30"/>
      <c r="B47" s="31">
        <v>2.0</v>
      </c>
      <c r="C47" s="32" t="s">
        <v>21</v>
      </c>
      <c r="D47" s="32" t="s">
        <v>22</v>
      </c>
      <c r="E47" s="44" t="s">
        <v>8705</v>
      </c>
      <c r="F47" s="44" t="s">
        <v>8706</v>
      </c>
      <c r="G47" s="45" t="s">
        <v>8707</v>
      </c>
      <c r="H47" s="13"/>
      <c r="I47" s="173"/>
      <c r="J47" s="157" t="s">
        <v>8708</v>
      </c>
      <c r="K47" s="13"/>
      <c r="L47" s="80" t="s">
        <v>8709</v>
      </c>
      <c r="M47" s="25"/>
      <c r="N47" s="44" t="s">
        <v>8710</v>
      </c>
      <c r="O47" s="44" t="s">
        <v>8711</v>
      </c>
      <c r="P47" s="45" t="s">
        <v>8712</v>
      </c>
      <c r="Q47" s="13"/>
      <c r="R47" s="44" t="s">
        <v>8713</v>
      </c>
      <c r="S47" s="90" t="s">
        <v>8714</v>
      </c>
      <c r="T47" s="45" t="s">
        <v>8715</v>
      </c>
      <c r="U47" s="36"/>
      <c r="V47" s="41"/>
      <c r="W47" s="26"/>
      <c r="X47" s="42" t="s">
        <v>21</v>
      </c>
      <c r="Y47" s="42" t="s">
        <v>22</v>
      </c>
      <c r="Z47" s="28"/>
      <c r="AA47" s="14"/>
      <c r="AB47" s="15" t="str">
        <f>IFERROR(__xludf.DUMMYFUNCTION("join("","",filter(split($H$83,"",""),ARRAYFORMULA(ISERROR(FIND(split($H$83,"",""),CONCATENATE(E47:V47))))=TRUE))"),"СЗ,КЗ,206,406,408,410,АЗ")</f>
        <v>СЗ,КЗ,206,406,408,410,АЗ</v>
      </c>
      <c r="AC47" s="14"/>
      <c r="AD47" s="14"/>
      <c r="AE47" s="14"/>
      <c r="AF47" s="29"/>
      <c r="AG47" s="29"/>
      <c r="AH47" s="29"/>
    </row>
    <row r="48" ht="93.0" customHeight="1">
      <c r="A48" s="30"/>
      <c r="B48" s="31">
        <v>3.0</v>
      </c>
      <c r="C48" s="32" t="s">
        <v>33</v>
      </c>
      <c r="D48" s="32" t="s">
        <v>34</v>
      </c>
      <c r="E48" s="45" t="s">
        <v>8716</v>
      </c>
      <c r="F48" s="13"/>
      <c r="G48" s="176" t="s">
        <v>8717</v>
      </c>
      <c r="H48" s="4"/>
      <c r="I48" s="90" t="s">
        <v>8718</v>
      </c>
      <c r="J48" s="44" t="s">
        <v>8719</v>
      </c>
      <c r="K48" s="44" t="s">
        <v>8720</v>
      </c>
      <c r="L48" s="44" t="s">
        <v>8721</v>
      </c>
      <c r="M48" s="44" t="s">
        <v>8722</v>
      </c>
      <c r="N48" s="164" t="s">
        <v>8723</v>
      </c>
      <c r="O48" s="36"/>
      <c r="P48" s="36"/>
      <c r="Q48" s="13"/>
      <c r="R48" s="44" t="s">
        <v>8724</v>
      </c>
      <c r="S48" s="90" t="s">
        <v>8725</v>
      </c>
      <c r="T48" s="45" t="s">
        <v>8726</v>
      </c>
      <c r="U48" s="36"/>
      <c r="V48" s="41"/>
      <c r="W48" s="26"/>
      <c r="X48" s="42" t="s">
        <v>33</v>
      </c>
      <c r="Y48" s="42" t="s">
        <v>34</v>
      </c>
      <c r="Z48" s="48" t="s">
        <v>47</v>
      </c>
      <c r="AA48" s="85" t="str">
        <f>AA$5</f>
        <v/>
      </c>
      <c r="AB48" s="15" t="str">
        <f>IFERROR(__xludf.DUMMYFUNCTION("join("","",filter(split($H$83,"",""),ARRAYFORMULA(ISERROR(FIND(split($H$83,"",""),CONCATENATE(E48:V48))))=TRUE))"),"СЗ,КЗ,206,209,406,408,410")</f>
        <v>СЗ,КЗ,206,209,406,408,410</v>
      </c>
      <c r="AC48" s="14"/>
      <c r="AD48" s="14"/>
      <c r="AE48" s="14"/>
      <c r="AF48" s="29"/>
      <c r="AG48" s="29"/>
      <c r="AH48" s="29"/>
    </row>
    <row r="49" ht="40.5" customHeight="1">
      <c r="A49" s="30"/>
      <c r="B49" s="31">
        <v>4.0</v>
      </c>
      <c r="C49" s="32" t="s">
        <v>48</v>
      </c>
      <c r="D49" s="32" t="s">
        <v>49</v>
      </c>
      <c r="E49" s="45" t="s">
        <v>8727</v>
      </c>
      <c r="F49" s="13"/>
      <c r="G49" s="104"/>
      <c r="H49" s="72"/>
      <c r="I49" s="90" t="s">
        <v>8728</v>
      </c>
      <c r="J49" s="44" t="s">
        <v>8729</v>
      </c>
      <c r="K49" s="44" t="s">
        <v>8730</v>
      </c>
      <c r="L49" s="44" t="s">
        <v>8731</v>
      </c>
      <c r="M49" s="44" t="s">
        <v>8732</v>
      </c>
      <c r="N49" s="164" t="s">
        <v>8733</v>
      </c>
      <c r="O49" s="36"/>
      <c r="P49" s="36"/>
      <c r="Q49" s="13"/>
      <c r="R49" s="133" t="s">
        <v>8734</v>
      </c>
      <c r="S49" s="133" t="s">
        <v>8735</v>
      </c>
      <c r="T49" s="45" t="s">
        <v>8736</v>
      </c>
      <c r="U49" s="36"/>
      <c r="V49" s="41"/>
      <c r="W49" s="26"/>
      <c r="X49" s="42" t="s">
        <v>48</v>
      </c>
      <c r="Y49" s="42" t="s">
        <v>49</v>
      </c>
      <c r="Z49" s="48" t="s">
        <v>57</v>
      </c>
      <c r="AA49" s="85" t="str">
        <f>AA$6</f>
        <v/>
      </c>
      <c r="AB49" s="15" t="str">
        <f>IFERROR(__xludf.DUMMYFUNCTION("join("","",filter(split($H$83,"",""),ARRAYFORMULA(ISERROR(FIND(split($H$83,"",""),CONCATENATE(E49:V49))))=TRUE))"),"СЗ,КЗ,206,209,406,408,410,АЗ")</f>
        <v>СЗ,КЗ,206,209,406,408,410,АЗ</v>
      </c>
      <c r="AC49" s="14"/>
      <c r="AD49" s="14"/>
      <c r="AE49" s="14"/>
      <c r="AF49" s="29"/>
      <c r="AG49" s="29"/>
      <c r="AH49" s="29"/>
    </row>
    <row r="50" ht="40.5" customHeight="1">
      <c r="A50" s="30"/>
      <c r="B50" s="31">
        <v>5.0</v>
      </c>
      <c r="C50" s="32" t="s">
        <v>58</v>
      </c>
      <c r="D50" s="53">
        <v>44847.0</v>
      </c>
      <c r="E50" s="45" t="s">
        <v>8737</v>
      </c>
      <c r="F50" s="13"/>
      <c r="G50" s="44" t="s">
        <v>8738</v>
      </c>
      <c r="H50" s="44" t="s">
        <v>8739</v>
      </c>
      <c r="I50" s="44" t="s">
        <v>8740</v>
      </c>
      <c r="J50" s="45" t="s">
        <v>8741</v>
      </c>
      <c r="K50" s="13"/>
      <c r="L50" s="45" t="s">
        <v>8742</v>
      </c>
      <c r="M50" s="13"/>
      <c r="N50" s="177" t="s">
        <v>8743</v>
      </c>
      <c r="O50" s="124" t="s">
        <v>8744</v>
      </c>
      <c r="P50" s="45" t="s">
        <v>8745</v>
      </c>
      <c r="Q50" s="13"/>
      <c r="R50" s="133" t="s">
        <v>8746</v>
      </c>
      <c r="S50" s="133" t="s">
        <v>8747</v>
      </c>
      <c r="T50" s="45" t="s">
        <v>8748</v>
      </c>
      <c r="U50" s="36"/>
      <c r="V50" s="41"/>
      <c r="W50" s="26"/>
      <c r="X50" s="42" t="s">
        <v>58</v>
      </c>
      <c r="Y50" s="54">
        <v>44847.0</v>
      </c>
      <c r="Z50" s="48" t="s">
        <v>70</v>
      </c>
      <c r="AA50" s="85" t="str">
        <f>AA$7</f>
        <v/>
      </c>
      <c r="AB50" s="15" t="str">
        <f>IFERROR(__xludf.DUMMYFUNCTION("join("","",filter(split($H$83,"",""),ARRAYFORMULA(ISERROR(FIND(split($H$83,"",""),CONCATENATE(E50:V50))))=TRUE))"),"СЗ,КЗ,206,401,404,408,409,410")</f>
        <v>СЗ,КЗ,206,401,404,408,409,410</v>
      </c>
      <c r="AC50" s="14"/>
      <c r="AD50" s="14"/>
      <c r="AE50" s="14"/>
      <c r="AF50" s="29"/>
      <c r="AG50" s="29"/>
      <c r="AH50" s="29"/>
    </row>
    <row r="51" ht="48.75" customHeight="1">
      <c r="A51" s="30"/>
      <c r="B51" s="31">
        <v>6.0</v>
      </c>
      <c r="C51" s="55" t="s">
        <v>71</v>
      </c>
      <c r="D51" s="56" t="s">
        <v>72</v>
      </c>
      <c r="G51" s="44" t="s">
        <v>8749</v>
      </c>
      <c r="H51" s="44" t="s">
        <v>8750</v>
      </c>
      <c r="I51" s="44" t="s">
        <v>8751</v>
      </c>
      <c r="J51" s="45" t="s">
        <v>8752</v>
      </c>
      <c r="K51" s="13"/>
      <c r="L51" s="45" t="s">
        <v>8753</v>
      </c>
      <c r="M51" s="13"/>
      <c r="N51" s="177" t="s">
        <v>8754</v>
      </c>
      <c r="O51" s="124" t="s">
        <v>8755</v>
      </c>
      <c r="P51" s="45" t="s">
        <v>8756</v>
      </c>
      <c r="Q51" s="13"/>
      <c r="R51" s="162" t="s">
        <v>8757</v>
      </c>
      <c r="S51" s="178" t="s">
        <v>8758</v>
      </c>
      <c r="T51" s="44" t="s">
        <v>8759</v>
      </c>
      <c r="U51" s="44" t="s">
        <v>8760</v>
      </c>
      <c r="V51" s="34"/>
      <c r="W51" s="179"/>
      <c r="X51" s="58" t="s">
        <v>71</v>
      </c>
      <c r="Y51" s="59" t="s">
        <v>72</v>
      </c>
      <c r="Z51" s="48" t="s">
        <v>84</v>
      </c>
      <c r="AA51" s="85"/>
      <c r="AB51" s="15" t="str">
        <f>IFERROR(__xludf.DUMMYFUNCTION("join("","",filter(split($H$83,"",""),ARRAYFORMULA(ISERROR(FIND(split($H$83,"",""),CONCATENATE(E51:V51))))=TRUE))"),"СЗ,201,206,404,409,410")</f>
        <v>СЗ,201,206,404,409,410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G52" s="44" t="s">
        <v>8761</v>
      </c>
      <c r="H52" s="44" t="s">
        <v>8762</v>
      </c>
      <c r="I52" s="44" t="s">
        <v>8763</v>
      </c>
      <c r="J52" s="45" t="s">
        <v>8764</v>
      </c>
      <c r="K52" s="13"/>
      <c r="L52" s="45" t="s">
        <v>8765</v>
      </c>
      <c r="M52" s="13"/>
      <c r="N52" s="86" t="s">
        <v>8766</v>
      </c>
      <c r="O52" s="13"/>
      <c r="P52" s="124" t="s">
        <v>8767</v>
      </c>
      <c r="Q52" s="37" t="s">
        <v>8768</v>
      </c>
      <c r="R52" s="180" t="s">
        <v>8769</v>
      </c>
      <c r="S52" s="181" t="s">
        <v>8770</v>
      </c>
      <c r="T52" s="44" t="s">
        <v>472</v>
      </c>
      <c r="U52" s="44"/>
      <c r="V52" s="34"/>
      <c r="W52" s="26"/>
      <c r="X52" s="42" t="s">
        <v>85</v>
      </c>
      <c r="Y52" s="42" t="s">
        <v>86</v>
      </c>
      <c r="Z52" s="48" t="s">
        <v>97</v>
      </c>
      <c r="AA52" s="85" t="str">
        <f>AA$9</f>
        <v/>
      </c>
      <c r="AB52" s="15" t="str">
        <f>IFERROR(__xludf.DUMMYFUNCTION("join("","",filter(split($H$83,"",""),ARRAYFORMULA(ISERROR(FIND(split($H$83,"",""),CONCATENATE(E52:V52))))=TRUE))"),"СЗ,201,206,404,410")</f>
        <v>СЗ,201,206,404,410</v>
      </c>
      <c r="AC52" s="14"/>
      <c r="AD52" s="14"/>
      <c r="AE52" s="14"/>
      <c r="AF52" s="29"/>
      <c r="AG52" s="29"/>
      <c r="AH52" s="29"/>
    </row>
    <row r="53" ht="51.75" customHeight="1">
      <c r="A53" s="30"/>
      <c r="B53" s="31">
        <v>8.0</v>
      </c>
      <c r="C53" s="32" t="s">
        <v>98</v>
      </c>
      <c r="D53" s="32" t="s">
        <v>99</v>
      </c>
      <c r="E53" s="692"/>
      <c r="F53" s="692"/>
      <c r="G53" s="416" t="s">
        <v>1913</v>
      </c>
      <c r="H53" s="86" t="s">
        <v>8771</v>
      </c>
      <c r="I53" s="13"/>
      <c r="J53" s="45" t="s">
        <v>8772</v>
      </c>
      <c r="K53" s="13"/>
      <c r="L53" s="45" t="s">
        <v>8773</v>
      </c>
      <c r="M53" s="13"/>
      <c r="N53" s="182"/>
      <c r="O53" s="177" t="s">
        <v>8774</v>
      </c>
      <c r="P53" s="124" t="s">
        <v>8775</v>
      </c>
      <c r="Q53" s="37" t="s">
        <v>160</v>
      </c>
      <c r="R53" s="183" t="s">
        <v>8776</v>
      </c>
      <c r="S53" s="181" t="s">
        <v>8777</v>
      </c>
      <c r="T53" s="144"/>
      <c r="U53" s="144"/>
      <c r="V53" s="184"/>
      <c r="W53" s="26"/>
      <c r="X53" s="42" t="s">
        <v>98</v>
      </c>
      <c r="Y53" s="42" t="s">
        <v>99</v>
      </c>
      <c r="Z53" s="11"/>
      <c r="AA53" s="14"/>
      <c r="AB53" s="15" t="str">
        <f>IFERROR(__xludf.DUMMYFUNCTION("join("","",filter(split($H$83,"",""),ARRAYFORMULA(ISERROR(FIND(split($H$83,"",""),CONCATENATE(E53:V53))))=TRUE))"),"СЗ,201,206,210,401,403,404,405,410")</f>
        <v>СЗ,201,206,210,401,403,404,405,410</v>
      </c>
      <c r="AC53" s="14"/>
      <c r="AD53" s="14"/>
      <c r="AE53" s="14"/>
      <c r="AF53" s="29"/>
      <c r="AG53" s="29"/>
      <c r="AH53" s="29"/>
    </row>
    <row r="54" ht="71.25" customHeight="1">
      <c r="A54" s="30"/>
      <c r="B54" s="31">
        <v>9.0</v>
      </c>
      <c r="C54" s="65">
        <v>44697.0</v>
      </c>
      <c r="D54" s="44" t="s">
        <v>109</v>
      </c>
      <c r="E54" s="187" t="s">
        <v>8778</v>
      </c>
      <c r="F54" s="8"/>
      <c r="G54" s="8"/>
      <c r="H54" s="8"/>
      <c r="I54" s="8"/>
      <c r="J54" s="8"/>
      <c r="K54" s="8"/>
      <c r="L54" s="8"/>
      <c r="M54" s="8"/>
      <c r="N54" s="163"/>
      <c r="O54" s="177" t="s">
        <v>8779</v>
      </c>
      <c r="P54" s="187" t="s">
        <v>8778</v>
      </c>
      <c r="Q54" s="8"/>
      <c r="R54" s="8"/>
      <c r="S54" s="8"/>
      <c r="T54" s="8"/>
      <c r="U54" s="8"/>
      <c r="V54" s="8"/>
      <c r="W54" s="186"/>
      <c r="X54" s="69">
        <v>44697.0</v>
      </c>
      <c r="Y54" s="70" t="s">
        <v>109</v>
      </c>
      <c r="Z54" s="28"/>
      <c r="AA54" s="14"/>
      <c r="AB54" s="15" t="str">
        <f>IFERROR(__xludf.DUMMYFUNCTION("join("","",filter(split($H$83,"",""),ARRAYFORMULA(ISERROR(FIND(split($H$83,"",""),CONCATENATE(E54:V54))))=TRUE))"),"206,209,401,403,404,405,409,410,АЗ")</f>
        <v>206,209,401,403,404,405,409,410,АЗ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689">
        <v>44989.0</v>
      </c>
      <c r="B57" s="191">
        <v>1.0</v>
      </c>
      <c r="C57" s="192" t="str">
        <f>D$1</f>
        <v/>
      </c>
      <c r="D57" s="72"/>
      <c r="E57" s="193"/>
      <c r="F57" s="193"/>
      <c r="G57" s="194" t="s">
        <v>8780</v>
      </c>
      <c r="H57" s="64"/>
      <c r="I57" s="72"/>
      <c r="J57" s="195"/>
      <c r="K57" s="64"/>
      <c r="L57" s="64"/>
      <c r="M57" s="72"/>
      <c r="N57" s="193"/>
      <c r="O57" s="177"/>
      <c r="P57" s="187" t="s">
        <v>482</v>
      </c>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77"/>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IFERROR(__xludf.DUMMYFUNCTION("IF(COUNTA(filter($E3:$W3,ARRAYFORMULA(ISERROR(FIND(join("","",filter(split($H$83,"",""),ARRAYFORMULA(ISERROR(FIND(split($H$83,"",""),E3)))=FALSE)),$E3:$W3))=FALSE)))&gt;1,FALSE,TRUE)"),FALSE)</f>
        <v>0</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77">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N18:O22"/>
    <mergeCell ref="J25:K25"/>
    <mergeCell ref="J29:K29"/>
    <mergeCell ref="H21:M21"/>
    <mergeCell ref="H22:M22"/>
    <mergeCell ref="H24:I24"/>
    <mergeCell ref="J24:M24"/>
    <mergeCell ref="H25:I25"/>
    <mergeCell ref="L25:M25"/>
    <mergeCell ref="N28:O28"/>
    <mergeCell ref="L29:M29"/>
    <mergeCell ref="N29:O29"/>
    <mergeCell ref="J30:K30"/>
    <mergeCell ref="L30:M30"/>
    <mergeCell ref="N30:O30"/>
    <mergeCell ref="J31:M31"/>
    <mergeCell ref="N31:O31"/>
    <mergeCell ref="N43:O43"/>
    <mergeCell ref="N44:O44"/>
    <mergeCell ref="J32:M32"/>
    <mergeCell ref="N32:O32"/>
    <mergeCell ref="N35:O35"/>
    <mergeCell ref="N36:O36"/>
    <mergeCell ref="N41:O41"/>
    <mergeCell ref="N42:O42"/>
    <mergeCell ref="K43:L44"/>
    <mergeCell ref="J51:K51"/>
    <mergeCell ref="J52:K52"/>
    <mergeCell ref="N52:O52"/>
    <mergeCell ref="L52:M52"/>
    <mergeCell ref="J53:K53"/>
    <mergeCell ref="L53:M53"/>
    <mergeCell ref="J46:K46"/>
    <mergeCell ref="L46:M46"/>
    <mergeCell ref="J47:K47"/>
    <mergeCell ref="L47:M47"/>
    <mergeCell ref="J50:K50"/>
    <mergeCell ref="L50:M50"/>
    <mergeCell ref="L51:M51"/>
    <mergeCell ref="H36:I36"/>
    <mergeCell ref="H37:I37"/>
    <mergeCell ref="J37:K37"/>
    <mergeCell ref="G30:H30"/>
    <mergeCell ref="E31:F31"/>
    <mergeCell ref="G31:I32"/>
    <mergeCell ref="E32:F32"/>
    <mergeCell ref="H35:I35"/>
    <mergeCell ref="J35:K35"/>
    <mergeCell ref="J36:K36"/>
    <mergeCell ref="E39:F39"/>
    <mergeCell ref="E40:F40"/>
    <mergeCell ref="A35:A45"/>
    <mergeCell ref="A46:A56"/>
    <mergeCell ref="A57:A67"/>
    <mergeCell ref="E33:F33"/>
    <mergeCell ref="E34:F34"/>
    <mergeCell ref="E35:F35"/>
    <mergeCell ref="E36:F36"/>
    <mergeCell ref="E37:F37"/>
    <mergeCell ref="E38:F38"/>
    <mergeCell ref="E43:F44"/>
    <mergeCell ref="E41:F41"/>
    <mergeCell ref="E42:F42"/>
    <mergeCell ref="G43:G44"/>
    <mergeCell ref="G46:H46"/>
    <mergeCell ref="I46:I47"/>
    <mergeCell ref="G47:H47"/>
    <mergeCell ref="G48:H49"/>
    <mergeCell ref="H53:I53"/>
    <mergeCell ref="K66:L66"/>
    <mergeCell ref="K67:L67"/>
    <mergeCell ref="K68:L68"/>
    <mergeCell ref="E48:F48"/>
    <mergeCell ref="E49:F49"/>
    <mergeCell ref="E50:F50"/>
    <mergeCell ref="E54:M55"/>
    <mergeCell ref="C57:D57"/>
    <mergeCell ref="G57:I57"/>
    <mergeCell ref="J57:M57"/>
    <mergeCell ref="E19:F19"/>
    <mergeCell ref="H19:I19"/>
    <mergeCell ref="J19:K19"/>
    <mergeCell ref="L19:M19"/>
    <mergeCell ref="E20:F20"/>
    <mergeCell ref="H20:I20"/>
    <mergeCell ref="J20:K20"/>
    <mergeCell ref="L20:M20"/>
    <mergeCell ref="J10:K10"/>
    <mergeCell ref="L10:M10"/>
    <mergeCell ref="A13:A23"/>
    <mergeCell ref="E13:F13"/>
    <mergeCell ref="J13:K13"/>
    <mergeCell ref="L13:M13"/>
    <mergeCell ref="E14:F14"/>
    <mergeCell ref="E21:F22"/>
    <mergeCell ref="G21:G22"/>
    <mergeCell ref="A24:A34"/>
    <mergeCell ref="E24:F24"/>
    <mergeCell ref="E25:F25"/>
    <mergeCell ref="E26:F26"/>
    <mergeCell ref="G29:H29"/>
    <mergeCell ref="H41:I41"/>
    <mergeCell ref="H42:I42"/>
    <mergeCell ref="H43:J43"/>
    <mergeCell ref="H44:J44"/>
    <mergeCell ref="H38:I38"/>
    <mergeCell ref="J38:K38"/>
    <mergeCell ref="H39:I39"/>
    <mergeCell ref="L39:M39"/>
    <mergeCell ref="H40:I40"/>
    <mergeCell ref="L40:M40"/>
    <mergeCell ref="L41:M41"/>
    <mergeCell ref="L42:M42"/>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T15:V15"/>
    <mergeCell ref="T16:V16"/>
    <mergeCell ref="E10:F10"/>
    <mergeCell ref="H10:I10"/>
    <mergeCell ref="S10:V10"/>
    <mergeCell ref="T11:V11"/>
    <mergeCell ref="U13:V13"/>
    <mergeCell ref="U14:V14"/>
    <mergeCell ref="N16:O16"/>
    <mergeCell ref="P7:Q7"/>
    <mergeCell ref="R7:S7"/>
    <mergeCell ref="H8:I8"/>
    <mergeCell ref="J8:K8"/>
    <mergeCell ref="L8:M8"/>
    <mergeCell ref="N8:O8"/>
    <mergeCell ref="P8:Q8"/>
    <mergeCell ref="R8:S8"/>
    <mergeCell ref="H9:I9"/>
    <mergeCell ref="J9:K9"/>
    <mergeCell ref="L9:M9"/>
    <mergeCell ref="N9:O9"/>
    <mergeCell ref="N17:O17"/>
    <mergeCell ref="T17:V17"/>
    <mergeCell ref="T18:V18"/>
    <mergeCell ref="P19:Q19"/>
    <mergeCell ref="T19:V19"/>
    <mergeCell ref="P20:Q20"/>
    <mergeCell ref="T20:V20"/>
    <mergeCell ref="J28:K28"/>
    <mergeCell ref="L28:M28"/>
    <mergeCell ref="G33:Q34"/>
    <mergeCell ref="G26:I26"/>
    <mergeCell ref="J26:K26"/>
    <mergeCell ref="L26:M26"/>
    <mergeCell ref="G27:H27"/>
    <mergeCell ref="J27:K27"/>
    <mergeCell ref="L27:M27"/>
    <mergeCell ref="G28:H28"/>
    <mergeCell ref="N38:Q38"/>
    <mergeCell ref="T38:V38"/>
    <mergeCell ref="P39:Q39"/>
    <mergeCell ref="T39:V39"/>
    <mergeCell ref="P40:Q40"/>
    <mergeCell ref="T40:V40"/>
    <mergeCell ref="T41:V41"/>
    <mergeCell ref="P41:Q41"/>
    <mergeCell ref="P42:Q42"/>
    <mergeCell ref="R42:S42"/>
    <mergeCell ref="T42:V42"/>
    <mergeCell ref="Q43:V44"/>
    <mergeCell ref="R46:S46"/>
    <mergeCell ref="T46:V46"/>
    <mergeCell ref="P24:S24"/>
    <mergeCell ref="T24:V24"/>
    <mergeCell ref="P21:Q21"/>
    <mergeCell ref="R21:S21"/>
    <mergeCell ref="T21:V21"/>
    <mergeCell ref="P22:S22"/>
    <mergeCell ref="T22:V22"/>
    <mergeCell ref="R23:V23"/>
    <mergeCell ref="N24:O24"/>
    <mergeCell ref="N25:O25"/>
    <mergeCell ref="P25:Q25"/>
    <mergeCell ref="R25:S25"/>
    <mergeCell ref="T25:V25"/>
    <mergeCell ref="N26:O26"/>
    <mergeCell ref="R26:S26"/>
    <mergeCell ref="T26:V26"/>
    <mergeCell ref="T36:V36"/>
    <mergeCell ref="T37:V37"/>
    <mergeCell ref="N27:O27"/>
    <mergeCell ref="P27:Q27"/>
    <mergeCell ref="T27:V27"/>
    <mergeCell ref="T28:V32"/>
    <mergeCell ref="P31:Q32"/>
    <mergeCell ref="T35:V35"/>
    <mergeCell ref="N37:Q37"/>
    <mergeCell ref="P46:Q46"/>
    <mergeCell ref="P47:Q47"/>
    <mergeCell ref="N48:Q48"/>
    <mergeCell ref="N49:Q49"/>
    <mergeCell ref="P50:Q50"/>
    <mergeCell ref="P51:Q51"/>
    <mergeCell ref="T47:V47"/>
    <mergeCell ref="T48:V48"/>
    <mergeCell ref="T49:V49"/>
    <mergeCell ref="T50:V50"/>
    <mergeCell ref="P54:V55"/>
    <mergeCell ref="P57:S58"/>
    <mergeCell ref="X57:Y57"/>
  </mergeCells>
  <conditionalFormatting sqref="E1:T86 U1:U31 V32:V34 U35:U86 V50:V52 W51">
    <cfRule type="containsText" dxfId="0" priority="1" operator="containsText" text="Физика">
      <formula>NOT(ISERROR(SEARCH(("Физика"),(E1))))</formula>
    </cfRule>
  </conditionalFormatting>
  <conditionalFormatting sqref="N52:O52 E54:W55">
    <cfRule type="containsText" dxfId="1" priority="2" operator="containsText" text="Шерашова">
      <formula>NOT(ISERROR(SEARCH(("Шерашова"),(N52))))</formula>
    </cfRule>
  </conditionalFormatting>
  <conditionalFormatting sqref="E2:N53 O2:O54 P2:T53 U2:U31 V32:V34 U35:U53 V50:V52 W51 O57:O58 P57 K61:L68">
    <cfRule type="containsText" dxfId="2" priority="3" operator="containsText" text="Шерашова">
      <formula>NOT(ISERROR(SEARCH(("Шерашова"),(E2))))</formula>
    </cfRule>
  </conditionalFormatting>
  <conditionalFormatting sqref="E2:N53 O2:O54 P2:T53 U2:U31 V32:V34 U35:U53 V50:V52 W51 O57:O58 P57 K61:L68">
    <cfRule type="containsText" dxfId="3" priority="4" operator="containsText" text="Англ">
      <formula>NOT(ISERROR(SEARCH(("Англ"),(E2))))</formula>
    </cfRule>
  </conditionalFormatting>
  <conditionalFormatting sqref="E2:N53 O2:O54 P2:T53 U2:U31 V32:V34 U35:U53 V50:V52 W51 O57:O58 P57 K61:L68">
    <cfRule type="containsText" dxfId="4" priority="5" operator="containsText" text="Театр">
      <formula>NOT(ISERROR(SEARCH(("Театр"),(E2))))</formula>
    </cfRule>
  </conditionalFormatting>
  <conditionalFormatting sqref="E2:N53 O2:O54 P2:T53 U2:U31 V32:V34 U35:U53 V50:V52 W51 O57:O58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8 S10:S32 T10:V45 R11:R46 F15:F17 F19:F20 E24:F30 E32:E53 F32:F45 S35:S41 S43:S45 S47:S53 T47:T50 F48:F49 N48:N49 R49:R53 G50:H53 I50:I52 P50:P53 F51: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ormula1>IF(COUNTA(filter($E1:$W1,ARRAYFORMULA(ISERROR(FIND(join(",",filter(split($H$83,","),ARRAYFORMULA(ISERROR(FIND(split($H$83,","),H50)))=FALSE)),$E1:$W1))=FALSE)))&gt;1,FALSE,TRUE)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 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formula1>IF(COUNTA(filter($E2:$W2,ARRAYFORMULA(ISERROR(FIND(join(",",filter(split($H$82,","),ARRAYFORMULA(ISERROR(FIND(split($H$82,","),E2)))=FALSE)),$E2:$W2))=FALSE)))&gt;1,FALSE,TRUE)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N18 P17:Q18 N24 N29:N30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46:E47 J48:J49 G50:G52">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7:R10">
      <formula1>IF(COUNTA(filter($E51:$W51,ARRAYFORMULA(ISERROR(FIND(join(",",filter(split($H$83,","),ARRAYFORMULA(ISERROR(FIND(split($H$83,","),R7)))=FALSE)),$E51:$W51))=FALSE)))&gt;1,FALSE,TRUE)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F4:F5 E6:E7 H7:H8 E24 G24:H24 G25 E26 R27:S28 H35:H36 G37:G38 N52:N54">
      <formula1>IF(COUNTA(filter($E5:$W5,ARRAYFORMULA(ISERROR(FIND(join(",",filter(split($H$83,","),ARRAYFORMULA(ISERROR(FIND(split($H$83,","),E4)))=FALSE)),$E5:$W5))=FALSE)))&gt;1,FALSE,TRUE)</formula1>
    </dataValidation>
    <dataValidation type="custom" allowBlank="1" showDropDown="1" sqref="N2 R2 T2 G2:G3 J2:J3 L4 P2:P4 G5:H6 K5:M6 T5:T6 L7:L8 P7:P8 T7:U8 G7:G9 H10 J9:J10 N9:N10 Q9:Q10 S10 W2:W10 E12:W12 H13 E13:E14 L13:L14 E17:E18 G15:G18 S17:S18 H19:H20 J15:J20 L17:L20 G21 R19:R21 T21 H22 G23:R23 J24 P25 R25 Q26 P27 E27:E28 I27:I28 Q28 T28 F29:G30 P29:Q30 J31:J32 W13:W32 R33:R34 T33:W34 G35:G36 L35:M36 P35:Q36 H37:H38 J37:J38 L37:N38 E37:E40 G39:G40 J39:K40 N39:P40 R37:S40 R41:T41 J41:L42 T42 E43 G41:H43 K43 Q43 H44 M43:N44 W35:W44 E45:W45 I46 F46:G47 L46:L47 N46:P47 G48 L48:M49 L51 N50:O51 I50:I52 P52 G53:H53 E54 O53:P54 N55:O55 W46:W55 E56:W56 E57:G57 J57 N57:O57 E58: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 P43:P44">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E5 F6:F7 L25 F27:F28 E29:E30">
      <formula1>IF(COUNTA(filter($E7:$W7,ARRAYFORMULA(ISERROR(FIND(join(",",filter(split($H$83,","),ARRAYFORMULA(ISERROR(FIND(split($H$83,","),E4)))=FALSE)),$E7:$W7))=FALSE)))&gt;1,FALSE,TRUE)</formula1>
    </dataValidation>
    <dataValidation type="custom" allowBlank="1" showDropDown="1" sqref="P26 P28 R29:R30 S32 R47:R48 T51:V52 P57">
      <formula1>IF(COUNTA(filter($E25:$W25,ARRAYFORMULA(ISERROR(FIND(join(",",filter(split($H$83,","),ARRAYFORMULA(ISERROR(FIND(split($H$83,","),P26)))=FALSE)),$E25:$W25))=FALSE)))&gt;1,FALSE,TRUE)</formula1>
    </dataValidation>
    <dataValidation type="custom" allowBlank="1" showDropDown="1" sqref="P13:P16 G27:G28 L27:L28 J30 N31:N32 E35:E36 J35:J36 N35:N36 T39:T40 E41:E42 P41:P42 R46 T47:T48 K48:K49 E48:E50 P50:P51 Q52:Q53">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18">
        <v>44991.0</v>
      </c>
      <c r="B2" s="19">
        <v>1.0</v>
      </c>
      <c r="C2" s="20" t="s">
        <v>12</v>
      </c>
      <c r="D2" s="20" t="s">
        <v>13</v>
      </c>
      <c r="E2" s="21" t="s">
        <v>8781</v>
      </c>
      <c r="F2" s="22"/>
      <c r="G2" s="23" t="s">
        <v>8782</v>
      </c>
      <c r="H2" s="24"/>
      <c r="I2" s="25"/>
      <c r="J2" s="21" t="s">
        <v>8783</v>
      </c>
      <c r="K2" s="24"/>
      <c r="L2" s="24"/>
      <c r="M2" s="25"/>
      <c r="N2" s="21" t="s">
        <v>8784</v>
      </c>
      <c r="O2" s="25"/>
      <c r="P2" s="21" t="s">
        <v>8785</v>
      </c>
      <c r="Q2" s="25"/>
      <c r="R2" s="21" t="s">
        <v>8786</v>
      </c>
      <c r="S2" s="25"/>
      <c r="T2" s="21" t="s">
        <v>8787</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8788</v>
      </c>
      <c r="F3" s="34" t="s">
        <v>8789</v>
      </c>
      <c r="G3" s="35" t="s">
        <v>25</v>
      </c>
      <c r="H3" s="36"/>
      <c r="I3" s="13"/>
      <c r="J3" s="37" t="s">
        <v>8790</v>
      </c>
      <c r="K3" s="13"/>
      <c r="L3" s="38" t="s">
        <v>8791</v>
      </c>
      <c r="M3" s="13"/>
      <c r="N3" s="37" t="s">
        <v>8792</v>
      </c>
      <c r="O3" s="13"/>
      <c r="P3" s="37" t="s">
        <v>8793</v>
      </c>
      <c r="Q3" s="13"/>
      <c r="R3" s="39" t="s">
        <v>8794</v>
      </c>
      <c r="S3" s="40" t="s">
        <v>8795</v>
      </c>
      <c r="T3" s="37" t="s">
        <v>32</v>
      </c>
      <c r="U3" s="36"/>
      <c r="V3" s="41"/>
      <c r="W3" s="26"/>
      <c r="X3" s="42" t="s">
        <v>21</v>
      </c>
      <c r="Y3" s="42" t="s">
        <v>22</v>
      </c>
      <c r="Z3" s="28"/>
      <c r="AA3" s="14"/>
      <c r="AB3" s="15" t="str">
        <f>IFERROR(__xludf.DUMMYFUNCTION("join("","",filter(split($H$84,"",""),ARRAYFORMULA(ISERROR(FIND(split($H$84,"",""),CONCATENATE(E3:V3))))=TRUE))"),"201,404,405,406,410,АЗ")</f>
        <v>201,404,405,406,410,АЗ</v>
      </c>
      <c r="AC3" s="14"/>
      <c r="AD3" s="14"/>
      <c r="AE3" s="14"/>
      <c r="AF3" s="29"/>
      <c r="AG3" s="29"/>
      <c r="AH3" s="29"/>
    </row>
    <row r="4" ht="40.5" hidden="1" customHeight="1">
      <c r="A4" s="30"/>
      <c r="B4" s="31">
        <v>3.0</v>
      </c>
      <c r="C4" s="32" t="s">
        <v>33</v>
      </c>
      <c r="D4" s="32" t="s">
        <v>34</v>
      </c>
      <c r="E4" s="33" t="s">
        <v>8796</v>
      </c>
      <c r="F4" s="39" t="s">
        <v>8797</v>
      </c>
      <c r="G4" s="43" t="s">
        <v>8798</v>
      </c>
      <c r="H4" s="44" t="s">
        <v>8799</v>
      </c>
      <c r="I4" s="45" t="s">
        <v>8800</v>
      </c>
      <c r="J4" s="46" t="s">
        <v>8801</v>
      </c>
      <c r="K4" s="13"/>
      <c r="L4" s="45" t="s">
        <v>8802</v>
      </c>
      <c r="M4" s="13"/>
      <c r="N4" s="37" t="s">
        <v>8803</v>
      </c>
      <c r="O4" s="13"/>
      <c r="P4" s="37" t="s">
        <v>8804</v>
      </c>
      <c r="Q4" s="13"/>
      <c r="R4" s="39" t="s">
        <v>8805</v>
      </c>
      <c r="S4" s="40" t="s">
        <v>8806</v>
      </c>
      <c r="T4" s="37" t="s">
        <v>8807</v>
      </c>
      <c r="U4" s="36"/>
      <c r="V4" s="41"/>
      <c r="W4" s="26"/>
      <c r="X4" s="42" t="s">
        <v>33</v>
      </c>
      <c r="Y4" s="42" t="s">
        <v>34</v>
      </c>
      <c r="Z4" s="48" t="s">
        <v>47</v>
      </c>
      <c r="AA4" s="14"/>
      <c r="AB4" s="15" t="str">
        <f>IFERROR(__xludf.DUMMYFUNCTION("join("","",filter(split($H$84,"",""),ARRAYFORMULA(ISERROR(FIND(split($H$84,"",""),CONCATENATE(E4:V4))))=TRUE))"),"КЗ,202,404,406,АЗ")</f>
        <v>КЗ,202,404,406,АЗ</v>
      </c>
      <c r="AC4" s="14"/>
      <c r="AD4" s="14"/>
      <c r="AE4" s="14"/>
      <c r="AF4" s="29"/>
      <c r="AG4" s="29"/>
      <c r="AH4" s="29"/>
    </row>
    <row r="5" ht="40.5" hidden="1" customHeight="1">
      <c r="A5" s="30"/>
      <c r="B5" s="31">
        <v>4.0</v>
      </c>
      <c r="C5" s="32" t="s">
        <v>48</v>
      </c>
      <c r="D5" s="32" t="s">
        <v>49</v>
      </c>
      <c r="E5" s="33" t="s">
        <v>8808</v>
      </c>
      <c r="F5" s="39" t="s">
        <v>8809</v>
      </c>
      <c r="G5" s="43" t="s">
        <v>8810</v>
      </c>
      <c r="H5" s="45" t="s">
        <v>8811</v>
      </c>
      <c r="I5" s="13"/>
      <c r="J5" s="33" t="s">
        <v>8812</v>
      </c>
      <c r="K5" s="44" t="s">
        <v>8813</v>
      </c>
      <c r="L5" s="44" t="s">
        <v>8814</v>
      </c>
      <c r="M5" s="45" t="s">
        <v>8815</v>
      </c>
      <c r="N5" s="37" t="s">
        <v>8816</v>
      </c>
      <c r="O5" s="13"/>
      <c r="P5" s="37" t="s">
        <v>8817</v>
      </c>
      <c r="Q5" s="13"/>
      <c r="R5" s="51" t="s">
        <v>8818</v>
      </c>
      <c r="S5" s="13"/>
      <c r="T5" s="52" t="s">
        <v>8819</v>
      </c>
      <c r="U5" s="36"/>
      <c r="V5" s="41"/>
      <c r="W5" s="26"/>
      <c r="X5" s="42" t="s">
        <v>48</v>
      </c>
      <c r="Y5" s="42" t="s">
        <v>49</v>
      </c>
      <c r="Z5" s="48" t="s">
        <v>57</v>
      </c>
      <c r="AA5" s="14"/>
      <c r="AB5" s="15" t="str">
        <f>IFERROR(__xludf.DUMMYFUNCTION("join("","",filter(split($H$84,"",""),ARRAYFORMULA(ISERROR(FIND(split($H$84,"",""),CONCATENATE(E5:V5))))=TRUE))"),"СЗ,КЗ,202,206,406")</f>
        <v>СЗ,КЗ,202,206,406</v>
      </c>
      <c r="AC5" s="14"/>
      <c r="AD5" s="14"/>
      <c r="AE5" s="14"/>
      <c r="AF5" s="29"/>
      <c r="AG5" s="29"/>
      <c r="AH5" s="29"/>
    </row>
    <row r="6" ht="40.5" hidden="1" customHeight="1">
      <c r="A6" s="30"/>
      <c r="B6" s="31">
        <v>5.0</v>
      </c>
      <c r="C6" s="32" t="s">
        <v>58</v>
      </c>
      <c r="D6" s="53">
        <v>44847.0</v>
      </c>
      <c r="E6" s="39" t="s">
        <v>8820</v>
      </c>
      <c r="F6" s="34" t="s">
        <v>8821</v>
      </c>
      <c r="G6" s="43" t="s">
        <v>8822</v>
      </c>
      <c r="H6" s="45" t="s">
        <v>8823</v>
      </c>
      <c r="I6" s="13"/>
      <c r="J6" s="33" t="s">
        <v>8824</v>
      </c>
      <c r="K6" s="44" t="s">
        <v>64</v>
      </c>
      <c r="L6" s="44" t="s">
        <v>8825</v>
      </c>
      <c r="M6" s="45" t="s">
        <v>8826</v>
      </c>
      <c r="N6" s="37" t="s">
        <v>8827</v>
      </c>
      <c r="O6" s="13"/>
      <c r="P6" s="37" t="s">
        <v>8828</v>
      </c>
      <c r="Q6" s="13"/>
      <c r="R6" s="51" t="s">
        <v>8829</v>
      </c>
      <c r="S6" s="13"/>
      <c r="T6" s="52" t="s">
        <v>8830</v>
      </c>
      <c r="U6" s="36"/>
      <c r="V6" s="41"/>
      <c r="W6" s="26"/>
      <c r="X6" s="42" t="s">
        <v>58</v>
      </c>
      <c r="Y6" s="54">
        <v>44847.0</v>
      </c>
      <c r="Z6" s="48" t="s">
        <v>70</v>
      </c>
      <c r="AA6" s="14"/>
      <c r="AB6" s="15" t="str">
        <f>IFERROR(__xludf.DUMMYFUNCTION("join("","",filter(split($H$84,"",""),ARRAYFORMULA(ISERROR(FIND(split($H$84,"",""),CONCATENATE(E6:V6))))=TRUE))"),"СЗ,КЗ,202,206,406")</f>
        <v>СЗ,КЗ,202,206,406</v>
      </c>
      <c r="AC6" s="14"/>
      <c r="AD6" s="14"/>
      <c r="AE6" s="14"/>
      <c r="AF6" s="29"/>
      <c r="AG6" s="29"/>
      <c r="AH6" s="29"/>
    </row>
    <row r="7" ht="42.0" hidden="1" customHeight="1">
      <c r="A7" s="30"/>
      <c r="B7" s="31">
        <v>6.0</v>
      </c>
      <c r="C7" s="55" t="s">
        <v>71</v>
      </c>
      <c r="D7" s="56" t="s">
        <v>72</v>
      </c>
      <c r="E7" s="39" t="s">
        <v>8831</v>
      </c>
      <c r="F7" s="34" t="s">
        <v>8832</v>
      </c>
      <c r="G7" s="43" t="s">
        <v>8833</v>
      </c>
      <c r="H7" s="45" t="s">
        <v>8834</v>
      </c>
      <c r="I7" s="13"/>
      <c r="J7" s="37" t="s">
        <v>8835</v>
      </c>
      <c r="K7" s="13"/>
      <c r="L7" s="45" t="s">
        <v>8836</v>
      </c>
      <c r="M7" s="13"/>
      <c r="N7" s="37" t="s">
        <v>8837</v>
      </c>
      <c r="O7" s="13"/>
      <c r="P7" s="37" t="s">
        <v>8838</v>
      </c>
      <c r="Q7" s="13"/>
      <c r="R7" s="57" t="s">
        <v>8839</v>
      </c>
      <c r="T7" s="33" t="s">
        <v>8840</v>
      </c>
      <c r="U7" s="45" t="s">
        <v>8841</v>
      </c>
      <c r="V7" s="41"/>
      <c r="W7" s="26"/>
      <c r="X7" s="58" t="s">
        <v>71</v>
      </c>
      <c r="Y7" s="59" t="s">
        <v>72</v>
      </c>
      <c r="Z7" s="48" t="s">
        <v>84</v>
      </c>
      <c r="AA7" s="14"/>
      <c r="AB7" s="15" t="str">
        <f>IFERROR(__xludf.DUMMYFUNCTION("join("","",filter(split($H$84,"",""),ARRAYFORMULA(ISERROR(FIND(split($H$84,"",""),CONCATENATE(E7:V7))))=TRUE))"),"КЗ,202,206,403,406,АЗ")</f>
        <v>КЗ,202,206,403,406,АЗ</v>
      </c>
      <c r="AC7" s="14"/>
      <c r="AD7" s="14"/>
      <c r="AE7" s="14"/>
      <c r="AF7" s="29"/>
      <c r="AG7" s="29"/>
      <c r="AH7" s="29"/>
    </row>
    <row r="8" ht="42.0" hidden="1" customHeight="1">
      <c r="A8" s="30"/>
      <c r="B8" s="31">
        <v>7.0</v>
      </c>
      <c r="C8" s="32" t="s">
        <v>85</v>
      </c>
      <c r="D8" s="32" t="s">
        <v>86</v>
      </c>
      <c r="E8" s="60" t="s">
        <v>8842</v>
      </c>
      <c r="F8" s="41"/>
      <c r="G8" s="43" t="s">
        <v>8843</v>
      </c>
      <c r="H8" s="45" t="s">
        <v>8844</v>
      </c>
      <c r="I8" s="13"/>
      <c r="J8" s="37" t="s">
        <v>8845</v>
      </c>
      <c r="K8" s="13"/>
      <c r="L8" s="45" t="s">
        <v>8846</v>
      </c>
      <c r="M8" s="13"/>
      <c r="N8" s="37" t="s">
        <v>8847</v>
      </c>
      <c r="O8" s="13"/>
      <c r="P8" s="37" t="s">
        <v>8848</v>
      </c>
      <c r="Q8" s="13"/>
      <c r="R8" s="37" t="s">
        <v>8849</v>
      </c>
      <c r="S8" s="13"/>
      <c r="T8" s="43" t="s">
        <v>8850</v>
      </c>
      <c r="U8" s="45" t="s">
        <v>8851</v>
      </c>
      <c r="V8" s="41"/>
      <c r="W8" s="26"/>
      <c r="X8" s="42" t="s">
        <v>85</v>
      </c>
      <c r="Y8" s="42" t="s">
        <v>86</v>
      </c>
      <c r="Z8" s="48" t="s">
        <v>97</v>
      </c>
      <c r="AA8" s="14"/>
      <c r="AB8" s="15" t="str">
        <f>IFERROR(__xludf.DUMMYFUNCTION("join("","",filter(split($H$84,"",""),ARRAYFORMULA(ISERROR(FIND(split($H$84,"",""),CONCATENATE(E8:V8))))=TRUE))"),"202,206,403,406,408,409,410,АЗ")</f>
        <v>202,206,403,406,408,409,410,АЗ</v>
      </c>
      <c r="AC8" s="14"/>
      <c r="AD8" s="14"/>
      <c r="AE8" s="14"/>
      <c r="AF8" s="29"/>
      <c r="AG8" s="29"/>
      <c r="AH8" s="29"/>
    </row>
    <row r="9" ht="40.5" hidden="1" customHeight="1">
      <c r="A9" s="30"/>
      <c r="B9" s="31">
        <v>8.0</v>
      </c>
      <c r="C9" s="32" t="s">
        <v>98</v>
      </c>
      <c r="D9" s="32" t="s">
        <v>99</v>
      </c>
      <c r="E9" s="60" t="s">
        <v>8852</v>
      </c>
      <c r="F9" s="41"/>
      <c r="G9" s="43" t="s">
        <v>8853</v>
      </c>
      <c r="H9" s="45" t="s">
        <v>8854</v>
      </c>
      <c r="I9" s="13"/>
      <c r="J9" s="37" t="s">
        <v>8855</v>
      </c>
      <c r="K9" s="13"/>
      <c r="L9" s="45" t="s">
        <v>8856</v>
      </c>
      <c r="M9" s="13"/>
      <c r="N9" s="61" t="s">
        <v>8857</v>
      </c>
      <c r="O9" s="13"/>
      <c r="P9" s="62" t="s">
        <v>8858</v>
      </c>
      <c r="Q9" s="45" t="s">
        <v>8859</v>
      </c>
      <c r="R9" s="63" t="s">
        <v>108</v>
      </c>
      <c r="S9" s="64"/>
      <c r="T9" s="64"/>
      <c r="U9" s="64"/>
      <c r="V9" s="64"/>
      <c r="W9" s="26"/>
      <c r="X9" s="42" t="s">
        <v>98</v>
      </c>
      <c r="Y9" s="42" t="s">
        <v>99</v>
      </c>
      <c r="Z9" s="11"/>
      <c r="AA9" s="14"/>
      <c r="AB9" s="15" t="str">
        <f>IFERROR(__xludf.DUMMYFUNCTION("join("","",filter(split($H$84,"",""),ARRAYFORMULA(ISERROR(FIND(split($H$84,"",""),CONCATENATE(E9:V9))))=TRUE))"),"206,403,405,406,408,409,410,АЗ")</f>
        <v>206,403,405,406,408,409,410,АЗ</v>
      </c>
      <c r="AC9" s="14"/>
      <c r="AD9" s="14"/>
      <c r="AE9" s="14"/>
      <c r="AF9" s="29"/>
      <c r="AG9" s="29"/>
      <c r="AH9" s="29"/>
    </row>
    <row r="10" ht="75.75" hidden="1" customHeight="1">
      <c r="A10" s="30"/>
      <c r="B10" s="31">
        <v>9.0</v>
      </c>
      <c r="C10" s="65">
        <v>44697.0</v>
      </c>
      <c r="D10" s="44" t="s">
        <v>109</v>
      </c>
      <c r="E10" s="66" t="s">
        <v>8860</v>
      </c>
      <c r="F10" s="67"/>
      <c r="G10" s="43" t="s">
        <v>8861</v>
      </c>
      <c r="H10" s="45" t="s">
        <v>8862</v>
      </c>
      <c r="I10" s="13"/>
      <c r="J10" s="37" t="s">
        <v>8863</v>
      </c>
      <c r="K10" s="13"/>
      <c r="L10" s="45" t="s">
        <v>8864</v>
      </c>
      <c r="M10" s="13"/>
      <c r="N10" s="61" t="s">
        <v>8865</v>
      </c>
      <c r="O10" s="13"/>
      <c r="P10" s="62" t="s">
        <v>8866</v>
      </c>
      <c r="Q10" s="68" t="s">
        <v>117</v>
      </c>
      <c r="R10" s="37" t="s">
        <v>8867</v>
      </c>
      <c r="S10" s="68" t="s">
        <v>8868</v>
      </c>
      <c r="T10" s="36"/>
      <c r="U10" s="36"/>
      <c r="V10" s="41"/>
      <c r="W10" s="26"/>
      <c r="X10" s="69">
        <v>44697.0</v>
      </c>
      <c r="Y10" s="70" t="s">
        <v>109</v>
      </c>
      <c r="Z10" s="28"/>
      <c r="AA10" s="14"/>
      <c r="AB10" s="15" t="str">
        <f>IFERROR(__xludf.DUMMYFUNCTION("join("","",filter(split($H$84,"",""),ARRAYFORMULA(ISERROR(FIND(split($H$84,"",""),CONCATENATE(E10:V10))))=TRUE))"),"206,210,403,405,406,408,АЗ")</f>
        <v>206,210,403,405,406,408,АЗ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8869</v>
      </c>
      <c r="U11" s="36"/>
      <c r="V11" s="41"/>
      <c r="W11" s="26"/>
      <c r="X11" s="70" t="s">
        <v>120</v>
      </c>
      <c r="Y11" s="70" t="s">
        <v>121</v>
      </c>
      <c r="Z11" s="28"/>
      <c r="AA11" s="14"/>
      <c r="AB11" s="15" t="str">
        <f>IFERROR(__xludf.DUMMYFUNCTION("join("","",filter(split($H$84,"",""),ARRAYFORMULA(ISERROR(FIND(split($H$84,"",""),CONCATENATE(F11:V11))))=TRUE))"),"СЗ,КЗ,201,202,206,209,210,401,402,403,404,405,406,408,409,410")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IFERROR(__xludf.DUMMYFUNCTION("join("","",filter(split($H$84,"",""),ARRAYFORMULA(ISERROR(FIND(split($H$84,"",""),CONCATENATE(E12:V12))))=TRUE))"),"СЗ,КЗ,201,202,206,209,210,401,402,403,404,405,406,408,409,410,АЗ")</f>
        <v>СЗ,КЗ,201,202,206,209,210,401,402,403,404,405,406,408,409,410,АЗ</v>
      </c>
      <c r="AC12" s="14"/>
      <c r="AD12" s="14"/>
      <c r="AE12" s="14"/>
      <c r="AF12" s="29"/>
      <c r="AG12" s="29"/>
      <c r="AH12" s="29"/>
    </row>
    <row r="13" ht="40.5" hidden="1" customHeight="1">
      <c r="A13" s="18">
        <v>44992.0</v>
      </c>
      <c r="B13" s="19">
        <v>1.0</v>
      </c>
      <c r="C13" s="20" t="s">
        <v>12</v>
      </c>
      <c r="D13" s="20" t="s">
        <v>13</v>
      </c>
      <c r="E13" s="80" t="s">
        <v>8870</v>
      </c>
      <c r="F13" s="25"/>
      <c r="G13" s="81" t="s">
        <v>8871</v>
      </c>
      <c r="H13" s="80" t="s">
        <v>8872</v>
      </c>
      <c r="I13" s="22"/>
      <c r="J13" s="23" t="s">
        <v>8873</v>
      </c>
      <c r="K13" s="25"/>
      <c r="L13" s="80" t="s">
        <v>8874</v>
      </c>
      <c r="M13" s="25"/>
      <c r="N13" s="82" t="s">
        <v>8875</v>
      </c>
      <c r="O13" s="25"/>
      <c r="P13" s="21" t="s">
        <v>8876</v>
      </c>
      <c r="Q13" s="22"/>
      <c r="R13" s="23" t="s">
        <v>8877</v>
      </c>
      <c r="S13" s="22"/>
      <c r="T13" s="693" t="s">
        <v>8878</v>
      </c>
      <c r="U13" s="247"/>
      <c r="V13" s="245"/>
      <c r="W13" s="26"/>
      <c r="X13" s="27" t="s">
        <v>12</v>
      </c>
      <c r="Y13" s="27" t="s">
        <v>13</v>
      </c>
      <c r="Z13" s="28"/>
      <c r="AA13" s="85"/>
      <c r="AB13" s="15" t="str">
        <f>IFERROR(__xludf.DUMMYFUNCTION("join("","",filter(split($H$84,"",""),ARRAYFORMULA(ISERROR(FIND(split($H$84,"",""),CONCATENATE(E13:V13))))=TRUE))"),"СЗ,КЗ,206,403,404,405,410,АЗ")</f>
        <v>СЗ,КЗ,206,403,404,405,410,АЗ</v>
      </c>
      <c r="AC13" s="14"/>
      <c r="AD13" s="14"/>
      <c r="AE13" s="14"/>
      <c r="AF13" s="29"/>
      <c r="AG13" s="29"/>
      <c r="AH13" s="29"/>
    </row>
    <row r="14" ht="40.5" hidden="1" customHeight="1">
      <c r="A14" s="30"/>
      <c r="B14" s="31">
        <v>2.0</v>
      </c>
      <c r="C14" s="32" t="s">
        <v>21</v>
      </c>
      <c r="D14" s="32" t="s">
        <v>22</v>
      </c>
      <c r="E14" s="45" t="s">
        <v>8879</v>
      </c>
      <c r="F14" s="13"/>
      <c r="G14" s="46" t="s">
        <v>8880</v>
      </c>
      <c r="H14" s="86" t="s">
        <v>8881</v>
      </c>
      <c r="I14" s="41"/>
      <c r="J14" s="35" t="s">
        <v>8882</v>
      </c>
      <c r="K14" s="13"/>
      <c r="L14" s="45" t="s">
        <v>8883</v>
      </c>
      <c r="M14" s="13"/>
      <c r="N14" s="87" t="s">
        <v>8884</v>
      </c>
      <c r="O14" s="13"/>
      <c r="P14" s="37" t="s">
        <v>8885</v>
      </c>
      <c r="Q14" s="41"/>
      <c r="R14" s="35" t="s">
        <v>8886</v>
      </c>
      <c r="S14" s="41"/>
      <c r="V14" s="139"/>
      <c r="W14" s="26"/>
      <c r="X14" s="42" t="s">
        <v>21</v>
      </c>
      <c r="Y14" s="42" t="s">
        <v>22</v>
      </c>
      <c r="Z14" s="28"/>
      <c r="AA14" s="85"/>
      <c r="AB14" s="15" t="str">
        <f>IFERROR(__xludf.DUMMYFUNCTION("join("","",filter(split($H$84,"",""),ARRAYFORMULA(ISERROR(FIND(split($H$84,"",""),CONCATENATE(E14:V14))))=TRUE))"),"СЗ,КЗ,202,206,403,404,405,410,АЗ")</f>
        <v>СЗ,КЗ,202,206,403,404,405,410,АЗ</v>
      </c>
      <c r="AC14" s="14"/>
      <c r="AD14" s="14"/>
      <c r="AE14" s="14"/>
      <c r="AF14" s="29"/>
      <c r="AG14" s="29"/>
      <c r="AH14" s="29"/>
    </row>
    <row r="15" ht="40.5" hidden="1" customHeight="1">
      <c r="A15" s="30"/>
      <c r="B15" s="31">
        <v>3.0</v>
      </c>
      <c r="C15" s="32" t="s">
        <v>33</v>
      </c>
      <c r="D15" s="32" t="s">
        <v>34</v>
      </c>
      <c r="E15" s="40" t="s">
        <v>8887</v>
      </c>
      <c r="F15" s="13"/>
      <c r="G15" s="37" t="s">
        <v>8888</v>
      </c>
      <c r="H15" s="36"/>
      <c r="I15" s="41"/>
      <c r="J15" s="35" t="s">
        <v>8889</v>
      </c>
      <c r="K15" s="13"/>
      <c r="L15" s="45" t="s">
        <v>8890</v>
      </c>
      <c r="M15" s="13"/>
      <c r="N15" s="89" t="s">
        <v>8891</v>
      </c>
      <c r="O15" s="13"/>
      <c r="P15" s="37" t="s">
        <v>8892</v>
      </c>
      <c r="Q15" s="90" t="s">
        <v>8893</v>
      </c>
      <c r="R15" s="43" t="s">
        <v>8894</v>
      </c>
      <c r="S15" s="34" t="s">
        <v>8895</v>
      </c>
      <c r="V15" s="139"/>
      <c r="W15" s="26"/>
      <c r="X15" s="42" t="s">
        <v>33</v>
      </c>
      <c r="Y15" s="42" t="s">
        <v>34</v>
      </c>
      <c r="Z15" s="48" t="s">
        <v>47</v>
      </c>
      <c r="AA15" s="85" t="str">
        <f>AA$5</f>
        <v/>
      </c>
      <c r="AB15" s="15" t="str">
        <f>IFERROR(__xludf.DUMMYFUNCTION("join("","",filter(split($H$84,"",""),ARRAYFORMULA(ISERROR(FIND(split($H$84,"",""),CONCATENATE(E15:V15))))=TRUE))"),"КЗ,201,202,206,403,406,408,410,АЗ")</f>
        <v>КЗ,201,202,206,403,406,408,410,АЗ</v>
      </c>
      <c r="AC15" s="14"/>
      <c r="AD15" s="14"/>
      <c r="AE15" s="14"/>
      <c r="AF15" s="29"/>
      <c r="AG15" s="29"/>
      <c r="AH15" s="29"/>
    </row>
    <row r="16" ht="40.5" hidden="1" customHeight="1">
      <c r="A16" s="30"/>
      <c r="B16" s="31">
        <v>4.0</v>
      </c>
      <c r="C16" s="32" t="s">
        <v>48</v>
      </c>
      <c r="D16" s="32" t="s">
        <v>49</v>
      </c>
      <c r="E16" s="40" t="s">
        <v>8896</v>
      </c>
      <c r="F16" s="13"/>
      <c r="G16" s="37" t="s">
        <v>8897</v>
      </c>
      <c r="H16" s="36"/>
      <c r="I16" s="41"/>
      <c r="J16" s="35" t="s">
        <v>8898</v>
      </c>
      <c r="K16" s="13"/>
      <c r="L16" s="45" t="s">
        <v>8899</v>
      </c>
      <c r="M16" s="13"/>
      <c r="N16" s="89" t="s">
        <v>8900</v>
      </c>
      <c r="O16" s="13"/>
      <c r="P16" s="37" t="s">
        <v>160</v>
      </c>
      <c r="Q16" s="90" t="s">
        <v>161</v>
      </c>
      <c r="R16" s="43" t="s">
        <v>8901</v>
      </c>
      <c r="S16" s="34" t="s">
        <v>8902</v>
      </c>
      <c r="V16" s="139"/>
      <c r="W16" s="26"/>
      <c r="X16" s="42" t="s">
        <v>48</v>
      </c>
      <c r="Y16" s="42" t="s">
        <v>49</v>
      </c>
      <c r="Z16" s="48" t="s">
        <v>57</v>
      </c>
      <c r="AA16" s="85" t="str">
        <f>AA$6</f>
        <v/>
      </c>
      <c r="AB16" s="15" t="str">
        <f>IFERROR(__xludf.DUMMYFUNCTION("join("","",filter(split($H$84,"",""),ARRAYFORMULA(ISERROR(FIND(split($H$84,"",""),CONCATENATE(E16:V16))))=TRUE))"),"КЗ,201,202,206,403,406,408,410,АЗ")</f>
        <v>КЗ,201,202,206,403,406,408,410,АЗ</v>
      </c>
      <c r="AC16" s="14"/>
      <c r="AD16" s="14"/>
      <c r="AE16" s="14"/>
      <c r="AF16" s="29"/>
      <c r="AG16" s="29"/>
      <c r="AH16" s="29"/>
    </row>
    <row r="17" ht="40.5" hidden="1" customHeight="1">
      <c r="A17" s="30"/>
      <c r="B17" s="31">
        <v>5.0</v>
      </c>
      <c r="C17" s="32" t="s">
        <v>58</v>
      </c>
      <c r="D17" s="53">
        <v>44847.0</v>
      </c>
      <c r="E17" s="45" t="s">
        <v>8903</v>
      </c>
      <c r="F17" s="13"/>
      <c r="G17" s="33" t="s">
        <v>8904</v>
      </c>
      <c r="H17" s="45" t="s">
        <v>8905</v>
      </c>
      <c r="I17" s="41"/>
      <c r="J17" s="35" t="s">
        <v>8906</v>
      </c>
      <c r="K17" s="13"/>
      <c r="L17" s="40" t="s">
        <v>8907</v>
      </c>
      <c r="M17" s="13"/>
      <c r="N17" s="45" t="s">
        <v>8908</v>
      </c>
      <c r="O17" s="13"/>
      <c r="P17" s="33" t="s">
        <v>8909</v>
      </c>
      <c r="Q17" s="34" t="s">
        <v>8910</v>
      </c>
      <c r="R17" s="90" t="s">
        <v>8911</v>
      </c>
      <c r="S17" s="92" t="s">
        <v>8912</v>
      </c>
      <c r="T17" s="64"/>
      <c r="U17" s="64"/>
      <c r="V17" s="72"/>
      <c r="W17" s="26"/>
      <c r="X17" s="42" t="s">
        <v>58</v>
      </c>
      <c r="Y17" s="54">
        <v>44847.0</v>
      </c>
      <c r="Z17" s="48" t="s">
        <v>70</v>
      </c>
      <c r="AA17" s="85" t="str">
        <f>AA$7</f>
        <v/>
      </c>
      <c r="AB17" s="15" t="str">
        <f>IFERROR(__xludf.DUMMYFUNCTION("join("","",filter(split($H$84,"",""),ARRAYFORMULA(ISERROR(FIND(split($H$84,"",""),CONCATENATE(E17:V17))))=TRUE))"),"СЗ,202,206,403,406,408,410,АЗ")</f>
        <v>СЗ,202,206,403,406,408,410,АЗ</v>
      </c>
      <c r="AC17" s="14"/>
      <c r="AD17" s="14"/>
      <c r="AE17" s="14"/>
      <c r="AF17" s="29"/>
      <c r="AG17" s="29"/>
      <c r="AH17" s="29"/>
    </row>
    <row r="18" ht="40.5" hidden="1" customHeight="1">
      <c r="A18" s="30"/>
      <c r="B18" s="31">
        <v>6.0</v>
      </c>
      <c r="C18" s="55" t="s">
        <v>71</v>
      </c>
      <c r="D18" s="56" t="s">
        <v>72</v>
      </c>
      <c r="E18" s="45" t="s">
        <v>8913</v>
      </c>
      <c r="F18" s="13"/>
      <c r="G18" s="33" t="s">
        <v>8914</v>
      </c>
      <c r="H18" s="45" t="s">
        <v>8915</v>
      </c>
      <c r="I18" s="41"/>
      <c r="J18" s="35" t="s">
        <v>8916</v>
      </c>
      <c r="K18" s="13"/>
      <c r="L18" s="40" t="s">
        <v>8917</v>
      </c>
      <c r="M18" s="13"/>
      <c r="N18" s="45" t="s">
        <v>8918</v>
      </c>
      <c r="O18" s="13"/>
      <c r="P18" s="33" t="s">
        <v>8919</v>
      </c>
      <c r="Q18" s="34" t="s">
        <v>8920</v>
      </c>
      <c r="R18" s="90" t="s">
        <v>161</v>
      </c>
      <c r="S18" s="92" t="s">
        <v>8921</v>
      </c>
      <c r="T18" s="35"/>
      <c r="U18" s="36"/>
      <c r="V18" s="41"/>
      <c r="W18" s="26"/>
      <c r="X18" s="58" t="s">
        <v>71</v>
      </c>
      <c r="Y18" s="59" t="s">
        <v>72</v>
      </c>
      <c r="Z18" s="48" t="s">
        <v>84</v>
      </c>
      <c r="AA18" s="85" t="str">
        <f>AA$8</f>
        <v/>
      </c>
      <c r="AB18" s="15" t="str">
        <f>IFERROR(__xludf.DUMMYFUNCTION("join("","",filter(split($H$84,"",""),ARRAYFORMULA(ISERROR(FIND(split($H$84,"",""),CONCATENATE(E18:V18))))=TRUE))"),"СЗ,202,206,403,406,408,410,АЗ")</f>
        <v>СЗ,202,206,403,406,408,410,АЗ</v>
      </c>
      <c r="AC18" s="14"/>
      <c r="AD18" s="14"/>
      <c r="AE18" s="14"/>
      <c r="AF18" s="29"/>
      <c r="AG18" s="29"/>
      <c r="AH18" s="29"/>
    </row>
    <row r="19" ht="40.5" hidden="1" customHeight="1">
      <c r="A19" s="30"/>
      <c r="B19" s="694"/>
      <c r="C19" s="695"/>
      <c r="D19" s="695"/>
      <c r="E19" s="696"/>
      <c r="F19" s="696"/>
      <c r="G19" s="583"/>
      <c r="H19" s="286"/>
      <c r="I19" s="286"/>
      <c r="J19" s="697" t="s">
        <v>8922</v>
      </c>
      <c r="K19" s="36"/>
      <c r="L19" s="36"/>
      <c r="M19" s="36"/>
      <c r="N19" s="36"/>
      <c r="O19" s="36"/>
      <c r="P19" s="36"/>
      <c r="Q19" s="41"/>
      <c r="R19" s="279"/>
      <c r="S19" s="97"/>
      <c r="T19" s="698"/>
      <c r="U19" s="698"/>
      <c r="V19" s="698"/>
      <c r="W19" s="699"/>
      <c r="X19" s="700"/>
      <c r="Y19" s="700"/>
      <c r="Z19" s="701"/>
      <c r="AA19" s="702"/>
      <c r="AB19" s="703"/>
      <c r="AC19" s="704"/>
      <c r="AD19" s="704"/>
      <c r="AE19" s="704"/>
      <c r="AF19" s="705"/>
      <c r="AG19" s="705"/>
      <c r="AH19" s="705"/>
    </row>
    <row r="20" ht="40.5" hidden="1" customHeight="1">
      <c r="A20" s="30"/>
      <c r="B20" s="31">
        <v>7.0</v>
      </c>
      <c r="C20" s="32" t="s">
        <v>85</v>
      </c>
      <c r="D20" s="32" t="s">
        <v>86</v>
      </c>
      <c r="E20" s="94" t="s">
        <v>8923</v>
      </c>
      <c r="F20" s="13"/>
      <c r="G20" s="33" t="s">
        <v>8924</v>
      </c>
      <c r="H20" s="45" t="s">
        <v>8925</v>
      </c>
      <c r="I20" s="41"/>
      <c r="J20" s="95" t="s">
        <v>8926</v>
      </c>
      <c r="K20" s="13"/>
      <c r="L20" s="45" t="s">
        <v>8927</v>
      </c>
      <c r="M20" s="13"/>
      <c r="N20" s="45" t="s">
        <v>8928</v>
      </c>
      <c r="O20" s="13"/>
      <c r="P20" s="37" t="s">
        <v>8929</v>
      </c>
      <c r="Q20" s="41"/>
      <c r="R20" s="96" t="s">
        <v>8930</v>
      </c>
      <c r="S20" s="97" t="s">
        <v>8931</v>
      </c>
      <c r="T20" s="35"/>
      <c r="U20" s="36"/>
      <c r="V20" s="41"/>
      <c r="W20" s="26"/>
      <c r="X20" s="42" t="s">
        <v>85</v>
      </c>
      <c r="Y20" s="42" t="s">
        <v>86</v>
      </c>
      <c r="Z20" s="48" t="s">
        <v>97</v>
      </c>
      <c r="AA20" s="85" t="str">
        <f>AA$9</f>
        <v/>
      </c>
      <c r="AB20" s="15" t="str">
        <f>IFERROR(__xludf.DUMMYFUNCTION("join("","",filter(split($H$84,"",""),ARRAYFORMULA(ISERROR(FIND(split($H$84,"",""),CONCATENATE(E20:V20))))=TRUE))"),"СЗ,206,403,404,405,406,410,АЗ")</f>
        <v>СЗ,206,403,404,405,406,410,АЗ</v>
      </c>
      <c r="AC20" s="14"/>
      <c r="AD20" s="14"/>
      <c r="AE20" s="14"/>
      <c r="AF20" s="29"/>
      <c r="AG20" s="29"/>
      <c r="AH20" s="29"/>
    </row>
    <row r="21" ht="40.5" hidden="1" customHeight="1">
      <c r="A21" s="30"/>
      <c r="B21" s="31">
        <v>8.0</v>
      </c>
      <c r="C21" s="32" t="s">
        <v>98</v>
      </c>
      <c r="D21" s="32" t="s">
        <v>99</v>
      </c>
      <c r="E21" s="94" t="s">
        <v>8932</v>
      </c>
      <c r="F21" s="13"/>
      <c r="G21" s="33" t="s">
        <v>8933</v>
      </c>
      <c r="H21" s="45" t="s">
        <v>8934</v>
      </c>
      <c r="I21" s="41"/>
      <c r="J21" s="95" t="s">
        <v>8935</v>
      </c>
      <c r="K21" s="13"/>
      <c r="L21" s="45" t="s">
        <v>8936</v>
      </c>
      <c r="M21" s="13"/>
      <c r="N21" s="45" t="s">
        <v>8937</v>
      </c>
      <c r="O21" s="13"/>
      <c r="P21" s="37" t="s">
        <v>8938</v>
      </c>
      <c r="Q21" s="41"/>
      <c r="R21" s="96" t="s">
        <v>8939</v>
      </c>
      <c r="S21" s="97" t="s">
        <v>8940</v>
      </c>
      <c r="T21" s="35"/>
      <c r="U21" s="36"/>
      <c r="V21" s="41"/>
      <c r="W21" s="26"/>
      <c r="X21" s="42" t="s">
        <v>98</v>
      </c>
      <c r="Y21" s="42" t="s">
        <v>99</v>
      </c>
      <c r="Z21" s="11"/>
      <c r="AA21" s="98"/>
      <c r="AB21" s="15" t="str">
        <f>IFERROR(__xludf.DUMMYFUNCTION("join("","",filter(split($H$84,"",""),ARRAYFORMULA(ISERROR(FIND(split($H$84,"",""),CONCATENATE(E21:V21))))=TRUE))"),"СЗ,206,403,404,405,406,410,АЗ")</f>
        <v>СЗ,206,403,404,405,406,410,АЗ</v>
      </c>
      <c r="AC21" s="14"/>
      <c r="AD21" s="14"/>
      <c r="AE21" s="14"/>
      <c r="AF21" s="29"/>
      <c r="AG21" s="29"/>
      <c r="AH21" s="29"/>
    </row>
    <row r="22" ht="40.5" hidden="1" customHeight="1">
      <c r="A22" s="30"/>
      <c r="B22" s="31">
        <v>9.0</v>
      </c>
      <c r="C22" s="65">
        <v>44697.0</v>
      </c>
      <c r="D22" s="44" t="s">
        <v>109</v>
      </c>
      <c r="E22" s="99" t="s">
        <v>206</v>
      </c>
      <c r="F22" s="4"/>
      <c r="G22" s="100" t="s">
        <v>207</v>
      </c>
      <c r="H22" s="101" t="s">
        <v>208</v>
      </c>
      <c r="I22" s="36"/>
      <c r="J22" s="36"/>
      <c r="K22" s="36"/>
      <c r="L22" s="36"/>
      <c r="M22" s="13"/>
      <c r="N22" s="45" t="s">
        <v>8941</v>
      </c>
      <c r="O22" s="13"/>
      <c r="P22" s="102" t="s">
        <v>8942</v>
      </c>
      <c r="Q22" s="41"/>
      <c r="R22" s="35" t="s">
        <v>211</v>
      </c>
      <c r="S22" s="41"/>
      <c r="T22" s="706"/>
      <c r="U22" s="36"/>
      <c r="V22" s="41"/>
      <c r="W22" s="26"/>
      <c r="X22" s="69">
        <v>44697.0</v>
      </c>
      <c r="Y22" s="70" t="s">
        <v>109</v>
      </c>
      <c r="Z22" s="28"/>
      <c r="AA22" s="98"/>
      <c r="AB22" s="15" t="str">
        <f>IFERROR(__xludf.DUMMYFUNCTION("join("","",filter(split($H$84,"",""),ARRAYFORMULA(ISERROR(FIND(split($H$84,"",""),CONCATENATE(E22:V22))))=TRUE))"),"201,206,210,401,403,404,405,406,408,409,АЗ")</f>
        <v>201,206,210,401,403,404,405,406,408,409,АЗ</v>
      </c>
      <c r="AC22" s="14"/>
      <c r="AD22" s="14"/>
      <c r="AE22" s="14"/>
      <c r="AF22" s="29"/>
      <c r="AG22" s="29"/>
      <c r="AH22" s="29"/>
    </row>
    <row r="23" ht="40.5" hidden="1" customHeight="1">
      <c r="A23" s="30"/>
      <c r="B23" s="31">
        <v>10.0</v>
      </c>
      <c r="C23" s="44" t="s">
        <v>120</v>
      </c>
      <c r="D23" s="44" t="s">
        <v>121</v>
      </c>
      <c r="E23" s="104"/>
      <c r="F23" s="72"/>
      <c r="G23" s="105"/>
      <c r="H23" s="106" t="s">
        <v>213</v>
      </c>
      <c r="I23" s="36"/>
      <c r="J23" s="36"/>
      <c r="K23" s="36"/>
      <c r="L23" s="36"/>
      <c r="M23" s="13"/>
      <c r="N23" s="45" t="s">
        <v>8943</v>
      </c>
      <c r="O23" s="13"/>
      <c r="P23" s="101" t="s">
        <v>215</v>
      </c>
      <c r="Q23" s="36"/>
      <c r="R23" s="36"/>
      <c r="S23" s="13"/>
      <c r="T23" s="107"/>
      <c r="U23" s="36"/>
      <c r="V23" s="41"/>
      <c r="W23" s="26"/>
      <c r="X23" s="70" t="s">
        <v>120</v>
      </c>
      <c r="Y23" s="70" t="s">
        <v>121</v>
      </c>
      <c r="Z23" s="28"/>
      <c r="AA23" s="98"/>
      <c r="AB23" s="15" t="str">
        <f>IFERROR(__xludf.DUMMYFUNCTION("join("","",filter(split($H$84,"",""),ARRAYFORMULA(ISERROR(FIND(split($H$84,"",""),CONCATENATE(E23:V23))))=TRUE))"),"СЗ,201,202,206,209,210,401,403,404,405,406,408,409,АЗ")</f>
        <v>СЗ,201,202,206,209,210,401,403,404,405,406,408,409,АЗ</v>
      </c>
      <c r="AC23" s="14"/>
      <c r="AD23" s="14"/>
      <c r="AE23" s="14"/>
      <c r="AF23" s="29"/>
      <c r="AG23" s="29"/>
      <c r="AH23" s="29"/>
    </row>
    <row r="24" ht="40.5" hidden="1" customHeight="1">
      <c r="A24" s="74"/>
      <c r="B24" s="75">
        <v>11.0</v>
      </c>
      <c r="C24" s="76" t="s">
        <v>124</v>
      </c>
      <c r="D24" s="76" t="s">
        <v>125</v>
      </c>
      <c r="E24" s="108"/>
      <c r="F24" s="109"/>
      <c r="G24" s="110"/>
      <c r="H24" s="111"/>
      <c r="I24" s="112"/>
      <c r="J24" s="113"/>
      <c r="K24" s="111"/>
      <c r="L24" s="111"/>
      <c r="M24" s="111"/>
      <c r="N24" s="111"/>
      <c r="O24" s="111"/>
      <c r="P24" s="111"/>
      <c r="Q24" s="111"/>
      <c r="R24" s="114" t="s">
        <v>8944</v>
      </c>
      <c r="S24" s="115"/>
      <c r="T24" s="115"/>
      <c r="U24" s="115"/>
      <c r="V24" s="67"/>
      <c r="W24" s="26"/>
      <c r="X24" s="79" t="s">
        <v>124</v>
      </c>
      <c r="Y24" s="79" t="s">
        <v>125</v>
      </c>
      <c r="Z24" s="28" t="str">
        <f/>
        <v>#ERROR!</v>
      </c>
      <c r="AA24" s="98"/>
      <c r="AB24" s="15" t="str">
        <f>IFERROR(__xludf.DUMMYFUNCTION("join("","",filter(split($H$84,"",""),ARRAYFORMULA(ISERROR(FIND(split($H$84,"",""),CONCATENATE(E24:V24))))=TRUE))"),"КЗ,201,202,206,209,210,401,402,403,404,405,406,408,409,410,АЗ")</f>
        <v>КЗ,201,202,206,209,210,401,402,403,404,405,406,408,409,410,АЗ</v>
      </c>
      <c r="AC24" s="14"/>
      <c r="AD24" s="14"/>
      <c r="AE24" s="14"/>
      <c r="AF24" s="29"/>
      <c r="AG24" s="29"/>
      <c r="AH24" s="29"/>
    </row>
    <row r="25" ht="40.5" hidden="1" customHeight="1">
      <c r="A25" s="271">
        <v>44993.0</v>
      </c>
      <c r="B25" s="19">
        <v>1.0</v>
      </c>
      <c r="C25" s="20" t="s">
        <v>12</v>
      </c>
      <c r="D25" s="20" t="s">
        <v>13</v>
      </c>
      <c r="E25" s="21"/>
      <c r="F25" s="22"/>
      <c r="G25" s="116"/>
      <c r="H25" s="117"/>
      <c r="I25" s="22"/>
      <c r="J25" s="118"/>
      <c r="K25" s="24"/>
      <c r="L25" s="24"/>
      <c r="M25" s="25"/>
      <c r="N25" s="80"/>
      <c r="O25" s="25"/>
      <c r="P25" s="585"/>
      <c r="Q25" s="24"/>
      <c r="R25" s="24"/>
      <c r="S25" s="22"/>
      <c r="T25" s="121"/>
      <c r="U25" s="24"/>
      <c r="V25" s="22"/>
      <c r="W25" s="26"/>
      <c r="X25" s="27" t="s">
        <v>12</v>
      </c>
      <c r="Y25" s="27" t="s">
        <v>13</v>
      </c>
      <c r="Z25" s="28"/>
      <c r="AA25" s="14"/>
      <c r="AB25" s="15" t="str">
        <f>IFERROR(__xludf.DUMMYFUNCTION("join("","",filter(split($H$84,"",""),ARRAYFORMULA(ISERROR(FIND(split($H$84,"",""),CONCATENATE(E25:V25))))=TRUE))"),"СЗ,КЗ,201,202,206,209,210,401,402,403,404,405,406,408,409,410,АЗ")</f>
        <v>СЗ,КЗ,201,202,206,209,210,401,402,403,404,405,406,408,409,410,АЗ</v>
      </c>
      <c r="AC25" s="14"/>
      <c r="AD25" s="14"/>
      <c r="AE25" s="14"/>
      <c r="AF25" s="29"/>
      <c r="AG25" s="29"/>
      <c r="AH25" s="29"/>
    </row>
    <row r="26" ht="40.5" hidden="1" customHeight="1">
      <c r="A26" s="274"/>
      <c r="B26" s="31">
        <v>2.0</v>
      </c>
      <c r="C26" s="32" t="s">
        <v>21</v>
      </c>
      <c r="D26" s="32" t="s">
        <v>22</v>
      </c>
      <c r="E26" s="51"/>
      <c r="F26" s="41"/>
      <c r="G26" s="39"/>
      <c r="H26" s="89"/>
      <c r="I26" s="41"/>
      <c r="J26" s="35"/>
      <c r="K26" s="13"/>
      <c r="L26" s="40"/>
      <c r="M26" s="13"/>
      <c r="N26" s="40"/>
      <c r="O26" s="13"/>
      <c r="P26" s="37"/>
      <c r="Q26" s="13"/>
      <c r="R26" s="122"/>
      <c r="S26" s="41"/>
      <c r="T26" s="103"/>
      <c r="U26" s="36"/>
      <c r="V26" s="41"/>
      <c r="W26" s="26"/>
      <c r="X26" s="42" t="s">
        <v>21</v>
      </c>
      <c r="Y26" s="42" t="s">
        <v>22</v>
      </c>
      <c r="Z26" s="28"/>
      <c r="AA26" s="14"/>
      <c r="AB26" s="15" t="str">
        <f>IFERROR(__xludf.DUMMYFUNCTION("join("","",filter(split($H$84,"",""),ARRAYFORMULA(ISERROR(FIND(split($H$84,"",""),CONCATENATE(E26:V26))))=TRUE))"),"СЗ,КЗ,201,202,206,209,210,401,402,403,404,405,406,408,409,410,АЗ")</f>
        <v>СЗ,КЗ,201,202,206,209,210,401,402,403,404,405,406,408,409,410,АЗ</v>
      </c>
      <c r="AC26" s="14"/>
      <c r="AD26" s="14"/>
      <c r="AE26" s="14"/>
      <c r="AF26" s="29"/>
      <c r="AG26" s="29"/>
      <c r="AH26" s="29"/>
    </row>
    <row r="27" ht="40.5" hidden="1" customHeight="1">
      <c r="A27" s="274"/>
      <c r="B27" s="31">
        <v>3.0</v>
      </c>
      <c r="C27" s="32" t="s">
        <v>33</v>
      </c>
      <c r="D27" s="32" t="s">
        <v>34</v>
      </c>
      <c r="E27" s="37"/>
      <c r="F27" s="41"/>
      <c r="G27" s="51"/>
      <c r="H27" s="36"/>
      <c r="I27" s="41"/>
      <c r="J27" s="95"/>
      <c r="K27" s="13"/>
      <c r="L27" s="123"/>
      <c r="M27" s="41"/>
      <c r="N27" s="40"/>
      <c r="O27" s="13"/>
      <c r="P27" s="39"/>
      <c r="Q27" s="124"/>
      <c r="R27" s="89"/>
      <c r="S27" s="41"/>
      <c r="T27" s="125"/>
      <c r="U27" s="36"/>
      <c r="V27" s="41"/>
      <c r="W27" s="26"/>
      <c r="X27" s="42" t="s">
        <v>33</v>
      </c>
      <c r="Y27" s="42" t="s">
        <v>34</v>
      </c>
      <c r="Z27" s="48" t="s">
        <v>47</v>
      </c>
      <c r="AA27" s="85" t="str">
        <f>AA$5</f>
        <v/>
      </c>
      <c r="AB27" s="15" t="str">
        <f>IFERROR(__xludf.DUMMYFUNCTION("join("","",filter(split($H$84,"",""),ARRAYFORMULA(ISERROR(FIND(split($H$84,"",""),CONCATENATE(E27:V27))))=TRUE))"),"СЗ,КЗ,201,202,206,209,210,401,402,403,404,405,406,408,409,410,АЗ")</f>
        <v>СЗ,КЗ,201,202,206,209,210,401,402,403,404,405,406,408,409,410,АЗ</v>
      </c>
      <c r="AC27" s="14"/>
      <c r="AD27" s="14"/>
      <c r="AE27" s="14"/>
      <c r="AF27" s="29"/>
      <c r="AG27" s="29"/>
      <c r="AH27" s="29"/>
    </row>
    <row r="28" ht="54.0" hidden="1" customHeight="1">
      <c r="A28" s="274"/>
      <c r="B28" s="31">
        <v>4.0</v>
      </c>
      <c r="C28" s="32" t="s">
        <v>48</v>
      </c>
      <c r="D28" s="32" t="s">
        <v>49</v>
      </c>
      <c r="E28" s="583"/>
      <c r="F28" s="286"/>
      <c r="G28" s="52"/>
      <c r="H28" s="13"/>
      <c r="I28" s="286"/>
      <c r="J28" s="707"/>
      <c r="K28" s="13"/>
      <c r="L28" s="163"/>
      <c r="M28" s="13"/>
      <c r="N28" s="708"/>
      <c r="O28" s="13"/>
      <c r="P28" s="52"/>
      <c r="Q28" s="13"/>
      <c r="R28" s="177"/>
      <c r="S28" s="286"/>
      <c r="T28" s="125"/>
      <c r="U28" s="36"/>
      <c r="V28" s="41"/>
      <c r="W28" s="26"/>
      <c r="X28" s="42" t="s">
        <v>48</v>
      </c>
      <c r="Y28" s="42" t="s">
        <v>49</v>
      </c>
      <c r="Z28" s="48" t="s">
        <v>57</v>
      </c>
      <c r="AA28" s="85" t="str">
        <f>AA$6</f>
        <v/>
      </c>
      <c r="AB28" s="15" t="str">
        <f>IFERROR(__xludf.DUMMYFUNCTION("join("","",filter(split($H$84,"",""),ARRAYFORMULA(ISERROR(FIND(split($H$84,"",""),CONCATENATE(E28:V28))))=TRUE))"),"СЗ,КЗ,201,202,206,209,210,401,402,403,404,405,406,408,409,410,АЗ")</f>
        <v>СЗ,КЗ,201,202,206,209,210,401,402,403,404,405,406,408,409,410,АЗ</v>
      </c>
      <c r="AC28" s="14"/>
      <c r="AD28" s="14"/>
      <c r="AE28" s="14"/>
      <c r="AF28" s="29"/>
      <c r="AG28" s="29"/>
      <c r="AH28" s="29"/>
    </row>
    <row r="29" ht="53.25" hidden="1" customHeight="1">
      <c r="A29" s="274"/>
      <c r="B29" s="31">
        <v>5.0</v>
      </c>
      <c r="C29" s="32" t="s">
        <v>58</v>
      </c>
      <c r="D29" s="53">
        <v>44847.0</v>
      </c>
      <c r="E29" s="583"/>
      <c r="F29" s="286"/>
      <c r="G29" s="52"/>
      <c r="H29" s="13"/>
      <c r="I29" s="286"/>
      <c r="J29" s="709"/>
      <c r="K29" s="41"/>
      <c r="L29" s="163"/>
      <c r="M29" s="13"/>
      <c r="N29" s="166"/>
      <c r="O29" s="13"/>
      <c r="P29" s="583"/>
      <c r="Q29" s="710"/>
      <c r="R29" s="177"/>
      <c r="S29" s="286"/>
      <c r="T29" s="711"/>
      <c r="U29" s="8"/>
      <c r="V29" s="129"/>
      <c r="W29" s="26"/>
      <c r="X29" s="42" t="s">
        <v>58</v>
      </c>
      <c r="Y29" s="54">
        <v>44847.0</v>
      </c>
      <c r="Z29" s="48" t="s">
        <v>70</v>
      </c>
      <c r="AA29" s="85" t="str">
        <f>AA$7</f>
        <v/>
      </c>
      <c r="AB29" s="15" t="str">
        <f>IFERROR(__xludf.DUMMYFUNCTION("join("","",filter(split($H$84,"",""),ARRAYFORMULA(ISERROR(FIND(split($H$84,"",""),CONCATENATE(E29:V29))))=TRUE))"),"СЗ,КЗ,201,202,206,209,210,401,402,403,404,405,406,408,409,410,АЗ")</f>
        <v>СЗ,КЗ,201,202,206,209,210,401,402,403,404,405,406,408,409,410,АЗ</v>
      </c>
      <c r="AC29" s="14"/>
      <c r="AD29" s="14"/>
      <c r="AE29" s="14"/>
      <c r="AF29" s="29"/>
      <c r="AG29" s="29"/>
      <c r="AH29" s="29"/>
    </row>
    <row r="30" ht="40.5" hidden="1" customHeight="1">
      <c r="A30" s="274"/>
      <c r="B30" s="31">
        <v>6.0</v>
      </c>
      <c r="C30" s="55" t="s">
        <v>71</v>
      </c>
      <c r="D30" s="56" t="s">
        <v>72</v>
      </c>
      <c r="E30" s="286"/>
      <c r="F30" s="286"/>
      <c r="G30" s="163"/>
      <c r="H30" s="41"/>
      <c r="I30" s="286"/>
      <c r="J30" s="709"/>
      <c r="K30" s="41"/>
      <c r="L30" s="166"/>
      <c r="M30" s="13"/>
      <c r="N30" s="87"/>
      <c r="O30" s="13"/>
      <c r="P30" s="712"/>
      <c r="Q30" s="177"/>
      <c r="R30" s="713"/>
      <c r="S30" s="286"/>
      <c r="V30" s="134"/>
      <c r="W30" s="26"/>
      <c r="X30" s="58" t="s">
        <v>71</v>
      </c>
      <c r="Y30" s="59" t="s">
        <v>72</v>
      </c>
      <c r="Z30" s="48" t="s">
        <v>84</v>
      </c>
      <c r="AA30" s="85" t="str">
        <f>AA$8</f>
        <v/>
      </c>
      <c r="AB30" s="15" t="str">
        <f>IFERROR(__xludf.DUMMYFUNCTION("join("","",filter(split($H$84,"",""),ARRAYFORMULA(ISERROR(FIND(split($H$84,"",""),CONCATENATE(E30:V30))))=TRUE))"),"СЗ,КЗ,201,202,206,209,210,401,402,403,404,405,406,408,409,410,АЗ")</f>
        <v>СЗ,КЗ,201,202,206,209,210,401,402,403,404,405,406,408,409,410,АЗ</v>
      </c>
      <c r="AC30" s="14"/>
      <c r="AD30" s="14"/>
      <c r="AE30" s="14"/>
      <c r="AF30" s="29"/>
      <c r="AG30" s="29"/>
      <c r="AH30" s="29"/>
    </row>
    <row r="31" ht="40.5" hidden="1" customHeight="1">
      <c r="A31" s="274"/>
      <c r="B31" s="31">
        <v>7.0</v>
      </c>
      <c r="C31" s="32" t="s">
        <v>85</v>
      </c>
      <c r="D31" s="32" t="s">
        <v>86</v>
      </c>
      <c r="E31" s="286"/>
      <c r="F31" s="286"/>
      <c r="G31" s="163"/>
      <c r="H31" s="41"/>
      <c r="I31" s="286"/>
      <c r="J31" s="91"/>
      <c r="K31" s="13"/>
      <c r="L31" s="709"/>
      <c r="M31" s="41"/>
      <c r="N31" s="87"/>
      <c r="O31" s="13"/>
      <c r="P31" s="712"/>
      <c r="Q31" s="177"/>
      <c r="R31" s="173"/>
      <c r="S31" s="286"/>
      <c r="V31" s="134"/>
      <c r="W31" s="26"/>
      <c r="X31" s="42" t="s">
        <v>85</v>
      </c>
      <c r="Y31" s="42" t="s">
        <v>86</v>
      </c>
      <c r="Z31" s="48" t="s">
        <v>97</v>
      </c>
      <c r="AA31" s="85" t="str">
        <f>AA$9</f>
        <v/>
      </c>
      <c r="AB31" s="15" t="str">
        <f>IFERROR(__xludf.DUMMYFUNCTION("join("","",filter(split($H$84,"",""),ARRAYFORMULA(ISERROR(FIND(split($H$84,"",""),CONCATENATE(E31:V31))))=TRUE))"),"СЗ,КЗ,201,202,206,209,210,401,402,403,404,405,406,408,409,410,АЗ")</f>
        <v>СЗ,КЗ,201,202,206,209,210,401,402,403,404,405,406,408,409,410,АЗ</v>
      </c>
      <c r="AC31" s="14"/>
      <c r="AD31" s="14"/>
      <c r="AE31" s="14"/>
      <c r="AF31" s="29"/>
      <c r="AG31" s="29"/>
      <c r="AH31" s="29"/>
    </row>
    <row r="32" ht="52.5" hidden="1" customHeight="1">
      <c r="A32" s="274"/>
      <c r="B32" s="31">
        <v>8.0</v>
      </c>
      <c r="C32" s="32" t="s">
        <v>98</v>
      </c>
      <c r="D32" s="32" t="s">
        <v>99</v>
      </c>
      <c r="E32" s="46"/>
      <c r="F32" s="41"/>
      <c r="G32" s="714"/>
      <c r="H32" s="8"/>
      <c r="I32" s="129"/>
      <c r="J32" s="715"/>
      <c r="K32" s="36"/>
      <c r="L32" s="36"/>
      <c r="M32" s="13"/>
      <c r="N32" s="163"/>
      <c r="O32" s="13"/>
      <c r="P32" s="714"/>
      <c r="Q32" s="4"/>
      <c r="R32" s="716"/>
      <c r="S32" s="133"/>
      <c r="V32" s="134"/>
      <c r="W32" s="26"/>
      <c r="X32" s="42" t="s">
        <v>98</v>
      </c>
      <c r="Y32" s="42" t="s">
        <v>99</v>
      </c>
      <c r="Z32" s="11"/>
      <c r="AA32" s="14"/>
      <c r="AB32" s="15" t="str">
        <f>IFERROR(__xludf.DUMMYFUNCTION("join("","",filter(split($H$84,"",""),ARRAYFORMULA(ISERROR(FIND(split($H$84,"",""),CONCATENATE(E32:V32))))=TRUE))"),"СЗ,КЗ,201,202,206,209,210,401,402,403,404,405,406,408,409,410,АЗ")</f>
        <v>СЗ,КЗ,201,202,206,209,210,401,402,403,404,405,406,408,409,410,АЗ</v>
      </c>
      <c r="AC32" s="14"/>
      <c r="AD32" s="14"/>
      <c r="AE32" s="14"/>
      <c r="AF32" s="29"/>
      <c r="AG32" s="29"/>
      <c r="AH32" s="29"/>
    </row>
    <row r="33" ht="57.0" hidden="1" customHeight="1">
      <c r="A33" s="274"/>
      <c r="B33" s="31">
        <v>9.0</v>
      </c>
      <c r="C33" s="65">
        <v>44697.0</v>
      </c>
      <c r="D33" s="44" t="s">
        <v>109</v>
      </c>
      <c r="E33" s="52"/>
      <c r="F33" s="13"/>
      <c r="G33" s="142"/>
      <c r="H33" s="64"/>
      <c r="I33" s="88"/>
      <c r="J33" s="715"/>
      <c r="K33" s="36"/>
      <c r="L33" s="36"/>
      <c r="M33" s="13"/>
      <c r="N33" s="163"/>
      <c r="O33" s="13"/>
      <c r="P33" s="142"/>
      <c r="Q33" s="72"/>
      <c r="R33" s="716"/>
      <c r="S33" s="286"/>
      <c r="T33" s="64"/>
      <c r="U33" s="64"/>
      <c r="V33" s="88"/>
      <c r="W33" s="26"/>
      <c r="X33" s="69">
        <v>44697.0</v>
      </c>
      <c r="Y33" s="70" t="s">
        <v>109</v>
      </c>
      <c r="Z33" s="28"/>
      <c r="AA33" s="14"/>
      <c r="AB33" s="15" t="str">
        <f>IFERROR(__xludf.DUMMYFUNCTION("join("","",filter(split($H$84,"",""),ARRAYFORMULA(ISERROR(FIND(split($H$84,"",""),CONCATENATE(E33:V33))))=TRUE))"),"СЗ,КЗ,201,202,206,209,210,401,402,403,404,405,406,408,409,410,АЗ")</f>
        <v>СЗ,КЗ,201,202,206,209,210,401,402,403,404,405,406,408,409,410,АЗ</v>
      </c>
      <c r="AC33" s="14"/>
      <c r="AD33" s="14"/>
      <c r="AE33" s="14"/>
      <c r="AF33" s="29"/>
      <c r="AG33" s="29"/>
      <c r="AH33" s="29"/>
    </row>
    <row r="34" ht="40.5" hidden="1" customHeight="1">
      <c r="A34" s="274"/>
      <c r="B34" s="31">
        <v>10.0</v>
      </c>
      <c r="C34" s="44" t="s">
        <v>120</v>
      </c>
      <c r="D34" s="44" t="s">
        <v>121</v>
      </c>
      <c r="E34" s="52"/>
      <c r="F34" s="13"/>
      <c r="G34" s="717"/>
      <c r="H34" s="8"/>
      <c r="I34" s="8"/>
      <c r="J34" s="8"/>
      <c r="K34" s="8"/>
      <c r="L34" s="8"/>
      <c r="M34" s="8"/>
      <c r="N34" s="8"/>
      <c r="O34" s="8"/>
      <c r="P34" s="8"/>
      <c r="Q34" s="4"/>
      <c r="R34" s="718"/>
      <c r="S34" s="719"/>
      <c r="T34" s="720"/>
      <c r="U34" s="721"/>
      <c r="V34" s="722"/>
      <c r="W34" s="26"/>
      <c r="X34" s="70" t="s">
        <v>120</v>
      </c>
      <c r="Y34" s="70" t="s">
        <v>121</v>
      </c>
      <c r="Z34" s="28"/>
      <c r="AA34" s="14"/>
      <c r="AB34" s="15"/>
      <c r="AC34" s="14"/>
      <c r="AD34" s="14"/>
      <c r="AE34" s="14"/>
      <c r="AF34" s="29"/>
      <c r="AG34" s="29"/>
      <c r="AH34" s="29"/>
    </row>
    <row r="35" ht="40.5" hidden="1" customHeight="1">
      <c r="A35" s="289"/>
      <c r="B35" s="75">
        <v>11.0</v>
      </c>
      <c r="C35" s="76" t="s">
        <v>124</v>
      </c>
      <c r="D35" s="76" t="s">
        <v>125</v>
      </c>
      <c r="E35" s="52"/>
      <c r="F35" s="13"/>
      <c r="G35" s="151"/>
      <c r="H35" s="151"/>
      <c r="I35" s="151"/>
      <c r="J35" s="151"/>
      <c r="K35" s="151"/>
      <c r="L35" s="151"/>
      <c r="M35" s="151"/>
      <c r="N35" s="151"/>
      <c r="O35" s="151"/>
      <c r="P35" s="151"/>
      <c r="Q35" s="152"/>
      <c r="R35" s="723"/>
      <c r="S35" s="724"/>
      <c r="T35" s="725"/>
      <c r="U35" s="726"/>
      <c r="V35" s="727"/>
      <c r="W35" s="26"/>
      <c r="X35" s="79" t="s">
        <v>124</v>
      </c>
      <c r="Y35" s="79" t="s">
        <v>125</v>
      </c>
      <c r="Z35" s="28"/>
      <c r="AA35" s="14"/>
      <c r="AB35" s="15" t="str">
        <f>IFERROR(__xludf.DUMMYFUNCTION("join("","",filter(split($H$84,"",""),ARRAYFORMULA(ISERROR(FIND(split($H$84,"",""),CONCATENATE(E35:V35))))=TRUE))"),"СЗ,КЗ,201,202,206,209,210,401,402,403,404,405,406,408,409,410,АЗ")</f>
        <v>СЗ,КЗ,201,202,206,209,210,401,402,403,404,405,406,408,409,410,АЗ</v>
      </c>
      <c r="AC35" s="14"/>
      <c r="AD35" s="14"/>
      <c r="AE35" s="14"/>
      <c r="AF35" s="29"/>
      <c r="AG35" s="29"/>
      <c r="AH35" s="29"/>
    </row>
    <row r="36" ht="111.75" hidden="1" customHeight="1">
      <c r="A36" s="18">
        <v>44994.0</v>
      </c>
      <c r="B36" s="19">
        <v>1.0</v>
      </c>
      <c r="C36" s="20" t="s">
        <v>12</v>
      </c>
      <c r="D36" s="20" t="s">
        <v>13</v>
      </c>
      <c r="E36" s="80" t="s">
        <v>8945</v>
      </c>
      <c r="F36" s="25"/>
      <c r="G36" s="156" t="s">
        <v>8946</v>
      </c>
      <c r="H36" s="728" t="s">
        <v>8947</v>
      </c>
      <c r="I36" s="117" t="s">
        <v>8948</v>
      </c>
      <c r="J36" s="157" t="s">
        <v>8949</v>
      </c>
      <c r="K36" s="13"/>
      <c r="L36" s="156" t="s">
        <v>8950</v>
      </c>
      <c r="M36" s="156" t="s">
        <v>8951</v>
      </c>
      <c r="N36" s="80"/>
      <c r="O36" s="25"/>
      <c r="P36" s="611" t="s">
        <v>8952</v>
      </c>
      <c r="Q36" s="13"/>
      <c r="R36" s="159" t="s">
        <v>8953</v>
      </c>
      <c r="S36" s="160" t="s">
        <v>8954</v>
      </c>
      <c r="T36" s="161" t="s">
        <v>8955</v>
      </c>
      <c r="U36" s="24"/>
      <c r="V36" s="22"/>
      <c r="W36" s="26"/>
      <c r="X36" s="27" t="s">
        <v>12</v>
      </c>
      <c r="Y36" s="27" t="s">
        <v>13</v>
      </c>
      <c r="Z36" s="28"/>
      <c r="AA36" s="14"/>
      <c r="AB36" s="15" t="str">
        <f>IFERROR(__xludf.DUMMYFUNCTION("join("","",filter(split($H$84,"",""),ARRAYFORMULA(ISERROR(FIND(split($H$84,"",""),CONCATENATE(E36:V36))))=TRUE))"),"СЗ,206,409,410,АЗ")</f>
        <v>СЗ,206,409,410,АЗ</v>
      </c>
      <c r="AC36" s="14"/>
      <c r="AD36" s="14"/>
      <c r="AE36" s="14"/>
      <c r="AF36" s="29"/>
      <c r="AG36" s="29"/>
      <c r="AH36" s="29"/>
    </row>
    <row r="37" ht="54.0" hidden="1" customHeight="1">
      <c r="A37" s="30"/>
      <c r="B37" s="31">
        <v>2.0</v>
      </c>
      <c r="C37" s="32" t="s">
        <v>21</v>
      </c>
      <c r="D37" s="32" t="s">
        <v>22</v>
      </c>
      <c r="E37" s="45" t="s">
        <v>8956</v>
      </c>
      <c r="F37" s="13"/>
      <c r="G37" s="44" t="s">
        <v>8957</v>
      </c>
      <c r="H37" s="40" t="s">
        <v>312</v>
      </c>
      <c r="I37" s="13"/>
      <c r="J37" s="157" t="s">
        <v>313</v>
      </c>
      <c r="K37" s="13"/>
      <c r="L37" s="44" t="s">
        <v>8958</v>
      </c>
      <c r="M37" s="44" t="s">
        <v>8959</v>
      </c>
      <c r="N37" s="45"/>
      <c r="O37" s="13"/>
      <c r="P37" s="44" t="s">
        <v>8960</v>
      </c>
      <c r="Q37" s="44" t="s">
        <v>8961</v>
      </c>
      <c r="R37" s="162" t="s">
        <v>8962</v>
      </c>
      <c r="S37" s="90" t="s">
        <v>320</v>
      </c>
      <c r="T37" s="163" t="s">
        <v>8963</v>
      </c>
      <c r="U37" s="36"/>
      <c r="V37" s="41"/>
      <c r="W37" s="26"/>
      <c r="X37" s="42" t="s">
        <v>21</v>
      </c>
      <c r="Y37" s="42" t="s">
        <v>22</v>
      </c>
      <c r="Z37" s="28"/>
      <c r="AA37" s="14"/>
      <c r="AB37" s="15" t="str">
        <f>IFERROR(__xludf.DUMMYFUNCTION("join("","",filter(split($H$84,"",""),ARRAYFORMULA(ISERROR(FIND(split($H$84,"",""),CONCATENATE(E37:V37))))=TRUE))"),"СЗ,206,406,409,410,АЗ")</f>
        <v>СЗ,206,406,409,410,АЗ</v>
      </c>
      <c r="AC37" s="14"/>
      <c r="AD37" s="14"/>
      <c r="AE37" s="14"/>
      <c r="AF37" s="29"/>
      <c r="AG37" s="29"/>
      <c r="AH37" s="29"/>
    </row>
    <row r="38" ht="56.25" hidden="1" customHeight="1">
      <c r="A38" s="30"/>
      <c r="B38" s="31">
        <v>3.0</v>
      </c>
      <c r="C38" s="32" t="s">
        <v>33</v>
      </c>
      <c r="D38" s="32" t="s">
        <v>34</v>
      </c>
      <c r="E38" s="45" t="s">
        <v>8964</v>
      </c>
      <c r="F38" s="13"/>
      <c r="G38" s="132" t="s">
        <v>8965</v>
      </c>
      <c r="H38" s="45" t="s">
        <v>8966</v>
      </c>
      <c r="I38" s="13"/>
      <c r="J38" s="45" t="s">
        <v>8967</v>
      </c>
      <c r="K38" s="13"/>
      <c r="L38" s="44" t="s">
        <v>8968</v>
      </c>
      <c r="M38" s="44" t="s">
        <v>8969</v>
      </c>
      <c r="N38" s="164" t="s">
        <v>8970</v>
      </c>
      <c r="O38" s="36"/>
      <c r="P38" s="36"/>
      <c r="Q38" s="13"/>
      <c r="R38" s="44" t="s">
        <v>8971</v>
      </c>
      <c r="S38" s="44" t="s">
        <v>8972</v>
      </c>
      <c r="T38" s="87" t="s">
        <v>8973</v>
      </c>
      <c r="U38" s="36"/>
      <c r="V38" s="41"/>
      <c r="W38" s="26"/>
      <c r="X38" s="42" t="s">
        <v>33</v>
      </c>
      <c r="Y38" s="42" t="s">
        <v>34</v>
      </c>
      <c r="Z38" s="48" t="s">
        <v>47</v>
      </c>
      <c r="AA38" s="85" t="str">
        <f>AA$5</f>
        <v/>
      </c>
      <c r="AB38" s="15" t="str">
        <f>IFERROR(__xludf.DUMMYFUNCTION("join("","",filter(split($H$84,"",""),ARRAYFORMULA(ISERROR(FIND(split($H$84,"",""),CONCATENATE(E38:V38))))=TRUE))"),"КЗ,206,403,406,410,АЗ")</f>
        <v>КЗ,206,403,406,410,АЗ</v>
      </c>
      <c r="AC38" s="14"/>
      <c r="AD38" s="14"/>
      <c r="AE38" s="14"/>
      <c r="AF38" s="29"/>
      <c r="AG38" s="29"/>
      <c r="AH38" s="29"/>
    </row>
    <row r="39" ht="51.75" hidden="1" customHeight="1">
      <c r="A39" s="30"/>
      <c r="B39" s="31">
        <v>4.0</v>
      </c>
      <c r="C39" s="32" t="s">
        <v>48</v>
      </c>
      <c r="D39" s="32" t="s">
        <v>49</v>
      </c>
      <c r="E39" s="45" t="s">
        <v>8974</v>
      </c>
      <c r="F39" s="13"/>
      <c r="G39" s="132" t="s">
        <v>8975</v>
      </c>
      <c r="H39" s="45" t="s">
        <v>8976</v>
      </c>
      <c r="I39" s="13"/>
      <c r="J39" s="45" t="s">
        <v>8977</v>
      </c>
      <c r="K39" s="13"/>
      <c r="L39" s="44" t="s">
        <v>8978</v>
      </c>
      <c r="M39" s="44" t="s">
        <v>8979</v>
      </c>
      <c r="N39" s="164" t="s">
        <v>8980</v>
      </c>
      <c r="O39" s="36"/>
      <c r="P39" s="36"/>
      <c r="Q39" s="13"/>
      <c r="R39" s="44" t="s">
        <v>8981</v>
      </c>
      <c r="S39" s="44" t="s">
        <v>8982</v>
      </c>
      <c r="T39" s="87" t="s">
        <v>8983</v>
      </c>
      <c r="U39" s="36"/>
      <c r="V39" s="41"/>
      <c r="W39" s="26"/>
      <c r="X39" s="42" t="s">
        <v>48</v>
      </c>
      <c r="Y39" s="42" t="s">
        <v>49</v>
      </c>
      <c r="Z39" s="48" t="s">
        <v>57</v>
      </c>
      <c r="AA39" s="85" t="str">
        <f>AA$6</f>
        <v/>
      </c>
      <c r="AB39" s="15" t="str">
        <f>IFERROR(__xludf.DUMMYFUNCTION("join("","",filter(split($H$84,"",""),ARRAYFORMULA(ISERROR(FIND(split($H$84,"",""),CONCATENATE(E39:V39))))=TRUE))"),"КЗ,206,403,406,410,АЗ")</f>
        <v>КЗ,206,403,406,410,АЗ</v>
      </c>
      <c r="AC39" s="14"/>
      <c r="AD39" s="14"/>
      <c r="AE39" s="14"/>
      <c r="AF39" s="29"/>
      <c r="AG39" s="29"/>
      <c r="AH39" s="29"/>
    </row>
    <row r="40" ht="58.5" hidden="1" customHeight="1">
      <c r="A40" s="30"/>
      <c r="B40" s="31">
        <v>5.0</v>
      </c>
      <c r="C40" s="32" t="s">
        <v>58</v>
      </c>
      <c r="D40" s="53">
        <v>44847.0</v>
      </c>
      <c r="E40" s="45" t="s">
        <v>8984</v>
      </c>
      <c r="F40" s="13"/>
      <c r="G40" s="44" t="s">
        <v>8985</v>
      </c>
      <c r="H40" s="45" t="s">
        <v>8986</v>
      </c>
      <c r="I40" s="13"/>
      <c r="J40" s="44" t="s">
        <v>8987</v>
      </c>
      <c r="K40" s="44" t="s">
        <v>8988</v>
      </c>
      <c r="L40" s="45" t="s">
        <v>8989</v>
      </c>
      <c r="M40" s="13"/>
      <c r="N40" s="44" t="s">
        <v>8990</v>
      </c>
      <c r="O40" s="44" t="s">
        <v>8991</v>
      </c>
      <c r="P40" s="45" t="s">
        <v>8992</v>
      </c>
      <c r="Q40" s="13"/>
      <c r="R40" s="44" t="s">
        <v>8993</v>
      </c>
      <c r="S40" s="132" t="s">
        <v>8994</v>
      </c>
      <c r="T40" s="45" t="s">
        <v>8995</v>
      </c>
      <c r="U40" s="36"/>
      <c r="V40" s="41"/>
      <c r="W40" s="26"/>
      <c r="X40" s="42" t="s">
        <v>58</v>
      </c>
      <c r="Y40" s="54">
        <v>44847.0</v>
      </c>
      <c r="Z40" s="48" t="s">
        <v>70</v>
      </c>
      <c r="AA40" s="85" t="str">
        <f>AA$7</f>
        <v/>
      </c>
      <c r="AB40" s="15" t="str">
        <f>IFERROR(__xludf.DUMMYFUNCTION("join("","",filter(split($H$84,"",""),ARRAYFORMULA(ISERROR(FIND(split($H$84,"",""),CONCATENATE(E40:V40))))=TRUE))"),"СЗ,КЗ,206,403,406,АЗ")</f>
        <v>СЗ,КЗ,206,403,406,АЗ</v>
      </c>
      <c r="AC40" s="14"/>
      <c r="AD40" s="14"/>
      <c r="AE40" s="14"/>
      <c r="AF40" s="29"/>
      <c r="AG40" s="29"/>
      <c r="AH40" s="29"/>
    </row>
    <row r="41" ht="54.0" hidden="1" customHeight="1">
      <c r="A41" s="30"/>
      <c r="B41" s="31">
        <v>6.0</v>
      </c>
      <c r="C41" s="55" t="s">
        <v>71</v>
      </c>
      <c r="D41" s="56" t="s">
        <v>72</v>
      </c>
      <c r="E41" s="45" t="s">
        <v>8996</v>
      </c>
      <c r="F41" s="13"/>
      <c r="G41" s="44" t="s">
        <v>355</v>
      </c>
      <c r="H41" s="45" t="s">
        <v>8997</v>
      </c>
      <c r="I41" s="13"/>
      <c r="J41" s="44" t="s">
        <v>8998</v>
      </c>
      <c r="K41" s="44" t="s">
        <v>8999</v>
      </c>
      <c r="L41" s="45" t="s">
        <v>9000</v>
      </c>
      <c r="M41" s="13"/>
      <c r="N41" s="44" t="s">
        <v>9001</v>
      </c>
      <c r="O41" s="44" t="s">
        <v>9002</v>
      </c>
      <c r="P41" s="45" t="s">
        <v>9003</v>
      </c>
      <c r="Q41" s="13"/>
      <c r="R41" s="44" t="s">
        <v>9004</v>
      </c>
      <c r="S41" s="132" t="s">
        <v>9005</v>
      </c>
      <c r="T41" s="45" t="s">
        <v>9006</v>
      </c>
      <c r="U41" s="36"/>
      <c r="V41" s="41"/>
      <c r="W41" s="26"/>
      <c r="X41" s="58" t="s">
        <v>71</v>
      </c>
      <c r="Y41" s="59" t="s">
        <v>72</v>
      </c>
      <c r="Z41" s="48" t="s">
        <v>84</v>
      </c>
      <c r="AA41" s="85" t="str">
        <f>AA$8</f>
        <v/>
      </c>
      <c r="AB41" s="15" t="str">
        <f>IFERROR(__xludf.DUMMYFUNCTION("join("","",filter(split($H$84,"",""),ARRAYFORMULA(ISERROR(FIND(split($H$84,"",""),CONCATENATE(E41:V41))))=TRUE))"),"СЗ,КЗ,206,403,406,АЗ")</f>
        <v>СЗ,КЗ,206,403,406,АЗ</v>
      </c>
      <c r="AC41" s="14"/>
      <c r="AD41" s="14"/>
      <c r="AE41" s="14"/>
      <c r="AF41" s="29"/>
      <c r="AG41" s="29"/>
      <c r="AH41" s="29"/>
    </row>
    <row r="42" ht="48.75" hidden="1" customHeight="1">
      <c r="A42" s="30"/>
      <c r="B42" s="31">
        <v>7.0</v>
      </c>
      <c r="C42" s="32" t="s">
        <v>85</v>
      </c>
      <c r="D42" s="32" t="s">
        <v>86</v>
      </c>
      <c r="E42" s="45" t="s">
        <v>9007</v>
      </c>
      <c r="F42" s="13"/>
      <c r="G42" s="44" t="s">
        <v>9008</v>
      </c>
      <c r="H42" s="45" t="s">
        <v>9009</v>
      </c>
      <c r="I42" s="13"/>
      <c r="J42" s="44" t="s">
        <v>9010</v>
      </c>
      <c r="K42" s="44" t="s">
        <v>9011</v>
      </c>
      <c r="L42" s="45" t="s">
        <v>9012</v>
      </c>
      <c r="M42" s="13"/>
      <c r="N42" s="87" t="s">
        <v>9013</v>
      </c>
      <c r="O42" s="13"/>
      <c r="P42" s="45" t="s">
        <v>9014</v>
      </c>
      <c r="Q42" s="13"/>
      <c r="R42" s="44" t="s">
        <v>9015</v>
      </c>
      <c r="S42" s="44" t="s">
        <v>9016</v>
      </c>
      <c r="T42" s="165" t="s">
        <v>9017</v>
      </c>
      <c r="U42" s="36"/>
      <c r="V42" s="41"/>
      <c r="W42" s="26"/>
      <c r="X42" s="42" t="s">
        <v>85</v>
      </c>
      <c r="Y42" s="42" t="s">
        <v>86</v>
      </c>
      <c r="Z42" s="48" t="s">
        <v>97</v>
      </c>
      <c r="AA42" s="85" t="str">
        <f>AA$9</f>
        <v/>
      </c>
      <c r="AB42" s="15" t="str">
        <f>IFERROR(__xludf.DUMMYFUNCTION("join("","",filter(split($H$84,"",""),ARRAYFORMULA(ISERROR(FIND(split($H$84,"",""),CONCATENATE(E42:V42))))=TRUE))"),"СЗ,КЗ,206,210,403,406,АЗ")</f>
        <v>СЗ,КЗ,206,210,403,406,АЗ</v>
      </c>
      <c r="AC42" s="14"/>
      <c r="AD42" s="14"/>
      <c r="AE42" s="14"/>
      <c r="AF42" s="29"/>
      <c r="AG42" s="29"/>
      <c r="AH42" s="29"/>
    </row>
    <row r="43" ht="52.5" hidden="1" customHeight="1">
      <c r="A43" s="30"/>
      <c r="B43" s="31">
        <v>8.0</v>
      </c>
      <c r="C43" s="32" t="s">
        <v>98</v>
      </c>
      <c r="D43" s="32" t="s">
        <v>99</v>
      </c>
      <c r="E43" s="45" t="s">
        <v>9018</v>
      </c>
      <c r="F43" s="13"/>
      <c r="G43" s="44" t="s">
        <v>9019</v>
      </c>
      <c r="H43" s="45" t="s">
        <v>379</v>
      </c>
      <c r="I43" s="13"/>
      <c r="J43" s="44" t="s">
        <v>9020</v>
      </c>
      <c r="K43" s="44" t="s">
        <v>9021</v>
      </c>
      <c r="L43" s="45" t="s">
        <v>9022</v>
      </c>
      <c r="M43" s="13"/>
      <c r="N43" s="87" t="s">
        <v>9023</v>
      </c>
      <c r="O43" s="13"/>
      <c r="P43" s="45" t="s">
        <v>9024</v>
      </c>
      <c r="Q43" s="13"/>
      <c r="R43" s="166"/>
      <c r="S43" s="13"/>
      <c r="T43" s="165" t="s">
        <v>9025</v>
      </c>
      <c r="U43" s="36"/>
      <c r="V43" s="41"/>
      <c r="W43" s="26"/>
      <c r="X43" s="42" t="s">
        <v>98</v>
      </c>
      <c r="Y43" s="42" t="s">
        <v>99</v>
      </c>
      <c r="Z43" s="11"/>
      <c r="AA43" s="14"/>
      <c r="AB43" s="15" t="str">
        <f>IFERROR(__xludf.DUMMYFUNCTION("join("","",filter(split($H$84,"",""),ARRAYFORMULA(ISERROR(FIND(split($H$84,"",""),CONCATENATE(E43:V43))))=TRUE))"),"СЗ,КЗ,206,210,403,404,405,406,АЗ")</f>
        <v>СЗ,КЗ,206,210,403,404,405,406,АЗ</v>
      </c>
      <c r="AC43" s="14"/>
      <c r="AD43" s="14"/>
      <c r="AE43" s="14"/>
      <c r="AF43" s="29"/>
      <c r="AG43" s="29"/>
      <c r="AH43" s="29"/>
    </row>
    <row r="44" ht="40.5" hidden="1" customHeight="1">
      <c r="A44" s="30"/>
      <c r="B44" s="31">
        <v>9.0</v>
      </c>
      <c r="C44" s="65">
        <v>44697.0</v>
      </c>
      <c r="D44" s="44" t="s">
        <v>109</v>
      </c>
      <c r="E44" s="167" t="s">
        <v>9026</v>
      </c>
      <c r="F44" s="4"/>
      <c r="G44" s="168"/>
      <c r="H44" s="169" t="s">
        <v>9027</v>
      </c>
      <c r="I44" s="36"/>
      <c r="J44" s="13"/>
      <c r="K44" s="170"/>
      <c r="L44" s="4"/>
      <c r="M44" s="171"/>
      <c r="N44" s="45" t="s">
        <v>9028</v>
      </c>
      <c r="O44" s="13"/>
      <c r="P44" s="33" t="s">
        <v>9029</v>
      </c>
      <c r="Q44" s="172" t="s">
        <v>390</v>
      </c>
      <c r="R44" s="8"/>
      <c r="S44" s="8"/>
      <c r="T44" s="8"/>
      <c r="U44" s="8"/>
      <c r="V44" s="129"/>
      <c r="W44" s="26"/>
      <c r="X44" s="69">
        <v>44697.0</v>
      </c>
      <c r="Y44" s="70" t="s">
        <v>109</v>
      </c>
      <c r="Z44" s="28"/>
      <c r="AA44" s="14"/>
      <c r="AB44" s="15" t="str">
        <f>IFERROR(__xludf.DUMMYFUNCTION("join("","",filter(split($H$84,"",""),ARRAYFORMULA(ISERROR(FIND(split($H$84,"",""),CONCATENATE(E44:V44))))=TRUE))"),"КЗ,202,206,209,401,403,404,405,406,408,409,АЗ")</f>
        <v>КЗ,202,206,209,401,403,404,405,406,408,409,АЗ</v>
      </c>
      <c r="AC44" s="14"/>
      <c r="AD44" s="14"/>
      <c r="AE44" s="14"/>
      <c r="AF44" s="29"/>
      <c r="AG44" s="29"/>
      <c r="AH44" s="29"/>
    </row>
    <row r="45" ht="40.5" hidden="1" customHeight="1">
      <c r="A45" s="30"/>
      <c r="B45" s="31">
        <v>10.0</v>
      </c>
      <c r="C45" s="44" t="s">
        <v>120</v>
      </c>
      <c r="D45" s="44" t="s">
        <v>121</v>
      </c>
      <c r="E45" s="104"/>
      <c r="F45" s="72"/>
      <c r="G45" s="173"/>
      <c r="H45" s="169" t="s">
        <v>9030</v>
      </c>
      <c r="I45" s="36"/>
      <c r="J45" s="13"/>
      <c r="K45" s="104"/>
      <c r="L45" s="72"/>
      <c r="M45" s="171"/>
      <c r="N45" s="45" t="s">
        <v>9031</v>
      </c>
      <c r="O45" s="13"/>
      <c r="P45" s="33" t="s">
        <v>9032</v>
      </c>
      <c r="Q45" s="104"/>
      <c r="R45" s="64"/>
      <c r="S45" s="64"/>
      <c r="T45" s="64"/>
      <c r="U45" s="64"/>
      <c r="V45" s="88"/>
      <c r="W45" s="26"/>
      <c r="X45" s="70" t="s">
        <v>120</v>
      </c>
      <c r="Y45" s="70" t="s">
        <v>121</v>
      </c>
      <c r="Z45" s="28"/>
      <c r="AA45" s="14"/>
      <c r="AB45" s="15" t="str">
        <f>IFERROR(__xludf.DUMMYFUNCTION("join("","",filter(split($H$84,"",""),ARRAYFORMULA(ISERROR(FIND(split($H$84,"",""),CONCATENATE(E45:V45))))=TRUE))"),"КЗ,201,202,206,209,401,403,404,405,406,408,409,410,АЗ")</f>
        <v>КЗ,201,202,206,209,401,403,404,405,406,408,409,410,АЗ</v>
      </c>
      <c r="AC45" s="14"/>
      <c r="AD45" s="14"/>
      <c r="AE45" s="14"/>
      <c r="AF45" s="29"/>
      <c r="AG45" s="29"/>
      <c r="AH45" s="29"/>
    </row>
    <row r="46" ht="40.5" hidden="1" customHeight="1">
      <c r="A46" s="74"/>
      <c r="B46" s="75">
        <v>11.0</v>
      </c>
      <c r="C46" s="76" t="s">
        <v>124</v>
      </c>
      <c r="D46" s="76" t="s">
        <v>125</v>
      </c>
      <c r="E46" s="111"/>
      <c r="F46" s="111"/>
      <c r="G46" s="111"/>
      <c r="H46" s="111"/>
      <c r="I46" s="111"/>
      <c r="J46" s="111"/>
      <c r="K46" s="111"/>
      <c r="L46" s="111"/>
      <c r="M46" s="111"/>
      <c r="N46" s="111"/>
      <c r="O46" s="111"/>
      <c r="P46" s="111"/>
      <c r="Q46" s="111"/>
      <c r="R46" s="111"/>
      <c r="S46" s="111"/>
      <c r="T46" s="111"/>
      <c r="U46" s="111"/>
      <c r="V46" s="112"/>
      <c r="W46" s="26"/>
      <c r="X46" s="79" t="s">
        <v>124</v>
      </c>
      <c r="Y46" s="79" t="s">
        <v>125</v>
      </c>
      <c r="Z46" s="28"/>
      <c r="AA46" s="14"/>
      <c r="AB46" s="15" t="str">
        <f>IFERROR(__xludf.DUMMYFUNCTION("join("","",filter(split($H$84,"",""),ARRAYFORMULA(ISERROR(FIND(split($H$84,"",""),CONCATENATE(E46:V46))))=TRUE))"),"СЗ,КЗ,201,202,206,209,210,401,402,403,404,405,406,408,409,410,АЗ")</f>
        <v>СЗ,КЗ,201,202,206,209,210,401,402,403,404,405,406,408,409,410,АЗ</v>
      </c>
      <c r="AC46" s="14"/>
      <c r="AD46" s="14"/>
      <c r="AE46" s="14"/>
      <c r="AF46" s="29"/>
      <c r="AG46" s="29"/>
      <c r="AH46" s="29"/>
    </row>
    <row r="47" ht="40.5" customHeight="1">
      <c r="A47" s="18">
        <v>44995.0</v>
      </c>
      <c r="B47" s="19">
        <v>1.0</v>
      </c>
      <c r="C47" s="20" t="s">
        <v>12</v>
      </c>
      <c r="D47" s="20" t="s">
        <v>13</v>
      </c>
      <c r="E47" s="156" t="s">
        <v>9033</v>
      </c>
      <c r="F47" s="156" t="s">
        <v>9034</v>
      </c>
      <c r="G47" s="80" t="s">
        <v>9035</v>
      </c>
      <c r="H47" s="25"/>
      <c r="I47" s="174" t="s">
        <v>9036</v>
      </c>
      <c r="J47" s="175" t="s">
        <v>9037</v>
      </c>
      <c r="K47" s="25"/>
      <c r="L47" s="80" t="s">
        <v>9038</v>
      </c>
      <c r="M47" s="25"/>
      <c r="N47" s="156" t="s">
        <v>9039</v>
      </c>
      <c r="O47" s="156" t="s">
        <v>9040</v>
      </c>
      <c r="P47" s="80" t="s">
        <v>9041</v>
      </c>
      <c r="Q47" s="25"/>
      <c r="R47" s="80" t="s">
        <v>9042</v>
      </c>
      <c r="S47" s="25"/>
      <c r="T47" s="80" t="s">
        <v>9043</v>
      </c>
      <c r="U47" s="24"/>
      <c r="V47" s="22"/>
      <c r="W47" s="26"/>
      <c r="X47" s="27" t="s">
        <v>12</v>
      </c>
      <c r="Y47" s="27" t="s">
        <v>13</v>
      </c>
      <c r="Z47" s="28"/>
      <c r="AA47" s="14"/>
      <c r="AB47" s="15" t="str">
        <f>IFERROR(__xludf.DUMMYFUNCTION("join("","",filter(split($H$84,"",""),ARRAYFORMULA(ISERROR(FIND(split($H$84,"",""),CONCATENATE(E47:V47))))=TRUE))"),"СЗ,КЗ,206,402,408,409,410")</f>
        <v>СЗ,КЗ,206,402,408,409,410</v>
      </c>
      <c r="AC47" s="14"/>
      <c r="AD47" s="14"/>
      <c r="AE47" s="14"/>
      <c r="AF47" s="29"/>
      <c r="AG47" s="29"/>
      <c r="AH47" s="29"/>
    </row>
    <row r="48" ht="40.5" customHeight="1">
      <c r="A48" s="30"/>
      <c r="B48" s="31">
        <v>2.0</v>
      </c>
      <c r="C48" s="32" t="s">
        <v>21</v>
      </c>
      <c r="D48" s="32" t="s">
        <v>22</v>
      </c>
      <c r="E48" s="44" t="s">
        <v>9044</v>
      </c>
      <c r="F48" s="44" t="s">
        <v>9045</v>
      </c>
      <c r="G48" s="45" t="s">
        <v>9046</v>
      </c>
      <c r="H48" s="13"/>
      <c r="I48" s="173"/>
      <c r="J48" s="157" t="s">
        <v>9047</v>
      </c>
      <c r="K48" s="13"/>
      <c r="L48" s="80" t="s">
        <v>9048</v>
      </c>
      <c r="M48" s="25"/>
      <c r="N48" s="44" t="s">
        <v>9049</v>
      </c>
      <c r="O48" s="44" t="s">
        <v>9050</v>
      </c>
      <c r="P48" s="45" t="s">
        <v>9051</v>
      </c>
      <c r="Q48" s="13"/>
      <c r="R48" s="44" t="s">
        <v>9052</v>
      </c>
      <c r="S48" s="90" t="s">
        <v>9053</v>
      </c>
      <c r="T48" s="45" t="s">
        <v>9054</v>
      </c>
      <c r="U48" s="36"/>
      <c r="V48" s="41"/>
      <c r="W48" s="26"/>
      <c r="X48" s="42" t="s">
        <v>21</v>
      </c>
      <c r="Y48" s="42" t="s">
        <v>22</v>
      </c>
      <c r="Z48" s="28"/>
      <c r="AA48" s="14"/>
      <c r="AB48" s="15" t="str">
        <f>IFERROR(__xludf.DUMMYFUNCTION("join("","",filter(split($H$84,"",""),ARRAYFORMULA(ISERROR(FIND(split($H$84,"",""),CONCATENATE(E48:V48))))=TRUE))"),"СЗ,КЗ,206,408,409,410,АЗ")</f>
        <v>СЗ,КЗ,206,408,409,410,АЗ</v>
      </c>
      <c r="AC48" s="14"/>
      <c r="AD48" s="14"/>
      <c r="AE48" s="14"/>
      <c r="AF48" s="29"/>
      <c r="AG48" s="29"/>
      <c r="AH48" s="29"/>
    </row>
    <row r="49" ht="40.5" customHeight="1">
      <c r="A49" s="30"/>
      <c r="B49" s="31">
        <v>3.0</v>
      </c>
      <c r="C49" s="32" t="s">
        <v>33</v>
      </c>
      <c r="D49" s="32" t="s">
        <v>34</v>
      </c>
      <c r="E49" s="40" t="s">
        <v>9055</v>
      </c>
      <c r="F49" s="13"/>
      <c r="G49" s="176" t="s">
        <v>9056</v>
      </c>
      <c r="H49" s="4"/>
      <c r="I49" s="90" t="s">
        <v>9057</v>
      </c>
      <c r="J49" s="44" t="s">
        <v>9058</v>
      </c>
      <c r="K49" s="44" t="s">
        <v>9059</v>
      </c>
      <c r="L49" s="44" t="s">
        <v>9060</v>
      </c>
      <c r="M49" s="44" t="s">
        <v>9061</v>
      </c>
      <c r="N49" s="164" t="s">
        <v>9062</v>
      </c>
      <c r="O49" s="36"/>
      <c r="P49" s="36"/>
      <c r="Q49" s="13"/>
      <c r="R49" s="44" t="s">
        <v>9063</v>
      </c>
      <c r="S49" s="90" t="s">
        <v>9064</v>
      </c>
      <c r="T49" s="45" t="s">
        <v>9065</v>
      </c>
      <c r="U49" s="36"/>
      <c r="V49" s="41"/>
      <c r="W49" s="26"/>
      <c r="X49" s="42" t="s">
        <v>33</v>
      </c>
      <c r="Y49" s="42" t="s">
        <v>34</v>
      </c>
      <c r="Z49" s="48" t="s">
        <v>47</v>
      </c>
      <c r="AA49" s="85" t="str">
        <f>AA$5</f>
        <v/>
      </c>
      <c r="AB49" s="15" t="str">
        <f>IFERROR(__xludf.DUMMYFUNCTION("join("","",filter(split($H$84,"",""),ARRAYFORMULA(ISERROR(FIND(split($H$84,"",""),CONCATENATE(E49:V49))))=TRUE))"),"СЗ,КЗ,206,209,409,410")</f>
        <v>СЗ,КЗ,206,209,409,410</v>
      </c>
      <c r="AC49" s="14"/>
      <c r="AD49" s="14"/>
      <c r="AE49" s="14"/>
      <c r="AF49" s="29"/>
      <c r="AG49" s="29"/>
      <c r="AH49" s="29"/>
    </row>
    <row r="50" ht="40.5" customHeight="1">
      <c r="A50" s="30"/>
      <c r="B50" s="31">
        <v>4.0</v>
      </c>
      <c r="C50" s="32" t="s">
        <v>48</v>
      </c>
      <c r="D50" s="32" t="s">
        <v>49</v>
      </c>
      <c r="E50" s="40" t="s">
        <v>9066</v>
      </c>
      <c r="F50" s="13"/>
      <c r="G50" s="104"/>
      <c r="H50" s="72"/>
      <c r="I50" s="90" t="s">
        <v>9067</v>
      </c>
      <c r="J50" s="44" t="s">
        <v>9068</v>
      </c>
      <c r="K50" s="44" t="s">
        <v>9069</v>
      </c>
      <c r="L50" s="44" t="s">
        <v>9070</v>
      </c>
      <c r="M50" s="44" t="s">
        <v>9071</v>
      </c>
      <c r="N50" s="164" t="s">
        <v>9072</v>
      </c>
      <c r="O50" s="36"/>
      <c r="P50" s="36"/>
      <c r="Q50" s="13"/>
      <c r="R50" s="97" t="s">
        <v>9073</v>
      </c>
      <c r="S50" s="133" t="s">
        <v>9074</v>
      </c>
      <c r="T50" s="45" t="s">
        <v>9075</v>
      </c>
      <c r="U50" s="36"/>
      <c r="V50" s="41"/>
      <c r="W50" s="26"/>
      <c r="X50" s="42" t="s">
        <v>48</v>
      </c>
      <c r="Y50" s="42" t="s">
        <v>49</v>
      </c>
      <c r="Z50" s="48" t="s">
        <v>57</v>
      </c>
      <c r="AA50" s="85" t="str">
        <f>AA$6</f>
        <v/>
      </c>
      <c r="AB50" s="15" t="str">
        <f>IFERROR(__xludf.DUMMYFUNCTION("join("","",filter(split($H$84,"",""),ARRAYFORMULA(ISERROR(FIND(split($H$84,"",""),CONCATENATE(E50:V50))))=TRUE))"),"СЗ,КЗ,201,206,209,409,410,АЗ")</f>
        <v>СЗ,КЗ,201,206,209,409,410,АЗ</v>
      </c>
      <c r="AC50" s="14"/>
      <c r="AD50" s="14"/>
      <c r="AE50" s="14"/>
      <c r="AF50" s="29"/>
      <c r="AG50" s="29"/>
      <c r="AH50" s="29"/>
    </row>
    <row r="51" ht="40.5" customHeight="1">
      <c r="A51" s="30"/>
      <c r="B51" s="31">
        <v>5.0</v>
      </c>
      <c r="C51" s="32" t="s">
        <v>58</v>
      </c>
      <c r="D51" s="53">
        <v>44847.0</v>
      </c>
      <c r="E51" s="45" t="s">
        <v>9076</v>
      </c>
      <c r="F51" s="13"/>
      <c r="G51" s="44" t="s">
        <v>9077</v>
      </c>
      <c r="H51" s="44" t="s">
        <v>9078</v>
      </c>
      <c r="I51" s="44" t="s">
        <v>9079</v>
      </c>
      <c r="J51" s="45" t="s">
        <v>9080</v>
      </c>
      <c r="K51" s="13"/>
      <c r="L51" s="45" t="s">
        <v>9081</v>
      </c>
      <c r="M51" s="13"/>
      <c r="N51" s="177" t="s">
        <v>9082</v>
      </c>
      <c r="O51" s="124" t="s">
        <v>9083</v>
      </c>
      <c r="P51" s="45" t="s">
        <v>9084</v>
      </c>
      <c r="Q51" s="13"/>
      <c r="R51" s="97" t="s">
        <v>9085</v>
      </c>
      <c r="S51" s="133" t="s">
        <v>9086</v>
      </c>
      <c r="T51" s="45" t="s">
        <v>9087</v>
      </c>
      <c r="U51" s="36"/>
      <c r="V51" s="41"/>
      <c r="W51" s="26"/>
      <c r="X51" s="42" t="s">
        <v>58</v>
      </c>
      <c r="Y51" s="54">
        <v>44847.0</v>
      </c>
      <c r="Z51" s="48" t="s">
        <v>70</v>
      </c>
      <c r="AA51" s="85" t="str">
        <f>AA$7</f>
        <v/>
      </c>
      <c r="AB51" s="15" t="str">
        <f>IFERROR(__xludf.DUMMYFUNCTION("join("","",filter(split($H$84,"",""),ARRAYFORMULA(ISERROR(FIND(split($H$84,"",""),CONCATENATE(E51:V51))))=TRUE))"),"СЗ,КЗ,206,401,404,408,409,410")</f>
        <v>СЗ,КЗ,206,401,404,408,409,410</v>
      </c>
      <c r="AC51" s="14"/>
      <c r="AD51" s="14"/>
      <c r="AE51" s="14"/>
      <c r="AF51" s="29"/>
      <c r="AG51" s="29"/>
      <c r="AH51" s="29"/>
    </row>
    <row r="52" ht="48.75" customHeight="1">
      <c r="A52" s="30"/>
      <c r="B52" s="31">
        <v>6.0</v>
      </c>
      <c r="C52" s="55" t="s">
        <v>71</v>
      </c>
      <c r="D52" s="56" t="s">
        <v>72</v>
      </c>
      <c r="E52" s="45" t="s">
        <v>9088</v>
      </c>
      <c r="F52" s="13"/>
      <c r="G52" s="44" t="s">
        <v>9089</v>
      </c>
      <c r="H52" s="44" t="s">
        <v>9090</v>
      </c>
      <c r="I52" s="44" t="s">
        <v>9091</v>
      </c>
      <c r="J52" s="45" t="s">
        <v>9092</v>
      </c>
      <c r="K52" s="13"/>
      <c r="L52" s="45" t="s">
        <v>9093</v>
      </c>
      <c r="M52" s="13"/>
      <c r="N52" s="177" t="s">
        <v>9094</v>
      </c>
      <c r="O52" s="124" t="s">
        <v>9095</v>
      </c>
      <c r="P52" s="45" t="s">
        <v>9096</v>
      </c>
      <c r="Q52" s="13"/>
      <c r="R52" s="162" t="s">
        <v>9097</v>
      </c>
      <c r="S52" s="178" t="s">
        <v>9098</v>
      </c>
      <c r="T52" s="44" t="s">
        <v>9099</v>
      </c>
      <c r="U52" s="44" t="s">
        <v>9100</v>
      </c>
      <c r="V52" s="34"/>
      <c r="W52" s="179"/>
      <c r="X52" s="58" t="s">
        <v>71</v>
      </c>
      <c r="Y52" s="59" t="s">
        <v>72</v>
      </c>
      <c r="Z52" s="48" t="s">
        <v>84</v>
      </c>
      <c r="AA52" s="85"/>
      <c r="AB52" s="15" t="str">
        <f>IFERROR(__xludf.DUMMYFUNCTION("join("","",filter(split($H$84,"",""),ARRAYFORMULA(ISERROR(FIND(split($H$84,"",""),CONCATENATE(E52:V52))))=TRUE))"),"СЗ,КЗ,206,404,409,410")</f>
        <v>СЗ,КЗ,206,404,409,410</v>
      </c>
      <c r="AC52" s="15" t="str">
        <f>IFERROR(__xludf.DUMMYFUNCTION("join("","",filter(split(#REF!,"",""),ARRAYFORMULA(ISERROR(FIND(split(#REF!,"",""),CONCATENATE(E52:S52))))=TRUE))"),"#REF!")</f>
        <v>#REF!</v>
      </c>
      <c r="AD52" s="14"/>
      <c r="AE52" s="14"/>
      <c r="AF52" s="29"/>
      <c r="AG52" s="29"/>
      <c r="AH52" s="29"/>
    </row>
    <row r="53" ht="55.5" customHeight="1">
      <c r="A53" s="30"/>
      <c r="B53" s="31">
        <v>7.0</v>
      </c>
      <c r="C53" s="32" t="s">
        <v>85</v>
      </c>
      <c r="D53" s="32" t="s">
        <v>86</v>
      </c>
      <c r="E53" s="45" t="s">
        <v>9101</v>
      </c>
      <c r="F53" s="13"/>
      <c r="G53" s="44" t="s">
        <v>9102</v>
      </c>
      <c r="H53" s="44" t="s">
        <v>9103</v>
      </c>
      <c r="I53" s="44" t="s">
        <v>9104</v>
      </c>
      <c r="J53" s="45" t="s">
        <v>9105</v>
      </c>
      <c r="K53" s="13"/>
      <c r="L53" s="45" t="s">
        <v>9106</v>
      </c>
      <c r="M53" s="13"/>
      <c r="N53" s="86" t="s">
        <v>9107</v>
      </c>
      <c r="O53" s="13"/>
      <c r="P53" s="124" t="s">
        <v>9108</v>
      </c>
      <c r="Q53" s="37" t="s">
        <v>9109</v>
      </c>
      <c r="R53" s="180" t="s">
        <v>9110</v>
      </c>
      <c r="S53" s="181" t="s">
        <v>9111</v>
      </c>
      <c r="T53" s="44" t="s">
        <v>472</v>
      </c>
      <c r="U53" s="44"/>
      <c r="V53" s="34"/>
      <c r="W53" s="26"/>
      <c r="X53" s="42" t="s">
        <v>85</v>
      </c>
      <c r="Y53" s="42" t="s">
        <v>86</v>
      </c>
      <c r="Z53" s="48" t="s">
        <v>97</v>
      </c>
      <c r="AA53" s="85" t="str">
        <f>AA$9</f>
        <v/>
      </c>
      <c r="AB53" s="15" t="str">
        <f>IFERROR(__xludf.DUMMYFUNCTION("join("","",filter(split($H$84,"",""),ARRAYFORMULA(ISERROR(FIND(split($H$84,"",""),CONCATENATE(E53:V53))))=TRUE))"),"СЗ,КЗ,206,404,410")</f>
        <v>СЗ,КЗ,206,404,410</v>
      </c>
      <c r="AC53" s="14"/>
      <c r="AD53" s="14"/>
      <c r="AE53" s="14"/>
      <c r="AF53" s="29"/>
      <c r="AG53" s="29"/>
      <c r="AH53" s="29"/>
    </row>
    <row r="54" ht="51.75" customHeight="1">
      <c r="A54" s="30"/>
      <c r="B54" s="31">
        <v>8.0</v>
      </c>
      <c r="C54" s="32" t="s">
        <v>98</v>
      </c>
      <c r="D54" s="32" t="s">
        <v>99</v>
      </c>
      <c r="E54" s="729" t="s">
        <v>9112</v>
      </c>
      <c r="F54" s="36"/>
      <c r="G54" s="36"/>
      <c r="H54" s="36"/>
      <c r="I54" s="36"/>
      <c r="J54" s="36"/>
      <c r="K54" s="36"/>
      <c r="L54" s="36"/>
      <c r="M54" s="36"/>
      <c r="N54" s="13"/>
      <c r="O54" s="177" t="s">
        <v>9113</v>
      </c>
      <c r="P54" s="124" t="s">
        <v>9114</v>
      </c>
      <c r="Q54" s="37" t="s">
        <v>160</v>
      </c>
      <c r="R54" s="183" t="s">
        <v>9115</v>
      </c>
      <c r="S54" s="181" t="s">
        <v>9116</v>
      </c>
      <c r="T54" s="144"/>
      <c r="U54" s="144"/>
      <c r="V54" s="184"/>
      <c r="W54" s="26"/>
      <c r="X54" s="42" t="s">
        <v>98</v>
      </c>
      <c r="Y54" s="42" t="s">
        <v>99</v>
      </c>
      <c r="Z54" s="11"/>
      <c r="AA54" s="14"/>
      <c r="AB54" s="15" t="str">
        <f>IFERROR(__xludf.DUMMYFUNCTION("join("","",filter(split($H$84,"",""),ARRAYFORMULA(ISERROR(FIND(split($H$84,"",""),CONCATENATE(E54:V54))))=TRUE))"),"СЗ,КЗ,201,206,209,210,403,404,405,406,408,410")</f>
        <v>СЗ,КЗ,201,206,209,210,403,404,405,406,408,410</v>
      </c>
      <c r="AC54" s="14"/>
      <c r="AD54" s="14"/>
      <c r="AE54" s="14"/>
      <c r="AF54" s="29"/>
      <c r="AG54" s="29"/>
      <c r="AH54" s="29"/>
    </row>
    <row r="55" ht="71.25" customHeight="1">
      <c r="A55" s="30"/>
      <c r="B55" s="31">
        <v>9.0</v>
      </c>
      <c r="C55" s="65">
        <v>44697.0</v>
      </c>
      <c r="D55" s="44" t="s">
        <v>109</v>
      </c>
      <c r="E55" s="730" t="s">
        <v>9112</v>
      </c>
      <c r="F55" s="8"/>
      <c r="G55" s="8"/>
      <c r="H55" s="8"/>
      <c r="I55" s="8"/>
      <c r="J55" s="8"/>
      <c r="K55" s="8"/>
      <c r="L55" s="8"/>
      <c r="M55" s="8"/>
      <c r="N55" s="8"/>
      <c r="O55" s="8"/>
      <c r="P55" s="8"/>
      <c r="Q55" s="8"/>
      <c r="R55" s="8"/>
      <c r="S55" s="8"/>
      <c r="T55" s="8"/>
      <c r="U55" s="8"/>
      <c r="V55" s="8"/>
      <c r="W55" s="8"/>
      <c r="X55" s="4"/>
      <c r="Y55" s="70" t="s">
        <v>109</v>
      </c>
      <c r="Z55" s="28"/>
      <c r="AA55" s="14"/>
      <c r="AB55" s="15" t="str">
        <f>IFERROR(__xludf.DUMMYFUNCTION("join("","",filter(split($H$84,"",""),ARRAYFORMULA(ISERROR(FIND(split($H$84,"",""),CONCATENATE(E55:V55))))=TRUE))"),"СЗ,КЗ,201,202,206,209,210,401,402,403,404,405,406,408,409,410,АЗ")</f>
        <v>СЗ,КЗ,201,202,206,209,210,401,402,403,404,405,406,408,409,410,АЗ</v>
      </c>
      <c r="AC55" s="14"/>
      <c r="AD55" s="14"/>
      <c r="AE55" s="14"/>
      <c r="AF55" s="29"/>
      <c r="AG55" s="29"/>
      <c r="AH55" s="29"/>
    </row>
    <row r="56" ht="40.5" customHeight="1">
      <c r="A56" s="30"/>
      <c r="B56" s="31">
        <v>10.0</v>
      </c>
      <c r="C56" s="44" t="s">
        <v>120</v>
      </c>
      <c r="D56" s="44" t="s">
        <v>121</v>
      </c>
      <c r="E56" s="104"/>
      <c r="F56" s="64"/>
      <c r="G56" s="64"/>
      <c r="H56" s="64"/>
      <c r="I56" s="64"/>
      <c r="J56" s="64"/>
      <c r="K56" s="64"/>
      <c r="L56" s="64"/>
      <c r="M56" s="64"/>
      <c r="N56" s="64"/>
      <c r="O56" s="64"/>
      <c r="P56" s="64"/>
      <c r="Q56" s="64"/>
      <c r="R56" s="64"/>
      <c r="S56" s="64"/>
      <c r="T56" s="64"/>
      <c r="U56" s="64"/>
      <c r="V56" s="64"/>
      <c r="W56" s="64"/>
      <c r="X56" s="72"/>
      <c r="Y56" s="70" t="s">
        <v>121</v>
      </c>
      <c r="Z56" s="28"/>
      <c r="AA56" s="14"/>
      <c r="AB56" s="15" t="str">
        <f>IFERROR(__xludf.DUMMYFUNCTION("join("","",filter(split($H$84,"",""),ARRAYFORMULA(ISERROR(FIND(split($H$84,"",""),CONCATENATE(E56:V56))))=TRUE))"),"СЗ,КЗ,201,202,206,209,210,401,402,403,404,405,406,408,409,410,АЗ")</f>
        <v>СЗ,КЗ,201,202,206,209,210,401,402,403,404,405,406,408,409,410,АЗ</v>
      </c>
      <c r="AC56" s="14"/>
      <c r="AD56" s="14"/>
      <c r="AE56" s="14"/>
      <c r="AF56" s="29"/>
      <c r="AG56" s="29"/>
      <c r="AH56" s="29"/>
    </row>
    <row r="57" ht="40.5" customHeight="1">
      <c r="A57" s="74"/>
      <c r="B57" s="75">
        <v>11.0</v>
      </c>
      <c r="C57" s="76" t="s">
        <v>124</v>
      </c>
      <c r="D57" s="76" t="s">
        <v>125</v>
      </c>
      <c r="E57" s="111"/>
      <c r="F57" s="111"/>
      <c r="G57" s="111"/>
      <c r="H57" s="111"/>
      <c r="I57" s="111"/>
      <c r="J57" s="111"/>
      <c r="K57" s="111"/>
      <c r="L57" s="111"/>
      <c r="M57" s="111"/>
      <c r="N57" s="111"/>
      <c r="O57" s="111"/>
      <c r="P57" s="111"/>
      <c r="Q57" s="111"/>
      <c r="R57" s="111"/>
      <c r="S57" s="111"/>
      <c r="T57" s="111"/>
      <c r="U57" s="111"/>
      <c r="V57" s="112"/>
      <c r="W57" s="26"/>
      <c r="X57" s="79" t="s">
        <v>124</v>
      </c>
      <c r="Y57" s="79" t="s">
        <v>125</v>
      </c>
      <c r="Z57" s="28"/>
      <c r="AA57" s="14"/>
      <c r="AB57" s="15" t="str">
        <f>IFERROR(__xludf.DUMMYFUNCTION("join("","",filter(split($H$84,"",""),ARRAYFORMULA(ISERROR(FIND(split($H$84,"",""),CONCATENATE(E57:V57))))=TRUE))"),"СЗ,КЗ,201,202,206,209,210,401,402,403,404,405,406,408,409,410,АЗ")</f>
        <v>СЗ,КЗ,201,202,206,209,210,401,402,403,404,405,406,408,409,410,АЗ</v>
      </c>
      <c r="AC57" s="14"/>
      <c r="AD57" s="14"/>
      <c r="AE57" s="14"/>
      <c r="AF57" s="29"/>
      <c r="AG57" s="29"/>
      <c r="AH57" s="29"/>
    </row>
    <row r="58" ht="40.5" customHeight="1">
      <c r="A58" s="18">
        <v>44996.0</v>
      </c>
      <c r="B58" s="191">
        <v>1.0</v>
      </c>
      <c r="C58" s="192" t="str">
        <f>D$1</f>
        <v/>
      </c>
      <c r="D58" s="72"/>
      <c r="E58" s="193"/>
      <c r="F58" s="193"/>
      <c r="G58" s="194" t="s">
        <v>9117</v>
      </c>
      <c r="H58" s="64"/>
      <c r="I58" s="72"/>
      <c r="J58" s="195"/>
      <c r="K58" s="64"/>
      <c r="L58" s="64"/>
      <c r="M58" s="72"/>
      <c r="N58" s="193"/>
      <c r="O58" s="177"/>
      <c r="P58" s="187" t="s">
        <v>482</v>
      </c>
      <c r="Q58" s="8"/>
      <c r="R58" s="8"/>
      <c r="S58" s="4"/>
      <c r="T58" s="193"/>
      <c r="U58" s="193"/>
      <c r="V58" s="193"/>
      <c r="W58" s="15"/>
      <c r="X58" s="197" t="str">
        <f>Y$1</f>
        <v/>
      </c>
      <c r="Y58" s="13"/>
      <c r="Z58" s="28"/>
      <c r="AA58" s="14"/>
      <c r="AB58" s="15"/>
      <c r="AC58" s="14"/>
      <c r="AD58" s="14"/>
      <c r="AE58" s="14"/>
      <c r="AF58" s="29"/>
      <c r="AG58" s="29"/>
      <c r="AH58" s="29"/>
    </row>
    <row r="59" ht="40.5" customHeight="1">
      <c r="A59" s="30"/>
      <c r="B59" s="31">
        <v>2.0</v>
      </c>
      <c r="C59" s="85"/>
      <c r="D59" s="85"/>
      <c r="E59" s="15"/>
      <c r="F59" s="15"/>
      <c r="G59" s="15"/>
      <c r="H59" s="15"/>
      <c r="I59" s="15"/>
      <c r="J59" s="15"/>
      <c r="K59" s="15"/>
      <c r="L59" s="15"/>
      <c r="M59" s="15"/>
      <c r="N59" s="15"/>
      <c r="O59" s="177"/>
      <c r="P59" s="104"/>
      <c r="Q59" s="64"/>
      <c r="R59" s="64"/>
      <c r="S59" s="72"/>
      <c r="T59" s="15"/>
      <c r="U59" s="15"/>
      <c r="V59" s="15"/>
      <c r="W59" s="15"/>
      <c r="X59" s="85"/>
      <c r="Y59" s="85"/>
      <c r="Z59" s="198"/>
      <c r="AA59" s="14"/>
      <c r="AB59" s="15"/>
      <c r="AC59" s="14"/>
      <c r="AD59" s="14"/>
      <c r="AE59" s="14"/>
      <c r="AF59" s="29"/>
      <c r="AG59" s="29"/>
      <c r="AH59" s="29"/>
    </row>
    <row r="60" ht="40.5" customHeight="1">
      <c r="A60" s="30"/>
      <c r="B60" s="31">
        <v>3.0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AA$5</f>
        <v/>
      </c>
      <c r="AB60" s="15"/>
      <c r="AC60" s="14"/>
      <c r="AD60" s="14"/>
      <c r="AE60" s="14"/>
      <c r="AF60" s="29"/>
      <c r="AG60" s="29"/>
      <c r="AH60" s="29"/>
    </row>
    <row r="61" ht="40.5" customHeight="1">
      <c r="A61" s="30"/>
      <c r="B61" s="31">
        <v>4.0</v>
      </c>
      <c r="C61" s="85"/>
      <c r="D61" s="85"/>
      <c r="E61" s="15"/>
      <c r="F61" s="15"/>
      <c r="G61" s="15"/>
      <c r="H61" s="15"/>
      <c r="I61" s="15"/>
      <c r="J61" s="44"/>
      <c r="K61" s="44"/>
      <c r="L61" s="44"/>
      <c r="M61" s="44"/>
      <c r="N61" s="15"/>
      <c r="O61" s="15"/>
      <c r="P61" s="199"/>
      <c r="Q61" s="199"/>
      <c r="R61" s="199"/>
      <c r="S61" s="199"/>
      <c r="T61" s="15"/>
      <c r="U61" s="15"/>
      <c r="V61" s="15"/>
      <c r="W61" s="15"/>
      <c r="X61" s="85"/>
      <c r="Y61" s="85"/>
      <c r="Z61" s="198"/>
      <c r="AA61" s="85" t="str">
        <f>AA$6</f>
        <v/>
      </c>
      <c r="AB61" s="15"/>
      <c r="AC61" s="14"/>
      <c r="AD61" s="14"/>
      <c r="AE61" s="14"/>
      <c r="AF61" s="29"/>
      <c r="AG61" s="29"/>
      <c r="AH61" s="29"/>
    </row>
    <row r="62" ht="40.5" customHeight="1">
      <c r="A62" s="30"/>
      <c r="B62" s="31">
        <v>5.0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AA$7</f>
        <v/>
      </c>
      <c r="AB62" s="15"/>
      <c r="AC62" s="14"/>
      <c r="AD62" s="14"/>
      <c r="AE62" s="14"/>
      <c r="AF62" s="29"/>
      <c r="AG62" s="29"/>
      <c r="AH62" s="29"/>
    </row>
    <row r="63" ht="40.5" customHeight="1">
      <c r="A63" s="30"/>
      <c r="B63" s="31">
        <v>6.0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t="str">
        <f>AA$8</f>
        <v/>
      </c>
      <c r="AB63" s="15"/>
      <c r="AC63" s="14"/>
      <c r="AD63" s="14"/>
      <c r="AE63" s="14"/>
      <c r="AF63" s="29"/>
      <c r="AG63" s="29"/>
      <c r="AH63" s="29"/>
    </row>
    <row r="64" ht="40.5" customHeight="1">
      <c r="A64" s="30"/>
      <c r="B64" s="31">
        <v>7.0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c r="AB64" s="14"/>
      <c r="AC64" s="14"/>
      <c r="AD64" s="14"/>
      <c r="AE64" s="14"/>
      <c r="AF64" s="29"/>
      <c r="AG64" s="29"/>
      <c r="AH64" s="29"/>
    </row>
    <row r="65" ht="40.5" customHeight="1">
      <c r="A65" s="30"/>
      <c r="B65" s="31">
        <v>8.0</v>
      </c>
      <c r="C65" s="85"/>
      <c r="D65" s="85"/>
      <c r="E65" s="15"/>
      <c r="F65" s="15"/>
      <c r="G65" s="15"/>
      <c r="H65" s="15"/>
      <c r="I65" s="15"/>
      <c r="J65" s="44"/>
      <c r="K65" s="44"/>
      <c r="L65" s="44"/>
      <c r="M65" s="44"/>
      <c r="N65" s="15"/>
      <c r="O65" s="15"/>
      <c r="P65" s="15"/>
      <c r="Q65" s="15"/>
      <c r="R65" s="15"/>
      <c r="S65" s="15"/>
      <c r="T65" s="15"/>
      <c r="U65" s="15"/>
      <c r="V65" s="15"/>
      <c r="W65" s="15"/>
      <c r="X65" s="85"/>
      <c r="Y65" s="85"/>
      <c r="Z65" s="198"/>
      <c r="AA65" s="85" t="str">
        <f>AA$9</f>
        <v/>
      </c>
      <c r="AB65" s="14"/>
      <c r="AC65" s="14"/>
      <c r="AD65" s="14"/>
      <c r="AE65" s="14"/>
      <c r="AF65" s="29"/>
      <c r="AG65" s="29"/>
      <c r="AH65" s="29"/>
    </row>
    <row r="66" ht="40.5" customHeight="1">
      <c r="A66" s="74"/>
      <c r="B66" s="31">
        <v>9.0</v>
      </c>
      <c r="C66" s="85"/>
      <c r="D66" s="85"/>
      <c r="E66" s="15"/>
      <c r="F66" s="15"/>
      <c r="G66" s="15"/>
      <c r="H66" s="15"/>
      <c r="I66" s="15"/>
      <c r="J66" s="44"/>
      <c r="K66" s="44"/>
      <c r="L66" s="44"/>
      <c r="M66" s="44"/>
      <c r="N66" s="15"/>
      <c r="O66" s="15"/>
      <c r="P66" s="15"/>
      <c r="Q66" s="15"/>
      <c r="R66" s="15"/>
      <c r="S66" s="15"/>
      <c r="T66" s="15"/>
      <c r="U66" s="15"/>
      <c r="V66" s="15"/>
      <c r="W66" s="15"/>
      <c r="X66" s="85"/>
      <c r="Y66" s="85"/>
      <c r="Z66" s="198"/>
      <c r="AA66" s="14"/>
      <c r="AB66" s="15"/>
      <c r="AC66" s="14"/>
      <c r="AD66" s="14"/>
      <c r="AE66" s="14"/>
      <c r="AF66" s="29"/>
      <c r="AG66" s="29"/>
      <c r="AH66" s="29"/>
    </row>
    <row r="67" ht="40.5" customHeight="1">
      <c r="A67" s="201"/>
      <c r="B67" s="200"/>
      <c r="C67" s="85"/>
      <c r="D67" s="85"/>
      <c r="E67" s="15"/>
      <c r="F67" s="15"/>
      <c r="G67" s="15"/>
      <c r="H67" s="15"/>
      <c r="I67" s="15"/>
      <c r="J67" s="15"/>
      <c r="K67" s="45"/>
      <c r="L67" s="13"/>
      <c r="M67" s="15"/>
      <c r="N67" s="15"/>
      <c r="O67" s="15"/>
      <c r="P67" s="15"/>
      <c r="Q67" s="15"/>
      <c r="R67" s="15"/>
      <c r="S67" s="15"/>
      <c r="T67" s="15"/>
      <c r="U67" s="15"/>
      <c r="V67" s="15"/>
      <c r="W67" s="15"/>
      <c r="X67" s="85"/>
      <c r="Y67" s="85"/>
      <c r="Z67" s="198" t="str">
        <f>Z$12</f>
        <v/>
      </c>
      <c r="AA67" s="14"/>
      <c r="AB67" s="14"/>
      <c r="AC67" s="14"/>
      <c r="AD67" s="14"/>
      <c r="AE67" s="14"/>
      <c r="AF67" s="29"/>
      <c r="AG67" s="29"/>
      <c r="AH67" s="29"/>
    </row>
    <row r="68" ht="40.5" customHeight="1">
      <c r="A68" s="201"/>
      <c r="B68" s="200"/>
      <c r="C68" s="14"/>
      <c r="D68" s="15"/>
      <c r="E68" s="15"/>
      <c r="F68" s="15"/>
      <c r="G68" s="15"/>
      <c r="H68" s="15"/>
      <c r="I68" s="15"/>
      <c r="J68" s="15"/>
      <c r="K68" s="45"/>
      <c r="L68" s="13"/>
      <c r="M68" s="15"/>
      <c r="N68" s="15"/>
      <c r="O68" s="15"/>
      <c r="P68" s="15"/>
      <c r="Q68" s="15"/>
      <c r="R68" s="15"/>
      <c r="S68" s="15"/>
      <c r="T68" s="15"/>
      <c r="U68" s="15"/>
      <c r="V68" s="15"/>
      <c r="W68" s="15"/>
      <c r="X68" s="14"/>
      <c r="Y68" s="15"/>
      <c r="Z68" s="198" t="str">
        <f>#REF!</f>
        <v>#REF!</v>
      </c>
      <c r="AA68" s="14"/>
      <c r="AB68" s="14"/>
      <c r="AC68" s="14"/>
      <c r="AD68" s="14"/>
      <c r="AE68" s="14"/>
      <c r="AF68" s="29"/>
      <c r="AG68" s="29"/>
      <c r="AH68" s="29"/>
    </row>
    <row r="69" ht="40.5" customHeight="1">
      <c r="A69" s="201"/>
      <c r="B69" s="200"/>
      <c r="C69" s="14"/>
      <c r="D69" s="14"/>
      <c r="E69" s="15"/>
      <c r="F69" s="15"/>
      <c r="G69" s="15"/>
      <c r="H69" s="15"/>
      <c r="I69" s="15"/>
      <c r="J69" s="15"/>
      <c r="K69" s="45"/>
      <c r="L69" s="13"/>
      <c r="M69" s="15"/>
      <c r="N69" s="15"/>
      <c r="O69" s="15"/>
      <c r="P69" s="15"/>
      <c r="Q69" s="15"/>
      <c r="R69" s="15"/>
      <c r="S69" s="15"/>
      <c r="T69" s="15"/>
      <c r="U69" s="15"/>
      <c r="V69" s="15"/>
      <c r="W69" s="15"/>
      <c r="X69" s="14"/>
      <c r="Y69" s="14"/>
      <c r="Z69" s="19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5"/>
      <c r="D71" s="14"/>
      <c r="E71" s="15"/>
      <c r="F71" s="15"/>
      <c r="G71" s="15"/>
      <c r="H71" s="15"/>
      <c r="I71" s="15"/>
      <c r="J71" s="15"/>
      <c r="K71" s="15"/>
      <c r="L71" s="15"/>
      <c r="M71" s="15"/>
      <c r="N71" s="15"/>
      <c r="O71" s="15"/>
      <c r="P71" s="15"/>
      <c r="Q71" s="15"/>
      <c r="R71" s="15"/>
      <c r="S71" s="15"/>
      <c r="T71" s="15"/>
      <c r="U71" s="15"/>
      <c r="V71" s="15"/>
      <c r="W71" s="15"/>
      <c r="X71" s="15"/>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15"/>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44" t="s">
        <v>484</v>
      </c>
      <c r="F83" s="15"/>
      <c r="G83" s="15"/>
      <c r="H83" s="15"/>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202" t="s">
        <v>485</v>
      </c>
      <c r="F84" s="203"/>
      <c r="G84" s="203"/>
      <c r="H84" s="204" t="s">
        <v>486</v>
      </c>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15"/>
      <c r="K85" s="15"/>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205" t="s">
        <v>487</v>
      </c>
      <c r="K86" s="205" t="b">
        <f>IFERROR(__xludf.DUMMYFUNCTION("IF(COUNTA(filter($E3:$W3,ARRAYFORMULA(ISERROR(FIND(join("","",filter(split($H$84,"",""),ARRAYFORMULA(ISERROR(FIND(split($H$84,"",""),E3)))=FALSE)),$E3:$W3))=FALSE)))&gt;1,FALSE,TRUE)"),TRUE)</f>
        <v>1</v>
      </c>
      <c r="L86" s="15"/>
      <c r="M86" s="15"/>
      <c r="N86" s="15"/>
      <c r="O86" s="15"/>
      <c r="P86" s="15"/>
      <c r="Q86" s="15"/>
      <c r="R86" s="15"/>
      <c r="S86" s="15"/>
      <c r="T86" s="15"/>
      <c r="U86" s="15"/>
      <c r="V86" s="15"/>
      <c r="W86" s="15"/>
      <c r="X86" s="14"/>
      <c r="Y86" s="14"/>
      <c r="Z86" s="28"/>
      <c r="AA86" s="14"/>
      <c r="AB86" s="14"/>
      <c r="AC86" s="14"/>
      <c r="AD86" s="14"/>
      <c r="AE86" s="14"/>
      <c r="AF86" s="29"/>
      <c r="AG86" s="29"/>
      <c r="AH86" s="29"/>
    </row>
    <row r="87" ht="40.5" customHeight="1">
      <c r="A87" s="201"/>
      <c r="B87" s="200"/>
      <c r="C87" s="14"/>
      <c r="D87" s="14"/>
      <c r="E87" s="15"/>
      <c r="F87" s="15"/>
      <c r="G87" s="15"/>
      <c r="H87" s="15"/>
      <c r="I87" s="15"/>
      <c r="J87" s="15"/>
      <c r="K87" s="15"/>
      <c r="L87" s="15"/>
      <c r="M87" s="15"/>
      <c r="N87" s="15"/>
      <c r="O87" s="15"/>
      <c r="P87" s="15"/>
      <c r="Q87" s="15"/>
      <c r="R87" s="15"/>
      <c r="S87" s="15"/>
      <c r="T87" s="15"/>
      <c r="U87" s="15"/>
      <c r="V87" s="15"/>
      <c r="W87" s="15"/>
      <c r="X87" s="14"/>
      <c r="Y87" s="14"/>
      <c r="Z87" s="28"/>
      <c r="AA87" s="14"/>
      <c r="AB87" s="14"/>
      <c r="AC87" s="14"/>
      <c r="AD87" s="14"/>
      <c r="AE87" s="14"/>
      <c r="AF87" s="29"/>
      <c r="AG87" s="29"/>
      <c r="AH87" s="29"/>
    </row>
  </sheetData>
  <mergeCells count="280">
    <mergeCell ref="N14:O14"/>
    <mergeCell ref="P14:Q14"/>
    <mergeCell ref="R14:S14"/>
    <mergeCell ref="E15:F15"/>
    <mergeCell ref="G15:I15"/>
    <mergeCell ref="J15:K15"/>
    <mergeCell ref="L15:M15"/>
    <mergeCell ref="N15:O15"/>
    <mergeCell ref="E16:F16"/>
    <mergeCell ref="G16:I16"/>
    <mergeCell ref="J16:K16"/>
    <mergeCell ref="L16:M16"/>
    <mergeCell ref="N16:O16"/>
    <mergeCell ref="E17:F17"/>
    <mergeCell ref="H17:I17"/>
    <mergeCell ref="J17:K17"/>
    <mergeCell ref="L17:M17"/>
    <mergeCell ref="N17:O17"/>
    <mergeCell ref="E18:F18"/>
    <mergeCell ref="H18:I18"/>
    <mergeCell ref="R24:V24"/>
    <mergeCell ref="T25:V25"/>
    <mergeCell ref="T26:V26"/>
    <mergeCell ref="T27:V27"/>
    <mergeCell ref="T28:V28"/>
    <mergeCell ref="J18:K18"/>
    <mergeCell ref="L18:M18"/>
    <mergeCell ref="T18:V18"/>
    <mergeCell ref="T20:V20"/>
    <mergeCell ref="T21:V21"/>
    <mergeCell ref="T22:V22"/>
    <mergeCell ref="T23:V23"/>
    <mergeCell ref="C1:D1"/>
    <mergeCell ref="E13:F13"/>
    <mergeCell ref="H22:M22"/>
    <mergeCell ref="N22:O22"/>
    <mergeCell ref="P22:Q22"/>
    <mergeCell ref="R22:S22"/>
    <mergeCell ref="J1:M1"/>
    <mergeCell ref="N1:O1"/>
    <mergeCell ref="P1:Q1"/>
    <mergeCell ref="R1:S1"/>
    <mergeCell ref="A2:A12"/>
    <mergeCell ref="R2:S2"/>
    <mergeCell ref="A13:A24"/>
    <mergeCell ref="P23:S23"/>
    <mergeCell ref="H23:M23"/>
    <mergeCell ref="N23:O23"/>
    <mergeCell ref="H25:I25"/>
    <mergeCell ref="J25:M25"/>
    <mergeCell ref="N25:O25"/>
    <mergeCell ref="P25:S25"/>
    <mergeCell ref="H26:I26"/>
    <mergeCell ref="R26:S26"/>
    <mergeCell ref="G28:H28"/>
    <mergeCell ref="G29:H29"/>
    <mergeCell ref="J29:K29"/>
    <mergeCell ref="L29:M29"/>
    <mergeCell ref="N29:O29"/>
    <mergeCell ref="E33:F33"/>
    <mergeCell ref="E34:F34"/>
    <mergeCell ref="G34:Q35"/>
    <mergeCell ref="E35:F35"/>
    <mergeCell ref="N32:O32"/>
    <mergeCell ref="P32:Q33"/>
    <mergeCell ref="N33:O33"/>
    <mergeCell ref="J32:M32"/>
    <mergeCell ref="J33:M33"/>
    <mergeCell ref="J36:K36"/>
    <mergeCell ref="P36:Q36"/>
    <mergeCell ref="T36:V36"/>
    <mergeCell ref="J37:K37"/>
    <mergeCell ref="T37:V37"/>
    <mergeCell ref="J26:K26"/>
    <mergeCell ref="L26:M26"/>
    <mergeCell ref="G27:I27"/>
    <mergeCell ref="J27:K27"/>
    <mergeCell ref="L27:M27"/>
    <mergeCell ref="J28:K28"/>
    <mergeCell ref="L28:M28"/>
    <mergeCell ref="N30:O30"/>
    <mergeCell ref="R30:R31"/>
    <mergeCell ref="N31:O31"/>
    <mergeCell ref="N26:O26"/>
    <mergeCell ref="P26:Q26"/>
    <mergeCell ref="N27:O27"/>
    <mergeCell ref="R27:S27"/>
    <mergeCell ref="N28:O28"/>
    <mergeCell ref="P28:Q28"/>
    <mergeCell ref="T29:V33"/>
    <mergeCell ref="G30:H30"/>
    <mergeCell ref="J30:K30"/>
    <mergeCell ref="L30:M30"/>
    <mergeCell ref="G31:H31"/>
    <mergeCell ref="J31:K31"/>
    <mergeCell ref="L31:M31"/>
    <mergeCell ref="G32:I33"/>
    <mergeCell ref="N36:O36"/>
    <mergeCell ref="N37:O37"/>
    <mergeCell ref="N38:Q38"/>
    <mergeCell ref="N39:Q39"/>
    <mergeCell ref="P40:Q40"/>
    <mergeCell ref="P41:Q41"/>
    <mergeCell ref="N42:O42"/>
    <mergeCell ref="P42:Q42"/>
    <mergeCell ref="T38:V38"/>
    <mergeCell ref="T39:V39"/>
    <mergeCell ref="T40:V40"/>
    <mergeCell ref="T41:V41"/>
    <mergeCell ref="T42:V42"/>
    <mergeCell ref="L40:M40"/>
    <mergeCell ref="L41:M41"/>
    <mergeCell ref="L42:M42"/>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S10:V10"/>
    <mergeCell ref="T11:V11"/>
    <mergeCell ref="G1:I1"/>
    <mergeCell ref="G3:I3"/>
    <mergeCell ref="P7:Q7"/>
    <mergeCell ref="R7:S7"/>
    <mergeCell ref="E8:F8"/>
    <mergeCell ref="H8:I8"/>
    <mergeCell ref="J8:K8"/>
    <mergeCell ref="L8:M8"/>
    <mergeCell ref="N8:O8"/>
    <mergeCell ref="P8:Q8"/>
    <mergeCell ref="E10:F10"/>
    <mergeCell ref="H10:I10"/>
    <mergeCell ref="J10:K10"/>
    <mergeCell ref="L10:M10"/>
    <mergeCell ref="R8:S8"/>
    <mergeCell ref="E9:F9"/>
    <mergeCell ref="H9:I9"/>
    <mergeCell ref="J9:K9"/>
    <mergeCell ref="L9:M9"/>
    <mergeCell ref="N9:O9"/>
    <mergeCell ref="N10:O10"/>
    <mergeCell ref="E11:S11"/>
    <mergeCell ref="H13:I13"/>
    <mergeCell ref="J13:K13"/>
    <mergeCell ref="L13:M13"/>
    <mergeCell ref="N13:O13"/>
    <mergeCell ref="P13:Q13"/>
    <mergeCell ref="R13:S13"/>
    <mergeCell ref="T13:V17"/>
    <mergeCell ref="E14:F14"/>
    <mergeCell ref="H14:I14"/>
    <mergeCell ref="J14:K14"/>
    <mergeCell ref="L14:M14"/>
    <mergeCell ref="N18:O18"/>
    <mergeCell ref="J19:Q19"/>
    <mergeCell ref="E20:F20"/>
    <mergeCell ref="H20:I20"/>
    <mergeCell ref="J20:K20"/>
    <mergeCell ref="L20:M20"/>
    <mergeCell ref="N20:O20"/>
    <mergeCell ref="P20:Q20"/>
    <mergeCell ref="E21:F21"/>
    <mergeCell ref="H21:I21"/>
    <mergeCell ref="J21:K21"/>
    <mergeCell ref="L21:M21"/>
    <mergeCell ref="N21:O21"/>
    <mergeCell ref="P21:Q21"/>
    <mergeCell ref="H42:I42"/>
    <mergeCell ref="H43:I43"/>
    <mergeCell ref="L43:M43"/>
    <mergeCell ref="N43:O43"/>
    <mergeCell ref="P43:Q43"/>
    <mergeCell ref="R43:S43"/>
    <mergeCell ref="T43:V43"/>
    <mergeCell ref="H44:J44"/>
    <mergeCell ref="K44:L45"/>
    <mergeCell ref="N44:O44"/>
    <mergeCell ref="Q44:V45"/>
    <mergeCell ref="H45:J45"/>
    <mergeCell ref="N45:O45"/>
    <mergeCell ref="H37:I37"/>
    <mergeCell ref="H38:I38"/>
    <mergeCell ref="J38:K38"/>
    <mergeCell ref="H39:I39"/>
    <mergeCell ref="J39:K39"/>
    <mergeCell ref="H40:I40"/>
    <mergeCell ref="H41:I41"/>
    <mergeCell ref="T47:V47"/>
    <mergeCell ref="T48:V48"/>
    <mergeCell ref="T49:V49"/>
    <mergeCell ref="T50:V50"/>
    <mergeCell ref="T51:V51"/>
    <mergeCell ref="J47:K47"/>
    <mergeCell ref="L47:M47"/>
    <mergeCell ref="P47:Q47"/>
    <mergeCell ref="R47:S47"/>
    <mergeCell ref="J48:K48"/>
    <mergeCell ref="L48:M48"/>
    <mergeCell ref="P48:Q48"/>
    <mergeCell ref="N49:Q49"/>
    <mergeCell ref="N50:Q50"/>
    <mergeCell ref="J51:K51"/>
    <mergeCell ref="L51:M51"/>
    <mergeCell ref="P51:Q51"/>
    <mergeCell ref="L52:M52"/>
    <mergeCell ref="P52:Q52"/>
    <mergeCell ref="P58:S59"/>
    <mergeCell ref="X58:Y58"/>
    <mergeCell ref="J52:K52"/>
    <mergeCell ref="J53:K53"/>
    <mergeCell ref="L53:M53"/>
    <mergeCell ref="N53:O53"/>
    <mergeCell ref="E54:N54"/>
    <mergeCell ref="E55:X56"/>
    <mergeCell ref="J58:M58"/>
    <mergeCell ref="K68:L68"/>
    <mergeCell ref="K69:L69"/>
    <mergeCell ref="E50:F50"/>
    <mergeCell ref="E51:F51"/>
    <mergeCell ref="E52:F52"/>
    <mergeCell ref="E53:F53"/>
    <mergeCell ref="C58:D58"/>
    <mergeCell ref="G58:I58"/>
    <mergeCell ref="K67:L67"/>
    <mergeCell ref="E32:F32"/>
    <mergeCell ref="E36:F36"/>
    <mergeCell ref="E37:F37"/>
    <mergeCell ref="E38:F38"/>
    <mergeCell ref="E39:F39"/>
    <mergeCell ref="E40:F40"/>
    <mergeCell ref="E41:F41"/>
    <mergeCell ref="E42:F42"/>
    <mergeCell ref="A36:A46"/>
    <mergeCell ref="A47:A57"/>
    <mergeCell ref="A58:A66"/>
    <mergeCell ref="E22:F23"/>
    <mergeCell ref="G22:G23"/>
    <mergeCell ref="A25:A35"/>
    <mergeCell ref="E25:F25"/>
    <mergeCell ref="E26:F26"/>
    <mergeCell ref="E27:F27"/>
    <mergeCell ref="G44:G45"/>
    <mergeCell ref="E43:F43"/>
    <mergeCell ref="E44:F45"/>
    <mergeCell ref="G47:H47"/>
    <mergeCell ref="I47:I48"/>
    <mergeCell ref="G48:H48"/>
    <mergeCell ref="E49:F49"/>
    <mergeCell ref="G49:H50"/>
  </mergeCells>
  <conditionalFormatting sqref="E1:T87 U1:U32 V33:V35 U36:U87 V51:V53 W52">
    <cfRule type="containsText" dxfId="0" priority="1" operator="containsText" text="Физика">
      <formula>NOT(ISERROR(SEARCH(("Физика"),(E1))))</formula>
    </cfRule>
  </conditionalFormatting>
  <conditionalFormatting sqref="N53:O53 E54:E56 F55:W56">
    <cfRule type="containsText" dxfId="1" priority="2" operator="containsText" text="Шерашова">
      <formula>NOT(ISERROR(SEARCH(("Шерашова"),(N53))))</formula>
    </cfRule>
  </conditionalFormatting>
  <conditionalFormatting sqref="E2:T54 U2:U32 V33:V35 U36:U54 V51:V53 W52 O58:O59 P58 K62:L69">
    <cfRule type="containsText" dxfId="2" priority="3" operator="containsText" text="Шерашова">
      <formula>NOT(ISERROR(SEARCH(("Шерашова"),(E2))))</formula>
    </cfRule>
  </conditionalFormatting>
  <conditionalFormatting sqref="E2:T54 U2:U32 V33:V35 U36:U54 V51:V53 W52 O58:O59 P58 K62:L69">
    <cfRule type="containsText" dxfId="3" priority="4" operator="containsText" text="Англ">
      <formula>NOT(ISERROR(SEARCH(("Англ"),(E2))))</formula>
    </cfRule>
  </conditionalFormatting>
  <conditionalFormatting sqref="E2:T54 U2:U32 V33:V35 U36:U54 V51:V53 W52 O58:O59 P58 K62:L69">
    <cfRule type="containsText" dxfId="4" priority="5" operator="containsText" text="Театр">
      <formula>NOT(ISERROR(SEARCH(("Театр"),(E2))))</formula>
    </cfRule>
  </conditionalFormatting>
  <conditionalFormatting sqref="E2:T54 U2:U32 V33:V35 U36:U54 V51:V53 W52 O58:O59 P58 K62:L69">
    <cfRule type="containsText" dxfId="5" priority="6" operator="containsText" text="Колечкин">
      <formula>NOT(ISERROR(SEARCH(("Колечкин"),(E2))))</formula>
    </cfRule>
  </conditionalFormatting>
  <conditionalFormatting sqref="E2:G73 H2:H74 I2:W73">
    <cfRule type="containsText" dxfId="0" priority="7" operator="containsText" text="Репнев">
      <formula>NOT(ISERROR(SEARCH(("Репнев"),(E2))))</formula>
    </cfRule>
  </conditionalFormatting>
  <conditionalFormatting sqref="E2:G66 H2:H74 I2:J66 K2:L69 M2:W66">
    <cfRule type="containsText" dxfId="6" priority="8" operator="containsText" text="Рогацкина">
      <formula>NOT(ISERROR(SEARCH(("Рогацкина"),(E2))))</formula>
    </cfRule>
  </conditionalFormatting>
  <conditionalFormatting sqref="E2:G68 H2:H74 I2:J68 K2:L69 M2:W68">
    <cfRule type="containsText" dxfId="7" priority="9" operator="containsText" text="Белоусова">
      <formula>NOT(ISERROR(SEARCH(("Белоусова"),(E2))))</formula>
    </cfRule>
  </conditionalFormatting>
  <conditionalFormatting sqref="E2:G61 H2:H74 I2:J66 K2:L69 M2:M66 N2:W61">
    <cfRule type="containsText" dxfId="8" priority="10" operator="containsText" text="Караванова">
      <formula>NOT(ISERROR(SEARCH(("Караванова"),(E2))))</formula>
    </cfRule>
  </conditionalFormatting>
  <conditionalFormatting sqref="E2:G64 H2:H74 I2:J66 K2:L69 M2:M66 N2:W64">
    <cfRule type="containsText" dxfId="9" priority="11" operator="containsText" text="Дронзик">
      <formula>NOT(ISERROR(SEARCH(("Дронзик"),(E2))))</formula>
    </cfRule>
  </conditionalFormatting>
  <conditionalFormatting sqref="E2:G65 H2:H74 I2:J66 K2:L69 M2:M66 N2:W65">
    <cfRule type="containsText" dxfId="10" priority="12" operator="containsText" text="Старунова">
      <formula>NOT(ISERROR(SEARCH(("Старунова"),(E2))))</formula>
    </cfRule>
  </conditionalFormatting>
  <conditionalFormatting sqref="E2:G63 H2:H74 I2:J66 K2:L69 M2:M66 N2:W63">
    <cfRule type="containsText" dxfId="11" priority="13" operator="containsText" text="Харитонов">
      <formula>NOT(ISERROR(SEARCH(("Харитонов"),(E2))))</formula>
    </cfRule>
  </conditionalFormatting>
  <conditionalFormatting sqref="E2:G68 H2:H74 I2:J68 K2:L69 M2:W68">
    <cfRule type="containsText" dxfId="12" priority="14" operator="containsText" text="Хуснутдинов">
      <formula>NOT(ISERROR(SEARCH(("Хуснутдинов"),(E2))))</formula>
    </cfRule>
  </conditionalFormatting>
  <conditionalFormatting sqref="E2:G67 H2:H74 I2:J67 K2:L69 M2:W67">
    <cfRule type="containsText" dxfId="13" priority="15" operator="containsText" text="Решетников">
      <formula>NOT(ISERROR(SEARCH(("Решетников"),(E2))))</formula>
    </cfRule>
  </conditionalFormatting>
  <conditionalFormatting sqref="E2:G70 H2:H74 I2:W70">
    <cfRule type="containsText" dxfId="14" priority="16" operator="containsText" text="Заводов">
      <formula>NOT(ISERROR(SEARCH(("Заводов"),(E2))))</formula>
    </cfRule>
  </conditionalFormatting>
  <conditionalFormatting sqref="E1:G67 H1:H74 I1:J67 K1:L69 M1:W67">
    <cfRule type="containsText" dxfId="15" priority="17" operator="containsText" text="Абрамов">
      <formula>NOT(ISERROR(SEARCH(("Абрамов"),(E1))))</formula>
    </cfRule>
  </conditionalFormatting>
  <conditionalFormatting sqref="E2:G68 H2:H74 I2:J68 K2:L69 M2:W68">
    <cfRule type="containsText" dxfId="16" priority="18" operator="containsText" text="Климов">
      <formula>NOT(ISERROR(SEARCH(("Климов"),(E2))))</formula>
    </cfRule>
  </conditionalFormatting>
  <conditionalFormatting sqref="E2:G62 H2:H74 I2:J66 K2:L69 M2:M66 N2:W62">
    <cfRule type="containsText" dxfId="17" priority="19" operator="containsText" text="Клейменов">
      <formula>NOT(ISERROR(SEARCH(("Клейменов"),(E2))))</formula>
    </cfRule>
  </conditionalFormatting>
  <conditionalFormatting sqref="E2:G69 H2:H74 I2:W69">
    <cfRule type="containsText" dxfId="18" priority="20" operator="containsText" text="Попович">
      <formula>NOT(ISERROR(SEARCH(("Попович"),(E2))))</formula>
    </cfRule>
  </conditionalFormatting>
  <conditionalFormatting sqref="E2:G69 H2:H74 I2:W69">
    <cfRule type="containsText" dxfId="19" priority="21" operator="containsText" text="Исмаилов">
      <formula>NOT(ISERROR(SEARCH(("Исмаилов"),(E2))))</formula>
    </cfRule>
  </conditionalFormatting>
  <conditionalFormatting sqref="E2:E21 F2:F12 G2:I46 J2:K50 L2:Q46 R2:S6 T2:V8 S10:S33 T10:V46 R11:R47 F15:F17 F19:F21 E25:F31 E33:E54 F33:F46 S36:S42 S44:S46 S48:S54 T48:T51 F49:F50 N49:N50 R50:R54 G51:H54 I51:I53 P51:P54 F53:F54 J53:J54 N53:N54 Q53:Q54 K54:M54 P58 K62:L69">
    <cfRule type="containsText" dxfId="20" priority="22" operator="containsText" text="Ларченко">
      <formula>NOT(ISERROR(SEARCH(("Ларченко"),(E2))))</formula>
    </cfRule>
  </conditionalFormatting>
  <conditionalFormatting sqref="E2:G66 H2:H74 I2:J66 K2:L69 M2:W66">
    <cfRule type="containsText" dxfId="21" priority="23" operator="containsText" text="Краснова">
      <formula>NOT(ISERROR(SEARCH(("Краснова"),(E2))))</formula>
    </cfRule>
  </conditionalFormatting>
  <conditionalFormatting sqref="E2:G66 H2:H74 I2:J66 K2:L69 M2:W66">
    <cfRule type="containsText" dxfId="22" priority="24" operator="containsText" text="Белоус">
      <formula>NOT(ISERROR(SEARCH(("Белоус"),(E2))))</formula>
    </cfRule>
  </conditionalFormatting>
  <conditionalFormatting sqref="E2:G66 H2:H74 I2:J66 K2:L69 M2:W66">
    <cfRule type="containsText" dxfId="23" priority="25" operator="containsText" text="Куницын">
      <formula>NOT(ISERROR(SEARCH(("Куницын"),(E2))))</formula>
    </cfRule>
  </conditionalFormatting>
  <dataValidations>
    <dataValidation type="custom" allowBlank="1" showDropDown="1" sqref="R8:R10">
      <formula1>IF(COUNTA(filter($E53:$W53,ARRAYFORMULA(ISERROR(FIND(join(",",filter(split($H$84,","),ARRAYFORMULA(ISERROR(FIND(split($H$84,","),R8)))=FALSE)),$E53:$W53))=FALSE)))&gt;1,FALSE,TRUE)</formula1>
    </dataValidation>
    <dataValidation type="custom" allowBlank="1" showDropDown="1" sqref="P13:P16 G28:G29 L28:L29 J31 N32:N33 E36:E37 J36:J37 N36:N37 T40:T41 E42:E43 P42:P43 R47 T48:T49 K49:K50 P51:P52 E51:E53 Q53:Q54">
      <formula1>IF(COUNTA(filter(#REF!,ARRAYFORMULA(ISERROR(FIND(join(",",filter(split($H$84,","),ARRAYFORMULA(ISERROR(FIND(split($H$84,","),E13)))=FALSE)),#REF!))=FALSE)))&gt;1,FALSE,TRUE)</formula1>
    </dataValidation>
    <dataValidation type="custom" allowBlank="1" showDropDown="1" sqref="H4:I4">
      <formula1>IF(COUNTA(filter($E7:$W7,ARRAYFORMULA(ISERROR(FIND(join(",",filter(split($H$84,","),ARRAYFORMULA(ISERROR(FIND(split($H$84,","),#REF!)))=FALSE)),$E7:$W7))=FALSE)))&gt;1,FALSE,TRUE)</formula1>
    </dataValidation>
    <dataValidation type="custom" allowBlank="1" showDropDown="1" sqref="E3:F3 G4 J5:J6 E15:E16 E47:E48 J49:J50 G51:G53">
      <formula1>IF(COUNTA(filter($E3:$W3,ARRAYFORMULA(ISERROR(FIND(join(",",filter(split($H$84,","),ARRAYFORMULA(ISERROR(FIND(split($H$84,","),#REF!)))=FALSE)),$E3:$W3))=FALSE)))&gt;1,FALSE,TRUE)</formula1>
    </dataValidation>
    <dataValidation type="custom" allowBlank="1" showDropDown="1" sqref="F4:F5 E6:E7 H7:H8 E25 G25:H25 G26 E27 R28:S29 H36:I36 H37 G38:G39 E49:E50 N53">
      <formula1>IF(COUNTA(filter($E5:$W5,ARRAYFORMULA(ISERROR(FIND(join(",",filter(split($H$84,","),ARRAYFORMULA(ISERROR(FIND(split($H$84,","),E4)))=FALSE)),$E5:$W5))=FALSE)))&gt;1,FALSE,TRUE)</formula1>
    </dataValidation>
    <dataValidation type="custom" allowBlank="1" showDropDown="1" sqref="H9 G10 H17:H18 I30:I31 L51 J51:J52 R54">
      <formula1>IF(COUNTA(filter($E5:$W5,ARRAYFORMULA(ISERROR(FIND(join(",",filter(split($H$84,","),ARRAYFORMULA(ISERROR(FIND(split($H$84,","),G9)))=FALSE)),$E5:$W5))=FALSE)))&gt;1,FALSE,TRUE)</formula1>
    </dataValidation>
    <dataValidation type="custom" allowBlank="1" showDropDown="1" sqref="S52">
      <formula1>IF(COUNTA(filter($E32:$W32,ARRAYFORMULA(ISERROR(FIND(join(",",filter(split($H$84,","),ARRAYFORMULA(ISERROR(FIND(split($H$84,","),S52)))=FALSE)),$E32:$W32))=FALSE)))&gt;1,FALSE,TRUE)</formula1>
    </dataValidation>
    <dataValidation type="custom" allowBlank="1" showDropDown="1" sqref="N8">
      <formula1>IF(COUNTA(filter($E1:$W1,ARRAYFORMULA(ISERROR(FIND(join(",",filter(split($H$84,","),ARRAYFORMULA(ISERROR(FIND(split($H$84,","),#REF!)))=FALSE)),$E1:$W1))=FALSE)))&gt;1,FALSE,TRUE)</formula1>
    </dataValidation>
    <dataValidation type="custom" allowBlank="1" showDropDown="1" sqref="T11 W11">
      <formula1>IF(COUNTA(filter($F11:$W11,ARRAYFORMULA(ISERROR(FIND(join(",",filter(split($H$84,","),ARRAYFORMULA(ISERROR(FIND(split($H$84,","),T11)))=FALSE)),$F11:$W11))=FALSE)))&gt;1,FALSE,TRUE)</formula1>
    </dataValidation>
    <dataValidation type="custom" allowBlank="1" showDropDown="1" sqref="R3:R4">
      <formula1>IF(COUNTA(filter($E17:$W17,ARRAYFORMULA(ISERROR(FIND(join(",",filter(split($H$84,","),ARRAYFORMULA(ISERROR(FIND(split($H$84,","),R3)))=FALSE)),$E17:$W17))=FALSE)))&gt;1,FALSE,TRUE)</formula1>
    </dataValidation>
    <dataValidation type="custom" allowBlank="1" showDropDown="1" sqref="L40:L41">
      <formula1>IF(COUNTA(filter($E1:$W1,ARRAYFORMULA(ISERROR(FIND(join(",",filter(split($H$84,","),ARRAYFORMULA(ISERROR(FIND(split($H$84,","),L40)))=FALSE)),$E1:$W1))=FALSE)))&gt;1,FALSE,TRUE)</formula1>
    </dataValidation>
    <dataValidation type="custom" allowBlank="1" showDropDown="1" sqref="T13 P25 J27">
      <formula1>IF(COUNTA(filter($E17:$W17,ARRAYFORMULA(ISERROR(FIND(join(",",filter(split($H$84,","),ARRAYFORMULA(ISERROR(FIND(split($H$84,","),J13)))=FALSE)),$E17:$W17))=FALSE)))&gt;1,FALSE,TRUE)</formula1>
    </dataValidation>
    <dataValidation type="custom" allowBlank="1" showDropDown="1" sqref="N20:N21">
      <formula1>IF(COUNTA(filter($E17:$W17,ARRAYFORMULA(ISERROR(FIND(join(",",filter(split($H$84,","),ARRAYFORMULA(ISERROR(FIND(split($H$84,","),N20)))=FALSE)),$E17:$W17))=FALSE)))&gt;1,FALSE,TRUE)</formula1>
    </dataValidation>
    <dataValidation type="custom" allowBlank="1" showDropDown="1" sqref="E4:E5 F6:F7 L26 F28:F29 E30:E31">
      <formula1>IF(COUNTA(filter($E7:$W7,ARRAYFORMULA(ISERROR(FIND(join(",",filter(split($H$84,","),ARRAYFORMULA(ISERROR(FIND(split($H$84,","),E4)))=FALSE)),$E7:$W7))=FALSE)))&gt;1,FALSE,TRUE)</formula1>
    </dataValidation>
    <dataValidation type="custom" allowBlank="1" showDropDown="1" sqref="G19:G21">
      <formula1>IF(COUNTA(filter($E14:$W14,ARRAYFORMULA(ISERROR(FIND(join(",",filter(split($H$84,","),ARRAYFORMULA(ISERROR(FIND(split($H$84,","),G19)))=FALSE)),$E14:$W14))=FALSE)))&gt;1,FALSE,TRUE)</formula1>
    </dataValidation>
    <dataValidation type="custom" allowBlank="1" showDropDown="1" sqref="N2 R2 T2 G2:G3 J2:J3 L4 P2:P4 G5:H6 K5:M6 T5:T6 L7:L8 P7:P8 T7:U8 G7:G9 H10 J9:J10 N9:N10 Q9:Q10 S10 W2:W10 E12:W12 E13:E14 H13:H14 L13:L14 E17:E18 G15:G18 J15:J18 L17:L18 S17:S18 H19:J19 H20:H21 J20:J21 L20:L21 G22 R19:R22 T22 H23 G24:R24 J25 P26 R26 Q27 P28 E28:E29 I28:I29 Q29 T29 F30:G31 P30:Q31 J32:J33 W13:W33 R34:R35 T34:W35 P36 G36:G37 L36:M37 P37:Q37 H38:H39 J38:J39 L38:N39 E38:E41 G40:G41 J40:K41 N40:P41 R38:S41 R42:T42 J42:L43 T43 E44 G42:H44 K44 Q44 H45 M44:N45 W36:W45 E46:W46 I47 F47:G48 L47:L48 N47:P48 G49 L49:M50 L52 N51:O52 I51:I53 P53 O54:P54 W47:W54 E54:E55 E57:W57 E58:G58 J58 N58:O58 E59:O61 T58:W61 E62:W66 K68:K69 H67:H74">
      <formula1>IF(COUNTA(filter($E2:$W2,ARRAYFORMULA(ISERROR(FIND(join(",",filter(split($H$84,","),ARRAYFORMULA(ISERROR(FIND(split($H$84,","),E2)))=FALSE)),$E2:$W2))=FALSE)))&gt;1,FALSE,TRUE)</formula1>
    </dataValidation>
    <dataValidation type="custom" allowBlank="1" showDropDown="1" sqref="H40:H41 T50:T51">
      <formula1>IF(COUNTA(filter($E72:$W72,ARRAYFORMULA(ISERROR(FIND(join(",",filter(split($H$84,","),ARRAYFORMULA(ISERROR(FIND(split($H$84,","),H40)))=FALSE)),$E72:$W72))=FALSE)))&gt;1,FALSE,TRUE)</formula1>
    </dataValidation>
    <dataValidation type="custom" allowBlank="1" showDropDown="1" sqref="N23">
      <formula1>IF(COUNTA(filter($E35:$W35,ARRAYFORMULA(ISERROR(FIND(join(",",filter(split($H$84,","),ARRAYFORMULA(ISERROR(FIND(split($H$84,","),N23)))=FALSE)),$E35:$W35))=FALSE)))&gt;1,FALSE,TRUE)</formula1>
    </dataValidation>
    <dataValidation type="custom" allowBlank="1" showDropDown="1" sqref="R13:R14">
      <formula1>IF(COUNTA(filter($E3:$W3,ARRAYFORMULA(ISERROR(FIND(join(",",filter(split($H$84,","),ARRAYFORMULA(ISERROR(FIND(split($H$84,","),R13)))=FALSE)),$E3:$W3))=FALSE)))&gt;1,FALSE,TRUE)</formula1>
    </dataValidation>
    <dataValidation type="custom" allowBlank="1" showDropDown="1" sqref="N3:N4 P5:P6 J7:J8 L9:L10 P20:P21">
      <formula1>IF(COUNTA(filter($E36:$W36,ARRAYFORMULA(ISERROR(FIND(join(",",filter(split($H$84,","),ARRAYFORMULA(ISERROR(FIND(split($H$84,","),J3)))=FALSE)),$E36:$W36))=FALSE)))&gt;1,FALSE,TRUE)</formula1>
    </dataValidation>
    <dataValidation type="custom" allowBlank="1" showDropDown="1" sqref="T19:V19 T20:T21 T47">
      <formula1>IF(COUNTA(filter($E25:$W25,ARRAYFORMULA(ISERROR(FIND(join(",",filter(split($H$84,","),ARRAYFORMULA(ISERROR(FIND(split($H$84,","),T19)))=FALSE)),$E25:$W25))=FALSE)))&gt;1,FALSE,TRUE)</formula1>
    </dataValidation>
    <dataValidation type="custom" allowBlank="1" showDropDown="1" sqref="H51:H53">
      <formula1>IF(COUNTA(filter($E1:$W1,ARRAYFORMULA(ISERROR(FIND(join(",",filter(split($H$84,","),ARRAYFORMULA(ISERROR(FIND(split($H$84,","),H51)))=FALSE)),$E1:$W1))=FALSE)))&gt;1,FALSE,TRUE)</formula1>
    </dataValidation>
    <dataValidation type="custom" allowBlank="1" showDropDown="1" sqref="T18 P32 P44:P45">
      <formula1>IF(COUNTA(filter($E27:$W27,ARRAYFORMULA(ISERROR(FIND(join(",",filter(split($H$84,","),ARRAYFORMULA(ISERROR(FIND(split($H$84,","),P18)))=FALSE)),$E27:$W27))=FALSE)))&gt;1,FALSE,TRUE)</formula1>
    </dataValidation>
    <dataValidation type="custom" allowBlank="1" showDropDown="1" sqref="J13:J14 L15:L16 N17:N18">
      <formula1>IF(COUNTA(filter($E47:$W47,ARRAYFORMULA(ISERROR(FIND(join(",",filter(split($H$84,","),ARRAYFORMULA(ISERROR(FIND(split($H$84,","),J13)))=FALSE)),$E47:$W47))=FALSE)))&gt;1,FALSE,TRUE)</formula1>
    </dataValidation>
    <dataValidation type="custom" allowBlank="1" showDropDown="1" sqref="J26">
      <formula1>IF(COUNTA(filter($E31:$W31,ARRAYFORMULA(ISERROR(FIND(join(",",filter(split($H$84,","),ARRAYFORMULA(ISERROR(FIND(split($H$84,","),J26)))=FALSE)),$E31:$W31))=FALSE)))&gt;1,FALSE,TRUE)</formula1>
    </dataValidation>
    <dataValidation type="custom" allowBlank="1" showDropDown="1" sqref="N5:N6 N13:N14 N26:N27 T25:T28 T38:T39 N42:N43">
      <formula1>IF(COUNTA(filter($E7:$W7,ARRAYFORMULA(ISERROR(FIND(join(",",filter(split($H$84,","),ARRAYFORMULA(ISERROR(FIND(split($H$84,","),N5)))=FALSE)),$E7:$W7))=FALSE)))&gt;1,FALSE,TRUE)</formula1>
    </dataValidation>
    <dataValidation type="custom" allowBlank="1" showDropDown="1" sqref="N22">
      <formula1>IF(COUNTA(filter($E33:$W33,ARRAYFORMULA(ISERROR(FIND(join(",",filter(split($H$84,","),ARRAYFORMULA(ISERROR(FIND(split($H$84,","),N22)))=FALSE)),$E33:$W33))=FALSE)))&gt;1,FALSE,TRUE)</formula1>
    </dataValidation>
    <dataValidation type="custom" allowBlank="1" showDropDown="1" sqref="N7">
      <formula1>IF(COUNTA(filter(#REF!,ARRAYFORMULA(ISERROR(FIND(join(",",filter(split($H$84,","),ARRAYFORMULA(ISERROR(FIND(split($H$84,","),#REF!)))=FALSE)),#REF!))=FALSE)))&gt;1,FALSE,TRUE)</formula1>
    </dataValidation>
    <dataValidation type="custom" allowBlank="1" showDropDown="1" sqref="P27 P29 S30:S31 S33 R48:R49 T52:V53 P58">
      <formula1>IF(COUNTA(filter($E26:$W26,ARRAYFORMULA(ISERROR(FIND(join(",",filter(split($H$84,","),ARRAYFORMULA(ISERROR(FIND(split($H$84,","),P27)))=FALSE)),$E26:$W26))=FALSE)))&gt;1,FALSE,TRUE)</formula1>
    </dataValidation>
    <dataValidation type="custom" allowBlank="1" showDropDown="1" sqref="S53:S54">
      <formula1>IF(COUNTA(filter($E9:$W9,ARRAYFORMULA(ISERROR(FIND(join(",",filter(split($H$84,","),ARRAYFORMULA(ISERROR(FIND(split($H$84,","),S53)))=FALSE)),$E9:$W9))=FALSE)))&gt;1,FALSE,TRUE)</formula1>
    </dataValidation>
    <dataValidation type="custom" allowBlank="1" showDropDown="1" sqref="G32 E33:E35">
      <formula1>IF(COUNTA(filter($E32:$W32,ARRAYFORMULA(ISERROR(FIND(join(",",filter(split($H$83,","),ARRAYFORMULA(ISERROR(FIND(split($H$83,","),#REF!)))=FALSE)),$E32:$W32))=FALSE)))&gt;1,FALSE,TRUE)</formula1>
    </dataValidation>
    <dataValidation type="custom" allowBlank="1" showDropDown="1" sqref="E2 R30">
      <formula1>IF(COUNTA(filter($E2:$W2,ARRAYFORMULA(ISERROR(FIND(join(",",filter(split($H$83,","),ARRAYFORMULA(ISERROR(FIND(split($H$83,","),E2)))=FALSE)),$E2:$W2))=FALSE)))&gt;1,FALSE,TRUE)</formula1>
    </dataValidation>
    <dataValidation type="custom" allowBlank="1" showDropDown="1" sqref="P9:P10 R15:S16 P17:Q18 N25 N30:N31 J53 L53">
      <formula1>IF(COUNTA(filter($E7:$W7,ARRAYFORMULA(ISERROR(FIND(join(",",filter(split($H$84,","),ARRAYFORMULA(ISERROR(FIND(split($H$84,","),J9)))=FALSE)),$E7:$W7))=FALSE)))&gt;1,FALSE,TRUE)</formula1>
    </dataValidation>
    <dataValidation type="custom" allowBlank="1" showDropDown="1" sqref="S3:S4">
      <formula1>IF(COUNTA(filter($E27:$W27,ARRAYFORMULA(ISERROR(FIND(join(",",filter(split($H$84,","),ARRAYFORMULA(ISERROR(FIND(split($H$84,","),S3)))=FALSE)),$E27:$W27))=FALSE)))&gt;1,FALSE,TRUE)</formula1>
    </dataValidation>
    <dataValidation type="custom" allowBlank="1" showDropDown="1" sqref="T3:T4">
      <formula1>IF(COUNTA(filter($E47:$W47,ARRAYFORMULA(ISERROR(FIND(join(",",filter(split($H$84,","),ARRAYFORMULA(ISERROR(FIND(split($H$84,","),T3)))=FALSE)),$E47:$W47))=FALSE)))&gt;1,FALSE,TRUE)</formula1>
    </dataValidation>
    <dataValidation type="custom" allowBlank="1" showDropDown="1" sqref="T36:T37">
      <formula1>IF(COUNTA(filter($E13:$W13,ARRAYFORMULA(ISERROR(FIND(join(",",filter(split($H$84,","),ARRAYFORMULA(ISERROR(FIND(split($H$84,","),T36)))=FALSE)),$E13:$W13))=FALSE)))&gt;1,FALSE,TRUE)</formula1>
    </dataValidation>
    <dataValidation type="custom" allowBlank="1" showDropDown="1" sqref="J47:J48 K67">
      <formula1>IF(COUNTA(filter($E9:$W9,ARRAYFORMULA(ISERROR(FIND(join(",",filter(split($H$84,","),ARRAYFORMULA(ISERROR(FIND(split($H$84,","),J47)))=FALSE)),$E9:$W9))=FALSE)))&gt;1,FALSE,TRUE)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2.63"/>
    <col customWidth="1" min="7" max="7" width="20.88"/>
    <col customWidth="1" min="8" max="9" width="11.88"/>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627">
        <v>44970.0</v>
      </c>
      <c r="B2" s="19">
        <v>1.0</v>
      </c>
      <c r="C2" s="20" t="s">
        <v>12</v>
      </c>
      <c r="D2" s="587" t="s">
        <v>13</v>
      </c>
      <c r="E2" s="731" t="s">
        <v>9118</v>
      </c>
      <c r="F2" s="732"/>
      <c r="G2" s="23"/>
      <c r="H2" s="23"/>
      <c r="I2" s="35"/>
      <c r="J2" s="23"/>
      <c r="K2" s="24"/>
      <c r="L2" s="733" t="s">
        <v>9119</v>
      </c>
      <c r="M2" s="4"/>
      <c r="N2" s="23"/>
      <c r="O2" s="25"/>
      <c r="P2" s="21"/>
      <c r="Q2" s="25"/>
      <c r="R2" s="21"/>
      <c r="S2" s="25"/>
      <c r="T2" s="21"/>
      <c r="U2" s="24"/>
      <c r="V2" s="22"/>
      <c r="W2" s="26"/>
      <c r="X2" s="27" t="s">
        <v>12</v>
      </c>
      <c r="Y2" s="27" t="s">
        <v>13</v>
      </c>
      <c r="Z2" s="28"/>
      <c r="AA2" s="14"/>
      <c r="AB2" s="15"/>
      <c r="AC2" s="14"/>
      <c r="AD2" s="14"/>
      <c r="AE2" s="14"/>
      <c r="AF2" s="29"/>
      <c r="AG2" s="29"/>
      <c r="AH2" s="29"/>
    </row>
    <row r="3" ht="40.5" hidden="1" customHeight="1">
      <c r="A3" s="30"/>
      <c r="B3" s="31">
        <v>2.0</v>
      </c>
      <c r="C3" s="32" t="s">
        <v>21</v>
      </c>
      <c r="D3" s="734" t="s">
        <v>22</v>
      </c>
      <c r="E3" s="735" t="s">
        <v>9120</v>
      </c>
      <c r="F3" s="731" t="s">
        <v>9121</v>
      </c>
      <c r="G3" s="35"/>
      <c r="H3" s="35"/>
      <c r="I3" s="35"/>
      <c r="J3" s="35" t="s">
        <v>9122</v>
      </c>
      <c r="K3" s="13"/>
      <c r="L3" s="104"/>
      <c r="M3" s="72"/>
      <c r="N3" s="37"/>
      <c r="O3" s="13"/>
      <c r="P3" s="37"/>
      <c r="Q3" s="13"/>
      <c r="R3" s="100" t="s">
        <v>9123</v>
      </c>
      <c r="S3" s="345"/>
      <c r="T3" s="37"/>
      <c r="U3" s="36"/>
      <c r="V3" s="41"/>
      <c r="W3" s="26"/>
      <c r="X3" s="42" t="s">
        <v>21</v>
      </c>
      <c r="Y3" s="42" t="s">
        <v>22</v>
      </c>
      <c r="Z3" s="28"/>
      <c r="AA3" s="14"/>
      <c r="AB3" s="15" t="str">
        <f>IFERROR(__xludf.DUMMYFUNCTION("join("","",filter(split($H$83,"",""),ARRAYFORMULA(ISERROR(FIND(split($H$83,"",""),CONCATENATE(E3:V3))))=TRUE))"),"СЗ,КЗ,201,202,206,209,210,402,403,404,405,406,408,409,410")</f>
        <v>СЗ,КЗ,201,202,206,209,210,402,403,404,405,406,408,409,410</v>
      </c>
      <c r="AC3" s="14"/>
      <c r="AD3" s="14"/>
      <c r="AE3" s="14"/>
      <c r="AF3" s="29"/>
      <c r="AG3" s="29"/>
      <c r="AH3" s="29"/>
    </row>
    <row r="4" ht="40.5" hidden="1" customHeight="1">
      <c r="A4" s="30"/>
      <c r="B4" s="31">
        <v>3.0</v>
      </c>
      <c r="C4" s="32" t="s">
        <v>33</v>
      </c>
      <c r="D4" s="734" t="s">
        <v>34</v>
      </c>
      <c r="E4" s="731" t="s">
        <v>9124</v>
      </c>
      <c r="F4" s="6"/>
      <c r="G4" s="43" t="s">
        <v>9125</v>
      </c>
      <c r="H4" s="44" t="s">
        <v>9126</v>
      </c>
      <c r="I4" s="45" t="s">
        <v>9127</v>
      </c>
      <c r="J4" s="102" t="s">
        <v>9128</v>
      </c>
      <c r="K4" s="13"/>
      <c r="L4" s="45" t="s">
        <v>9129</v>
      </c>
      <c r="M4" s="13"/>
      <c r="N4" s="37"/>
      <c r="O4" s="13"/>
      <c r="P4" s="37"/>
      <c r="Q4" s="13"/>
      <c r="R4" s="105"/>
      <c r="S4" s="104"/>
      <c r="T4" s="37"/>
      <c r="U4" s="36"/>
      <c r="V4" s="41"/>
      <c r="W4" s="26"/>
      <c r="X4" s="42" t="s">
        <v>33</v>
      </c>
      <c r="Y4" s="42" t="s">
        <v>34</v>
      </c>
      <c r="Z4" s="48" t="s">
        <v>47</v>
      </c>
      <c r="AA4" s="14"/>
      <c r="AB4" s="15" t="str">
        <f>IFERROR(__xludf.DUMMYFUNCTION("join("","",filter(split($H$83,"",""),ARRAYFORMULA(ISERROR(FIND(split($H$83,"",""),CONCATENATE(E4:V4))))=TRUE))"),"СЗ,КЗ,201,202,206,209,210,404,406,408,410,АЗ")</f>
        <v>СЗ,КЗ,201,202,206,209,210,404,406,408,410,АЗ</v>
      </c>
      <c r="AC4" s="14"/>
      <c r="AD4" s="14"/>
      <c r="AE4" s="14"/>
      <c r="AF4" s="29"/>
      <c r="AG4" s="29"/>
      <c r="AH4" s="29"/>
    </row>
    <row r="5" ht="40.5" hidden="1" customHeight="1">
      <c r="A5" s="30"/>
      <c r="B5" s="31">
        <v>4.0</v>
      </c>
      <c r="C5" s="32" t="s">
        <v>48</v>
      </c>
      <c r="D5" s="734" t="s">
        <v>49</v>
      </c>
      <c r="E5" s="636"/>
      <c r="F5" s="134"/>
      <c r="G5" s="186" t="s">
        <v>9130</v>
      </c>
      <c r="H5" s="45" t="s">
        <v>9131</v>
      </c>
      <c r="I5" s="13"/>
      <c r="J5" s="33" t="s">
        <v>9132</v>
      </c>
      <c r="K5" s="44" t="s">
        <v>9133</v>
      </c>
      <c r="L5" s="44" t="s">
        <v>9134</v>
      </c>
      <c r="M5" s="45" t="s">
        <v>9135</v>
      </c>
      <c r="N5" s="37" t="s">
        <v>9136</v>
      </c>
      <c r="O5" s="13"/>
      <c r="P5" s="140" t="s">
        <v>9137</v>
      </c>
      <c r="Q5" s="4"/>
      <c r="R5" s="388"/>
      <c r="S5" s="4"/>
      <c r="T5" s="714" t="s">
        <v>9138</v>
      </c>
      <c r="U5" s="8"/>
      <c r="V5" s="129"/>
      <c r="W5" s="26"/>
      <c r="X5" s="42" t="s">
        <v>48</v>
      </c>
      <c r="Y5" s="42" t="s">
        <v>49</v>
      </c>
      <c r="Z5" s="48" t="s">
        <v>57</v>
      </c>
      <c r="AA5" s="14"/>
      <c r="AB5" s="15" t="str">
        <f>IFERROR(__xludf.DUMMYFUNCTION("join("","",filter(split($H$83,"",""),ARRAYFORMULA(ISERROR(FIND(split($H$83,"",""),CONCATENATE(E5:V5))))=TRUE))"),"СЗ,КЗ,201,202,206,209,210,402,406,410")</f>
        <v>СЗ,КЗ,201,202,206,209,210,402,406,410</v>
      </c>
      <c r="AC5" s="14"/>
      <c r="AD5" s="14"/>
      <c r="AE5" s="14"/>
      <c r="AF5" s="29"/>
      <c r="AG5" s="29"/>
      <c r="AH5" s="29"/>
    </row>
    <row r="6" ht="40.5" hidden="1" customHeight="1">
      <c r="A6" s="30"/>
      <c r="B6" s="31">
        <v>5.0</v>
      </c>
      <c r="C6" s="32" t="s">
        <v>58</v>
      </c>
      <c r="D6" s="458">
        <v>44847.0</v>
      </c>
      <c r="E6" s="636"/>
      <c r="F6" s="134"/>
      <c r="G6" s="72"/>
      <c r="H6" s="45" t="s">
        <v>9139</v>
      </c>
      <c r="I6" s="13"/>
      <c r="J6" s="33" t="s">
        <v>9140</v>
      </c>
      <c r="K6" s="44" t="s">
        <v>64</v>
      </c>
      <c r="L6" s="44" t="s">
        <v>9141</v>
      </c>
      <c r="M6" s="45" t="s">
        <v>9142</v>
      </c>
      <c r="N6" s="37" t="s">
        <v>9143</v>
      </c>
      <c r="O6" s="13"/>
      <c r="P6" s="142"/>
      <c r="Q6" s="72"/>
      <c r="R6" s="142"/>
      <c r="S6" s="72"/>
      <c r="T6" s="142"/>
      <c r="U6" s="64"/>
      <c r="V6" s="88"/>
      <c r="W6" s="26"/>
      <c r="X6" s="42" t="s">
        <v>58</v>
      </c>
      <c r="Y6" s="54">
        <v>44847.0</v>
      </c>
      <c r="Z6" s="48" t="s">
        <v>70</v>
      </c>
      <c r="AA6" s="14"/>
      <c r="AB6" s="15" t="str">
        <f>IFERROR(__xludf.DUMMYFUNCTION("join("","",filter(split($H$83,"",""),ARRAYFORMULA(ISERROR(FIND(split($H$83,"",""),CONCATENATE(E6:V6))))=TRUE))"),"СЗ,КЗ,201,202,206,209,210,401,402,406,410")</f>
        <v>СЗ,КЗ,201,202,206,209,210,401,402,406,410</v>
      </c>
      <c r="AC6" s="14"/>
      <c r="AD6" s="14"/>
      <c r="AE6" s="14"/>
      <c r="AF6" s="29"/>
      <c r="AG6" s="29"/>
      <c r="AH6" s="29"/>
    </row>
    <row r="7" ht="42.0" hidden="1" customHeight="1">
      <c r="A7" s="30"/>
      <c r="B7" s="31">
        <v>6.0</v>
      </c>
      <c r="C7" s="55" t="s">
        <v>71</v>
      </c>
      <c r="D7" s="736" t="s">
        <v>72</v>
      </c>
      <c r="E7" s="636"/>
      <c r="F7" s="134"/>
      <c r="G7" s="43" t="s">
        <v>9144</v>
      </c>
      <c r="H7" s="128" t="s">
        <v>9145</v>
      </c>
      <c r="I7" s="4"/>
      <c r="J7" s="37" t="s">
        <v>211</v>
      </c>
      <c r="K7" s="13"/>
      <c r="L7" s="45" t="s">
        <v>9146</v>
      </c>
      <c r="M7" s="13"/>
      <c r="N7" s="737" t="s">
        <v>9147</v>
      </c>
      <c r="O7" s="4"/>
      <c r="P7" s="140" t="s">
        <v>9148</v>
      </c>
      <c r="Q7" s="4"/>
      <c r="R7" s="738"/>
      <c r="T7" s="739" t="s">
        <v>9149</v>
      </c>
      <c r="U7" s="167" t="s">
        <v>9150</v>
      </c>
      <c r="V7" s="129"/>
      <c r="W7" s="26"/>
      <c r="X7" s="58" t="s">
        <v>71</v>
      </c>
      <c r="Y7" s="59" t="s">
        <v>72</v>
      </c>
      <c r="Z7" s="48" t="s">
        <v>84</v>
      </c>
      <c r="AA7" s="14"/>
      <c r="AB7" s="15" t="str">
        <f>IFERROR(__xludf.DUMMYFUNCTION("join("","",filter(split($H$83,"",""),ARRAYFORMULA(ISERROR(FIND(split($H$83,"",""),CONCATENATE(E7:V7))))=TRUE))"),"КЗ,201,202,206,209,210,402,404,405,409,410,АЗ")</f>
        <v>КЗ,201,202,206,209,210,402,404,405,409,410,АЗ</v>
      </c>
      <c r="AC7" s="14"/>
      <c r="AD7" s="14"/>
      <c r="AE7" s="14"/>
      <c r="AF7" s="29"/>
      <c r="AG7" s="29"/>
      <c r="AH7" s="29"/>
    </row>
    <row r="8" ht="42.0" hidden="1" customHeight="1">
      <c r="A8" s="30"/>
      <c r="B8" s="31">
        <v>7.0</v>
      </c>
      <c r="C8" s="32" t="s">
        <v>85</v>
      </c>
      <c r="D8" s="734" t="s">
        <v>86</v>
      </c>
      <c r="E8" s="636"/>
      <c r="F8" s="134"/>
      <c r="G8" s="43" t="s">
        <v>9151</v>
      </c>
      <c r="H8" s="64"/>
      <c r="I8" s="72"/>
      <c r="J8" s="37" t="s">
        <v>211</v>
      </c>
      <c r="K8" s="13"/>
      <c r="L8" s="45" t="s">
        <v>9152</v>
      </c>
      <c r="M8" s="13"/>
      <c r="N8" s="142"/>
      <c r="O8" s="72"/>
      <c r="P8" s="142"/>
      <c r="Q8" s="72"/>
      <c r="R8" s="140"/>
      <c r="S8" s="4"/>
      <c r="T8" s="105"/>
      <c r="U8" s="104"/>
      <c r="V8" s="88"/>
      <c r="W8" s="26"/>
      <c r="X8" s="42" t="s">
        <v>85</v>
      </c>
      <c r="Y8" s="42" t="s">
        <v>86</v>
      </c>
      <c r="Z8" s="48" t="s">
        <v>97</v>
      </c>
      <c r="AA8" s="14"/>
      <c r="AB8" s="15" t="str">
        <f>IFERROR(__xludf.DUMMYFUNCTION("join("","",filter(split($H$83,"",""),ARRAYFORMULA(ISERROR(FIND(split($H$83,"",""),CONCATENATE(E8:V8))))=TRUE))"),"КЗ,201,202,206,209,210,401,402,403,404,405,406,409,410,АЗ")</f>
        <v>КЗ,201,202,206,209,210,401,402,403,404,405,406,409,410,АЗ</v>
      </c>
      <c r="AC8" s="14"/>
      <c r="AD8" s="14"/>
      <c r="AE8" s="14"/>
      <c r="AF8" s="29"/>
      <c r="AG8" s="29"/>
      <c r="AH8" s="29"/>
    </row>
    <row r="9" ht="40.5" hidden="1" customHeight="1">
      <c r="A9" s="30"/>
      <c r="B9" s="31">
        <v>8.0</v>
      </c>
      <c r="C9" s="32" t="s">
        <v>98</v>
      </c>
      <c r="D9" s="734" t="s">
        <v>99</v>
      </c>
      <c r="E9" s="636"/>
      <c r="F9" s="134"/>
      <c r="G9" s="43"/>
      <c r="H9" s="45"/>
      <c r="I9" s="13"/>
      <c r="J9" s="37"/>
      <c r="K9" s="13"/>
      <c r="L9" s="45"/>
      <c r="M9" s="13"/>
      <c r="N9" s="140" t="s">
        <v>9153</v>
      </c>
      <c r="O9" s="4"/>
      <c r="P9" s="583"/>
      <c r="Q9" s="45"/>
      <c r="R9" s="142"/>
      <c r="S9" s="72"/>
      <c r="T9" s="63"/>
      <c r="U9" s="63"/>
      <c r="V9" s="63"/>
      <c r="W9" s="26"/>
      <c r="X9" s="42" t="s">
        <v>98</v>
      </c>
      <c r="Y9" s="42" t="s">
        <v>99</v>
      </c>
      <c r="Z9" s="11"/>
      <c r="AA9" s="14"/>
      <c r="AB9" s="15" t="str">
        <f>IFERROR(__xludf.DUMMYFUNCTION("join("","",filter(split($H$83,"",""),ARRAYFORMULA(ISERROR(FIND(split($H$83,"",""),CONCATENATE(E9:V9))))=TRUE))"),"СЗ,КЗ,201,202,206,209,210,402,403,404,405,406,408,409,410,АЗ")</f>
        <v>СЗ,КЗ,201,202,206,209,210,402,403,404,405,406,408,409,410,АЗ</v>
      </c>
      <c r="AC9" s="14"/>
      <c r="AD9" s="14"/>
      <c r="AE9" s="14"/>
      <c r="AF9" s="29"/>
      <c r="AG9" s="29"/>
      <c r="AH9" s="29"/>
    </row>
    <row r="10" ht="75.75" hidden="1" customHeight="1">
      <c r="A10" s="30"/>
      <c r="B10" s="31">
        <v>9.0</v>
      </c>
      <c r="C10" s="65">
        <v>44697.0</v>
      </c>
      <c r="D10" s="45" t="s">
        <v>109</v>
      </c>
      <c r="E10" s="142"/>
      <c r="F10" s="88"/>
      <c r="G10" s="43"/>
      <c r="H10" s="45"/>
      <c r="I10" s="13"/>
      <c r="J10" s="37"/>
      <c r="K10" s="13"/>
      <c r="L10" s="45"/>
      <c r="M10" s="13"/>
      <c r="N10" s="142"/>
      <c r="O10" s="72"/>
      <c r="P10" s="583"/>
      <c r="Q10" s="163"/>
      <c r="R10" s="37"/>
      <c r="S10" s="163"/>
      <c r="T10" s="36"/>
      <c r="U10" s="36"/>
      <c r="V10" s="41"/>
      <c r="W10" s="26"/>
      <c r="X10" s="69">
        <v>44697.0</v>
      </c>
      <c r="Y10" s="70" t="s">
        <v>109</v>
      </c>
      <c r="Z10" s="28"/>
      <c r="AA10" s="14"/>
      <c r="AB10" s="15" t="str">
        <f>IFERROR(__xludf.DUMMYFUNCTION("join("","",filter(split($H$83,"",""),ARRAYFORMULA(ISERROR(FIND(split($H$83,"",""),CONCATENATE(E10:V10))))=TRUE))"),"СЗ,КЗ,201,202,206,209,210,401,402,403,404,405,406,408,409,410,АЗ")</f>
        <v>СЗ,КЗ,201,202,206,209,210,401,402,403,404,405,406,408,409,410,АЗ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9154</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40"/>
      <c r="V12" s="741"/>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627">
        <v>44971.0</v>
      </c>
      <c r="B13" s="19">
        <v>1.0</v>
      </c>
      <c r="C13" s="20" t="s">
        <v>12</v>
      </c>
      <c r="D13" s="20" t="s">
        <v>13</v>
      </c>
      <c r="E13" s="94" t="s">
        <v>9155</v>
      </c>
      <c r="F13" s="13"/>
      <c r="G13" s="742" t="s">
        <v>9156</v>
      </c>
      <c r="H13" s="247"/>
      <c r="I13" s="247"/>
      <c r="J13" s="23"/>
      <c r="K13" s="25"/>
      <c r="L13" s="733"/>
      <c r="M13" s="4"/>
      <c r="N13" s="714" t="s">
        <v>9138</v>
      </c>
      <c r="O13" s="8"/>
      <c r="P13" s="21"/>
      <c r="Q13" s="22"/>
      <c r="R13" s="23" t="s">
        <v>9157</v>
      </c>
      <c r="S13" s="22"/>
      <c r="T13" s="739" t="s">
        <v>9149</v>
      </c>
      <c r="U13" s="167" t="s">
        <v>9150</v>
      </c>
      <c r="V13" s="129"/>
      <c r="W13" s="26"/>
      <c r="X13" s="27" t="s">
        <v>12</v>
      </c>
      <c r="Y13" s="27" t="s">
        <v>13</v>
      </c>
      <c r="Z13" s="28"/>
      <c r="AA13" s="85"/>
      <c r="AB13" s="15" t="str">
        <f>IFERROR(__xludf.DUMMYFUNCTION("join("","",filter(split($H$83,"",""),ARRAYFORMULA(ISERROR(FIND(split($H$83,"",""),CONCATENATE(E13:V13))))=TRUE))"),"СЗ,КЗ,201,202,206,209,210,401,402,404,405,406,409,410,АЗ")</f>
        <v>СЗ,КЗ,201,202,206,209,210,401,402,404,405,406,409,410,АЗ</v>
      </c>
      <c r="AC13" s="14"/>
      <c r="AD13" s="14"/>
      <c r="AE13" s="14"/>
      <c r="AF13" s="29"/>
      <c r="AG13" s="29"/>
      <c r="AH13" s="29"/>
    </row>
    <row r="14" ht="40.5" hidden="1" customHeight="1">
      <c r="A14" s="30"/>
      <c r="B14" s="31">
        <v>2.0</v>
      </c>
      <c r="C14" s="32" t="s">
        <v>21</v>
      </c>
      <c r="D14" s="32" t="s">
        <v>22</v>
      </c>
      <c r="E14" s="94" t="s">
        <v>852</v>
      </c>
      <c r="F14" s="13"/>
      <c r="J14" s="35"/>
      <c r="K14" s="13"/>
      <c r="L14" s="104"/>
      <c r="M14" s="72"/>
      <c r="N14" s="636"/>
      <c r="P14" s="35"/>
      <c r="Q14" s="41"/>
      <c r="R14" s="35" t="s">
        <v>9158</v>
      </c>
      <c r="S14" s="41"/>
      <c r="T14" s="105"/>
      <c r="U14" s="104"/>
      <c r="V14" s="88"/>
      <c r="W14" s="26"/>
      <c r="X14" s="42" t="s">
        <v>21</v>
      </c>
      <c r="Y14" s="42" t="s">
        <v>22</v>
      </c>
      <c r="Z14" s="28"/>
      <c r="AA14" s="85"/>
      <c r="AB14" s="15" t="str">
        <f>IFERROR(__xludf.DUMMYFUNCTION("join("","",filter(split($H$83,"",""),ARRAYFORMULA(ISERROR(FIND(split($H$83,"",""),CONCATENATE(E14:V14))))=TRUE))"),"СЗ,КЗ,201,202,206,209,210,401,402,403,404,405,406,409,410,АЗ")</f>
        <v>СЗ,КЗ,201,202,206,209,210,401,402,403,404,405,406,409,410,АЗ</v>
      </c>
      <c r="AC14" s="14"/>
      <c r="AD14" s="14"/>
      <c r="AE14" s="14"/>
      <c r="AF14" s="29"/>
      <c r="AG14" s="29"/>
      <c r="AH14" s="29"/>
    </row>
    <row r="15" ht="40.5" hidden="1" customHeight="1">
      <c r="A15" s="30"/>
      <c r="B15" s="31">
        <v>3.0</v>
      </c>
      <c r="C15" s="32" t="s">
        <v>33</v>
      </c>
      <c r="D15" s="32" t="s">
        <v>34</v>
      </c>
      <c r="E15" s="40" t="s">
        <v>9159</v>
      </c>
      <c r="F15" s="13"/>
      <c r="J15" s="35" t="s">
        <v>9160</v>
      </c>
      <c r="K15" s="13"/>
      <c r="L15" s="733" t="s">
        <v>9161</v>
      </c>
      <c r="M15" s="4"/>
      <c r="N15" s="743" t="s">
        <v>9162</v>
      </c>
      <c r="O15" s="4"/>
      <c r="P15" s="37"/>
      <c r="Q15" s="41"/>
      <c r="R15" s="739" t="s">
        <v>9149</v>
      </c>
      <c r="S15" s="744" t="s">
        <v>9150</v>
      </c>
      <c r="T15" s="714" t="s">
        <v>9138</v>
      </c>
      <c r="U15" s="8"/>
      <c r="V15" s="129"/>
      <c r="W15" s="26"/>
      <c r="X15" s="42" t="s">
        <v>33</v>
      </c>
      <c r="Y15" s="42" t="s">
        <v>34</v>
      </c>
      <c r="Z15" s="48" t="s">
        <v>47</v>
      </c>
      <c r="AA15" s="85" t="str">
        <f>AA$5</f>
        <v/>
      </c>
      <c r="AB15" s="15" t="str">
        <f>IFERROR(__xludf.DUMMYFUNCTION("join("","",filter(split($H$83,"",""),ARRAYFORMULA(ISERROR(FIND(split($H$83,"",""),CONCATENATE(E15:V15))))=TRUE))"),"СЗ,КЗ,201,202,206,209,210,404,405,406,408,410,АЗ")</f>
        <v>СЗ,КЗ,201,202,206,209,210,404,405,406,408,410,АЗ</v>
      </c>
      <c r="AC15" s="14"/>
      <c r="AD15" s="14"/>
      <c r="AE15" s="14"/>
      <c r="AF15" s="29"/>
      <c r="AG15" s="29"/>
      <c r="AH15" s="29"/>
    </row>
    <row r="16" ht="40.5" hidden="1" customHeight="1">
      <c r="A16" s="30"/>
      <c r="B16" s="31">
        <v>4.0</v>
      </c>
      <c r="C16" s="32" t="s">
        <v>48</v>
      </c>
      <c r="D16" s="32" t="s">
        <v>49</v>
      </c>
      <c r="E16" s="40" t="s">
        <v>9163</v>
      </c>
      <c r="F16" s="13"/>
      <c r="J16" s="35" t="s">
        <v>9164</v>
      </c>
      <c r="K16" s="13"/>
      <c r="L16" s="104"/>
      <c r="M16" s="72"/>
      <c r="N16" s="104"/>
      <c r="O16" s="72"/>
      <c r="P16" s="37"/>
      <c r="Q16" s="41"/>
      <c r="R16" s="105"/>
      <c r="S16" s="275"/>
      <c r="T16" s="142"/>
      <c r="U16" s="64"/>
      <c r="V16" s="88"/>
      <c r="W16" s="26"/>
      <c r="X16" s="42" t="s">
        <v>48</v>
      </c>
      <c r="Y16" s="42" t="s">
        <v>49</v>
      </c>
      <c r="Z16" s="48" t="s">
        <v>57</v>
      </c>
      <c r="AA16" s="85" t="str">
        <f>AA$6</f>
        <v/>
      </c>
      <c r="AB16" s="15" t="str">
        <f>IFERROR(__xludf.DUMMYFUNCTION("join("","",filter(split($H$83,"",""),ARRAYFORMULA(ISERROR(FIND(split($H$83,"",""),CONCATENATE(E16:V16))))=TRUE))"),"СЗ,КЗ,201,202,206,209,210,402,403,404,405,406,408,410,АЗ")</f>
        <v>СЗ,КЗ,201,202,206,209,210,402,403,404,405,406,408,410,АЗ</v>
      </c>
      <c r="AC16" s="14"/>
      <c r="AD16" s="14"/>
      <c r="AE16" s="14"/>
      <c r="AF16" s="29"/>
      <c r="AG16" s="29"/>
      <c r="AH16" s="29"/>
    </row>
    <row r="17" ht="40.5" hidden="1" customHeight="1">
      <c r="A17" s="30"/>
      <c r="B17" s="31">
        <v>5.0</v>
      </c>
      <c r="C17" s="32" t="s">
        <v>58</v>
      </c>
      <c r="D17" s="53">
        <v>44847.0</v>
      </c>
      <c r="E17" s="45" t="s">
        <v>9165</v>
      </c>
      <c r="F17" s="13"/>
      <c r="J17" s="35" t="s">
        <v>9166</v>
      </c>
      <c r="K17" s="13"/>
      <c r="L17" s="40" t="s">
        <v>9167</v>
      </c>
      <c r="M17" s="13"/>
      <c r="N17" s="140" t="s">
        <v>9137</v>
      </c>
      <c r="O17" s="4"/>
      <c r="P17" s="744" t="s">
        <v>9150</v>
      </c>
      <c r="Q17" s="739" t="s">
        <v>9149</v>
      </c>
      <c r="R17" s="326" t="s">
        <v>9168</v>
      </c>
      <c r="S17" s="345" t="s">
        <v>9169</v>
      </c>
      <c r="T17" s="745" t="s">
        <v>9170</v>
      </c>
      <c r="U17" s="8"/>
      <c r="V17" s="129"/>
      <c r="W17" s="26"/>
      <c r="X17" s="42" t="s">
        <v>58</v>
      </c>
      <c r="Y17" s="54">
        <v>44847.0</v>
      </c>
      <c r="Z17" s="48" t="s">
        <v>70</v>
      </c>
      <c r="AA17" s="85" t="str">
        <f>AA$7</f>
        <v/>
      </c>
      <c r="AB17" s="15" t="str">
        <f>IFERROR(__xludf.DUMMYFUNCTION("join("","",filter(split($H$83,"",""),ARRAYFORMULA(ISERROR(FIND(split($H$83,"",""),CONCATENATE(E17:V17))))=TRUE))"),"СЗ,КЗ,201,202,206,209,210,402,404,405,406,408,410")</f>
        <v>СЗ,КЗ,201,202,206,209,210,402,404,405,406,408,410</v>
      </c>
      <c r="AC17" s="14"/>
      <c r="AD17" s="14"/>
      <c r="AE17" s="14"/>
      <c r="AF17" s="29"/>
      <c r="AG17" s="29"/>
      <c r="AH17" s="29"/>
    </row>
    <row r="18" ht="40.5" hidden="1" customHeight="1">
      <c r="A18" s="30"/>
      <c r="B18" s="31">
        <v>6.0</v>
      </c>
      <c r="C18" s="55" t="s">
        <v>71</v>
      </c>
      <c r="D18" s="56" t="s">
        <v>72</v>
      </c>
      <c r="E18" s="45" t="s">
        <v>9171</v>
      </c>
      <c r="F18" s="13"/>
      <c r="J18" s="35" t="s">
        <v>9172</v>
      </c>
      <c r="K18" s="13"/>
      <c r="L18" s="40" t="s">
        <v>9173</v>
      </c>
      <c r="M18" s="13"/>
      <c r="N18" s="142"/>
      <c r="O18" s="72"/>
      <c r="P18" s="275"/>
      <c r="Q18" s="105"/>
      <c r="R18" s="326" t="s">
        <v>9174</v>
      </c>
      <c r="S18" s="104"/>
      <c r="V18" s="134"/>
      <c r="W18" s="26"/>
      <c r="X18" s="58" t="s">
        <v>71</v>
      </c>
      <c r="Y18" s="59" t="s">
        <v>72</v>
      </c>
      <c r="Z18" s="48" t="s">
        <v>84</v>
      </c>
      <c r="AA18" s="85" t="str">
        <f>AA$8</f>
        <v/>
      </c>
      <c r="AB18" s="15" t="str">
        <f>IFERROR(__xludf.DUMMYFUNCTION("join("","",filter(split($H$83,"",""),ARRAYFORMULA(ISERROR(FIND(split($H$83,"",""),CONCATENATE(E18:V18))))=TRUE))"),"СЗ,КЗ,201,202,206,209,210,402,403,404,405,406,408,410")</f>
        <v>СЗ,КЗ,201,202,206,209,210,402,403,404,405,406,408,410</v>
      </c>
      <c r="AC18" s="14"/>
      <c r="AD18" s="14"/>
      <c r="AE18" s="14"/>
      <c r="AF18" s="29"/>
      <c r="AG18" s="29"/>
      <c r="AH18" s="29"/>
    </row>
    <row r="19" ht="40.5" hidden="1" customHeight="1">
      <c r="A19" s="30"/>
      <c r="B19" s="31">
        <v>7.0</v>
      </c>
      <c r="C19" s="32" t="s">
        <v>85</v>
      </c>
      <c r="D19" s="32" t="s">
        <v>86</v>
      </c>
      <c r="J19" s="95" t="s">
        <v>9175</v>
      </c>
      <c r="K19" s="13"/>
      <c r="L19" s="45" t="s">
        <v>9176</v>
      </c>
      <c r="M19" s="13"/>
      <c r="N19" s="45"/>
      <c r="O19" s="13"/>
      <c r="P19" s="140" t="s">
        <v>9137</v>
      </c>
      <c r="Q19" s="4"/>
      <c r="R19" s="96"/>
      <c r="S19" s="97" t="s">
        <v>9177</v>
      </c>
      <c r="V19" s="134"/>
      <c r="W19" s="26"/>
      <c r="X19" s="42" t="s">
        <v>85</v>
      </c>
      <c r="Y19" s="42" t="s">
        <v>86</v>
      </c>
      <c r="Z19" s="48" t="s">
        <v>97</v>
      </c>
      <c r="AA19" s="85" t="str">
        <f>AA$9</f>
        <v/>
      </c>
      <c r="AB19" s="15" t="str">
        <f>IFERROR(__xludf.DUMMYFUNCTION("join("","",filter(split($H$83,"",""),ARRAYFORMULA(ISERROR(FIND(split($H$83,"",""),CONCATENATE(E19:V19))))=TRUE))"),"СЗ,КЗ,201,202,206,209,210,402,403,404,405,406,408,410,АЗ")</f>
        <v>СЗ,КЗ,201,202,206,209,210,402,403,404,405,406,408,410,АЗ</v>
      </c>
      <c r="AC19" s="14"/>
      <c r="AD19" s="14"/>
      <c r="AE19" s="14"/>
      <c r="AF19" s="29"/>
      <c r="AG19" s="29"/>
      <c r="AH19" s="29"/>
    </row>
    <row r="20" ht="40.5" hidden="1" customHeight="1">
      <c r="A20" s="30"/>
      <c r="B20" s="31">
        <v>8.0</v>
      </c>
      <c r="C20" s="32" t="s">
        <v>98</v>
      </c>
      <c r="D20" s="32" t="s">
        <v>99</v>
      </c>
      <c r="G20" s="64"/>
      <c r="H20" s="64"/>
      <c r="I20" s="64"/>
      <c r="J20" s="95" t="s">
        <v>9178</v>
      </c>
      <c r="K20" s="13"/>
      <c r="L20" s="45" t="s">
        <v>9179</v>
      </c>
      <c r="M20" s="13"/>
      <c r="N20" s="45"/>
      <c r="O20" s="13"/>
      <c r="P20" s="142"/>
      <c r="Q20" s="72"/>
      <c r="R20" s="96"/>
      <c r="S20" s="97" t="s">
        <v>9180</v>
      </c>
      <c r="T20" s="64"/>
      <c r="U20" s="64"/>
      <c r="V20" s="88"/>
      <c r="W20" s="26"/>
      <c r="X20" s="42" t="s">
        <v>98</v>
      </c>
      <c r="Y20" s="42" t="s">
        <v>99</v>
      </c>
      <c r="Z20" s="11"/>
      <c r="AA20" s="98"/>
      <c r="AB20" s="15" t="str">
        <f>IFERROR(__xludf.DUMMYFUNCTION("join("","",filter(split($H$83,"",""),ARRAYFORMULA(ISERROR(FIND(split($H$83,"",""),CONCATENATE(E20:V20))))=TRUE))"),"СЗ,КЗ,201,202,206,209,210,402,403,404,405,406,408,410,АЗ")</f>
        <v>СЗ,КЗ,201,202,206,209,210,402,403,404,405,406,408,410,АЗ</v>
      </c>
      <c r="AC20" s="14"/>
      <c r="AD20" s="14"/>
      <c r="AE20" s="14"/>
      <c r="AF20" s="29"/>
      <c r="AG20" s="29"/>
      <c r="AH20" s="29"/>
    </row>
    <row r="21" ht="40.5" hidden="1" customHeight="1">
      <c r="A21" s="30"/>
      <c r="B21" s="31">
        <v>9.0</v>
      </c>
      <c r="C21" s="65">
        <v>44697.0</v>
      </c>
      <c r="D21" s="44" t="s">
        <v>109</v>
      </c>
      <c r="E21" s="99"/>
      <c r="F21" s="4"/>
      <c r="G21" s="100"/>
      <c r="H21" s="101"/>
      <c r="I21" s="101"/>
      <c r="J21" s="101" t="s">
        <v>9181</v>
      </c>
      <c r="K21" s="36"/>
      <c r="L21" s="36"/>
      <c r="M21" s="13"/>
      <c r="N21" s="45"/>
      <c r="O21" s="13"/>
      <c r="P21" s="102" t="s">
        <v>9182</v>
      </c>
      <c r="Q21" s="41"/>
      <c r="R21" s="35"/>
      <c r="S21" s="41"/>
      <c r="T21" s="746" t="s">
        <v>9183</v>
      </c>
      <c r="U21" s="36"/>
      <c r="V21" s="13"/>
      <c r="W21" s="26"/>
      <c r="X21" s="69">
        <v>44697.0</v>
      </c>
      <c r="Y21" s="70" t="s">
        <v>109</v>
      </c>
      <c r="Z21" s="28"/>
      <c r="AA21" s="98"/>
      <c r="AB21" s="15" t="str">
        <f>IFERROR(__xludf.DUMMYFUNCTION("join("","",filter(split($H$83,"",""),ARRAYFORMULA(ISERROR(FIND(split($H$83,"",""),CONCATENATE(E21:V21))))=TRUE))"),"СЗ,КЗ,201,202,206,209,210,401,402,403,404,405,406,408,409,АЗ")</f>
        <v>СЗ,КЗ,201,202,206,209,210,401,402,403,404,405,406,408,409,АЗ</v>
      </c>
      <c r="AC21" s="14"/>
      <c r="AD21" s="14"/>
      <c r="AE21" s="14"/>
      <c r="AF21" s="29"/>
      <c r="AG21" s="29"/>
      <c r="AH21" s="29"/>
    </row>
    <row r="22" ht="40.5" hidden="1" customHeight="1">
      <c r="A22" s="30"/>
      <c r="B22" s="31">
        <v>10.0</v>
      </c>
      <c r="C22" s="44" t="s">
        <v>120</v>
      </c>
      <c r="D22" s="44" t="s">
        <v>121</v>
      </c>
      <c r="E22" s="104"/>
      <c r="F22" s="72"/>
      <c r="G22" s="105"/>
      <c r="H22" s="106"/>
      <c r="I22" s="747"/>
      <c r="J22" s="106" t="s">
        <v>213</v>
      </c>
      <c r="K22" s="36"/>
      <c r="L22" s="36"/>
      <c r="M22" s="13"/>
      <c r="N22" s="45"/>
      <c r="O22" s="13"/>
      <c r="P22" s="101" t="s">
        <v>9184</v>
      </c>
      <c r="Q22" s="36"/>
      <c r="R22" s="36"/>
      <c r="S22" s="13"/>
      <c r="T22" s="107"/>
      <c r="U22" s="36"/>
      <c r="V22" s="41"/>
      <c r="W22" s="26"/>
      <c r="X22" s="70" t="s">
        <v>120</v>
      </c>
      <c r="Y22" s="70" t="s">
        <v>121</v>
      </c>
      <c r="Z22" s="28"/>
      <c r="AA22" s="98"/>
      <c r="AB22" s="15" t="str">
        <f>IFERROR(__xludf.DUMMYFUNCTION("join("","",filter(split($H$83,"",""),ARRAYFORMULA(ISERROR(FIND(split($H$83,"",""),CONCATENATE(E22:V22))))=TRUE))"),"СЗ,КЗ,201,202,206,209,210,401,402,403,404,405,406,408,409,АЗ")</f>
        <v>СЗ,КЗ,201,202,206,209,210,401,402,403,404,405,406,408,409,АЗ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9185</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hidden="1" customHeight="1">
      <c r="A24" s="627">
        <v>44972.0</v>
      </c>
      <c r="B24" s="435">
        <v>1.0</v>
      </c>
      <c r="C24" s="20" t="s">
        <v>12</v>
      </c>
      <c r="D24" s="20" t="s">
        <v>13</v>
      </c>
      <c r="E24" s="21" t="s">
        <v>9186</v>
      </c>
      <c r="F24" s="22"/>
      <c r="G24" s="116" t="s">
        <v>9187</v>
      </c>
      <c r="H24" s="117" t="s">
        <v>9188</v>
      </c>
      <c r="I24" s="22"/>
      <c r="J24" s="748" t="s">
        <v>9189</v>
      </c>
      <c r="K24" s="24"/>
      <c r="L24" s="733" t="s">
        <v>9161</v>
      </c>
      <c r="M24" s="4"/>
      <c r="N24" s="80" t="s">
        <v>9190</v>
      </c>
      <c r="O24" s="25"/>
      <c r="P24" s="585" t="s">
        <v>9191</v>
      </c>
      <c r="Q24" s="24"/>
      <c r="R24" s="24"/>
      <c r="S24" s="22"/>
      <c r="T24" s="121" t="s">
        <v>9192</v>
      </c>
      <c r="U24" s="24"/>
      <c r="V24" s="22"/>
      <c r="W24" s="26"/>
      <c r="X24" s="27" t="s">
        <v>12</v>
      </c>
      <c r="Y24" s="27" t="s">
        <v>13</v>
      </c>
      <c r="Z24" s="28"/>
      <c r="AA24" s="14"/>
      <c r="AB24" s="15" t="str">
        <f>IFERROR(__xludf.DUMMYFUNCTION("join("","",filter(split($H$83,"",""),ARRAYFORMULA(ISERROR(FIND(split($H$83,"",""),CONCATENATE(E24:V24))))=TRUE))"),"СЗ,206,401,403,404,405,409,410,АЗ")</f>
        <v>СЗ,206,401,403,404,405,409,410,АЗ</v>
      </c>
      <c r="AC24" s="14"/>
      <c r="AD24" s="14"/>
      <c r="AE24" s="14"/>
      <c r="AF24" s="29"/>
      <c r="AG24" s="29"/>
      <c r="AH24" s="29"/>
    </row>
    <row r="25" ht="40.5" hidden="1" customHeight="1">
      <c r="A25" s="30"/>
      <c r="B25" s="436">
        <v>2.0</v>
      </c>
      <c r="C25" s="32" t="s">
        <v>21</v>
      </c>
      <c r="D25" s="32" t="s">
        <v>22</v>
      </c>
      <c r="E25" s="51" t="s">
        <v>9193</v>
      </c>
      <c r="F25" s="41"/>
      <c r="G25" s="39" t="s">
        <v>9194</v>
      </c>
      <c r="H25" s="89" t="s">
        <v>9195</v>
      </c>
      <c r="I25" s="41"/>
      <c r="J25" s="35" t="s">
        <v>9196</v>
      </c>
      <c r="K25" s="13"/>
      <c r="L25" s="104"/>
      <c r="M25" s="72"/>
      <c r="N25" s="40" t="s">
        <v>9197</v>
      </c>
      <c r="O25" s="13"/>
      <c r="P25" s="37" t="s">
        <v>9198</v>
      </c>
      <c r="Q25" s="13"/>
      <c r="R25" s="122" t="s">
        <v>9199</v>
      </c>
      <c r="S25" s="41"/>
      <c r="T25" s="103" t="s">
        <v>9200</v>
      </c>
      <c r="U25" s="36"/>
      <c r="V25" s="41"/>
      <c r="W25" s="26"/>
      <c r="X25" s="42" t="s">
        <v>21</v>
      </c>
      <c r="Y25" s="42" t="s">
        <v>22</v>
      </c>
      <c r="Z25" s="28"/>
      <c r="AA25" s="14"/>
      <c r="AB25" s="15" t="str">
        <f>IFERROR(__xludf.DUMMYFUNCTION("join("","",filter(split($H$83,"",""),ARRAYFORMULA(ISERROR(FIND(split($H$83,"",""),CONCATENATE(E25:V25))))=TRUE))"),"СЗ,КЗ,206,209,401,402,403,404,408,410,АЗ")</f>
        <v>СЗ,КЗ,206,209,401,402,403,404,408,410,АЗ</v>
      </c>
      <c r="AC25" s="14"/>
      <c r="AD25" s="14"/>
      <c r="AE25" s="14"/>
      <c r="AF25" s="29"/>
      <c r="AG25" s="29"/>
      <c r="AH25" s="29"/>
    </row>
    <row r="26" ht="40.5" hidden="1" customHeight="1">
      <c r="A26" s="30"/>
      <c r="B26" s="436">
        <v>3.0</v>
      </c>
      <c r="C26" s="32" t="s">
        <v>33</v>
      </c>
      <c r="D26" s="32" t="s">
        <v>34</v>
      </c>
      <c r="E26" s="37" t="s">
        <v>9201</v>
      </c>
      <c r="F26" s="41"/>
      <c r="G26" s="51" t="s">
        <v>9202</v>
      </c>
      <c r="H26" s="36"/>
      <c r="I26" s="41"/>
      <c r="J26" s="95" t="s">
        <v>9203</v>
      </c>
      <c r="K26" s="13"/>
      <c r="L26" s="749" t="s">
        <v>9204</v>
      </c>
      <c r="M26" s="41"/>
      <c r="N26" s="40" t="s">
        <v>9205</v>
      </c>
      <c r="O26" s="13"/>
      <c r="P26" s="39" t="s">
        <v>9206</v>
      </c>
      <c r="Q26" s="124" t="s">
        <v>9207</v>
      </c>
      <c r="R26" s="89" t="s">
        <v>9208</v>
      </c>
      <c r="S26" s="41"/>
      <c r="T26" s="125" t="s">
        <v>9209</v>
      </c>
      <c r="U26" s="36"/>
      <c r="V26" s="41"/>
      <c r="W26" s="26"/>
      <c r="X26" s="42" t="s">
        <v>33</v>
      </c>
      <c r="Y26" s="42" t="s">
        <v>34</v>
      </c>
      <c r="Z26" s="48" t="s">
        <v>47</v>
      </c>
      <c r="AA26" s="85" t="str">
        <f>AA$5</f>
        <v/>
      </c>
      <c r="AB26" s="15" t="str">
        <f>IFERROR(__xludf.DUMMYFUNCTION("join("","",filter(split($H$83,"",""),ARRAYFORMULA(ISERROR(FIND(split($H$83,"",""),CONCATENATE(E26:V26))))=TRUE))"),"СЗ,КЗ,202,206,402,403,404,410,АЗ")</f>
        <v>СЗ,КЗ,202,206,402,403,404,410,АЗ</v>
      </c>
      <c r="AC26" s="14"/>
      <c r="AD26" s="14"/>
      <c r="AE26" s="14"/>
      <c r="AF26" s="29"/>
      <c r="AG26" s="29"/>
      <c r="AH26" s="29"/>
    </row>
    <row r="27" ht="54.0" hidden="1" customHeight="1">
      <c r="A27" s="30"/>
      <c r="B27" s="436">
        <v>4.0</v>
      </c>
      <c r="C27" s="32" t="s">
        <v>48</v>
      </c>
      <c r="D27" s="32" t="s">
        <v>49</v>
      </c>
      <c r="E27" s="33" t="s">
        <v>9210</v>
      </c>
      <c r="F27" s="39" t="s">
        <v>9211</v>
      </c>
      <c r="G27" s="37" t="s">
        <v>9212</v>
      </c>
      <c r="H27" s="13"/>
      <c r="I27" s="92" t="s">
        <v>9213</v>
      </c>
      <c r="J27" s="107" t="s">
        <v>9214</v>
      </c>
      <c r="K27" s="13"/>
      <c r="L27" s="45" t="s">
        <v>9215</v>
      </c>
      <c r="M27" s="13"/>
      <c r="N27" s="127" t="s">
        <v>9216</v>
      </c>
      <c r="O27" s="13"/>
      <c r="P27" s="37" t="s">
        <v>9217</v>
      </c>
      <c r="Q27" s="13"/>
      <c r="R27" s="132" t="s">
        <v>9218</v>
      </c>
      <c r="S27" s="34" t="s">
        <v>9219</v>
      </c>
      <c r="T27" s="125" t="s">
        <v>9220</v>
      </c>
      <c r="U27" s="36"/>
      <c r="V27" s="41"/>
      <c r="W27" s="26"/>
      <c r="X27" s="42" t="s">
        <v>48</v>
      </c>
      <c r="Y27" s="42" t="s">
        <v>49</v>
      </c>
      <c r="Z27" s="48" t="s">
        <v>57</v>
      </c>
      <c r="AA27" s="85" t="str">
        <f>AA$6</f>
        <v/>
      </c>
      <c r="AB27" s="15" t="str">
        <f>IFERROR(__xludf.DUMMYFUNCTION("join("","",filter(split($H$83,"",""),ARRAYFORMULA(ISERROR(FIND(split($H$83,"",""),CONCATENATE(E27:V27))))=TRUE))"),"СЗ,202,206,403,404,405,410,АЗ")</f>
        <v>СЗ,202,206,403,404,405,410,АЗ</v>
      </c>
      <c r="AC27" s="14"/>
      <c r="AD27" s="14"/>
      <c r="AE27" s="14"/>
      <c r="AF27" s="29"/>
      <c r="AG27" s="29"/>
      <c r="AH27" s="29"/>
    </row>
    <row r="28" ht="53.25" hidden="1" customHeight="1">
      <c r="A28" s="30"/>
      <c r="B28" s="436">
        <v>5.0</v>
      </c>
      <c r="C28" s="32" t="s">
        <v>58</v>
      </c>
      <c r="D28" s="53">
        <v>44847.0</v>
      </c>
      <c r="E28" s="33" t="s">
        <v>9221</v>
      </c>
      <c r="F28" s="126" t="s">
        <v>9222</v>
      </c>
      <c r="G28" s="37" t="s">
        <v>9223</v>
      </c>
      <c r="H28" s="13"/>
      <c r="I28" s="92" t="s">
        <v>9224</v>
      </c>
      <c r="J28" s="123" t="s">
        <v>9225</v>
      </c>
      <c r="K28" s="41"/>
      <c r="L28" s="45" t="s">
        <v>9226</v>
      </c>
      <c r="M28" s="13"/>
      <c r="N28" s="89" t="s">
        <v>9227</v>
      </c>
      <c r="O28" s="13"/>
      <c r="P28" s="39" t="s">
        <v>9228</v>
      </c>
      <c r="Q28" s="124" t="s">
        <v>9229</v>
      </c>
      <c r="R28" s="132" t="s">
        <v>9230</v>
      </c>
      <c r="S28" s="34" t="s">
        <v>9231</v>
      </c>
      <c r="T28" s="128" t="s">
        <v>9232</v>
      </c>
      <c r="U28" s="8"/>
      <c r="V28" s="129"/>
      <c r="W28" s="26"/>
      <c r="X28" s="42" t="s">
        <v>58</v>
      </c>
      <c r="Y28" s="54">
        <v>44847.0</v>
      </c>
      <c r="Z28" s="48" t="s">
        <v>70</v>
      </c>
      <c r="AA28" s="85" t="str">
        <f>AA$7</f>
        <v/>
      </c>
      <c r="AB28" s="15" t="str">
        <f>IFERROR(__xludf.DUMMYFUNCTION("join("","",filter(split($H$83,"",""),ARRAYFORMULA(ISERROR(FIND(split($H$83,"",""),CONCATENATE(E28:V28))))=TRUE))"),"СЗ,206,209,403,404,405,408,410")</f>
        <v>СЗ,206,209,403,404,405,408,410</v>
      </c>
      <c r="AC28" s="14"/>
      <c r="AD28" s="14"/>
      <c r="AE28" s="14"/>
      <c r="AF28" s="29"/>
      <c r="AG28" s="29"/>
      <c r="AH28" s="29"/>
    </row>
    <row r="29" ht="40.5" hidden="1" customHeight="1">
      <c r="A29" s="30"/>
      <c r="B29" s="436">
        <v>6.0</v>
      </c>
      <c r="C29" s="55" t="s">
        <v>71</v>
      </c>
      <c r="D29" s="56" t="s">
        <v>72</v>
      </c>
      <c r="E29" s="39" t="s">
        <v>9233</v>
      </c>
      <c r="F29" s="34" t="s">
        <v>9234</v>
      </c>
      <c r="G29" s="40" t="s">
        <v>9235</v>
      </c>
      <c r="H29" s="41"/>
      <c r="I29" s="34" t="s">
        <v>9236</v>
      </c>
      <c r="J29" s="123" t="s">
        <v>9237</v>
      </c>
      <c r="K29" s="41"/>
      <c r="L29" s="89" t="s">
        <v>9238</v>
      </c>
      <c r="M29" s="13"/>
      <c r="N29" s="353" t="s">
        <v>9239</v>
      </c>
      <c r="O29" s="4"/>
      <c r="P29" s="131" t="s">
        <v>9240</v>
      </c>
      <c r="Q29" s="132" t="s">
        <v>9241</v>
      </c>
      <c r="R29" s="437"/>
      <c r="S29" s="92" t="s">
        <v>9242</v>
      </c>
      <c r="V29" s="134"/>
      <c r="W29" s="26"/>
      <c r="X29" s="58" t="s">
        <v>71</v>
      </c>
      <c r="Y29" s="59" t="s">
        <v>72</v>
      </c>
      <c r="Z29" s="48" t="s">
        <v>84</v>
      </c>
      <c r="AA29" s="85" t="str">
        <f>AA$8</f>
        <v/>
      </c>
      <c r="AB29" s="15" t="str">
        <f>IFERROR(__xludf.DUMMYFUNCTION("join("","",filter(split($H$83,"",""),ARRAYFORMULA(ISERROR(FIND(split($H$83,"",""),CONCATENATE(E29:V29))))=TRUE))"),"СЗ,КЗ,201,206,403,404,405,410,АЗ")</f>
        <v>СЗ,КЗ,201,206,403,404,405,410,АЗ</v>
      </c>
      <c r="AC29" s="14"/>
      <c r="AD29" s="14"/>
      <c r="AE29" s="14"/>
      <c r="AF29" s="29"/>
      <c r="AG29" s="29"/>
      <c r="AH29" s="29"/>
    </row>
    <row r="30" ht="40.5" hidden="1" customHeight="1">
      <c r="A30" s="30"/>
      <c r="B30" s="436">
        <v>7.0</v>
      </c>
      <c r="C30" s="32" t="s">
        <v>85</v>
      </c>
      <c r="D30" s="32" t="s">
        <v>86</v>
      </c>
      <c r="E30" s="750" t="s">
        <v>9243</v>
      </c>
      <c r="F30" s="41"/>
      <c r="G30" s="40" t="s">
        <v>9244</v>
      </c>
      <c r="H30" s="41"/>
      <c r="I30" s="34" t="s">
        <v>9245</v>
      </c>
      <c r="J30" s="35" t="s">
        <v>9246</v>
      </c>
      <c r="K30" s="13"/>
      <c r="L30" s="123" t="s">
        <v>9247</v>
      </c>
      <c r="M30" s="41"/>
      <c r="N30" s="104"/>
      <c r="O30" s="72"/>
      <c r="P30" s="131" t="s">
        <v>9248</v>
      </c>
      <c r="Q30" s="132" t="s">
        <v>9249</v>
      </c>
      <c r="R30" s="173"/>
      <c r="S30" s="92" t="s">
        <v>9250</v>
      </c>
      <c r="V30" s="134"/>
      <c r="W30" s="26"/>
      <c r="X30" s="42" t="s">
        <v>85</v>
      </c>
      <c r="Y30" s="42" t="s">
        <v>86</v>
      </c>
      <c r="Z30" s="48" t="s">
        <v>97</v>
      </c>
      <c r="AA30" s="85" t="str">
        <f>AA$9</f>
        <v/>
      </c>
      <c r="AB30" s="15" t="str">
        <f>IFERROR(__xludf.DUMMYFUNCTION("join("","",filter(split($H$83,"",""),ARRAYFORMULA(ISERROR(FIND(split($H$83,"",""),CONCATENATE(E30:V30))))=TRUE))"),"СЗ,КЗ,206,209,210,403,404,405,408,409,410,АЗ")</f>
        <v>СЗ,КЗ,206,209,210,403,404,405,408,409,410,АЗ</v>
      </c>
      <c r="AC30" s="14"/>
      <c r="AD30" s="14"/>
      <c r="AE30" s="14"/>
      <c r="AF30" s="29"/>
      <c r="AG30" s="29"/>
      <c r="AH30" s="29"/>
    </row>
    <row r="31" ht="52.5" hidden="1" customHeight="1">
      <c r="A31" s="30"/>
      <c r="B31" s="436">
        <v>8.0</v>
      </c>
      <c r="C31" s="32" t="s">
        <v>98</v>
      </c>
      <c r="D31" s="32" t="s">
        <v>99</v>
      </c>
      <c r="E31" s="46" t="s">
        <v>9251</v>
      </c>
      <c r="F31" s="41"/>
      <c r="G31" s="137" t="s">
        <v>9252</v>
      </c>
      <c r="H31" s="8"/>
      <c r="I31" s="129"/>
      <c r="J31" s="334" t="s">
        <v>9253</v>
      </c>
      <c r="K31" s="36"/>
      <c r="L31" s="36"/>
      <c r="M31" s="13"/>
      <c r="N31" s="45" t="s">
        <v>9254</v>
      </c>
      <c r="O31" s="13"/>
      <c r="P31" s="140" t="s">
        <v>9255</v>
      </c>
      <c r="Q31" s="4"/>
      <c r="R31" s="144"/>
      <c r="S31" s="133"/>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hidden="1" customHeight="1">
      <c r="A32" s="30"/>
      <c r="B32" s="436">
        <v>9.0</v>
      </c>
      <c r="C32" s="65">
        <v>44697.0</v>
      </c>
      <c r="D32" s="44" t="s">
        <v>109</v>
      </c>
      <c r="E32" s="141" t="s">
        <v>9256</v>
      </c>
      <c r="F32" s="13"/>
      <c r="G32" s="142"/>
      <c r="H32" s="64"/>
      <c r="I32" s="88"/>
      <c r="J32" s="334" t="s">
        <v>9257</v>
      </c>
      <c r="K32" s="36"/>
      <c r="L32" s="36"/>
      <c r="M32" s="13"/>
      <c r="N32" s="45" t="s">
        <v>9258</v>
      </c>
      <c r="O32" s="13"/>
      <c r="P32" s="142"/>
      <c r="Q32" s="72"/>
      <c r="R32" s="144"/>
      <c r="S32" s="92"/>
      <c r="T32" s="64"/>
      <c r="U32" s="64"/>
      <c r="V32" s="88"/>
      <c r="W32" s="26"/>
      <c r="X32" s="69">
        <v>44697.0</v>
      </c>
      <c r="Y32" s="70" t="s">
        <v>109</v>
      </c>
      <c r="Z32" s="28"/>
      <c r="AA32" s="14"/>
      <c r="AB32" s="15" t="str">
        <f>IFERROR(__xludf.DUMMYFUNCTION("join("","",filter(split($H$83,"",""),ARRAYFORMULA(ISERROR(FIND(split($H$83,"",""),CONCATENATE(E32:V32))))=TRUE))"),"СЗ,КЗ,201,206,210,401,402,403,404,405,406,408,409,АЗ")</f>
        <v>СЗ,КЗ,201,206,210,401,402,403,404,405,406,408,409,АЗ</v>
      </c>
      <c r="AC32" s="14"/>
      <c r="AD32" s="14"/>
      <c r="AE32" s="14"/>
      <c r="AF32" s="29"/>
      <c r="AG32" s="29"/>
      <c r="AH32" s="29"/>
    </row>
    <row r="33" ht="40.5" hidden="1" customHeight="1">
      <c r="A33" s="30"/>
      <c r="B33" s="436">
        <v>10.0</v>
      </c>
      <c r="C33" s="44" t="s">
        <v>120</v>
      </c>
      <c r="D33" s="44" t="s">
        <v>121</v>
      </c>
      <c r="E33" s="141" t="s">
        <v>9259</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9260</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627">
        <v>44973.0</v>
      </c>
      <c r="B35" s="19">
        <v>1.0</v>
      </c>
      <c r="C35" s="20" t="s">
        <v>12</v>
      </c>
      <c r="D35" s="20" t="s">
        <v>13</v>
      </c>
      <c r="E35" s="80" t="s">
        <v>9261</v>
      </c>
      <c r="F35" s="25"/>
      <c r="G35" s="156" t="s">
        <v>9262</v>
      </c>
      <c r="H35" s="117" t="s">
        <v>9263</v>
      </c>
      <c r="I35" s="25"/>
      <c r="J35" s="157" t="s">
        <v>9264</v>
      </c>
      <c r="K35" s="751" t="s">
        <v>9265</v>
      </c>
      <c r="L35" s="156" t="s">
        <v>9266</v>
      </c>
      <c r="M35" s="156" t="s">
        <v>9267</v>
      </c>
      <c r="N35" s="80" t="s">
        <v>9268</v>
      </c>
      <c r="O35" s="25"/>
      <c r="P35" s="156" t="s">
        <v>9269</v>
      </c>
      <c r="Q35" s="156" t="s">
        <v>9270</v>
      </c>
      <c r="R35" s="159" t="s">
        <v>9271</v>
      </c>
      <c r="S35" s="160" t="s">
        <v>9272</v>
      </c>
      <c r="T35" s="161" t="s">
        <v>9273</v>
      </c>
      <c r="U35" s="24"/>
      <c r="V35" s="22"/>
      <c r="W35" s="26"/>
      <c r="X35" s="27" t="s">
        <v>12</v>
      </c>
      <c r="Y35" s="27" t="s">
        <v>13</v>
      </c>
      <c r="Z35" s="28"/>
      <c r="AA35" s="14"/>
      <c r="AB35" s="15" t="str">
        <f>IFERROR(__xludf.DUMMYFUNCTION("join("","",filter(split($H$83,"",""),ARRAYFORMULA(ISERROR(FIND(split($H$83,"",""),CONCATENATE(E35:V35))))=TRUE))"),"СЗ,201,206,410,АЗ")</f>
        <v>СЗ,201,206,410,АЗ</v>
      </c>
      <c r="AC35" s="14"/>
      <c r="AD35" s="14"/>
      <c r="AE35" s="14"/>
      <c r="AF35" s="29"/>
      <c r="AG35" s="29"/>
      <c r="AH35" s="29"/>
    </row>
    <row r="36" ht="54.0" hidden="1" customHeight="1">
      <c r="A36" s="30"/>
      <c r="B36" s="31">
        <v>2.0</v>
      </c>
      <c r="C36" s="32" t="s">
        <v>21</v>
      </c>
      <c r="D36" s="32" t="s">
        <v>22</v>
      </c>
      <c r="E36" s="45" t="s">
        <v>9274</v>
      </c>
      <c r="F36" s="13"/>
      <c r="G36" s="44" t="s">
        <v>9275</v>
      </c>
      <c r="H36" s="40" t="s">
        <v>312</v>
      </c>
      <c r="I36" s="13"/>
      <c r="J36" s="157" t="s">
        <v>313</v>
      </c>
      <c r="K36" s="173"/>
      <c r="L36" s="44" t="s">
        <v>9276</v>
      </c>
      <c r="M36" s="44" t="s">
        <v>9277</v>
      </c>
      <c r="N36" s="45" t="s">
        <v>316</v>
      </c>
      <c r="O36" s="13"/>
      <c r="P36" s="44" t="s">
        <v>9278</v>
      </c>
      <c r="Q36" s="44" t="s">
        <v>9279</v>
      </c>
      <c r="R36" s="162" t="s">
        <v>9280</v>
      </c>
      <c r="S36" s="90" t="s">
        <v>320</v>
      </c>
      <c r="T36" s="163" t="s">
        <v>9281</v>
      </c>
      <c r="U36" s="36"/>
      <c r="V36" s="41"/>
      <c r="W36" s="26"/>
      <c r="X36" s="42" t="s">
        <v>21</v>
      </c>
      <c r="Y36" s="42" t="s">
        <v>22</v>
      </c>
      <c r="Z36" s="28"/>
      <c r="AA36" s="14"/>
      <c r="AB36" s="15" t="str">
        <f>IFERROR(__xludf.DUMMYFUNCTION("join("","",filter(split($H$83,"",""),ARRAYFORMULA(ISERROR(FIND(split($H$83,"",""),CONCATENATE(E36:V36))))=TRUE))"),"СЗ,206,406,410,АЗ")</f>
        <v>СЗ,206,406,410,АЗ</v>
      </c>
      <c r="AC36" s="14"/>
      <c r="AD36" s="14"/>
      <c r="AE36" s="14"/>
      <c r="AF36" s="29"/>
      <c r="AG36" s="29"/>
      <c r="AH36" s="29"/>
    </row>
    <row r="37" ht="56.25" hidden="1" customHeight="1">
      <c r="A37" s="30"/>
      <c r="B37" s="31">
        <v>3.0</v>
      </c>
      <c r="C37" s="32" t="s">
        <v>33</v>
      </c>
      <c r="D37" s="32" t="s">
        <v>34</v>
      </c>
      <c r="E37" s="45" t="s">
        <v>9282</v>
      </c>
      <c r="F37" s="13"/>
      <c r="G37" s="132" t="s">
        <v>9283</v>
      </c>
      <c r="H37" s="45" t="s">
        <v>9284</v>
      </c>
      <c r="I37" s="13"/>
      <c r="J37" s="45" t="s">
        <v>9285</v>
      </c>
      <c r="K37" s="13"/>
      <c r="L37" s="44" t="s">
        <v>9286</v>
      </c>
      <c r="M37" s="44" t="s">
        <v>9287</v>
      </c>
      <c r="N37" s="164" t="s">
        <v>9288</v>
      </c>
      <c r="O37" s="36"/>
      <c r="P37" s="36"/>
      <c r="Q37" s="13"/>
      <c r="R37" s="44" t="s">
        <v>9289</v>
      </c>
      <c r="S37" s="44" t="s">
        <v>9290</v>
      </c>
      <c r="T37" s="87" t="s">
        <v>9291</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hidden="1" customHeight="1">
      <c r="A38" s="30"/>
      <c r="B38" s="31">
        <v>4.0</v>
      </c>
      <c r="C38" s="32" t="s">
        <v>48</v>
      </c>
      <c r="D38" s="32" t="s">
        <v>49</v>
      </c>
      <c r="E38" s="45" t="s">
        <v>9292</v>
      </c>
      <c r="F38" s="13"/>
      <c r="G38" s="132" t="s">
        <v>9293</v>
      </c>
      <c r="H38" s="45" t="s">
        <v>9294</v>
      </c>
      <c r="I38" s="13"/>
      <c r="J38" s="45" t="s">
        <v>9295</v>
      </c>
      <c r="K38" s="13"/>
      <c r="L38" s="44" t="s">
        <v>9296</v>
      </c>
      <c r="M38" s="44" t="s">
        <v>9297</v>
      </c>
      <c r="N38" s="164" t="s">
        <v>9298</v>
      </c>
      <c r="O38" s="36"/>
      <c r="P38" s="36"/>
      <c r="Q38" s="13"/>
      <c r="R38" s="44" t="s">
        <v>9299</v>
      </c>
      <c r="S38" s="44" t="s">
        <v>9300</v>
      </c>
      <c r="T38" s="87" t="s">
        <v>9301</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hidden="1" customHeight="1">
      <c r="A39" s="30"/>
      <c r="B39" s="31">
        <v>5.0</v>
      </c>
      <c r="C39" s="32" t="s">
        <v>58</v>
      </c>
      <c r="D39" s="53">
        <v>44847.0</v>
      </c>
      <c r="E39" s="45" t="s">
        <v>9302</v>
      </c>
      <c r="F39" s="13"/>
      <c r="G39" s="44" t="s">
        <v>9303</v>
      </c>
      <c r="H39" s="45" t="s">
        <v>9304</v>
      </c>
      <c r="I39" s="13"/>
      <c r="J39" s="44" t="s">
        <v>9305</v>
      </c>
      <c r="K39" s="44" t="s">
        <v>9306</v>
      </c>
      <c r="L39" s="45" t="s">
        <v>9307</v>
      </c>
      <c r="M39" s="13"/>
      <c r="N39" s="44" t="s">
        <v>9308</v>
      </c>
      <c r="O39" s="44" t="s">
        <v>9309</v>
      </c>
      <c r="P39" s="45" t="s">
        <v>9310</v>
      </c>
      <c r="Q39" s="13"/>
      <c r="R39" s="44" t="s">
        <v>9311</v>
      </c>
      <c r="S39" s="132" t="s">
        <v>9312</v>
      </c>
      <c r="T39" s="45" t="s">
        <v>9313</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hidden="1" customHeight="1">
      <c r="A40" s="30"/>
      <c r="B40" s="31">
        <v>6.0</v>
      </c>
      <c r="C40" s="55" t="s">
        <v>71</v>
      </c>
      <c r="D40" s="56" t="s">
        <v>72</v>
      </c>
      <c r="E40" s="45" t="s">
        <v>9314</v>
      </c>
      <c r="F40" s="13"/>
      <c r="G40" s="44" t="s">
        <v>355</v>
      </c>
      <c r="H40" s="45" t="s">
        <v>9315</v>
      </c>
      <c r="I40" s="13"/>
      <c r="J40" s="44" t="s">
        <v>9316</v>
      </c>
      <c r="K40" s="44" t="s">
        <v>9317</v>
      </c>
      <c r="L40" s="45" t="s">
        <v>9318</v>
      </c>
      <c r="M40" s="13"/>
      <c r="N40" s="44" t="s">
        <v>9319</v>
      </c>
      <c r="O40" s="44" t="s">
        <v>9320</v>
      </c>
      <c r="P40" s="45" t="s">
        <v>9321</v>
      </c>
      <c r="Q40" s="13"/>
      <c r="R40" s="44" t="s">
        <v>9322</v>
      </c>
      <c r="S40" s="132" t="s">
        <v>9323</v>
      </c>
      <c r="T40" s="45" t="s">
        <v>9324</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hidden="1" customHeight="1">
      <c r="A41" s="30"/>
      <c r="B41" s="31">
        <v>7.0</v>
      </c>
      <c r="C41" s="32" t="s">
        <v>85</v>
      </c>
      <c r="D41" s="32" t="s">
        <v>86</v>
      </c>
      <c r="E41" s="45" t="s">
        <v>9325</v>
      </c>
      <c r="F41" s="13"/>
      <c r="G41" s="44" t="s">
        <v>9326</v>
      </c>
      <c r="H41" s="45" t="s">
        <v>9327</v>
      </c>
      <c r="I41" s="13"/>
      <c r="J41" s="44" t="s">
        <v>9328</v>
      </c>
      <c r="K41" s="44" t="s">
        <v>9329</v>
      </c>
      <c r="L41" s="45" t="s">
        <v>9330</v>
      </c>
      <c r="M41" s="13"/>
      <c r="N41" s="87" t="s">
        <v>9331</v>
      </c>
      <c r="O41" s="13"/>
      <c r="P41" s="45" t="s">
        <v>9332</v>
      </c>
      <c r="Q41" s="13"/>
      <c r="R41" s="44" t="s">
        <v>9333</v>
      </c>
      <c r="S41" s="44" t="s">
        <v>9334</v>
      </c>
      <c r="T41" s="165" t="s">
        <v>9335</v>
      </c>
      <c r="U41" s="36"/>
      <c r="V41" s="41"/>
      <c r="W41" s="26"/>
      <c r="X41" s="42" t="s">
        <v>85</v>
      </c>
      <c r="Y41" s="42" t="s">
        <v>86</v>
      </c>
      <c r="Z41" s="48" t="s">
        <v>97</v>
      </c>
      <c r="AA41" s="85" t="str">
        <f>AA$9</f>
        <v/>
      </c>
      <c r="AB41" s="15" t="str">
        <f>IFERROR(__xludf.DUMMYFUNCTION("join("","",filter(split($H$83,"",""),ARRAYFORMULA(ISERROR(FIND(split($H$83,"",""),CONCATENATE(E41:V41))))=TRUE))"),"СЗ,КЗ,206,210,403,406,АЗ")</f>
        <v>СЗ,КЗ,206,210,403,406,АЗ</v>
      </c>
      <c r="AC41" s="14"/>
      <c r="AD41" s="14"/>
      <c r="AE41" s="14"/>
      <c r="AF41" s="29"/>
      <c r="AG41" s="29"/>
      <c r="AH41" s="29"/>
    </row>
    <row r="42" ht="52.5" hidden="1" customHeight="1">
      <c r="A42" s="30"/>
      <c r="B42" s="31">
        <v>8.0</v>
      </c>
      <c r="C42" s="32" t="s">
        <v>98</v>
      </c>
      <c r="D42" s="32" t="s">
        <v>99</v>
      </c>
      <c r="E42" s="45" t="s">
        <v>9336</v>
      </c>
      <c r="F42" s="13"/>
      <c r="G42" s="44" t="s">
        <v>9337</v>
      </c>
      <c r="H42" s="45" t="s">
        <v>379</v>
      </c>
      <c r="I42" s="13"/>
      <c r="J42" s="44" t="s">
        <v>9338</v>
      </c>
      <c r="K42" s="44" t="s">
        <v>9339</v>
      </c>
      <c r="L42" s="45" t="s">
        <v>9340</v>
      </c>
      <c r="M42" s="13"/>
      <c r="N42" s="87" t="s">
        <v>9341</v>
      </c>
      <c r="O42" s="13"/>
      <c r="P42" s="45" t="s">
        <v>9342</v>
      </c>
      <c r="Q42" s="13"/>
      <c r="R42" s="166"/>
      <c r="S42" s="13"/>
      <c r="T42" s="165" t="s">
        <v>9343</v>
      </c>
      <c r="U42" s="36"/>
      <c r="V42" s="41"/>
      <c r="W42" s="26"/>
      <c r="X42" s="42" t="s">
        <v>98</v>
      </c>
      <c r="Y42" s="42" t="s">
        <v>99</v>
      </c>
      <c r="Z42" s="11"/>
      <c r="AA42" s="14"/>
      <c r="AB42" s="15" t="str">
        <f>IFERROR(__xludf.DUMMYFUNCTION("join("","",filter(split($H$83,"",""),ARRAYFORMULA(ISERROR(FIND(split($H$83,"",""),CONCATENATE(E42:V42))))=TRUE))"),"СЗ,КЗ,206,210,403,404,405,406,АЗ")</f>
        <v>СЗ,КЗ,206,210,403,404,405,406,АЗ</v>
      </c>
      <c r="AC42" s="14"/>
      <c r="AD42" s="14"/>
      <c r="AE42" s="14"/>
      <c r="AF42" s="29"/>
      <c r="AG42" s="29"/>
      <c r="AH42" s="29"/>
    </row>
    <row r="43" ht="40.5" hidden="1" customHeight="1">
      <c r="A43" s="30"/>
      <c r="B43" s="31">
        <v>9.0</v>
      </c>
      <c r="C43" s="65">
        <v>44697.0</v>
      </c>
      <c r="D43" s="44" t="s">
        <v>109</v>
      </c>
      <c r="E43" s="167" t="s">
        <v>9344</v>
      </c>
      <c r="F43" s="4"/>
      <c r="G43" s="168"/>
      <c r="H43" s="169" t="s">
        <v>9345</v>
      </c>
      <c r="I43" s="36"/>
      <c r="J43" s="13"/>
      <c r="K43" s="170"/>
      <c r="L43" s="4"/>
      <c r="M43" s="171"/>
      <c r="N43" s="45" t="s">
        <v>9346</v>
      </c>
      <c r="O43" s="13"/>
      <c r="P43" s="33" t="s">
        <v>9347</v>
      </c>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IFERROR(__xludf.DUMMYFUNCTION("join("","",filter(split($H$83,"",""),ARRAYFORMULA(ISERROR(FIND(split($H$83,"",""),CONCATENATE(E43:V43))))=TRUE))"),"КЗ,202,206,209,401,403,404,405,406,408,409,АЗ")</f>
        <v>КЗ,202,206,209,401,403,404,405,406,408,409,АЗ</v>
      </c>
      <c r="AC43" s="14"/>
      <c r="AD43" s="14"/>
      <c r="AE43" s="14"/>
      <c r="AF43" s="29"/>
      <c r="AG43" s="29"/>
      <c r="AH43" s="29"/>
    </row>
    <row r="44" ht="40.5" hidden="1" customHeight="1">
      <c r="A44" s="30"/>
      <c r="B44" s="31">
        <v>10.0</v>
      </c>
      <c r="C44" s="44" t="s">
        <v>120</v>
      </c>
      <c r="D44" s="44" t="s">
        <v>121</v>
      </c>
      <c r="E44" s="104"/>
      <c r="F44" s="72"/>
      <c r="G44" s="173"/>
      <c r="H44" s="169" t="s">
        <v>9348</v>
      </c>
      <c r="I44" s="36"/>
      <c r="J44" s="13"/>
      <c r="K44" s="104"/>
      <c r="L44" s="72"/>
      <c r="M44" s="171"/>
      <c r="N44" s="45" t="s">
        <v>9349</v>
      </c>
      <c r="O44" s="13"/>
      <c r="P44" s="33" t="s">
        <v>9350</v>
      </c>
      <c r="Q44" s="104"/>
      <c r="R44" s="64"/>
      <c r="S44" s="64"/>
      <c r="T44" s="64"/>
      <c r="U44" s="64"/>
      <c r="V44" s="88"/>
      <c r="W44" s="26"/>
      <c r="X44" s="70" t="s">
        <v>120</v>
      </c>
      <c r="Y44" s="70" t="s">
        <v>121</v>
      </c>
      <c r="Z44" s="28"/>
      <c r="AA44" s="14"/>
      <c r="AB44" s="15" t="str">
        <f>IFERROR(__xludf.DUMMYFUNCTION("join("","",filter(split($H$83,"",""),ARRAYFORMULA(ISERROR(FIND(split($H$83,"",""),CONCATENATE(E44:V44))))=TRUE))"),"КЗ,201,202,206,209,401,403,404,405,406,408,409,410,АЗ")</f>
        <v>КЗ,201,202,206,209,401,403,404,405,406,408,409,410,АЗ</v>
      </c>
      <c r="AC44" s="14"/>
      <c r="AD44" s="14"/>
      <c r="AE44" s="14"/>
      <c r="AF44" s="29"/>
      <c r="AG44" s="29"/>
      <c r="AH44" s="29"/>
    </row>
    <row r="45" ht="40.5" hidden="1" customHeight="1">
      <c r="A45" s="74"/>
      <c r="B45" s="75">
        <v>11.0</v>
      </c>
      <c r="C45" s="76" t="s">
        <v>124</v>
      </c>
      <c r="D45" s="76" t="s">
        <v>125</v>
      </c>
      <c r="E45" s="111"/>
      <c r="F45" s="111"/>
      <c r="G45" s="111"/>
      <c r="H45" s="111"/>
      <c r="I45" s="225"/>
      <c r="J45" s="111"/>
      <c r="K45" s="225"/>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752" t="s">
        <v>648</v>
      </c>
      <c r="B46" s="753">
        <v>1.0</v>
      </c>
      <c r="C46" s="754" t="s">
        <v>12</v>
      </c>
      <c r="D46" s="754" t="s">
        <v>13</v>
      </c>
      <c r="E46" s="755" t="s">
        <v>9351</v>
      </c>
      <c r="F46" s="755" t="s">
        <v>9352</v>
      </c>
      <c r="G46" s="756" t="s">
        <v>9353</v>
      </c>
      <c r="H46" s="25"/>
      <c r="I46" s="757" t="s">
        <v>9354</v>
      </c>
      <c r="J46" s="758" t="s">
        <v>9355</v>
      </c>
      <c r="K46" s="759" t="s">
        <v>9356</v>
      </c>
      <c r="L46" s="733" t="s">
        <v>9357</v>
      </c>
      <c r="M46" s="4"/>
      <c r="N46" s="755" t="s">
        <v>9358</v>
      </c>
      <c r="O46" s="755" t="s">
        <v>9359</v>
      </c>
      <c r="P46" s="760" t="s">
        <v>9360</v>
      </c>
      <c r="Q46" s="25"/>
      <c r="R46" s="761" t="s">
        <v>9361</v>
      </c>
      <c r="S46" s="25"/>
      <c r="T46" s="762" t="s">
        <v>9362</v>
      </c>
      <c r="U46" s="24"/>
      <c r="V46" s="22"/>
      <c r="W46" s="763" t="s">
        <v>12</v>
      </c>
      <c r="X46" s="763" t="s">
        <v>13</v>
      </c>
      <c r="Y46" s="764"/>
      <c r="Z46" s="765"/>
      <c r="AA46" s="766" t="str">
        <f>IFERROR(__xludf.DUMMYFUNCTION("join("","",filter(split($H$83,"",""),ARRAYFORMULA(ISERROR(FIND(split($H$83,"",""),CONCATENATE(D46:U46))))=TRUE))"),"СЗ,КЗ,206,402,409,410")</f>
        <v>СЗ,КЗ,206,402,409,410</v>
      </c>
      <c r="AB46" s="765"/>
      <c r="AC46" s="765"/>
      <c r="AD46" s="765"/>
      <c r="AE46" s="767"/>
      <c r="AF46" s="767"/>
      <c r="AG46" s="767"/>
      <c r="AH46" s="29"/>
    </row>
    <row r="47" ht="40.5" customHeight="1">
      <c r="A47" s="30"/>
      <c r="B47" s="768">
        <v>2.0</v>
      </c>
      <c r="C47" s="769" t="s">
        <v>21</v>
      </c>
      <c r="D47" s="769" t="s">
        <v>22</v>
      </c>
      <c r="E47" s="770" t="s">
        <v>9363</v>
      </c>
      <c r="F47" s="770" t="s">
        <v>9364</v>
      </c>
      <c r="G47" s="771" t="s">
        <v>9365</v>
      </c>
      <c r="H47" s="72"/>
      <c r="I47" s="72"/>
      <c r="J47" s="772" t="s">
        <v>9366</v>
      </c>
      <c r="K47" s="773" t="s">
        <v>9367</v>
      </c>
      <c r="L47" s="104"/>
      <c r="M47" s="72"/>
      <c r="N47" s="770" t="s">
        <v>9368</v>
      </c>
      <c r="O47" s="770" t="s">
        <v>9369</v>
      </c>
      <c r="P47" s="774" t="s">
        <v>9370</v>
      </c>
      <c r="Q47" s="72"/>
      <c r="R47" s="775" t="s">
        <v>9371</v>
      </c>
      <c r="S47" s="776" t="s">
        <v>9372</v>
      </c>
      <c r="T47" s="777" t="s">
        <v>9373</v>
      </c>
      <c r="U47" s="64"/>
      <c r="V47" s="88"/>
      <c r="W47" s="778" t="s">
        <v>21</v>
      </c>
      <c r="X47" s="778" t="s">
        <v>22</v>
      </c>
      <c r="Y47" s="779"/>
      <c r="Z47" s="780"/>
      <c r="AA47" s="781" t="str">
        <f>IFERROR(__xludf.DUMMYFUNCTION("join("","",filter(split($H$83,"",""),ARRAYFORMULA(ISERROR(FIND(split($H$83,"",""),CONCATENATE(D47:U47))))=TRUE))"),"СЗ,КЗ,206,406,409,410,АЗ")</f>
        <v>СЗ,КЗ,206,406,409,410,АЗ</v>
      </c>
      <c r="AB47" s="780"/>
      <c r="AC47" s="780"/>
      <c r="AD47" s="780"/>
      <c r="AE47" s="767"/>
      <c r="AF47" s="767"/>
      <c r="AG47" s="767"/>
      <c r="AH47" s="29"/>
    </row>
    <row r="48" ht="40.5" customHeight="1">
      <c r="A48" s="30"/>
      <c r="B48" s="768">
        <v>3.0</v>
      </c>
      <c r="C48" s="769" t="s">
        <v>33</v>
      </c>
      <c r="D48" s="769" t="s">
        <v>34</v>
      </c>
      <c r="E48" s="782" t="s">
        <v>9374</v>
      </c>
      <c r="F48" s="72"/>
      <c r="G48" s="783" t="s">
        <v>9375</v>
      </c>
      <c r="H48" s="139"/>
      <c r="I48" s="784" t="s">
        <v>9376</v>
      </c>
      <c r="J48" s="770" t="s">
        <v>9377</v>
      </c>
      <c r="K48" s="770" t="s">
        <v>9378</v>
      </c>
      <c r="L48" s="770" t="s">
        <v>9379</v>
      </c>
      <c r="M48" s="770" t="s">
        <v>9380</v>
      </c>
      <c r="N48" s="785" t="s">
        <v>9381</v>
      </c>
      <c r="O48" s="64"/>
      <c r="P48" s="64"/>
      <c r="Q48" s="72"/>
      <c r="R48" s="775" t="s">
        <v>9382</v>
      </c>
      <c r="S48" s="776" t="s">
        <v>9383</v>
      </c>
      <c r="T48" s="777" t="s">
        <v>9384</v>
      </c>
      <c r="U48" s="64"/>
      <c r="V48" s="88"/>
      <c r="W48" s="778" t="s">
        <v>33</v>
      </c>
      <c r="X48" s="778" t="s">
        <v>34</v>
      </c>
      <c r="Y48" s="786" t="s">
        <v>47</v>
      </c>
      <c r="Z48" s="779" t="str">
        <f>Z$5</f>
        <v>Завтрак 11.25-12.25 7СТ -11С</v>
      </c>
      <c r="AA48" s="787" t="str">
        <f>IFERROR(__xludf.DUMMYFUNCTION("join("","",filter(split($H$83,"",""),ARRAYFORMULA(ISERROR(FIND(split($H$83,"",""),CONCATENATE(D48:U48))))=TRUE))"),"СЗ,КЗ,206,209,409,410")</f>
        <v>СЗ,КЗ,206,209,409,410</v>
      </c>
      <c r="AB48" s="780"/>
      <c r="AC48" s="780"/>
      <c r="AD48" s="780"/>
      <c r="AE48" s="767"/>
      <c r="AF48" s="767"/>
      <c r="AG48" s="767"/>
      <c r="AH48" s="29"/>
    </row>
    <row r="49" ht="40.5" customHeight="1">
      <c r="A49" s="30"/>
      <c r="B49" s="768">
        <v>4.0</v>
      </c>
      <c r="C49" s="769" t="s">
        <v>48</v>
      </c>
      <c r="D49" s="769" t="s">
        <v>49</v>
      </c>
      <c r="E49" s="782" t="s">
        <v>9385</v>
      </c>
      <c r="F49" s="72"/>
      <c r="G49" s="64"/>
      <c r="H49" s="72"/>
      <c r="I49" s="784" t="s">
        <v>9386</v>
      </c>
      <c r="J49" s="770" t="s">
        <v>9387</v>
      </c>
      <c r="K49" s="770" t="s">
        <v>9388</v>
      </c>
      <c r="L49" s="770" t="s">
        <v>9389</v>
      </c>
      <c r="M49" s="770" t="s">
        <v>9390</v>
      </c>
      <c r="N49" s="785" t="s">
        <v>9391</v>
      </c>
      <c r="O49" s="64"/>
      <c r="P49" s="64"/>
      <c r="Q49" s="72"/>
      <c r="R49" s="788" t="s">
        <v>9392</v>
      </c>
      <c r="S49" s="789" t="s">
        <v>9393</v>
      </c>
      <c r="T49" s="790" t="s">
        <v>9394</v>
      </c>
      <c r="U49" s="64"/>
      <c r="V49" s="88"/>
      <c r="W49" s="778" t="s">
        <v>48</v>
      </c>
      <c r="X49" s="778" t="s">
        <v>49</v>
      </c>
      <c r="Y49" s="786" t="s">
        <v>57</v>
      </c>
      <c r="Z49" s="779" t="str">
        <f>Z$6</f>
        <v>Завтрак Таможенный           12:00 - 12:20
</v>
      </c>
      <c r="AA49" s="787" t="str">
        <f>IFERROR(__xludf.DUMMYFUNCTION("join("","",filter(split($H$83,"",""),ARRAYFORMULA(ISERROR(FIND(split($H$83,"",""),CONCATENATE(D49:U49))))=TRUE))"),"СЗ,КЗ,201,206,209,409,410,АЗ")</f>
        <v>СЗ,КЗ,201,206,209,409,410,АЗ</v>
      </c>
      <c r="AB49" s="780"/>
      <c r="AC49" s="780"/>
      <c r="AD49" s="780"/>
      <c r="AE49" s="767"/>
      <c r="AF49" s="767"/>
      <c r="AG49" s="767"/>
      <c r="AH49" s="29"/>
    </row>
    <row r="50" ht="40.5" customHeight="1">
      <c r="A50" s="30"/>
      <c r="B50" s="768">
        <v>5.0</v>
      </c>
      <c r="C50" s="769" t="s">
        <v>58</v>
      </c>
      <c r="D50" s="791">
        <v>44847.0</v>
      </c>
      <c r="E50" s="777" t="s">
        <v>9395</v>
      </c>
      <c r="F50" s="72"/>
      <c r="G50" s="770" t="s">
        <v>9396</v>
      </c>
      <c r="H50" s="770" t="s">
        <v>9397</v>
      </c>
      <c r="I50" s="770" t="s">
        <v>9398</v>
      </c>
      <c r="J50" s="774" t="s">
        <v>9399</v>
      </c>
      <c r="K50" s="72"/>
      <c r="L50" s="792" t="s">
        <v>9400</v>
      </c>
      <c r="M50" s="72"/>
      <c r="N50" s="793" t="s">
        <v>9401</v>
      </c>
      <c r="O50" s="794" t="s">
        <v>9402</v>
      </c>
      <c r="P50" s="795" t="s">
        <v>9403</v>
      </c>
      <c r="Q50" s="72"/>
      <c r="R50" s="796" t="s">
        <v>9404</v>
      </c>
      <c r="S50" s="789" t="s">
        <v>9405</v>
      </c>
      <c r="T50" s="790" t="s">
        <v>9406</v>
      </c>
      <c r="U50" s="64"/>
      <c r="V50" s="88"/>
      <c r="W50" s="778" t="s">
        <v>58</v>
      </c>
      <c r="X50" s="797">
        <v>44847.0</v>
      </c>
      <c r="Y50" s="798" t="s">
        <v>70</v>
      </c>
      <c r="Z50" s="779" t="str">
        <f>Z$7</f>
        <v>Обед Таможенный 13.45-14.00</v>
      </c>
      <c r="AA50" s="787" t="str">
        <f>IFERROR(__xludf.DUMMYFUNCTION("join("","",filter(split($H$83,"",""),ARRAYFORMULA(ISERROR(FIND(split($H$83,"",""),CONCATENATE(D50:U50))))=TRUE))"),"СЗ,КЗ,206,401,404,408,409,410")</f>
        <v>СЗ,КЗ,206,401,404,408,409,410</v>
      </c>
      <c r="AB50" s="780"/>
      <c r="AC50" s="780"/>
      <c r="AD50" s="780"/>
      <c r="AE50" s="767"/>
      <c r="AF50" s="767"/>
      <c r="AG50" s="767"/>
      <c r="AH50" s="29"/>
    </row>
    <row r="51" ht="48.75" customHeight="1">
      <c r="A51" s="30"/>
      <c r="B51" s="768">
        <v>6.0</v>
      </c>
      <c r="C51" s="799" t="s">
        <v>71</v>
      </c>
      <c r="D51" s="800" t="s">
        <v>72</v>
      </c>
      <c r="E51" s="777" t="s">
        <v>9407</v>
      </c>
      <c r="F51" s="72"/>
      <c r="G51" s="770" t="s">
        <v>9408</v>
      </c>
      <c r="H51" s="770" t="s">
        <v>9409</v>
      </c>
      <c r="I51" s="770" t="s">
        <v>9410</v>
      </c>
      <c r="J51" s="792" t="s">
        <v>9411</v>
      </c>
      <c r="K51" s="72"/>
      <c r="L51" s="801" t="s">
        <v>9412</v>
      </c>
      <c r="M51" s="72"/>
      <c r="N51" s="793" t="s">
        <v>9413</v>
      </c>
      <c r="O51" s="794" t="s">
        <v>9414</v>
      </c>
      <c r="P51" s="795" t="s">
        <v>9415</v>
      </c>
      <c r="Q51" s="72"/>
      <c r="R51" s="802" t="s">
        <v>9416</v>
      </c>
      <c r="S51" s="776" t="s">
        <v>9417</v>
      </c>
      <c r="T51" s="775" t="s">
        <v>9418</v>
      </c>
      <c r="U51" s="803" t="s">
        <v>9419</v>
      </c>
      <c r="V51" s="804"/>
      <c r="W51" s="805" t="s">
        <v>71</v>
      </c>
      <c r="X51" s="806" t="s">
        <v>72</v>
      </c>
      <c r="Y51" s="807" t="s">
        <v>84</v>
      </c>
      <c r="Z51" s="779"/>
      <c r="AA51" s="787" t="str">
        <f>IFERROR(__xludf.DUMMYFUNCTION("join("","",filter(split($H$83,"",""),ARRAYFORMULA(ISERROR(FIND(split($H$83,"",""),CONCATENATE(D51:U51))))=TRUE))"),"СЗ,206,404,409,410")</f>
        <v>СЗ,206,404,409,410</v>
      </c>
      <c r="AB51" s="781" t="str">
        <f>IFERROR(__xludf.DUMMYFUNCTION("join("","",filter(split(#REF!,"",""),ARRAYFORMULA(ISERROR(FIND(split(#REF!,"",""),CONCATENATE(D51:R51))))=TRUE))"),"#REF!")</f>
        <v>#REF!</v>
      </c>
      <c r="AC51" s="780"/>
      <c r="AD51" s="780"/>
      <c r="AE51" s="767"/>
      <c r="AF51" s="767"/>
      <c r="AG51" s="767"/>
      <c r="AH51" s="29"/>
    </row>
    <row r="52" ht="55.5" customHeight="1">
      <c r="A52" s="30"/>
      <c r="B52" s="768">
        <v>7.0</v>
      </c>
      <c r="C52" s="769" t="s">
        <v>85</v>
      </c>
      <c r="D52" s="769" t="s">
        <v>86</v>
      </c>
      <c r="E52" s="777" t="s">
        <v>9420</v>
      </c>
      <c r="F52" s="72"/>
      <c r="G52" s="770" t="s">
        <v>9421</v>
      </c>
      <c r="H52" s="770" t="s">
        <v>9422</v>
      </c>
      <c r="I52" s="770" t="s">
        <v>9423</v>
      </c>
      <c r="J52" s="808" t="s">
        <v>9424</v>
      </c>
      <c r="K52" s="72"/>
      <c r="L52" s="774" t="s">
        <v>9425</v>
      </c>
      <c r="M52" s="72"/>
      <c r="N52" s="809" t="s">
        <v>9426</v>
      </c>
      <c r="O52" s="72"/>
      <c r="P52" s="810" t="s">
        <v>9427</v>
      </c>
      <c r="Q52" s="811" t="s">
        <v>9428</v>
      </c>
      <c r="R52" s="802" t="s">
        <v>9429</v>
      </c>
      <c r="S52" s="812" t="s">
        <v>9430</v>
      </c>
      <c r="T52" s="813" t="s">
        <v>472</v>
      </c>
      <c r="U52" s="814"/>
      <c r="V52" s="804"/>
      <c r="W52" s="778" t="s">
        <v>85</v>
      </c>
      <c r="X52" s="778" t="s">
        <v>86</v>
      </c>
      <c r="Y52" s="786" t="s">
        <v>97</v>
      </c>
      <c r="Z52" s="779" t="str">
        <f>Z$9</f>
        <v/>
      </c>
      <c r="AA52" s="787" t="str">
        <f>IFERROR(__xludf.DUMMYFUNCTION("join("","",filter(split($H$83,"",""),ARRAYFORMULA(ISERROR(FIND(split($H$83,"",""),CONCATENATE(D52:U52))))=TRUE))"),"СЗ,206,404,410")</f>
        <v>СЗ,206,404,410</v>
      </c>
      <c r="AB52" s="780"/>
      <c r="AC52" s="780"/>
      <c r="AD52" s="780"/>
      <c r="AE52" s="767"/>
      <c r="AF52" s="767"/>
      <c r="AG52" s="767"/>
      <c r="AH52" s="29"/>
    </row>
    <row r="53" ht="51.75" customHeight="1">
      <c r="A53" s="30"/>
      <c r="B53" s="768">
        <v>8.0</v>
      </c>
      <c r="C53" s="769" t="s">
        <v>98</v>
      </c>
      <c r="D53" s="769" t="s">
        <v>99</v>
      </c>
      <c r="E53" s="770" t="s">
        <v>9431</v>
      </c>
      <c r="F53" s="770" t="s">
        <v>9432</v>
      </c>
      <c r="G53" s="815" t="s">
        <v>1913</v>
      </c>
      <c r="H53" s="816" t="s">
        <v>9433</v>
      </c>
      <c r="I53" s="72"/>
      <c r="J53" s="774" t="s">
        <v>9434</v>
      </c>
      <c r="K53" s="72"/>
      <c r="L53" s="808" t="s">
        <v>9435</v>
      </c>
      <c r="M53" s="72"/>
      <c r="N53" s="817"/>
      <c r="O53" s="793" t="s">
        <v>9436</v>
      </c>
      <c r="P53" s="810" t="s">
        <v>9437</v>
      </c>
      <c r="Q53" s="818" t="s">
        <v>160</v>
      </c>
      <c r="R53" s="813" t="s">
        <v>9438</v>
      </c>
      <c r="S53" s="812" t="s">
        <v>9439</v>
      </c>
      <c r="T53" s="780"/>
      <c r="U53" s="780"/>
      <c r="V53" s="819"/>
      <c r="W53" s="778" t="s">
        <v>98</v>
      </c>
      <c r="X53" s="778" t="s">
        <v>99</v>
      </c>
      <c r="Y53" s="779"/>
      <c r="Z53" s="780"/>
      <c r="AA53" s="781" t="str">
        <f>IFERROR(__xludf.DUMMYFUNCTION("join("","",filter(split($H$83,"",""),ARRAYFORMULA(ISERROR(FIND(split($H$83,"",""),CONCATENATE(D53:U53))))=TRUE))"),"СЗ,201,206,401,404,405,408,410")</f>
        <v>СЗ,201,206,401,404,405,408,410</v>
      </c>
      <c r="AB53" s="780"/>
      <c r="AC53" s="780"/>
      <c r="AD53" s="780"/>
      <c r="AE53" s="767"/>
      <c r="AF53" s="767"/>
      <c r="AG53" s="767"/>
      <c r="AH53" s="29"/>
    </row>
    <row r="54" ht="71.25" customHeight="1">
      <c r="A54" s="30"/>
      <c r="B54" s="768">
        <v>9.0</v>
      </c>
      <c r="C54" s="820">
        <v>44697.0</v>
      </c>
      <c r="D54" s="814" t="s">
        <v>109</v>
      </c>
      <c r="E54" s="821" t="s">
        <v>6217</v>
      </c>
      <c r="M54" s="139"/>
      <c r="N54" s="817"/>
      <c r="O54" s="822" t="s">
        <v>7494</v>
      </c>
      <c r="P54" s="821" t="s">
        <v>6217</v>
      </c>
      <c r="V54" s="139"/>
      <c r="W54" s="823">
        <v>44697.0</v>
      </c>
      <c r="X54" s="823" t="s">
        <v>109</v>
      </c>
      <c r="Y54" s="814"/>
      <c r="Z54" s="780"/>
      <c r="AA54" s="781" t="str">
        <f>IFERROR(__xludf.DUMMYFUNCTION("join("","",filter(split($H$83,"",""),ARRAYFORMULA(ISERROR(FIND(split($H$83,"",""),CONCATENATE(D54:U54))))=TRUE))"),"206,209,401,403,404,405,408,410,АЗ")</f>
        <v>206,209,401,403,404,405,408,410,АЗ</v>
      </c>
      <c r="AB54" s="780"/>
      <c r="AC54" s="780"/>
      <c r="AD54" s="780"/>
      <c r="AE54" s="767"/>
      <c r="AF54" s="767"/>
      <c r="AG54" s="767"/>
      <c r="AH54" s="29"/>
    </row>
    <row r="55" ht="40.5" customHeight="1">
      <c r="A55" s="30"/>
      <c r="B55" s="768">
        <v>10.0</v>
      </c>
      <c r="C55" s="814" t="s">
        <v>120</v>
      </c>
      <c r="D55" s="814" t="s">
        <v>121</v>
      </c>
      <c r="E55" s="64"/>
      <c r="F55" s="64"/>
      <c r="G55" s="64"/>
      <c r="H55" s="64"/>
      <c r="I55" s="64"/>
      <c r="J55" s="64"/>
      <c r="K55" s="64"/>
      <c r="L55" s="64"/>
      <c r="M55" s="72"/>
      <c r="N55" s="824"/>
      <c r="O55" s="814"/>
      <c r="P55" s="64"/>
      <c r="Q55" s="64"/>
      <c r="R55" s="64"/>
      <c r="S55" s="64"/>
      <c r="T55" s="64"/>
      <c r="U55" s="64"/>
      <c r="V55" s="72"/>
      <c r="W55" s="825" t="s">
        <v>120</v>
      </c>
      <c r="X55" s="825" t="s">
        <v>121</v>
      </c>
      <c r="Y55" s="814"/>
      <c r="Z55" s="780"/>
      <c r="AA55" s="781" t="str">
        <f>IFERROR(__xludf.DUMMYFUNCTION("join("","",filter(split($H$83,"",""),ARRAYFORMULA(ISERROR(FIND(split($H$83,"",""),CONCATENATE(D55:U55))))=TRUE))"),"СЗ,КЗ,201,202,206,209,210,401,402,403,404,405,406,408,409,410,АЗ")</f>
        <v>СЗ,КЗ,201,202,206,209,210,401,402,403,404,405,406,408,409,410,АЗ</v>
      </c>
      <c r="AB55" s="780"/>
      <c r="AC55" s="780"/>
      <c r="AD55" s="780"/>
      <c r="AE55" s="767"/>
      <c r="AF55" s="767"/>
      <c r="AG55" s="767"/>
      <c r="AH55" s="29"/>
    </row>
    <row r="56" ht="40.5" customHeight="1">
      <c r="A56" s="74"/>
      <c r="B56" s="826">
        <v>11.0</v>
      </c>
      <c r="C56" s="827" t="s">
        <v>124</v>
      </c>
      <c r="D56" s="827" t="s">
        <v>125</v>
      </c>
      <c r="E56" s="828"/>
      <c r="F56" s="828"/>
      <c r="G56" s="828"/>
      <c r="H56" s="828"/>
      <c r="I56" s="828"/>
      <c r="J56" s="828"/>
      <c r="K56" s="828"/>
      <c r="L56" s="828"/>
      <c r="M56" s="828"/>
      <c r="N56" s="828"/>
      <c r="O56" s="828"/>
      <c r="P56" s="828"/>
      <c r="Q56" s="828"/>
      <c r="R56" s="828"/>
      <c r="S56" s="828"/>
      <c r="T56" s="828"/>
      <c r="U56" s="828"/>
      <c r="V56" s="829"/>
      <c r="W56" s="830" t="s">
        <v>124</v>
      </c>
      <c r="X56" s="831" t="s">
        <v>125</v>
      </c>
      <c r="Y56" s="814"/>
      <c r="Z56" s="780"/>
      <c r="AA56" s="781" t="str">
        <f>IFERROR(__xludf.DUMMYFUNCTION("join("","",filter(split($H$83,"",""),ARRAYFORMULA(ISERROR(FIND(split($H$83,"",""),CONCATENATE(D56:U56))))=TRUE))"),"СЗ,КЗ,201,202,206,209,210,401,402,403,404,405,406,408,409,410,АЗ")</f>
        <v>СЗ,КЗ,201,202,206,209,210,401,402,403,404,405,406,408,409,410,АЗ</v>
      </c>
      <c r="AB56" s="780"/>
      <c r="AC56" s="780"/>
      <c r="AD56" s="780"/>
      <c r="AE56" s="767"/>
      <c r="AF56" s="767"/>
      <c r="AG56" s="767"/>
      <c r="AH56" s="29"/>
    </row>
    <row r="57" ht="40.5" customHeight="1">
      <c r="A57" s="627">
        <v>44975.0</v>
      </c>
      <c r="B57" s="191">
        <v>1.0</v>
      </c>
      <c r="C57" s="192" t="str">
        <f>D$1</f>
        <v/>
      </c>
      <c r="D57" s="72"/>
      <c r="E57" s="193"/>
      <c r="F57" s="193"/>
      <c r="G57" s="194" t="s">
        <v>481</v>
      </c>
      <c r="H57" s="64"/>
      <c r="I57" s="72"/>
      <c r="J57" s="195"/>
      <c r="K57" s="64"/>
      <c r="L57" s="64"/>
      <c r="M57" s="72"/>
      <c r="N57" s="193"/>
      <c r="O57" s="177"/>
      <c r="P57" s="187" t="s">
        <v>482</v>
      </c>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77"/>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60">
    <mergeCell ref="P24:S24"/>
    <mergeCell ref="T24:V24"/>
    <mergeCell ref="R25:S25"/>
    <mergeCell ref="T25:V25"/>
    <mergeCell ref="T26:V26"/>
    <mergeCell ref="T27:V27"/>
    <mergeCell ref="T28:V32"/>
    <mergeCell ref="R29:R30"/>
    <mergeCell ref="P31:Q32"/>
    <mergeCell ref="L15:M16"/>
    <mergeCell ref="P15:Q15"/>
    <mergeCell ref="R15:R16"/>
    <mergeCell ref="S15:S16"/>
    <mergeCell ref="T15:V16"/>
    <mergeCell ref="P16:Q16"/>
    <mergeCell ref="L17:M17"/>
    <mergeCell ref="N15:O16"/>
    <mergeCell ref="N17:O18"/>
    <mergeCell ref="P17:P18"/>
    <mergeCell ref="Q17:Q18"/>
    <mergeCell ref="S17:S18"/>
    <mergeCell ref="T17:V20"/>
    <mergeCell ref="P19:Q20"/>
    <mergeCell ref="T21:V21"/>
    <mergeCell ref="N19:O19"/>
    <mergeCell ref="L20:M20"/>
    <mergeCell ref="N20:O20"/>
    <mergeCell ref="J21:M21"/>
    <mergeCell ref="N21:O21"/>
    <mergeCell ref="P21:Q21"/>
    <mergeCell ref="R21:S21"/>
    <mergeCell ref="J22:M22"/>
    <mergeCell ref="N22:O22"/>
    <mergeCell ref="P22:S22"/>
    <mergeCell ref="T22:V22"/>
    <mergeCell ref="R23:V23"/>
    <mergeCell ref="L24:M25"/>
    <mergeCell ref="N24:O24"/>
    <mergeCell ref="N25:O25"/>
    <mergeCell ref="P25:Q25"/>
    <mergeCell ref="L26:M26"/>
    <mergeCell ref="N26:O26"/>
    <mergeCell ref="R26:S26"/>
    <mergeCell ref="N27:O27"/>
    <mergeCell ref="P27:Q27"/>
    <mergeCell ref="J32:M32"/>
    <mergeCell ref="N32:O32"/>
    <mergeCell ref="T35:V35"/>
    <mergeCell ref="T36:V36"/>
    <mergeCell ref="H42:I42"/>
    <mergeCell ref="L42:M42"/>
    <mergeCell ref="N42:O42"/>
    <mergeCell ref="P42:Q42"/>
    <mergeCell ref="R42:S42"/>
    <mergeCell ref="T42:V42"/>
    <mergeCell ref="P46:Q46"/>
    <mergeCell ref="R46:S46"/>
    <mergeCell ref="H43:J43"/>
    <mergeCell ref="K43:L44"/>
    <mergeCell ref="N43:O43"/>
    <mergeCell ref="Q43:V44"/>
    <mergeCell ref="H44:J44"/>
    <mergeCell ref="N44:O44"/>
    <mergeCell ref="G46:H46"/>
    <mergeCell ref="T46:V46"/>
    <mergeCell ref="L27:M27"/>
    <mergeCell ref="L28:M28"/>
    <mergeCell ref="N28:O28"/>
    <mergeCell ref="L29:M29"/>
    <mergeCell ref="N29:O30"/>
    <mergeCell ref="J30:K30"/>
    <mergeCell ref="L30:M30"/>
    <mergeCell ref="H36:I36"/>
    <mergeCell ref="H37:I37"/>
    <mergeCell ref="J37:K37"/>
    <mergeCell ref="T37:V37"/>
    <mergeCell ref="T38:V38"/>
    <mergeCell ref="N38:Q38"/>
    <mergeCell ref="P39:Q39"/>
    <mergeCell ref="T39:V39"/>
    <mergeCell ref="P40:Q40"/>
    <mergeCell ref="T40:V40"/>
    <mergeCell ref="T41:V41"/>
    <mergeCell ref="J31:M31"/>
    <mergeCell ref="N31:O31"/>
    <mergeCell ref="G33:Q34"/>
    <mergeCell ref="K35:K36"/>
    <mergeCell ref="N35:O35"/>
    <mergeCell ref="N36:O36"/>
    <mergeCell ref="N37:Q37"/>
    <mergeCell ref="L40:M40"/>
    <mergeCell ref="L41:M41"/>
    <mergeCell ref="N41:O41"/>
    <mergeCell ref="P41:Q41"/>
    <mergeCell ref="H35:I35"/>
    <mergeCell ref="H38:I38"/>
    <mergeCell ref="J38:K38"/>
    <mergeCell ref="H39:I39"/>
    <mergeCell ref="L39:M39"/>
    <mergeCell ref="H40:I40"/>
    <mergeCell ref="H41:I41"/>
    <mergeCell ref="G48:H49"/>
    <mergeCell ref="J50:K50"/>
    <mergeCell ref="L50:M50"/>
    <mergeCell ref="P50:Q50"/>
    <mergeCell ref="T50:V50"/>
    <mergeCell ref="T1:V1"/>
    <mergeCell ref="X1:Y1"/>
    <mergeCell ref="J1:M1"/>
    <mergeCell ref="J2:K2"/>
    <mergeCell ref="N1:O1"/>
    <mergeCell ref="N2:O2"/>
    <mergeCell ref="P2:Q2"/>
    <mergeCell ref="R2:S2"/>
    <mergeCell ref="T2:V2"/>
    <mergeCell ref="J3:K3"/>
    <mergeCell ref="N3:O3"/>
    <mergeCell ref="T3:V3"/>
    <mergeCell ref="P3:Q3"/>
    <mergeCell ref="R3:R4"/>
    <mergeCell ref="T4:V4"/>
    <mergeCell ref="T5:V6"/>
    <mergeCell ref="J4:K4"/>
    <mergeCell ref="L4:M4"/>
    <mergeCell ref="E1:F1"/>
    <mergeCell ref="E4:F10"/>
    <mergeCell ref="N4:O4"/>
    <mergeCell ref="P4:Q4"/>
    <mergeCell ref="G5:G6"/>
    <mergeCell ref="H5:I5"/>
    <mergeCell ref="H6:I6"/>
    <mergeCell ref="N5:O5"/>
    <mergeCell ref="P5:Q6"/>
    <mergeCell ref="N6:O6"/>
    <mergeCell ref="J7:K7"/>
    <mergeCell ref="L7:M7"/>
    <mergeCell ref="N7:O8"/>
    <mergeCell ref="P7:Q8"/>
    <mergeCell ref="T7:T8"/>
    <mergeCell ref="U7:V8"/>
    <mergeCell ref="S10:V10"/>
    <mergeCell ref="T11:V11"/>
    <mergeCell ref="R7:S7"/>
    <mergeCell ref="J8:K8"/>
    <mergeCell ref="G1:I1"/>
    <mergeCell ref="H7:I8"/>
    <mergeCell ref="R5:S6"/>
    <mergeCell ref="R8:S9"/>
    <mergeCell ref="R13:S13"/>
    <mergeCell ref="T13:T14"/>
    <mergeCell ref="U13:V14"/>
    <mergeCell ref="R14:S14"/>
    <mergeCell ref="H9:I9"/>
    <mergeCell ref="J9:K9"/>
    <mergeCell ref="C1:D1"/>
    <mergeCell ref="P1:Q1"/>
    <mergeCell ref="R1:S1"/>
    <mergeCell ref="A2:A12"/>
    <mergeCell ref="L2:M3"/>
    <mergeCell ref="S3:S4"/>
    <mergeCell ref="L8:M8"/>
    <mergeCell ref="E11:S11"/>
    <mergeCell ref="E14:F14"/>
    <mergeCell ref="E15:F15"/>
    <mergeCell ref="L9:M9"/>
    <mergeCell ref="N9:O10"/>
    <mergeCell ref="L10:M10"/>
    <mergeCell ref="L13:M14"/>
    <mergeCell ref="N13:O14"/>
    <mergeCell ref="P13:Q13"/>
    <mergeCell ref="P14:Q14"/>
    <mergeCell ref="L18:M18"/>
    <mergeCell ref="L19:M19"/>
    <mergeCell ref="G27:H27"/>
    <mergeCell ref="G28:H28"/>
    <mergeCell ref="G29:H29"/>
    <mergeCell ref="H24:I24"/>
    <mergeCell ref="J24:K24"/>
    <mergeCell ref="H25:I25"/>
    <mergeCell ref="J25:K25"/>
    <mergeCell ref="G26:I26"/>
    <mergeCell ref="J26:K26"/>
    <mergeCell ref="J27:K27"/>
    <mergeCell ref="E21:F22"/>
    <mergeCell ref="G21:G22"/>
    <mergeCell ref="A24:A34"/>
    <mergeCell ref="E24:F24"/>
    <mergeCell ref="E25:F25"/>
    <mergeCell ref="E26:F26"/>
    <mergeCell ref="E30:F30"/>
    <mergeCell ref="E39:F39"/>
    <mergeCell ref="E40:F40"/>
    <mergeCell ref="E41:F41"/>
    <mergeCell ref="E42:F42"/>
    <mergeCell ref="G43:G44"/>
    <mergeCell ref="A35:A45"/>
    <mergeCell ref="A46:A56"/>
    <mergeCell ref="A57:A67"/>
    <mergeCell ref="E48:F48"/>
    <mergeCell ref="E49:F49"/>
    <mergeCell ref="E50:F50"/>
    <mergeCell ref="E51:F51"/>
    <mergeCell ref="E52:F52"/>
    <mergeCell ref="C57:D57"/>
    <mergeCell ref="E33:F33"/>
    <mergeCell ref="E34:F34"/>
    <mergeCell ref="E35:F35"/>
    <mergeCell ref="E36:F36"/>
    <mergeCell ref="E37:F37"/>
    <mergeCell ref="E38:F38"/>
    <mergeCell ref="E43:F44"/>
    <mergeCell ref="E13:F13"/>
    <mergeCell ref="E16:F16"/>
    <mergeCell ref="J16:K16"/>
    <mergeCell ref="E17:F17"/>
    <mergeCell ref="J17:K17"/>
    <mergeCell ref="E18:F18"/>
    <mergeCell ref="J18:K18"/>
    <mergeCell ref="J19:K19"/>
    <mergeCell ref="J20:K20"/>
    <mergeCell ref="H10:I10"/>
    <mergeCell ref="J10:K10"/>
    <mergeCell ref="A13:A23"/>
    <mergeCell ref="G13:I20"/>
    <mergeCell ref="J13:K13"/>
    <mergeCell ref="J14:K14"/>
    <mergeCell ref="J15:K15"/>
    <mergeCell ref="J28:K28"/>
    <mergeCell ref="J29:K29"/>
    <mergeCell ref="G30:H30"/>
    <mergeCell ref="G31:I32"/>
    <mergeCell ref="E31:F31"/>
    <mergeCell ref="E32:F32"/>
    <mergeCell ref="I46:I47"/>
    <mergeCell ref="L46:M47"/>
    <mergeCell ref="G47:H47"/>
    <mergeCell ref="P47:Q47"/>
    <mergeCell ref="T47:V47"/>
    <mergeCell ref="T48:V48"/>
    <mergeCell ref="T49:V49"/>
    <mergeCell ref="J57:M57"/>
    <mergeCell ref="P57:S58"/>
    <mergeCell ref="X57:Y57"/>
    <mergeCell ref="J52:K52"/>
    <mergeCell ref="H53:I53"/>
    <mergeCell ref="J53:K53"/>
    <mergeCell ref="L53:M53"/>
    <mergeCell ref="E54:M55"/>
    <mergeCell ref="P54:V55"/>
    <mergeCell ref="G57:I57"/>
    <mergeCell ref="K66:L66"/>
    <mergeCell ref="K67:L67"/>
    <mergeCell ref="K68:L68"/>
    <mergeCell ref="N48:Q48"/>
    <mergeCell ref="N49:Q49"/>
    <mergeCell ref="J51:K51"/>
    <mergeCell ref="L51:M51"/>
    <mergeCell ref="P51:Q51"/>
    <mergeCell ref="L52:M52"/>
    <mergeCell ref="N52:O52"/>
  </mergeCells>
  <conditionalFormatting sqref="E1:T86 U1:U31 V32:V34 U35:U86 V50:V52 W51">
    <cfRule type="containsText" dxfId="0" priority="1" operator="containsText" text="Физика">
      <formula>NOT(ISERROR(SEARCH(("Физика"),(E1))))</formula>
    </cfRule>
  </conditionalFormatting>
  <conditionalFormatting sqref="N52:O52 E54:W55">
    <cfRule type="containsText" dxfId="1" priority="2" operator="containsText" text="Шерашова">
      <formula>NOT(ISERROR(SEARCH(("Шерашова"),(N52))))</formula>
    </cfRule>
  </conditionalFormatting>
  <conditionalFormatting sqref="E2:N53 O2:O54 P2:T53 U2:U31 V32:V34 U35:U53 V50:V52 W51 O57:O58 P57 K61:L68">
    <cfRule type="containsText" dxfId="2" priority="3" operator="containsText" text="Шерашова">
      <formula>NOT(ISERROR(SEARCH(("Шерашова"),(E2))))</formula>
    </cfRule>
  </conditionalFormatting>
  <conditionalFormatting sqref="E2:N53 O2:O54 P2:T53 U2:U31 V32:V34 U35:U53 V50:V52 W51 O57:O58 P57 K61:L68">
    <cfRule type="containsText" dxfId="3" priority="4" operator="containsText" text="Англ">
      <formula>NOT(ISERROR(SEARCH(("Англ"),(E2))))</formula>
    </cfRule>
  </conditionalFormatting>
  <conditionalFormatting sqref="E2:N53 O2:O54 P2:T53 U2:U31 V32:V34 U35:U53 V50:V52 W51 O57:O58 P57 K61:L68">
    <cfRule type="containsText" dxfId="4" priority="5" operator="containsText" text="Театр">
      <formula>NOT(ISERROR(SEARCH(("Театр"),(E2))))</formula>
    </cfRule>
  </conditionalFormatting>
  <conditionalFormatting sqref="E2:N53 O2:O54 P2:T53 U2:U31 V32:V34 U35:U53 V50:V52 W51 O57:O58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7 G2:I45 J2:K49 L2:L47 M2:Q45 R2:S6 T2:V8 S10:S32 T10:V45 R11:R46 F19:F20 E24:F30 E32:E53 F32:F45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25:N26 T24:T27 T37:T38 N41:N42">
      <formula1>IF(COUNTA(filter($E7:$W7,ARRAYFORMULA(ISERROR(FIND(join(",",filter(split($H$83,","),ARRAYFORMULA(ISERROR(FIND(split($H$83,","),N5)))=FALSE)),$E7:$W7))=FALSE)))&gt;1,FALSE,TRUE)</formula1>
    </dataValidation>
    <dataValidation type="custom" allowBlank="1" showDropDown="1" sqref="R3">
      <formula1>IF(COUNTA(filter($E17:$W17,ARRAYFORMULA(ISERROR(FIND(join(",",filter(split($H$83,","),ARRAYFORMULA(ISERROR(FIND(split($H$83,","),R3)))=FALSE)),$E17:$W17))=FALSE)))&gt;1,FALSE,TRUE)</formula1>
    </dataValidation>
    <dataValidation type="custom" allowBlank="1" showDropDown="1" sqref="J13:J14">
      <formula1>IF(COUNTA(filter($E46:$W46,ARRAYFORMULA(ISERROR(FIND(join(",",filter(split($H$83,","),ARRAYFORMULA(ISERROR(FIND(split($H$83,","),J13)))=FALSE)),$E46:$W46))=FALSE)))&gt;1,FALSE,TRUE)</formula1>
    </dataValidation>
    <dataValidation type="custom" allowBlank="1" showDropDown="1" sqref="G5 H7 H9 G10 I29:I30 L50 J50:J51 R53">
      <formula1>IF(COUNTA(filter($E1:$W1,ARRAYFORMULA(ISERROR(FIND(join(",",filter(split($H$83,","),ARRAYFORMULA(ISERROR(FIND(split($H$83,","),G5)))=FALSE)),$E1:$W1))=FALSE)))&gt;1,FALSE,TRUE)</formula1>
    </dataValidation>
    <dataValidation type="custom" allowBlank="1" showDropDown="1" sqref="G31 E32:E34">
      <formula1>IF(COUNTA(filter($E31:$W31,ARRAYFORMULA(ISERROR(FIND(join(",",filter(split($H$82,","),ARRAYFORMULA(ISERROR(FIND(split($H$82,","),#REF!)))=FALSE)),$E31:$W31))=FALSE)))&gt;1,FALSE,TRUE)</formula1>
    </dataValidation>
    <dataValidation type="custom" allowBlank="1" showDropDown="1" sqref="N3:N4 P5 J7:J8 L9:L10 N17 P19 H39:H40 T49:T50">
      <formula1>IF(COUNTA(filter($E35:$W35,ARRAYFORMULA(ISERROR(FIND(join(",",filter(split($H$83,","),ARRAYFORMULA(ISERROR(FIND(split($H$83,","),H3)))=FALSE)),$E35:$W35))=FALSE)))&gt;1,FALSE,TRUE)</formula1>
    </dataValidation>
    <dataValidation type="custom" allowBlank="1" showDropDown="1" sqref="E2:F3 E4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9">
      <formula1>IF(COUNTA(filter($E2:$W2,ARRAYFORMULA(ISERROR(FIND(join(",",filter(split($H$83,","),ARRAYFORMULA(ISERROR(FIND(split($H$83,","),#REF!)))=FALSE)),$E2:$W2))=FALSE)))&gt;1,FALSE,TRUE)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N19:N20 N24 N29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P24 J26">
      <formula1>IF(COUNTA(filter($E28:$W28,ARRAYFORMULA(ISERROR(FIND(join(",",filter(split($H$83,","),ARRAYFORMULA(ISERROR(FIND(split($H$83,","),J24)))=FALSE)),$E28:$W28))=FALSE)))&gt;1,FALSE,TRUE)</formula1>
    </dataValidation>
    <dataValidation type="custom" allowBlank="1" showDropDown="1" sqref="G4 J5:J6 E15:E16 E46:E47 J48:J49 G50:G52 E53">
      <formula1>IF(COUNTA(filter($E4:$W4,ARRAYFORMULA(ISERROR(FIND(join(",",filter(split($H$83,","),ARRAYFORMULA(ISERROR(FIND(split($H$83,","),#REF!)))=FALSE)),$E4:$W4))=FALSE)))&gt;1,FALSE,TRUE)</formula1>
    </dataValidation>
    <dataValidation type="custom" allowBlank="1" showDropDown="1" sqref="R8 T9:V9 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E24 G24:H24 G25 E26 F27 R27:S28 E29 H35:H36 G37:G38 E48:E49 N52:N54">
      <formula1>IF(COUNTA(filter($E25:$W25,ARRAYFORMULA(ISERROR(FIND(join(",",filter(split($H$83,","),ARRAYFORMULA(ISERROR(FIND(split($H$83,","),E24)))=FALSE)),$E25:$W25))=FALSE)))&gt;1,FALSE,TRUE)</formula1>
    </dataValidation>
    <dataValidation type="custom" allowBlank="1" showDropDown="1" sqref="N2 R2 T2 G2:J3 L4 P2:P4 T5 H5:H6 K5:M6 N7 P7 T7:U7 L7:L8 G7:G9 H10 J9:J10 Q9:Q10 S10 W2:W10 E12:W12 N13 T13:U13 R15:T15 P17:Q17 E17:E18 J15:J20 L17:L20 G21 R19:R21 H22:J22 G23:R23 J24 L24 P25 R25 Q26 P27 E27:E28 I27:I28 Q28 T28 F29:G29 G30 P29:Q30 J31:J32 W13:W32 R33:R34 T33:W34 G35:G36 L35:M36 P35:Q36 H37:H38 J37:J38 L37:N38 E37:E40 G39:G40 J39:K40 N39:P40 R37:S40 R41:T41 J41:L42 T42 E43 G41:H43 K43 Q43 H44 M43:N44 W35:W44 E45:W45 I46 F46:G47 K46:K47 N46:P47 G48 L48:M49 L51 N50:O51 I50:I52 P52 G53:H53 E54 O53:P54 N55:O55 W46:W55 E56:W56 E57:G57 J57 N57:O57 E58:O60 T57:W60 E61:W65 K67:K68 H66:H73">
      <formula1>IF(COUNTA(filter($E2:$W2,ARRAYFORMULA(ISERROR(FIND(join(",",filter(split($H$83,","),ARRAYFORMULA(ISERROR(FIND(split($H$83,","),E2)))=FALSE)),$E2:$W2))=FALSE)))&gt;1,FALSE,TRUE)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 P43:P44">
      <formula1>IF(COUNTA(filter($E40:$W40,ARRAYFORMULA(ISERROR(FIND(join(",",filter(split($H$83,","),ARRAYFORMULA(ISERROR(FIND(split($H$83,","),P31)))=FALSE)),$E40:$W40))=FALSE)))&gt;1,FALSE,TRUE)</formula1>
    </dataValidation>
    <dataValidation type="custom" allowBlank="1" showDropDown="1" sqref="S3 S17">
      <formula1>IF(COUNTA(filter($E26:$W26,ARRAYFORMULA(ISERROR(FIND(join(",",filter(split($H$83,","),ARRAYFORMULA(ISERROR(FIND(split($H$83,","),S3)))=FALSE)),$E26:$W26))=FALSE)))&gt;1,FALSE,TRUE)</formula1>
    </dataValidation>
    <dataValidation type="custom" allowBlank="1" showDropDown="1" sqref="F28 E30">
      <formula1>IF(COUNTA(filter($E31:$W31,ARRAYFORMULA(ISERROR(FIND(join(",",filter(split($H$83,","),ARRAYFORMULA(ISERROR(FIND(split($H$83,","),E28)))=FALSE)),$E31:$W31))=FALSE)))&gt;1,FALSE,TRUE)</formula1>
    </dataValidation>
    <dataValidation type="custom" allowBlank="1" showDropDown="1" sqref="P26 P28 S29:S30 S32 R47:R48 T51:V52 P57">
      <formula1>IF(COUNTA(filter($E25:$W25,ARRAYFORMULA(ISERROR(FIND(join(",",filter(split($H$83,","),ARRAYFORMULA(ISERROR(FIND(split($H$83,","),P26)))=FALSE)),$E25:$W25))=FALSE)))&gt;1,FALSE,TRUE)</formula1>
    </dataValidation>
    <dataValidation type="custom" allowBlank="1" showDropDown="1" sqref="P13:P16 G27:G28 L27:L28 J30 N31:N32 J35:K35 E35:E36 J36 N35:N36 T39:T40 E41:E42 P41:P42 L46 R46 J46:J47 T47:T48 K48:K49 P50:P51 E50:E52">
      <formula1>IF(COUNTA(filter(#REF!,ARRAYFORMULA(ISERROR(FIND(join(",",filter(split($H$83,","),ARRAYFORMULA(ISERROR(FIND(split($H$83,","),E13)))=FALSE)),#REF!))=FALSE)))&gt;1,FALSE,TRUE)</formula1>
    </dataValidation>
    <dataValidation type="custom" allowBlank="1" showDropDown="1" sqref="T46">
      <formula1>IF(COUNTA(filter($E52:$W52,ARRAYFORMULA(ISERROR(FIND(join(",",filter(split($H$83,","),ARRAYFORMULA(ISERROR(FIND(split($H$83,","),T46)))=FALSE)),$E52:$W52))=FALSE)))&gt;1,FALSE,TRUE)</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6.7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18">
        <v>45005.0</v>
      </c>
      <c r="B2" s="19">
        <v>1.0</v>
      </c>
      <c r="C2" s="20" t="s">
        <v>12</v>
      </c>
      <c r="D2" s="20" t="s">
        <v>13</v>
      </c>
      <c r="E2" s="21" t="s">
        <v>9440</v>
      </c>
      <c r="F2" s="22"/>
      <c r="G2" s="23" t="s">
        <v>9441</v>
      </c>
      <c r="H2" s="24"/>
      <c r="I2" s="25"/>
      <c r="J2" s="21" t="s">
        <v>9442</v>
      </c>
      <c r="K2" s="24"/>
      <c r="L2" s="24"/>
      <c r="M2" s="25"/>
      <c r="N2" s="21" t="s">
        <v>9443</v>
      </c>
      <c r="O2" s="25"/>
      <c r="P2" s="21"/>
      <c r="Q2" s="25"/>
      <c r="R2" s="21" t="s">
        <v>9444</v>
      </c>
      <c r="S2" s="25"/>
      <c r="T2" s="21" t="s">
        <v>9445</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9446</v>
      </c>
      <c r="F3" s="34" t="s">
        <v>9447</v>
      </c>
      <c r="G3" s="35" t="s">
        <v>25</v>
      </c>
      <c r="H3" s="36"/>
      <c r="I3" s="13"/>
      <c r="J3" s="37" t="s">
        <v>9448</v>
      </c>
      <c r="K3" s="13"/>
      <c r="L3" s="38" t="s">
        <v>9449</v>
      </c>
      <c r="M3" s="13"/>
      <c r="N3" s="37" t="s">
        <v>9450</v>
      </c>
      <c r="O3" s="13"/>
      <c r="P3" s="37"/>
      <c r="Q3" s="13"/>
      <c r="R3" s="39" t="s">
        <v>9451</v>
      </c>
      <c r="S3" s="40" t="s">
        <v>9452</v>
      </c>
      <c r="T3" s="37" t="s">
        <v>32</v>
      </c>
      <c r="U3" s="36"/>
      <c r="V3" s="41"/>
      <c r="W3" s="26"/>
      <c r="X3" s="42" t="s">
        <v>21</v>
      </c>
      <c r="Y3" s="42" t="s">
        <v>22</v>
      </c>
      <c r="Z3" s="28"/>
      <c r="AA3" s="14"/>
      <c r="AB3" s="15" t="str">
        <f>IFERROR(__xludf.DUMMYFUNCTION("join("","",filter(split($H$84,"",""),ARRAYFORMULA(ISERROR(FIND(split($H$84,"",""),CONCATENATE(E3:V3))))=TRUE))"),"СЗ,404,405,406,410,АЗ")</f>
        <v>СЗ,404,405,406,410,АЗ</v>
      </c>
      <c r="AC3" s="14"/>
      <c r="AD3" s="14"/>
      <c r="AE3" s="14"/>
      <c r="AF3" s="29"/>
      <c r="AG3" s="29"/>
      <c r="AH3" s="29"/>
    </row>
    <row r="4" ht="40.5" hidden="1" customHeight="1">
      <c r="A4" s="30"/>
      <c r="B4" s="31">
        <v>3.0</v>
      </c>
      <c r="C4" s="32" t="s">
        <v>33</v>
      </c>
      <c r="D4" s="32" t="s">
        <v>34</v>
      </c>
      <c r="E4" s="33" t="s">
        <v>9453</v>
      </c>
      <c r="F4" s="39" t="s">
        <v>9454</v>
      </c>
      <c r="G4" s="43" t="s">
        <v>9455</v>
      </c>
      <c r="H4" s="44" t="s">
        <v>9456</v>
      </c>
      <c r="I4" s="45" t="s">
        <v>9457</v>
      </c>
      <c r="J4" s="46" t="s">
        <v>9458</v>
      </c>
      <c r="K4" s="13"/>
      <c r="L4" s="45" t="s">
        <v>9459</v>
      </c>
      <c r="M4" s="13"/>
      <c r="N4" s="37" t="s">
        <v>9460</v>
      </c>
      <c r="O4" s="13"/>
      <c r="P4" s="37"/>
      <c r="Q4" s="13"/>
      <c r="R4" s="39" t="s">
        <v>9461</v>
      </c>
      <c r="S4" s="40" t="s">
        <v>9462</v>
      </c>
      <c r="T4" s="37" t="s">
        <v>46</v>
      </c>
      <c r="U4" s="36"/>
      <c r="V4" s="41"/>
      <c r="W4" s="26"/>
      <c r="X4" s="42" t="s">
        <v>33</v>
      </c>
      <c r="Y4" s="42" t="s">
        <v>34</v>
      </c>
      <c r="Z4" s="48" t="s">
        <v>47</v>
      </c>
      <c r="AA4" s="14"/>
      <c r="AB4" s="15" t="str">
        <f>IFERROR(__xludf.DUMMYFUNCTION("join("","",filter(split($H$84,"",""),ARRAYFORMULA(ISERROR(FIND(split($H$84,"",""),CONCATENATE(E4:V4))))=TRUE))"),"СЗ,КЗ,202,402,404,406")</f>
        <v>СЗ,КЗ,202,402,404,406</v>
      </c>
      <c r="AC4" s="14"/>
      <c r="AD4" s="14"/>
      <c r="AE4" s="14"/>
      <c r="AF4" s="29"/>
      <c r="AG4" s="29"/>
      <c r="AH4" s="29"/>
    </row>
    <row r="5" ht="40.5" hidden="1" customHeight="1">
      <c r="A5" s="30"/>
      <c r="B5" s="31">
        <v>4.0</v>
      </c>
      <c r="C5" s="32" t="s">
        <v>48</v>
      </c>
      <c r="D5" s="32" t="s">
        <v>49</v>
      </c>
      <c r="E5" s="33" t="s">
        <v>9463</v>
      </c>
      <c r="F5" s="39" t="s">
        <v>9464</v>
      </c>
      <c r="G5" s="43" t="s">
        <v>9465</v>
      </c>
      <c r="H5" s="45" t="s">
        <v>9466</v>
      </c>
      <c r="I5" s="13"/>
      <c r="J5" s="33" t="s">
        <v>9467</v>
      </c>
      <c r="K5" s="44" t="s">
        <v>9468</v>
      </c>
      <c r="L5" s="44" t="s">
        <v>9469</v>
      </c>
      <c r="M5" s="45" t="s">
        <v>9470</v>
      </c>
      <c r="N5" s="37" t="s">
        <v>9460</v>
      </c>
      <c r="O5" s="13"/>
      <c r="P5" s="37" t="s">
        <v>9471</v>
      </c>
      <c r="Q5" s="13"/>
      <c r="R5" s="51" t="s">
        <v>9472</v>
      </c>
      <c r="S5" s="13"/>
      <c r="T5" s="52" t="s">
        <v>9473</v>
      </c>
      <c r="U5" s="36"/>
      <c r="V5" s="41"/>
      <c r="W5" s="26"/>
      <c r="X5" s="42" t="s">
        <v>48</v>
      </c>
      <c r="Y5" s="42" t="s">
        <v>49</v>
      </c>
      <c r="Z5" s="48" t="s">
        <v>57</v>
      </c>
      <c r="AA5" s="14"/>
      <c r="AB5" s="15" t="str">
        <f>IFERROR(__xludf.DUMMYFUNCTION("join("","",filter(split($H$84,"",""),ARRAYFORMULA(ISERROR(FIND(split($H$84,"",""),CONCATENATE(E5:V5))))=TRUE))"),"СЗ,КЗ,202,206,406")</f>
        <v>СЗ,КЗ,202,206,406</v>
      </c>
      <c r="AC5" s="14"/>
      <c r="AD5" s="14"/>
      <c r="AE5" s="14"/>
      <c r="AF5" s="29"/>
      <c r="AG5" s="29"/>
      <c r="AH5" s="29"/>
    </row>
    <row r="6" ht="40.5" hidden="1" customHeight="1">
      <c r="A6" s="30"/>
      <c r="B6" s="31">
        <v>5.0</v>
      </c>
      <c r="C6" s="32" t="s">
        <v>58</v>
      </c>
      <c r="D6" s="53">
        <v>44847.0</v>
      </c>
      <c r="E6" s="39" t="s">
        <v>9474</v>
      </c>
      <c r="F6" s="34" t="s">
        <v>9475</v>
      </c>
      <c r="G6" s="43" t="s">
        <v>9476</v>
      </c>
      <c r="H6" s="45" t="s">
        <v>9477</v>
      </c>
      <c r="I6" s="13"/>
      <c r="J6" s="33" t="s">
        <v>9478</v>
      </c>
      <c r="K6" s="44" t="s">
        <v>64</v>
      </c>
      <c r="L6" s="44" t="s">
        <v>9479</v>
      </c>
      <c r="M6" s="45" t="s">
        <v>9480</v>
      </c>
      <c r="N6" s="37" t="s">
        <v>9460</v>
      </c>
      <c r="O6" s="13"/>
      <c r="P6" s="37" t="s">
        <v>9481</v>
      </c>
      <c r="Q6" s="13"/>
      <c r="R6" s="51" t="s">
        <v>9482</v>
      </c>
      <c r="S6" s="13"/>
      <c r="T6" s="52" t="s">
        <v>9483</v>
      </c>
      <c r="U6" s="36"/>
      <c r="V6" s="41"/>
      <c r="W6" s="26"/>
      <c r="X6" s="42" t="s">
        <v>58</v>
      </c>
      <c r="Y6" s="54">
        <v>44847.0</v>
      </c>
      <c r="Z6" s="48" t="s">
        <v>70</v>
      </c>
      <c r="AA6" s="14"/>
      <c r="AB6" s="15" t="str">
        <f>IFERROR(__xludf.DUMMYFUNCTION("join("","",filter(split($H$84,"",""),ARRAYFORMULA(ISERROR(FIND(split($H$84,"",""),CONCATENATE(E6:V6))))=TRUE))"),"СЗ,КЗ,202,206,406")</f>
        <v>СЗ,КЗ,202,206,406</v>
      </c>
      <c r="AC6" s="14"/>
      <c r="AD6" s="14"/>
      <c r="AE6" s="14"/>
      <c r="AF6" s="29"/>
      <c r="AG6" s="29"/>
      <c r="AH6" s="29"/>
    </row>
    <row r="7" ht="42.0" hidden="1" customHeight="1">
      <c r="A7" s="30"/>
      <c r="B7" s="31">
        <v>6.0</v>
      </c>
      <c r="C7" s="55" t="s">
        <v>71</v>
      </c>
      <c r="D7" s="56" t="s">
        <v>72</v>
      </c>
      <c r="E7" s="39" t="s">
        <v>9484</v>
      </c>
      <c r="F7" s="34" t="s">
        <v>9485</v>
      </c>
      <c r="G7" s="43" t="s">
        <v>9486</v>
      </c>
      <c r="H7" s="45" t="s">
        <v>9487</v>
      </c>
      <c r="I7" s="13"/>
      <c r="J7" s="37" t="s">
        <v>9488</v>
      </c>
      <c r="K7" s="36"/>
      <c r="L7" s="36"/>
      <c r="M7" s="13"/>
      <c r="N7" s="37" t="s">
        <v>9489</v>
      </c>
      <c r="O7" s="13"/>
      <c r="P7" s="37" t="s">
        <v>9490</v>
      </c>
      <c r="Q7" s="13"/>
      <c r="R7" s="57" t="s">
        <v>9491</v>
      </c>
      <c r="T7" s="33" t="s">
        <v>9492</v>
      </c>
      <c r="U7" s="45" t="s">
        <v>9493</v>
      </c>
      <c r="V7" s="41"/>
      <c r="W7" s="26"/>
      <c r="X7" s="58" t="s">
        <v>71</v>
      </c>
      <c r="Y7" s="59" t="s">
        <v>72</v>
      </c>
      <c r="Z7" s="48" t="s">
        <v>84</v>
      </c>
      <c r="AA7" s="14"/>
      <c r="AB7" s="15" t="str">
        <f>IFERROR(__xludf.DUMMYFUNCTION("join("","",filter(split($H$84,"",""),ARRAYFORMULA(ISERROR(FIND(split($H$84,"",""),CONCATENATE(E7:V7))))=TRUE))"),"СЗ,202,206,402,403,406,АЗ")</f>
        <v>СЗ,202,206,402,403,406,АЗ</v>
      </c>
      <c r="AC7" s="14"/>
      <c r="AD7" s="14"/>
      <c r="AE7" s="14"/>
      <c r="AF7" s="29"/>
      <c r="AG7" s="29"/>
      <c r="AH7" s="29"/>
    </row>
    <row r="8" ht="42.0" hidden="1" customHeight="1">
      <c r="A8" s="30"/>
      <c r="B8" s="31">
        <v>7.0</v>
      </c>
      <c r="C8" s="32" t="s">
        <v>85</v>
      </c>
      <c r="D8" s="32" t="s">
        <v>86</v>
      </c>
      <c r="E8" s="746" t="s">
        <v>9494</v>
      </c>
      <c r="F8" s="41"/>
      <c r="G8" s="43" t="s">
        <v>9495</v>
      </c>
      <c r="H8" s="45" t="s">
        <v>9496</v>
      </c>
      <c r="I8" s="13"/>
      <c r="J8" s="37" t="s">
        <v>9497</v>
      </c>
      <c r="K8" s="36"/>
      <c r="L8" s="36"/>
      <c r="M8" s="13"/>
      <c r="N8" s="37" t="s">
        <v>9498</v>
      </c>
      <c r="O8" s="13"/>
      <c r="P8" s="37" t="s">
        <v>9499</v>
      </c>
      <c r="Q8" s="13"/>
      <c r="R8" s="37" t="s">
        <v>9500</v>
      </c>
      <c r="S8" s="13"/>
      <c r="T8" s="43" t="s">
        <v>9501</v>
      </c>
      <c r="U8" s="45" t="s">
        <v>9502</v>
      </c>
      <c r="V8" s="41"/>
      <c r="W8" s="26"/>
      <c r="X8" s="42" t="s">
        <v>85</v>
      </c>
      <c r="Y8" s="42" t="s">
        <v>86</v>
      </c>
      <c r="Z8" s="48" t="s">
        <v>97</v>
      </c>
      <c r="AA8" s="14"/>
      <c r="AB8" s="15" t="str">
        <f>IFERROR(__xludf.DUMMYFUNCTION("join("","",filter(split($H$84,"",""),ARRAYFORMULA(ISERROR(FIND(split($H$84,"",""),CONCATENATE(E8:V8))))=TRUE))"),"СЗ,202,206,402,403,406,408,410")</f>
        <v>СЗ,202,206,402,403,406,408,410</v>
      </c>
      <c r="AC8" s="14"/>
      <c r="AD8" s="14"/>
      <c r="AE8" s="14"/>
      <c r="AF8" s="29"/>
      <c r="AG8" s="29"/>
      <c r="AH8" s="29"/>
    </row>
    <row r="9" ht="40.5" hidden="1" customHeight="1">
      <c r="A9" s="30"/>
      <c r="B9" s="31">
        <v>8.0</v>
      </c>
      <c r="C9" s="32" t="s">
        <v>98</v>
      </c>
      <c r="D9" s="32" t="s">
        <v>99</v>
      </c>
      <c r="E9" s="832" t="s">
        <v>9503</v>
      </c>
      <c r="F9" s="41"/>
      <c r="G9" s="43" t="s">
        <v>9504</v>
      </c>
      <c r="H9" s="45" t="s">
        <v>9505</v>
      </c>
      <c r="I9" s="13"/>
      <c r="J9" s="832" t="s">
        <v>9503</v>
      </c>
      <c r="K9" s="36"/>
      <c r="L9" s="36"/>
      <c r="M9" s="41"/>
      <c r="N9" s="61" t="s">
        <v>9506</v>
      </c>
      <c r="O9" s="13"/>
      <c r="P9" s="62" t="s">
        <v>9507</v>
      </c>
      <c r="Q9" s="45" t="s">
        <v>9508</v>
      </c>
      <c r="R9" s="63" t="s">
        <v>108</v>
      </c>
      <c r="S9" s="64"/>
      <c r="T9" s="64"/>
      <c r="U9" s="64"/>
      <c r="V9" s="64"/>
      <c r="W9" s="26"/>
      <c r="X9" s="42" t="s">
        <v>98</v>
      </c>
      <c r="Y9" s="42" t="s">
        <v>99</v>
      </c>
      <c r="Z9" s="11"/>
      <c r="AA9" s="14"/>
      <c r="AB9" s="15" t="str">
        <f>IFERROR(__xludf.DUMMYFUNCTION("join("","",filter(split($H$84,"",""),ARRAYFORMULA(ISERROR(FIND(split($H$84,"",""),CONCATENATE(E9:V9))))=TRUE))"),"СЗ,КЗ,206,402,403,405,406,408,409,410")</f>
        <v>СЗ,КЗ,206,402,403,405,406,408,409,410</v>
      </c>
      <c r="AC9" s="14"/>
      <c r="AD9" s="14"/>
      <c r="AE9" s="14"/>
      <c r="AF9" s="29"/>
      <c r="AG9" s="29"/>
      <c r="AH9" s="29"/>
    </row>
    <row r="10" ht="75.75" hidden="1" customHeight="1">
      <c r="A10" s="30"/>
      <c r="B10" s="31">
        <v>9.0</v>
      </c>
      <c r="C10" s="65">
        <v>44697.0</v>
      </c>
      <c r="D10" s="44" t="s">
        <v>109</v>
      </c>
      <c r="E10" s="66" t="s">
        <v>9509</v>
      </c>
      <c r="F10" s="67"/>
      <c r="G10" s="43" t="s">
        <v>9510</v>
      </c>
      <c r="H10" s="45" t="s">
        <v>9511</v>
      </c>
      <c r="I10" s="13"/>
      <c r="J10" s="37"/>
      <c r="K10" s="13"/>
      <c r="L10" s="45"/>
      <c r="M10" s="13"/>
      <c r="N10" s="61" t="s">
        <v>9512</v>
      </c>
      <c r="O10" s="13"/>
      <c r="P10" s="62" t="s">
        <v>9513</v>
      </c>
      <c r="Q10" s="68" t="s">
        <v>117</v>
      </c>
      <c r="R10" s="37" t="s">
        <v>9514</v>
      </c>
      <c r="S10" s="68" t="s">
        <v>9515</v>
      </c>
      <c r="T10" s="36"/>
      <c r="U10" s="36"/>
      <c r="V10" s="41"/>
      <c r="W10" s="26"/>
      <c r="X10" s="69">
        <v>44697.0</v>
      </c>
      <c r="Y10" s="70" t="s">
        <v>109</v>
      </c>
      <c r="Z10" s="28"/>
      <c r="AA10" s="14"/>
      <c r="AB10" s="15" t="str">
        <f>IFERROR(__xludf.DUMMYFUNCTION("join("","",filter(split($H$84,"",""),ARRAYFORMULA(ISERROR(FIND(split($H$84,"",""),CONCATENATE(E10:V10))))=TRUE))"),"СЗ,КЗ,206,210,402,403,405,406,408,АЗ")</f>
        <v>СЗ,КЗ,206,210,402,403,405,406,408,АЗ</v>
      </c>
      <c r="AC10" s="14"/>
      <c r="AD10" s="14"/>
      <c r="AE10" s="14"/>
      <c r="AF10" s="29"/>
      <c r="AG10" s="29"/>
      <c r="AH10" s="29"/>
    </row>
    <row r="11" ht="49.5" hidden="1" customHeight="1">
      <c r="A11" s="30"/>
      <c r="B11" s="31">
        <v>10.0</v>
      </c>
      <c r="C11" s="44" t="s">
        <v>120</v>
      </c>
      <c r="D11" s="44" t="s">
        <v>121</v>
      </c>
      <c r="E11" s="71" t="s">
        <v>9516</v>
      </c>
      <c r="F11" s="64"/>
      <c r="G11" s="64"/>
      <c r="H11" s="64"/>
      <c r="I11" s="64"/>
      <c r="J11" s="64"/>
      <c r="K11" s="64"/>
      <c r="L11" s="64"/>
      <c r="M11" s="64"/>
      <c r="N11" s="64"/>
      <c r="O11" s="64"/>
      <c r="P11" s="64"/>
      <c r="Q11" s="64"/>
      <c r="R11" s="64"/>
      <c r="S11" s="72"/>
      <c r="T11" s="73" t="s">
        <v>9517</v>
      </c>
      <c r="U11" s="36"/>
      <c r="V11" s="41"/>
      <c r="W11" s="26"/>
      <c r="X11" s="70" t="s">
        <v>120</v>
      </c>
      <c r="Y11" s="70" t="s">
        <v>121</v>
      </c>
      <c r="Z11" s="28"/>
      <c r="AA11" s="14"/>
      <c r="AB11" s="15" t="str">
        <f>IFERROR(__xludf.DUMMYFUNCTION("join("","",filter(split($H$84,"",""),ARRAYFORMULA(ISERROR(FIND(split($H$84,"",""),CONCATENATE(F11:V11))))=TRUE))"),"СЗ,КЗ,201,202,206,209,210,401,402,403,404,405,406,408,409,410")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IFERROR(__xludf.DUMMYFUNCTION("join("","",filter(split($H$84,"",""),ARRAYFORMULA(ISERROR(FIND(split($H$84,"",""),CONCATENATE(E12:V12))))=TRUE))"),"СЗ,КЗ,201,202,206,209,210,401,402,403,404,405,406,408,409,410,АЗ")</f>
        <v>СЗ,КЗ,201,202,206,209,210,401,402,403,404,405,406,408,409,410,АЗ</v>
      </c>
      <c r="AC12" s="14"/>
      <c r="AD12" s="14"/>
      <c r="AE12" s="14"/>
      <c r="AF12" s="29"/>
      <c r="AG12" s="29"/>
      <c r="AH12" s="29"/>
    </row>
    <row r="13" ht="40.5" hidden="1" customHeight="1">
      <c r="A13" s="18">
        <v>45006.0</v>
      </c>
      <c r="B13" s="19">
        <v>1.0</v>
      </c>
      <c r="C13" s="20" t="s">
        <v>12</v>
      </c>
      <c r="D13" s="20" t="s">
        <v>13</v>
      </c>
      <c r="E13" s="80" t="s">
        <v>9518</v>
      </c>
      <c r="F13" s="25"/>
      <c r="G13" s="81" t="s">
        <v>9519</v>
      </c>
      <c r="H13" s="80" t="s">
        <v>9520</v>
      </c>
      <c r="I13" s="22"/>
      <c r="J13" s="23" t="s">
        <v>9521</v>
      </c>
      <c r="K13" s="25"/>
      <c r="L13" s="80" t="s">
        <v>9522</v>
      </c>
      <c r="M13" s="25"/>
      <c r="N13" s="82" t="s">
        <v>9523</v>
      </c>
      <c r="O13" s="25"/>
      <c r="P13" s="21" t="s">
        <v>9524</v>
      </c>
      <c r="Q13" s="22"/>
      <c r="R13" s="23" t="s">
        <v>9525</v>
      </c>
      <c r="S13" s="22"/>
      <c r="T13" s="84" t="s">
        <v>9526</v>
      </c>
      <c r="U13" s="80" t="s">
        <v>9527</v>
      </c>
      <c r="V13" s="22"/>
      <c r="W13" s="26"/>
      <c r="X13" s="27" t="s">
        <v>12</v>
      </c>
      <c r="Y13" s="27" t="s">
        <v>13</v>
      </c>
      <c r="Z13" s="28"/>
      <c r="AA13" s="85"/>
      <c r="AB13" s="15" t="str">
        <f>IFERROR(__xludf.DUMMYFUNCTION("join("","",filter(split($H$84,"",""),ARRAYFORMULA(ISERROR(FIND(split($H$84,"",""),CONCATENATE(E13:V13))))=TRUE))"),"СЗ,КЗ,202,206,403,410,АЗ")</f>
        <v>СЗ,КЗ,202,206,403,410,АЗ</v>
      </c>
      <c r="AC13" s="14"/>
      <c r="AD13" s="14"/>
      <c r="AE13" s="14"/>
      <c r="AF13" s="29"/>
      <c r="AG13" s="29"/>
      <c r="AH13" s="29"/>
    </row>
    <row r="14" ht="40.5" hidden="1" customHeight="1">
      <c r="A14" s="30"/>
      <c r="B14" s="31">
        <v>2.0</v>
      </c>
      <c r="C14" s="32" t="s">
        <v>21</v>
      </c>
      <c r="D14" s="32" t="s">
        <v>22</v>
      </c>
      <c r="E14" s="45" t="s">
        <v>9528</v>
      </c>
      <c r="F14" s="13"/>
      <c r="G14" s="46" t="s">
        <v>9529</v>
      </c>
      <c r="H14" s="86" t="s">
        <v>9530</v>
      </c>
      <c r="I14" s="41"/>
      <c r="J14" s="35" t="s">
        <v>9531</v>
      </c>
      <c r="K14" s="13"/>
      <c r="L14" s="45" t="s">
        <v>9532</v>
      </c>
      <c r="M14" s="13"/>
      <c r="N14" s="87" t="s">
        <v>9533</v>
      </c>
      <c r="O14" s="13"/>
      <c r="P14" s="833" t="s">
        <v>9534</v>
      </c>
      <c r="Q14" s="41"/>
      <c r="R14" s="35" t="s">
        <v>9535</v>
      </c>
      <c r="S14" s="41"/>
      <c r="T14" s="43" t="s">
        <v>9536</v>
      </c>
      <c r="U14" s="45" t="s">
        <v>9537</v>
      </c>
      <c r="V14" s="41"/>
      <c r="W14" s="26"/>
      <c r="X14" s="42" t="s">
        <v>21</v>
      </c>
      <c r="Y14" s="42" t="s">
        <v>22</v>
      </c>
      <c r="Z14" s="28"/>
      <c r="AA14" s="85"/>
      <c r="AB14" s="15" t="str">
        <f>IFERROR(__xludf.DUMMYFUNCTION("join("","",filter(split($H$84,"",""),ARRAYFORMULA(ISERROR(FIND(split($H$84,"",""),CONCATENATE(E14:V14))))=TRUE))"),"СЗ,КЗ,202,206,403,410,АЗ")</f>
        <v>СЗ,КЗ,202,206,403,410,АЗ</v>
      </c>
      <c r="AC14" s="14"/>
      <c r="AD14" s="14"/>
      <c r="AE14" s="14"/>
      <c r="AF14" s="29"/>
      <c r="AG14" s="29"/>
      <c r="AH14" s="29"/>
    </row>
    <row r="15" ht="40.5" hidden="1" customHeight="1">
      <c r="A15" s="30"/>
      <c r="B15" s="31">
        <v>3.0</v>
      </c>
      <c r="C15" s="32" t="s">
        <v>33</v>
      </c>
      <c r="D15" s="32" t="s">
        <v>34</v>
      </c>
      <c r="E15" s="40" t="s">
        <v>9538</v>
      </c>
      <c r="F15" s="13"/>
      <c r="G15" s="37" t="s">
        <v>9539</v>
      </c>
      <c r="H15" s="36"/>
      <c r="I15" s="41"/>
      <c r="J15" s="35" t="s">
        <v>9540</v>
      </c>
      <c r="K15" s="13"/>
      <c r="L15" s="45" t="s">
        <v>9541</v>
      </c>
      <c r="M15" s="13"/>
      <c r="N15" s="89" t="s">
        <v>9542</v>
      </c>
      <c r="O15" s="13"/>
      <c r="P15" s="37" t="s">
        <v>9543</v>
      </c>
      <c r="Q15" s="90" t="s">
        <v>9544</v>
      </c>
      <c r="R15" s="43" t="s">
        <v>9545</v>
      </c>
      <c r="S15" s="34" t="s">
        <v>9546</v>
      </c>
      <c r="T15" s="91" t="s">
        <v>9547</v>
      </c>
      <c r="U15" s="36"/>
      <c r="V15" s="41"/>
      <c r="W15" s="26"/>
      <c r="X15" s="42" t="s">
        <v>33</v>
      </c>
      <c r="Y15" s="42" t="s">
        <v>34</v>
      </c>
      <c r="Z15" s="48" t="s">
        <v>47</v>
      </c>
      <c r="AA15" s="85" t="str">
        <f>AA$5</f>
        <v/>
      </c>
      <c r="AB15" s="15" t="str">
        <f>IFERROR(__xludf.DUMMYFUNCTION("join("","",filter(split($H$84,"",""),ARRAYFORMULA(ISERROR(FIND(split($H$84,"",""),CONCATENATE(E15:V15))))=TRUE))"),"КЗ,201,206,403,406,408,410,АЗ")</f>
        <v>КЗ,201,206,403,406,408,410,АЗ</v>
      </c>
      <c r="AC15" s="14"/>
      <c r="AD15" s="14"/>
      <c r="AE15" s="14"/>
      <c r="AF15" s="29"/>
      <c r="AG15" s="29"/>
      <c r="AH15" s="29"/>
    </row>
    <row r="16" ht="40.5" hidden="1" customHeight="1">
      <c r="A16" s="30"/>
      <c r="B16" s="31">
        <v>4.0</v>
      </c>
      <c r="C16" s="32" t="s">
        <v>48</v>
      </c>
      <c r="D16" s="32" t="s">
        <v>49</v>
      </c>
      <c r="E16" s="40" t="s">
        <v>9548</v>
      </c>
      <c r="F16" s="13"/>
      <c r="G16" s="37" t="s">
        <v>9549</v>
      </c>
      <c r="H16" s="36"/>
      <c r="I16" s="41"/>
      <c r="J16" s="35" t="s">
        <v>9550</v>
      </c>
      <c r="K16" s="13"/>
      <c r="L16" s="45" t="s">
        <v>9551</v>
      </c>
      <c r="M16" s="13"/>
      <c r="N16" s="89" t="s">
        <v>9552</v>
      </c>
      <c r="O16" s="13"/>
      <c r="P16" s="37" t="s">
        <v>160</v>
      </c>
      <c r="Q16" s="90" t="s">
        <v>161</v>
      </c>
      <c r="R16" s="43" t="s">
        <v>9553</v>
      </c>
      <c r="S16" s="34" t="s">
        <v>9554</v>
      </c>
      <c r="T16" s="91" t="s">
        <v>9555</v>
      </c>
      <c r="U16" s="36"/>
      <c r="V16" s="41"/>
      <c r="W16" s="26"/>
      <c r="X16" s="42" t="s">
        <v>48</v>
      </c>
      <c r="Y16" s="42" t="s">
        <v>49</v>
      </c>
      <c r="Z16" s="48" t="s">
        <v>57</v>
      </c>
      <c r="AA16" s="85" t="str">
        <f>AA$6</f>
        <v/>
      </c>
      <c r="AB16" s="15" t="str">
        <f>IFERROR(__xludf.DUMMYFUNCTION("join("","",filter(split($H$84,"",""),ARRAYFORMULA(ISERROR(FIND(split($H$84,"",""),CONCATENATE(E16:V16))))=TRUE))"),"КЗ,201,206,403,406,408,410,АЗ")</f>
        <v>КЗ,201,206,403,406,408,410,АЗ</v>
      </c>
      <c r="AC16" s="14"/>
      <c r="AD16" s="14"/>
      <c r="AE16" s="14"/>
      <c r="AF16" s="29"/>
      <c r="AG16" s="29"/>
      <c r="AH16" s="29"/>
    </row>
    <row r="17" ht="40.5" hidden="1" customHeight="1">
      <c r="A17" s="30"/>
      <c r="B17" s="31">
        <v>5.0</v>
      </c>
      <c r="C17" s="32" t="s">
        <v>58</v>
      </c>
      <c r="D17" s="53">
        <v>44847.0</v>
      </c>
      <c r="E17" s="45" t="s">
        <v>9556</v>
      </c>
      <c r="F17" s="13"/>
      <c r="G17" s="33" t="s">
        <v>9557</v>
      </c>
      <c r="H17" s="45" t="s">
        <v>9558</v>
      </c>
      <c r="I17" s="41"/>
      <c r="J17" s="35" t="s">
        <v>9559</v>
      </c>
      <c r="K17" s="13"/>
      <c r="L17" s="40" t="s">
        <v>9560</v>
      </c>
      <c r="M17" s="13"/>
      <c r="N17" s="45" t="s">
        <v>9561</v>
      </c>
      <c r="O17" s="13"/>
      <c r="P17" s="33" t="s">
        <v>9562</v>
      </c>
      <c r="Q17" s="34" t="s">
        <v>9563</v>
      </c>
      <c r="R17" s="90" t="s">
        <v>9564</v>
      </c>
      <c r="S17" s="92" t="s">
        <v>9565</v>
      </c>
      <c r="T17" s="93" t="s">
        <v>9566</v>
      </c>
      <c r="U17" s="36"/>
      <c r="V17" s="41"/>
      <c r="W17" s="26"/>
      <c r="X17" s="42" t="s">
        <v>58</v>
      </c>
      <c r="Y17" s="54">
        <v>44847.0</v>
      </c>
      <c r="Z17" s="48" t="s">
        <v>70</v>
      </c>
      <c r="AA17" s="85" t="str">
        <f>AA$7</f>
        <v/>
      </c>
      <c r="AB17" s="15" t="str">
        <f>IFERROR(__xludf.DUMMYFUNCTION("join("","",filter(split($H$84,"",""),ARRAYFORMULA(ISERROR(FIND(split($H$84,"",""),CONCATENATE(E17:V17))))=TRUE))"),"СЗ,202,206,403,408,410,АЗ")</f>
        <v>СЗ,202,206,403,408,410,АЗ</v>
      </c>
      <c r="AC17" s="14"/>
      <c r="AD17" s="14"/>
      <c r="AE17" s="14"/>
      <c r="AF17" s="29"/>
      <c r="AG17" s="29"/>
      <c r="AH17" s="29"/>
    </row>
    <row r="18" ht="40.5" hidden="1" customHeight="1">
      <c r="A18" s="30"/>
      <c r="B18" s="31">
        <v>6.0</v>
      </c>
      <c r="C18" s="55" t="s">
        <v>71</v>
      </c>
      <c r="D18" s="56" t="s">
        <v>72</v>
      </c>
      <c r="E18" s="45" t="s">
        <v>9567</v>
      </c>
      <c r="F18" s="13"/>
      <c r="G18" s="33" t="s">
        <v>9568</v>
      </c>
      <c r="H18" s="45" t="s">
        <v>9569</v>
      </c>
      <c r="I18" s="41"/>
      <c r="J18" s="35" t="s">
        <v>9570</v>
      </c>
      <c r="K18" s="13"/>
      <c r="L18" s="40" t="s">
        <v>9571</v>
      </c>
      <c r="M18" s="13"/>
      <c r="N18" s="45" t="s">
        <v>9572</v>
      </c>
      <c r="O18" s="13"/>
      <c r="P18" s="33" t="s">
        <v>9573</v>
      </c>
      <c r="Q18" s="34" t="s">
        <v>9574</v>
      </c>
      <c r="R18" s="90" t="s">
        <v>161</v>
      </c>
      <c r="S18" s="92" t="s">
        <v>9575</v>
      </c>
      <c r="T18" s="93" t="s">
        <v>9576</v>
      </c>
      <c r="U18" s="36"/>
      <c r="V18" s="41"/>
      <c r="W18" s="26"/>
      <c r="X18" s="58" t="s">
        <v>71</v>
      </c>
      <c r="Y18" s="59" t="s">
        <v>72</v>
      </c>
      <c r="Z18" s="48" t="s">
        <v>84</v>
      </c>
      <c r="AA18" s="85" t="str">
        <f>AA$8</f>
        <v/>
      </c>
      <c r="AB18" s="15" t="str">
        <f>IFERROR(__xludf.DUMMYFUNCTION("join("","",filter(split($H$84,"",""),ARRAYFORMULA(ISERROR(FIND(split($H$84,"",""),CONCATENATE(E18:V18))))=TRUE))"),"СЗ,202,206,403,408,410,АЗ")</f>
        <v>СЗ,202,206,403,408,410,АЗ</v>
      </c>
      <c r="AC18" s="14"/>
      <c r="AD18" s="14"/>
      <c r="AE18" s="14"/>
      <c r="AF18" s="29"/>
      <c r="AG18" s="29"/>
      <c r="AH18" s="29"/>
    </row>
    <row r="19" ht="40.5" hidden="1" customHeight="1">
      <c r="A19" s="30"/>
      <c r="B19" s="31">
        <v>7.0</v>
      </c>
      <c r="C19" s="32" t="s">
        <v>85</v>
      </c>
      <c r="D19" s="32" t="s">
        <v>86</v>
      </c>
      <c r="E19" s="94" t="s">
        <v>9577</v>
      </c>
      <c r="F19" s="13"/>
      <c r="G19" s="33" t="s">
        <v>9578</v>
      </c>
      <c r="H19" s="45" t="s">
        <v>9579</v>
      </c>
      <c r="I19" s="41"/>
      <c r="J19" s="95" t="s">
        <v>9580</v>
      </c>
      <c r="K19" s="13"/>
      <c r="L19" s="45" t="s">
        <v>9581</v>
      </c>
      <c r="M19" s="13"/>
      <c r="N19" s="45" t="s">
        <v>9582</v>
      </c>
      <c r="O19" s="13"/>
      <c r="P19" s="37" t="s">
        <v>9583</v>
      </c>
      <c r="Q19" s="41"/>
      <c r="R19" s="96" t="s">
        <v>9584</v>
      </c>
      <c r="S19" s="97" t="s">
        <v>9585</v>
      </c>
      <c r="T19" s="93" t="s">
        <v>9586</v>
      </c>
      <c r="U19" s="36"/>
      <c r="V19" s="41"/>
      <c r="W19" s="26"/>
      <c r="X19" s="42" t="s">
        <v>85</v>
      </c>
      <c r="Y19" s="42" t="s">
        <v>86</v>
      </c>
      <c r="Z19" s="48" t="s">
        <v>97</v>
      </c>
      <c r="AA19" s="85" t="str">
        <f>AA$9</f>
        <v/>
      </c>
      <c r="AB19" s="15" t="str">
        <f>IFERROR(__xludf.DUMMYFUNCTION("join("","",filter(split($H$84,"",""),ARRAYFORMULA(ISERROR(FIND(split($H$84,"",""),CONCATENATE(E19:V19))))=TRUE))"),"СЗ,206,403,404,405,410,АЗ")</f>
        <v>СЗ,206,403,404,405,410,АЗ</v>
      </c>
      <c r="AC19" s="14"/>
      <c r="AD19" s="14"/>
      <c r="AE19" s="14"/>
      <c r="AF19" s="29"/>
      <c r="AG19" s="29"/>
      <c r="AH19" s="29"/>
    </row>
    <row r="20" ht="40.5" hidden="1" customHeight="1">
      <c r="A20" s="30"/>
      <c r="B20" s="31">
        <v>8.0</v>
      </c>
      <c r="C20" s="32" t="s">
        <v>98</v>
      </c>
      <c r="D20" s="32" t="s">
        <v>99</v>
      </c>
      <c r="E20" s="94" t="s">
        <v>9587</v>
      </c>
      <c r="F20" s="13"/>
      <c r="G20" s="33" t="s">
        <v>9588</v>
      </c>
      <c r="H20" s="45" t="s">
        <v>9589</v>
      </c>
      <c r="I20" s="41"/>
      <c r="J20" s="95" t="s">
        <v>9590</v>
      </c>
      <c r="K20" s="13"/>
      <c r="L20" s="45" t="s">
        <v>9591</v>
      </c>
      <c r="M20" s="13"/>
      <c r="N20" s="45" t="s">
        <v>9592</v>
      </c>
      <c r="O20" s="13"/>
      <c r="P20" s="37" t="s">
        <v>9593</v>
      </c>
      <c r="Q20" s="41"/>
      <c r="R20" s="96" t="s">
        <v>9594</v>
      </c>
      <c r="S20" s="97" t="s">
        <v>9595</v>
      </c>
      <c r="T20" s="93" t="s">
        <v>9596</v>
      </c>
      <c r="U20" s="36"/>
      <c r="V20" s="41"/>
      <c r="W20" s="26"/>
      <c r="X20" s="42" t="s">
        <v>98</v>
      </c>
      <c r="Y20" s="42" t="s">
        <v>99</v>
      </c>
      <c r="Z20" s="11"/>
      <c r="AA20" s="98"/>
      <c r="AB20" s="15" t="str">
        <f>IFERROR(__xludf.DUMMYFUNCTION("join("","",filter(split($H$84,"",""),ARRAYFORMULA(ISERROR(FIND(split($H$84,"",""),CONCATENATE(E20:V20))))=TRUE))"),"СЗ,206,403,404,405,410,АЗ")</f>
        <v>СЗ,206,403,404,405,410,АЗ</v>
      </c>
      <c r="AC20" s="14"/>
      <c r="AD20" s="14"/>
      <c r="AE20" s="14"/>
      <c r="AF20" s="29"/>
      <c r="AG20" s="29"/>
      <c r="AH20" s="29"/>
    </row>
    <row r="21" ht="40.5" hidden="1" customHeight="1">
      <c r="A21" s="30"/>
      <c r="B21" s="31">
        <v>9.0</v>
      </c>
      <c r="C21" s="65">
        <v>44697.0</v>
      </c>
      <c r="D21" s="44" t="s">
        <v>109</v>
      </c>
      <c r="E21" s="99" t="s">
        <v>206</v>
      </c>
      <c r="F21" s="4"/>
      <c r="G21" s="100" t="s">
        <v>207</v>
      </c>
      <c r="H21" s="101" t="s">
        <v>208</v>
      </c>
      <c r="I21" s="36"/>
      <c r="J21" s="36"/>
      <c r="K21" s="36"/>
      <c r="L21" s="36"/>
      <c r="M21" s="13"/>
      <c r="N21" s="45" t="s">
        <v>9597</v>
      </c>
      <c r="O21" s="13"/>
      <c r="P21" s="102" t="s">
        <v>9598</v>
      </c>
      <c r="Q21" s="41"/>
      <c r="R21" s="35" t="s">
        <v>211</v>
      </c>
      <c r="S21" s="41"/>
      <c r="T21" s="103" t="s">
        <v>9599</v>
      </c>
      <c r="U21" s="36"/>
      <c r="V21" s="41"/>
      <c r="W21" s="26"/>
      <c r="X21" s="69">
        <v>44697.0</v>
      </c>
      <c r="Y21" s="70" t="s">
        <v>109</v>
      </c>
      <c r="Z21" s="28"/>
      <c r="AA21" s="98"/>
      <c r="AB21" s="15" t="str">
        <f>IFERROR(__xludf.DUMMYFUNCTION("join("","",filter(split($H$84,"",""),ARRAYFORMULA(ISERROR(FIND(split($H$84,"",""),CONCATENATE(E21:V21))))=TRUE))"),"201,206,210,401,403,404,405,406,408,АЗ")</f>
        <v>201,206,210,401,403,404,405,406,408,АЗ</v>
      </c>
      <c r="AC21" s="14"/>
      <c r="AD21" s="14"/>
      <c r="AE21" s="14"/>
      <c r="AF21" s="29"/>
      <c r="AG21" s="29"/>
      <c r="AH21" s="29"/>
    </row>
    <row r="22" ht="40.5" hidden="1" customHeight="1">
      <c r="A22" s="30"/>
      <c r="B22" s="31">
        <v>10.0</v>
      </c>
      <c r="C22" s="44" t="s">
        <v>120</v>
      </c>
      <c r="D22" s="44" t="s">
        <v>121</v>
      </c>
      <c r="E22" s="104"/>
      <c r="F22" s="72"/>
      <c r="G22" s="105"/>
      <c r="H22" s="106" t="s">
        <v>213</v>
      </c>
      <c r="I22" s="36"/>
      <c r="J22" s="36"/>
      <c r="K22" s="36"/>
      <c r="L22" s="36"/>
      <c r="M22" s="13"/>
      <c r="N22" s="45" t="s">
        <v>9600</v>
      </c>
      <c r="O22" s="13"/>
      <c r="P22" s="101" t="s">
        <v>215</v>
      </c>
      <c r="Q22" s="36"/>
      <c r="R22" s="36"/>
      <c r="S22" s="13"/>
      <c r="T22" s="107" t="s">
        <v>9601</v>
      </c>
      <c r="U22" s="36"/>
      <c r="V22" s="41"/>
      <c r="W22" s="26"/>
      <c r="X22" s="70" t="s">
        <v>120</v>
      </c>
      <c r="Y22" s="70" t="s">
        <v>121</v>
      </c>
      <c r="Z22" s="28"/>
      <c r="AA22" s="98"/>
      <c r="AB22" s="15" t="str">
        <f>IFERROR(__xludf.DUMMYFUNCTION("join("","",filter(split($H$84,"",""),ARRAYFORMULA(ISERROR(FIND(split($H$84,"",""),CONCATENATE(E22:V22))))=TRUE))"),"201,202,206,209,210,401,403,404,405,406,408,409,АЗ")</f>
        <v>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9602</v>
      </c>
      <c r="S23" s="115"/>
      <c r="T23" s="115"/>
      <c r="U23" s="115"/>
      <c r="V23" s="67"/>
      <c r="W23" s="26"/>
      <c r="X23" s="79" t="s">
        <v>124</v>
      </c>
      <c r="Y23" s="79" t="s">
        <v>125</v>
      </c>
      <c r="Z23" s="28" t="str">
        <f/>
        <v>#ERROR!</v>
      </c>
      <c r="AA23" s="98"/>
      <c r="AB23" s="15" t="str">
        <f>IFERROR(__xludf.DUMMYFUNCTION("join("","",filter(split($H$84,"",""),ARRAYFORMULA(ISERROR(FIND(split($H$84,"",""),CONCATENATE(E23:V23))))=TRUE))"),"КЗ,201,202,206,209,210,401,402,403,404,405,406,408,409,410,АЗ")</f>
        <v>КЗ,201,202,206,209,210,401,402,403,404,405,406,408,409,410,АЗ</v>
      </c>
      <c r="AC23" s="14"/>
      <c r="AD23" s="14"/>
      <c r="AE23" s="14"/>
      <c r="AF23" s="29"/>
      <c r="AG23" s="29"/>
      <c r="AH23" s="29"/>
    </row>
    <row r="24" ht="40.5" hidden="1" customHeight="1">
      <c r="A24" s="450"/>
      <c r="B24" s="451"/>
      <c r="C24" s="452"/>
      <c r="D24" s="834" t="s">
        <v>12</v>
      </c>
      <c r="E24" s="454"/>
      <c r="F24" s="454"/>
      <c r="G24" s="835"/>
      <c r="H24" s="576"/>
      <c r="I24" s="836"/>
      <c r="J24" s="837" t="s">
        <v>9603</v>
      </c>
      <c r="K24" s="64"/>
      <c r="L24" s="64"/>
      <c r="M24" s="64"/>
      <c r="N24" s="64"/>
      <c r="O24" s="64"/>
      <c r="P24" s="64"/>
      <c r="Q24" s="64"/>
      <c r="R24" s="64"/>
      <c r="S24" s="64"/>
      <c r="T24" s="64"/>
      <c r="U24" s="64"/>
      <c r="V24" s="88"/>
      <c r="W24" s="26"/>
      <c r="X24" s="455"/>
      <c r="Y24" s="455"/>
      <c r="Z24" s="28"/>
      <c r="AA24" s="14"/>
      <c r="AB24" s="15"/>
      <c r="AC24" s="14"/>
      <c r="AD24" s="14"/>
      <c r="AE24" s="14"/>
      <c r="AF24" s="29"/>
      <c r="AG24" s="29"/>
      <c r="AH24" s="29"/>
    </row>
    <row r="25" ht="40.5" hidden="1" customHeight="1">
      <c r="A25" s="18">
        <v>45007.0</v>
      </c>
      <c r="B25" s="435">
        <v>1.0</v>
      </c>
      <c r="C25" s="20" t="s">
        <v>12</v>
      </c>
      <c r="D25" s="20" t="s">
        <v>13</v>
      </c>
      <c r="E25" s="21" t="s">
        <v>9604</v>
      </c>
      <c r="F25" s="22"/>
      <c r="G25" s="116" t="s">
        <v>9605</v>
      </c>
      <c r="H25" s="117" t="s">
        <v>9606</v>
      </c>
      <c r="I25" s="22"/>
      <c r="J25" s="838" t="s">
        <v>9607</v>
      </c>
      <c r="K25" s="24"/>
      <c r="L25" s="24"/>
      <c r="M25" s="25"/>
      <c r="N25" s="80" t="s">
        <v>9608</v>
      </c>
      <c r="O25" s="25"/>
      <c r="P25" s="585" t="s">
        <v>9609</v>
      </c>
      <c r="Q25" s="24"/>
      <c r="R25" s="24"/>
      <c r="S25" s="22"/>
      <c r="T25" s="121" t="s">
        <v>9610</v>
      </c>
      <c r="U25" s="24"/>
      <c r="V25" s="22"/>
      <c r="W25" s="26"/>
      <c r="X25" s="27" t="s">
        <v>12</v>
      </c>
      <c r="Y25" s="27" t="s">
        <v>13</v>
      </c>
      <c r="Z25" s="28"/>
      <c r="AA25" s="14"/>
      <c r="AB25" s="15" t="str">
        <f>IFERROR(__xludf.DUMMYFUNCTION("join("","",filter(split($H$84,"",""),ARRAYFORMULA(ISERROR(FIND(split($H$84,"",""),CONCATENATE(E25:V25))))=TRUE))"),"СЗ,201,202,209,402,403,404,406,409,410,АЗ")</f>
        <v>СЗ,201,202,209,402,403,404,406,409,410,АЗ</v>
      </c>
      <c r="AC25" s="14"/>
      <c r="AD25" s="14"/>
      <c r="AE25" s="14"/>
      <c r="AF25" s="29"/>
      <c r="AG25" s="29"/>
      <c r="AH25" s="29"/>
    </row>
    <row r="26" ht="40.5" hidden="1" customHeight="1">
      <c r="A26" s="30"/>
      <c r="B26" s="436">
        <v>2.0</v>
      </c>
      <c r="C26" s="32" t="s">
        <v>21</v>
      </c>
      <c r="D26" s="32" t="s">
        <v>22</v>
      </c>
      <c r="E26" s="839" t="s">
        <v>9611</v>
      </c>
      <c r="F26" s="41"/>
      <c r="G26" s="39" t="s">
        <v>9612</v>
      </c>
      <c r="H26" s="21" t="s">
        <v>9613</v>
      </c>
      <c r="I26" s="25"/>
      <c r="J26" s="35" t="s">
        <v>9614</v>
      </c>
      <c r="K26" s="13"/>
      <c r="L26" s="40" t="s">
        <v>9615</v>
      </c>
      <c r="M26" s="13"/>
      <c r="N26" s="80" t="s">
        <v>9608</v>
      </c>
      <c r="O26" s="25"/>
      <c r="P26" s="37" t="s">
        <v>9616</v>
      </c>
      <c r="Q26" s="13"/>
      <c r="R26" s="122" t="s">
        <v>9617</v>
      </c>
      <c r="S26" s="41"/>
      <c r="T26" s="103" t="s">
        <v>9618</v>
      </c>
      <c r="U26" s="36"/>
      <c r="V26" s="41"/>
      <c r="W26" s="26"/>
      <c r="X26" s="42" t="s">
        <v>21</v>
      </c>
      <c r="Y26" s="42" t="s">
        <v>22</v>
      </c>
      <c r="Z26" s="28"/>
      <c r="AA26" s="14"/>
      <c r="AB26" s="15" t="str">
        <f>IFERROR(__xludf.DUMMYFUNCTION("join("","",filter(split($H$84,"",""),ARRAYFORMULA(ISERROR(FIND(split($H$84,"",""),CONCATENATE(E26:V26))))=TRUE))"),"СЗ,201,202,209,210,403,404,406,410,АЗ")</f>
        <v>СЗ,201,202,209,210,403,404,406,410,АЗ</v>
      </c>
      <c r="AC26" s="14"/>
      <c r="AD26" s="14"/>
      <c r="AE26" s="14"/>
      <c r="AF26" s="29"/>
      <c r="AG26" s="29"/>
      <c r="AH26" s="29"/>
    </row>
    <row r="27" ht="40.5" hidden="1" customHeight="1">
      <c r="A27" s="30"/>
      <c r="B27" s="436">
        <v>3.0</v>
      </c>
      <c r="C27" s="32" t="s">
        <v>33</v>
      </c>
      <c r="D27" s="32" t="s">
        <v>34</v>
      </c>
      <c r="E27" s="37" t="s">
        <v>9619</v>
      </c>
      <c r="F27" s="41"/>
      <c r="G27" s="51" t="s">
        <v>9620</v>
      </c>
      <c r="H27" s="36"/>
      <c r="I27" s="41"/>
      <c r="J27" s="95" t="s">
        <v>9621</v>
      </c>
      <c r="K27" s="13"/>
      <c r="L27" s="21" t="s">
        <v>9622</v>
      </c>
      <c r="M27" s="25"/>
      <c r="N27" s="80" t="s">
        <v>9623</v>
      </c>
      <c r="O27" s="25"/>
      <c r="P27" s="39" t="s">
        <v>9624</v>
      </c>
      <c r="Q27" s="124" t="s">
        <v>9625</v>
      </c>
      <c r="R27" s="89" t="s">
        <v>9626</v>
      </c>
      <c r="S27" s="41"/>
      <c r="T27" s="125" t="s">
        <v>9627</v>
      </c>
      <c r="U27" s="36"/>
      <c r="V27" s="41"/>
      <c r="W27" s="26"/>
      <c r="X27" s="42" t="s">
        <v>33</v>
      </c>
      <c r="Y27" s="42" t="s">
        <v>34</v>
      </c>
      <c r="Z27" s="48" t="s">
        <v>47</v>
      </c>
      <c r="AA27" s="85" t="str">
        <f>AA$5</f>
        <v/>
      </c>
      <c r="AB27" s="15" t="str">
        <f>IFERROR(__xludf.DUMMYFUNCTION("join("","",filter(split($H$84,"",""),ARRAYFORMULA(ISERROR(FIND(split($H$84,"",""),CONCATENATE(E27:V27))))=TRUE))"),"СЗ,201,202,206,209,210,403,408,410,АЗ")</f>
        <v>СЗ,201,202,206,209,210,403,408,410,АЗ</v>
      </c>
      <c r="AC27" s="14"/>
      <c r="AD27" s="14"/>
      <c r="AE27" s="14"/>
      <c r="AF27" s="29"/>
      <c r="AG27" s="29"/>
      <c r="AH27" s="29"/>
    </row>
    <row r="28" ht="54.0" hidden="1" customHeight="1">
      <c r="A28" s="30"/>
      <c r="B28" s="436">
        <v>4.0</v>
      </c>
      <c r="C28" s="32" t="s">
        <v>48</v>
      </c>
      <c r="D28" s="32" t="s">
        <v>49</v>
      </c>
      <c r="E28" s="33" t="s">
        <v>9628</v>
      </c>
      <c r="F28" s="126" t="s">
        <v>9629</v>
      </c>
      <c r="G28" s="37" t="s">
        <v>9630</v>
      </c>
      <c r="H28" s="13"/>
      <c r="I28" s="92" t="s">
        <v>9631</v>
      </c>
      <c r="J28" s="107" t="s">
        <v>9632</v>
      </c>
      <c r="K28" s="13"/>
      <c r="L28" s="45" t="s">
        <v>9633</v>
      </c>
      <c r="M28" s="13"/>
      <c r="N28" s="127" t="s">
        <v>9634</v>
      </c>
      <c r="O28" s="13"/>
      <c r="P28" s="37" t="s">
        <v>9635</v>
      </c>
      <c r="Q28" s="13"/>
      <c r="R28" s="40" t="s">
        <v>9636</v>
      </c>
      <c r="S28" s="41"/>
      <c r="T28" s="125" t="s">
        <v>9637</v>
      </c>
      <c r="U28" s="36"/>
      <c r="V28" s="41"/>
      <c r="W28" s="26"/>
      <c r="X28" s="42" t="s">
        <v>48</v>
      </c>
      <c r="Y28" s="42" t="s">
        <v>49</v>
      </c>
      <c r="Z28" s="48" t="s">
        <v>57</v>
      </c>
      <c r="AA28" s="85" t="str">
        <f>AA$6</f>
        <v/>
      </c>
      <c r="AB28" s="15" t="str">
        <f>IFERROR(__xludf.DUMMYFUNCTION("join("","",filter(split($H$84,"",""),ARRAYFORMULA(ISERROR(FIND(split($H$84,"",""),CONCATENATE(E28:V28))))=TRUE))"),"СЗ,202,206,209,210,406,408,410,АЗ")</f>
        <v>СЗ,202,206,209,210,406,408,410,АЗ</v>
      </c>
      <c r="AC28" s="14"/>
      <c r="AD28" s="14"/>
      <c r="AE28" s="14"/>
      <c r="AF28" s="29"/>
      <c r="AG28" s="29"/>
      <c r="AH28" s="29"/>
    </row>
    <row r="29" ht="53.25" hidden="1" customHeight="1">
      <c r="A29" s="30"/>
      <c r="B29" s="436">
        <v>5.0</v>
      </c>
      <c r="C29" s="32" t="s">
        <v>58</v>
      </c>
      <c r="D29" s="53">
        <v>44847.0</v>
      </c>
      <c r="E29" s="33" t="s">
        <v>9638</v>
      </c>
      <c r="F29" s="126" t="s">
        <v>9629</v>
      </c>
      <c r="G29" s="37" t="s">
        <v>9639</v>
      </c>
      <c r="H29" s="13"/>
      <c r="I29" s="92" t="s">
        <v>9640</v>
      </c>
      <c r="J29" s="21" t="s">
        <v>9641</v>
      </c>
      <c r="K29" s="25"/>
      <c r="L29" s="45" t="s">
        <v>9642</v>
      </c>
      <c r="M29" s="13"/>
      <c r="N29" s="89" t="s">
        <v>9643</v>
      </c>
      <c r="O29" s="13"/>
      <c r="P29" s="39" t="s">
        <v>9644</v>
      </c>
      <c r="Q29" s="124" t="s">
        <v>9645</v>
      </c>
      <c r="R29" s="40" t="s">
        <v>9646</v>
      </c>
      <c r="S29" s="41"/>
      <c r="T29" s="128" t="s">
        <v>9647</v>
      </c>
      <c r="U29" s="8"/>
      <c r="V29" s="129"/>
      <c r="W29" s="26"/>
      <c r="X29" s="42" t="s">
        <v>58</v>
      </c>
      <c r="Y29" s="54">
        <v>44847.0</v>
      </c>
      <c r="Z29" s="48" t="s">
        <v>70</v>
      </c>
      <c r="AA29" s="85" t="str">
        <f>AA$7</f>
        <v/>
      </c>
      <c r="AB29" s="15" t="str">
        <f>IFERROR(__xludf.DUMMYFUNCTION("join("","",filter(split($H$84,"",""),ARRAYFORMULA(ISERROR(FIND(split($H$84,"",""),CONCATENATE(E29:V29))))=TRUE))"),"СЗ,206,209,210,405,406,408,410")</f>
        <v>СЗ,206,209,210,405,406,408,410</v>
      </c>
      <c r="AC29" s="14"/>
      <c r="AD29" s="14"/>
      <c r="AE29" s="14"/>
      <c r="AF29" s="29"/>
      <c r="AG29" s="29"/>
      <c r="AH29" s="29"/>
    </row>
    <row r="30" ht="40.5" hidden="1" customHeight="1">
      <c r="A30" s="30"/>
      <c r="B30" s="436">
        <v>6.0</v>
      </c>
      <c r="C30" s="55" t="s">
        <v>71</v>
      </c>
      <c r="D30" s="56" t="s">
        <v>72</v>
      </c>
      <c r="E30" s="126" t="s">
        <v>9648</v>
      </c>
      <c r="F30" s="34" t="s">
        <v>9649</v>
      </c>
      <c r="G30" s="40" t="s">
        <v>9650</v>
      </c>
      <c r="H30" s="41"/>
      <c r="I30" s="34" t="s">
        <v>9651</v>
      </c>
      <c r="J30" s="21" t="s">
        <v>9652</v>
      </c>
      <c r="K30" s="25"/>
      <c r="L30" s="89" t="s">
        <v>9653</v>
      </c>
      <c r="M30" s="13"/>
      <c r="N30" s="130" t="s">
        <v>9654</v>
      </c>
      <c r="O30" s="13"/>
      <c r="P30" s="131" t="s">
        <v>9655</v>
      </c>
      <c r="Q30" s="132" t="s">
        <v>9656</v>
      </c>
      <c r="R30" s="437"/>
      <c r="S30" s="133" t="s">
        <v>276</v>
      </c>
      <c r="V30" s="134"/>
      <c r="W30" s="26"/>
      <c r="X30" s="58" t="s">
        <v>71</v>
      </c>
      <c r="Y30" s="59" t="s">
        <v>72</v>
      </c>
      <c r="Z30" s="48" t="s">
        <v>84</v>
      </c>
      <c r="AA30" s="85" t="str">
        <f>AA$8</f>
        <v/>
      </c>
      <c r="AB30" s="15" t="str">
        <f>IFERROR(__xludf.DUMMYFUNCTION("join("","",filter(split($H$84,"",""),ARRAYFORMULA(ISERROR(FIND(split($H$84,"",""),CONCATENATE(E30:V30))))=TRUE))"),"СЗ,КЗ,206,210,401,404,406,408,410,АЗ")</f>
        <v>СЗ,КЗ,206,210,401,404,406,408,410,АЗ</v>
      </c>
      <c r="AC30" s="14"/>
      <c r="AD30" s="14"/>
      <c r="AE30" s="14"/>
      <c r="AF30" s="29"/>
      <c r="AG30" s="29"/>
      <c r="AH30" s="29"/>
    </row>
    <row r="31" ht="40.5" hidden="1" customHeight="1">
      <c r="A31" s="30"/>
      <c r="B31" s="436">
        <v>7.0</v>
      </c>
      <c r="C31" s="32" t="s">
        <v>85</v>
      </c>
      <c r="D31" s="32" t="s">
        <v>86</v>
      </c>
      <c r="E31" s="126" t="s">
        <v>9629</v>
      </c>
      <c r="F31" s="34" t="s">
        <v>9657</v>
      </c>
      <c r="G31" s="40" t="s">
        <v>9658</v>
      </c>
      <c r="H31" s="41"/>
      <c r="I31" s="34" t="s">
        <v>9659</v>
      </c>
      <c r="J31" s="45" t="s">
        <v>9660</v>
      </c>
      <c r="K31" s="13"/>
      <c r="L31" s="21" t="s">
        <v>9661</v>
      </c>
      <c r="M31" s="25"/>
      <c r="N31" s="130" t="s">
        <v>9662</v>
      </c>
      <c r="O31" s="13"/>
      <c r="P31" s="131" t="s">
        <v>9663</v>
      </c>
      <c r="Q31" s="132" t="s">
        <v>9664</v>
      </c>
      <c r="R31" s="173"/>
      <c r="S31" s="92"/>
      <c r="V31" s="134"/>
      <c r="W31" s="26"/>
      <c r="X31" s="42" t="s">
        <v>85</v>
      </c>
      <c r="Y31" s="42" t="s">
        <v>86</v>
      </c>
      <c r="Z31" s="48" t="s">
        <v>97</v>
      </c>
      <c r="AA31" s="85" t="str">
        <f>AA$9</f>
        <v/>
      </c>
      <c r="AB31" s="15" t="str">
        <f>IFERROR(__xludf.DUMMYFUNCTION("join("","",filter(split($H$84,"",""),ARRAYFORMULA(ISERROR(FIND(split($H$84,"",""),CONCATENATE(E31:V31))))=TRUE))"),"СЗ,206,210,401,404,406,408,409,410,АЗ")</f>
        <v>СЗ,206,210,401,404,406,408,409,410,АЗ</v>
      </c>
      <c r="AC31" s="14"/>
      <c r="AD31" s="14"/>
      <c r="AE31" s="14"/>
      <c r="AF31" s="29"/>
      <c r="AG31" s="29"/>
      <c r="AH31" s="29"/>
    </row>
    <row r="32" ht="52.5" hidden="1" customHeight="1">
      <c r="A32" s="30"/>
      <c r="B32" s="436">
        <v>8.0</v>
      </c>
      <c r="C32" s="32" t="s">
        <v>98</v>
      </c>
      <c r="D32" s="32" t="s">
        <v>99</v>
      </c>
      <c r="E32" s="46" t="s">
        <v>9665</v>
      </c>
      <c r="F32" s="41"/>
      <c r="G32" s="137" t="s">
        <v>9666</v>
      </c>
      <c r="H32" s="8"/>
      <c r="I32" s="129"/>
      <c r="J32" s="840" t="s">
        <v>9667</v>
      </c>
      <c r="K32" s="36"/>
      <c r="L32" s="36"/>
      <c r="M32" s="13"/>
      <c r="N32" s="45" t="s">
        <v>9668</v>
      </c>
      <c r="O32" s="13"/>
      <c r="P32" s="140" t="s">
        <v>9669</v>
      </c>
      <c r="Q32" s="4"/>
      <c r="R32" s="144"/>
      <c r="S32" s="133"/>
      <c r="V32" s="134"/>
      <c r="W32" s="26"/>
      <c r="X32" s="42" t="s">
        <v>98</v>
      </c>
      <c r="Y32" s="42" t="s">
        <v>99</v>
      </c>
      <c r="Z32" s="11"/>
      <c r="AA32" s="14"/>
      <c r="AB32" s="15" t="str">
        <f>IFERROR(__xludf.DUMMYFUNCTION("join("","",filter(split($H$84,"",""),ARRAYFORMULA(ISERROR(FIND(split($H$84,"",""),CONCATENATE(E32:V32))))=TRUE))"),"СЗ,КЗ,206,209,401,403,404,405,406,408,409,АЗ")</f>
        <v>СЗ,КЗ,206,209,401,403,404,405,406,408,409,АЗ</v>
      </c>
      <c r="AC32" s="14"/>
      <c r="AD32" s="14"/>
      <c r="AE32" s="14"/>
      <c r="AF32" s="29"/>
      <c r="AG32" s="29"/>
      <c r="AH32" s="29"/>
    </row>
    <row r="33" ht="57.0" hidden="1" customHeight="1">
      <c r="A33" s="30"/>
      <c r="B33" s="436">
        <v>9.0</v>
      </c>
      <c r="C33" s="65">
        <v>44697.0</v>
      </c>
      <c r="D33" s="44" t="s">
        <v>109</v>
      </c>
      <c r="E33" s="141" t="s">
        <v>9670</v>
      </c>
      <c r="F33" s="13"/>
      <c r="G33" s="142"/>
      <c r="H33" s="64"/>
      <c r="I33" s="88"/>
      <c r="J33" s="840" t="s">
        <v>9671</v>
      </c>
      <c r="K33" s="36"/>
      <c r="L33" s="36"/>
      <c r="M33" s="13"/>
      <c r="N33" s="45" t="s">
        <v>9672</v>
      </c>
      <c r="O33" s="13"/>
      <c r="P33" s="142"/>
      <c r="Q33" s="72"/>
      <c r="R33" s="144"/>
      <c r="S33" s="92"/>
      <c r="T33" s="64"/>
      <c r="U33" s="64"/>
      <c r="V33" s="88"/>
      <c r="W33" s="26"/>
      <c r="X33" s="69">
        <v>44697.0</v>
      </c>
      <c r="Y33" s="70" t="s">
        <v>109</v>
      </c>
      <c r="Z33" s="28"/>
      <c r="AA33" s="14"/>
      <c r="AB33" s="15" t="str">
        <f>IFERROR(__xludf.DUMMYFUNCTION("join("","",filter(split($H$84,"",""),ARRAYFORMULA(ISERROR(FIND(split($H$84,"",""),CONCATENATE(E33:V33))))=TRUE))"),"СЗ,КЗ,206,209,210,401,402,403,404,405,406,408,409,АЗ")</f>
        <v>СЗ,КЗ,206,209,210,401,402,403,404,405,406,408,409,АЗ</v>
      </c>
      <c r="AC33" s="14"/>
      <c r="AD33" s="14"/>
      <c r="AE33" s="14"/>
      <c r="AF33" s="29"/>
      <c r="AG33" s="29"/>
      <c r="AH33" s="29"/>
    </row>
    <row r="34" ht="40.5" hidden="1" customHeight="1">
      <c r="A34" s="30"/>
      <c r="B34" s="436">
        <v>10.0</v>
      </c>
      <c r="C34" s="44" t="s">
        <v>120</v>
      </c>
      <c r="D34" s="44" t="s">
        <v>121</v>
      </c>
      <c r="E34" s="141" t="s">
        <v>9673</v>
      </c>
      <c r="F34" s="13"/>
      <c r="G34" s="145" t="s">
        <v>296</v>
      </c>
      <c r="H34" s="8"/>
      <c r="I34" s="8"/>
      <c r="J34" s="8"/>
      <c r="K34" s="8"/>
      <c r="L34" s="8"/>
      <c r="M34" s="8"/>
      <c r="N34" s="8"/>
      <c r="O34" s="8"/>
      <c r="P34" s="8"/>
      <c r="Q34" s="4"/>
      <c r="R34" s="146"/>
      <c r="S34" s="147"/>
      <c r="T34" s="148"/>
      <c r="U34" s="149"/>
      <c r="V34" s="150"/>
      <c r="W34" s="26"/>
      <c r="X34" s="70" t="s">
        <v>120</v>
      </c>
      <c r="Y34" s="70" t="s">
        <v>121</v>
      </c>
      <c r="Z34" s="28"/>
      <c r="AA34" s="14"/>
      <c r="AB34" s="15"/>
      <c r="AC34" s="14"/>
      <c r="AD34" s="14"/>
      <c r="AE34" s="14"/>
      <c r="AF34" s="29"/>
      <c r="AG34" s="29"/>
      <c r="AH34" s="29"/>
    </row>
    <row r="35" ht="40.5" hidden="1" customHeight="1">
      <c r="A35" s="74"/>
      <c r="B35" s="438">
        <v>11.0</v>
      </c>
      <c r="C35" s="76" t="s">
        <v>124</v>
      </c>
      <c r="D35" s="76" t="s">
        <v>125</v>
      </c>
      <c r="E35" s="141" t="s">
        <v>9674</v>
      </c>
      <c r="F35" s="13"/>
      <c r="G35" s="151"/>
      <c r="H35" s="151"/>
      <c r="I35" s="151"/>
      <c r="J35" s="151"/>
      <c r="K35" s="151"/>
      <c r="L35" s="151"/>
      <c r="M35" s="151"/>
      <c r="N35" s="151"/>
      <c r="O35" s="151"/>
      <c r="P35" s="151"/>
      <c r="Q35" s="152"/>
      <c r="R35" s="153"/>
      <c r="S35" s="154"/>
      <c r="T35" s="113"/>
      <c r="U35" s="155"/>
      <c r="V35" s="112"/>
      <c r="W35" s="26"/>
      <c r="X35" s="79" t="s">
        <v>124</v>
      </c>
      <c r="Y35" s="79" t="s">
        <v>125</v>
      </c>
      <c r="Z35" s="28"/>
      <c r="AA35" s="14"/>
      <c r="AB35" s="15" t="str">
        <f>IFERROR(__xludf.DUMMYFUNCTION("join("","",filter(split($H$84,"",""),ARRAYFORMULA(ISERROR(FIND(split($H$84,"",""),CONCATENATE(E35:V35))))=TRUE))"),"СЗ,КЗ,201,202,206,209,210,401,402,403,404,405,406,408,409,АЗ")</f>
        <v>СЗ,КЗ,201,202,206,209,210,401,402,403,404,405,406,408,409,АЗ</v>
      </c>
      <c r="AC35" s="14"/>
      <c r="AD35" s="14"/>
      <c r="AE35" s="14"/>
      <c r="AF35" s="29"/>
      <c r="AG35" s="29"/>
      <c r="AH35" s="29"/>
    </row>
    <row r="36" ht="60.0" hidden="1" customHeight="1">
      <c r="A36" s="18">
        <v>45008.0</v>
      </c>
      <c r="B36" s="19">
        <v>1.0</v>
      </c>
      <c r="C36" s="20" t="s">
        <v>12</v>
      </c>
      <c r="D36" s="20" t="s">
        <v>13</v>
      </c>
      <c r="E36" s="80" t="s">
        <v>9675</v>
      </c>
      <c r="F36" s="25"/>
      <c r="G36" s="156" t="s">
        <v>9676</v>
      </c>
      <c r="H36" s="117" t="s">
        <v>9677</v>
      </c>
      <c r="I36" s="25"/>
      <c r="J36" s="157" t="s">
        <v>9678</v>
      </c>
      <c r="K36" s="13"/>
      <c r="L36" s="156" t="s">
        <v>9679</v>
      </c>
      <c r="M36" s="156" t="s">
        <v>9680</v>
      </c>
      <c r="N36" s="80" t="s">
        <v>9681</v>
      </c>
      <c r="O36" s="25"/>
      <c r="P36" s="156" t="s">
        <v>9682</v>
      </c>
      <c r="Q36" s="156" t="s">
        <v>9683</v>
      </c>
      <c r="R36" s="159" t="s">
        <v>9684</v>
      </c>
      <c r="S36" s="160"/>
      <c r="T36" s="161" t="s">
        <v>9685</v>
      </c>
      <c r="U36" s="24"/>
      <c r="V36" s="22"/>
      <c r="W36" s="26"/>
      <c r="X36" s="27" t="s">
        <v>12</v>
      </c>
      <c r="Y36" s="27" t="s">
        <v>13</v>
      </c>
      <c r="Z36" s="28"/>
      <c r="AA36" s="14"/>
      <c r="AB36" s="15" t="str">
        <f>IFERROR(__xludf.DUMMYFUNCTION("join("","",filter(split($H$84,"",""),ARRAYFORMULA(ISERROR(FIND(split($H$84,"",""),CONCATENATE(E36:V36))))=TRUE))"),"СЗ,КЗ,206,406,410,АЗ")</f>
        <v>СЗ,КЗ,206,406,410,АЗ</v>
      </c>
      <c r="AC36" s="14"/>
      <c r="AD36" s="14"/>
      <c r="AE36" s="14"/>
      <c r="AF36" s="29"/>
      <c r="AG36" s="29"/>
      <c r="AH36" s="29"/>
    </row>
    <row r="37" ht="54.0" hidden="1" customHeight="1">
      <c r="A37" s="30"/>
      <c r="B37" s="31">
        <v>2.0</v>
      </c>
      <c r="C37" s="32" t="s">
        <v>21</v>
      </c>
      <c r="D37" s="32" t="s">
        <v>22</v>
      </c>
      <c r="E37" s="45" t="s">
        <v>9686</v>
      </c>
      <c r="F37" s="13"/>
      <c r="G37" s="44" t="s">
        <v>9687</v>
      </c>
      <c r="H37" s="40" t="s">
        <v>312</v>
      </c>
      <c r="I37" s="13"/>
      <c r="J37" s="157" t="s">
        <v>313</v>
      </c>
      <c r="K37" s="13"/>
      <c r="L37" s="44" t="s">
        <v>9688</v>
      </c>
      <c r="M37" s="44" t="s">
        <v>9689</v>
      </c>
      <c r="N37" s="45" t="s">
        <v>316</v>
      </c>
      <c r="O37" s="13"/>
      <c r="P37" s="44" t="s">
        <v>9690</v>
      </c>
      <c r="Q37" s="44" t="s">
        <v>9691</v>
      </c>
      <c r="R37" s="162" t="s">
        <v>9692</v>
      </c>
      <c r="S37" s="90"/>
      <c r="T37" s="163" t="s">
        <v>9693</v>
      </c>
      <c r="U37" s="36"/>
      <c r="V37" s="41"/>
      <c r="W37" s="26"/>
      <c r="X37" s="42" t="s">
        <v>21</v>
      </c>
      <c r="Y37" s="42" t="s">
        <v>22</v>
      </c>
      <c r="Z37" s="28"/>
      <c r="AA37" s="14"/>
      <c r="AB37" s="15" t="str">
        <f>IFERROR(__xludf.DUMMYFUNCTION("join("","",filter(split($H$84,"",""),ARRAYFORMULA(ISERROR(FIND(split($H$84,"",""),CONCATENATE(E37:V37))))=TRUE))"),"СЗ,КЗ,206,406,410,АЗ")</f>
        <v>СЗ,КЗ,206,406,410,АЗ</v>
      </c>
      <c r="AC37" s="14"/>
      <c r="AD37" s="14"/>
      <c r="AE37" s="14"/>
      <c r="AF37" s="29"/>
      <c r="AG37" s="29"/>
      <c r="AH37" s="29"/>
    </row>
    <row r="38" ht="56.25" hidden="1" customHeight="1">
      <c r="A38" s="30"/>
      <c r="B38" s="31">
        <v>3.0</v>
      </c>
      <c r="C38" s="32" t="s">
        <v>33</v>
      </c>
      <c r="D38" s="32" t="s">
        <v>34</v>
      </c>
      <c r="E38" s="45" t="s">
        <v>9694</v>
      </c>
      <c r="F38" s="13"/>
      <c r="G38" s="132" t="s">
        <v>9695</v>
      </c>
      <c r="H38" s="45" t="s">
        <v>9696</v>
      </c>
      <c r="I38" s="13"/>
      <c r="J38" s="45" t="s">
        <v>9697</v>
      </c>
      <c r="K38" s="13"/>
      <c r="L38" s="44" t="s">
        <v>9698</v>
      </c>
      <c r="M38" s="44" t="s">
        <v>9699</v>
      </c>
      <c r="N38" s="164" t="s">
        <v>9700</v>
      </c>
      <c r="O38" s="36"/>
      <c r="P38" s="36"/>
      <c r="Q38" s="13"/>
      <c r="R38" s="44" t="s">
        <v>9701</v>
      </c>
      <c r="S38" s="44" t="s">
        <v>9702</v>
      </c>
      <c r="T38" s="87" t="s">
        <v>9703</v>
      </c>
      <c r="U38" s="36"/>
      <c r="V38" s="41"/>
      <c r="W38" s="26"/>
      <c r="X38" s="42" t="s">
        <v>33</v>
      </c>
      <c r="Y38" s="42" t="s">
        <v>34</v>
      </c>
      <c r="Z38" s="48" t="s">
        <v>47</v>
      </c>
      <c r="AA38" s="85" t="str">
        <f>AA$5</f>
        <v/>
      </c>
      <c r="AB38" s="15" t="str">
        <f>IFERROR(__xludf.DUMMYFUNCTION("join("","",filter(split($H$84,"",""),ARRAYFORMULA(ISERROR(FIND(split($H$84,"",""),CONCATENATE(E38:V38))))=TRUE))"),"КЗ,206,403,406,410,АЗ")</f>
        <v>КЗ,206,403,406,410,АЗ</v>
      </c>
      <c r="AC38" s="14"/>
      <c r="AD38" s="14"/>
      <c r="AE38" s="14"/>
      <c r="AF38" s="29"/>
      <c r="AG38" s="29"/>
      <c r="AH38" s="29"/>
    </row>
    <row r="39" ht="51.75" hidden="1" customHeight="1">
      <c r="A39" s="30"/>
      <c r="B39" s="31">
        <v>4.0</v>
      </c>
      <c r="C39" s="32" t="s">
        <v>48</v>
      </c>
      <c r="D39" s="32" t="s">
        <v>49</v>
      </c>
      <c r="E39" s="45" t="s">
        <v>9704</v>
      </c>
      <c r="F39" s="13"/>
      <c r="G39" s="132" t="s">
        <v>9705</v>
      </c>
      <c r="H39" s="45" t="s">
        <v>9706</v>
      </c>
      <c r="I39" s="13"/>
      <c r="J39" s="45" t="s">
        <v>9697</v>
      </c>
      <c r="K39" s="13"/>
      <c r="L39" s="44" t="s">
        <v>9707</v>
      </c>
      <c r="M39" s="44" t="s">
        <v>9708</v>
      </c>
      <c r="N39" s="164" t="s">
        <v>9709</v>
      </c>
      <c r="O39" s="36"/>
      <c r="P39" s="36"/>
      <c r="Q39" s="13"/>
      <c r="R39" s="44" t="s">
        <v>9710</v>
      </c>
      <c r="S39" s="44" t="s">
        <v>9711</v>
      </c>
      <c r="T39" s="87" t="s">
        <v>9712</v>
      </c>
      <c r="U39" s="36"/>
      <c r="V39" s="41"/>
      <c r="W39" s="26"/>
      <c r="X39" s="42" t="s">
        <v>48</v>
      </c>
      <c r="Y39" s="42" t="s">
        <v>49</v>
      </c>
      <c r="Z39" s="48" t="s">
        <v>57</v>
      </c>
      <c r="AA39" s="85" t="str">
        <f>AA$6</f>
        <v/>
      </c>
      <c r="AB39" s="15" t="str">
        <f>IFERROR(__xludf.DUMMYFUNCTION("join("","",filter(split($H$84,"",""),ARRAYFORMULA(ISERROR(FIND(split($H$84,"",""),CONCATENATE(E39:V39))))=TRUE))"),"КЗ,206,403,406,410,АЗ")</f>
        <v>КЗ,206,403,406,410,АЗ</v>
      </c>
      <c r="AC39" s="14"/>
      <c r="AD39" s="14"/>
      <c r="AE39" s="14"/>
      <c r="AF39" s="29"/>
      <c r="AG39" s="29"/>
      <c r="AH39" s="29"/>
    </row>
    <row r="40" ht="58.5" hidden="1" customHeight="1">
      <c r="A40" s="30"/>
      <c r="B40" s="31">
        <v>5.0</v>
      </c>
      <c r="C40" s="32" t="s">
        <v>58</v>
      </c>
      <c r="D40" s="53">
        <v>44847.0</v>
      </c>
      <c r="E40" s="45" t="s">
        <v>9713</v>
      </c>
      <c r="F40" s="13"/>
      <c r="G40" s="44" t="s">
        <v>9714</v>
      </c>
      <c r="H40" s="45" t="s">
        <v>9715</v>
      </c>
      <c r="I40" s="13"/>
      <c r="J40" s="44" t="s">
        <v>9716</v>
      </c>
      <c r="K40" s="44" t="s">
        <v>9717</v>
      </c>
      <c r="L40" s="45" t="s">
        <v>9718</v>
      </c>
      <c r="M40" s="13"/>
      <c r="N40" s="44" t="s">
        <v>9719</v>
      </c>
      <c r="O40" s="44" t="s">
        <v>9720</v>
      </c>
      <c r="P40" s="45" t="s">
        <v>9721</v>
      </c>
      <c r="Q40" s="13"/>
      <c r="R40" s="44" t="s">
        <v>9722</v>
      </c>
      <c r="S40" s="132" t="s">
        <v>9723</v>
      </c>
      <c r="T40" s="45" t="s">
        <v>9724</v>
      </c>
      <c r="U40" s="36"/>
      <c r="V40" s="41"/>
      <c r="W40" s="26"/>
      <c r="X40" s="42" t="s">
        <v>58</v>
      </c>
      <c r="Y40" s="54">
        <v>44847.0</v>
      </c>
      <c r="Z40" s="48" t="s">
        <v>70</v>
      </c>
      <c r="AA40" s="85" t="str">
        <f>AA$7</f>
        <v/>
      </c>
      <c r="AB40" s="15" t="str">
        <f>IFERROR(__xludf.DUMMYFUNCTION("join("","",filter(split($H$84,"",""),ARRAYFORMULA(ISERROR(FIND(split($H$84,"",""),CONCATENATE(E40:V40))))=TRUE))"),"СЗ,КЗ,206,403,409,АЗ")</f>
        <v>СЗ,КЗ,206,403,409,АЗ</v>
      </c>
      <c r="AC40" s="14"/>
      <c r="AD40" s="14"/>
      <c r="AE40" s="14"/>
      <c r="AF40" s="29"/>
      <c r="AG40" s="29"/>
      <c r="AH40" s="29"/>
    </row>
    <row r="41" ht="54.0" hidden="1" customHeight="1">
      <c r="A41" s="30"/>
      <c r="B41" s="31">
        <v>6.0</v>
      </c>
      <c r="C41" s="55" t="s">
        <v>71</v>
      </c>
      <c r="D41" s="56" t="s">
        <v>72</v>
      </c>
      <c r="E41" s="45" t="s">
        <v>9725</v>
      </c>
      <c r="F41" s="13"/>
      <c r="G41" s="44" t="s">
        <v>355</v>
      </c>
      <c r="H41" s="45" t="s">
        <v>9726</v>
      </c>
      <c r="I41" s="13"/>
      <c r="J41" s="44" t="s">
        <v>9727</v>
      </c>
      <c r="K41" s="44" t="s">
        <v>9728</v>
      </c>
      <c r="L41" s="45" t="s">
        <v>9729</v>
      </c>
      <c r="M41" s="13"/>
      <c r="N41" s="44" t="s">
        <v>9730</v>
      </c>
      <c r="O41" s="44" t="s">
        <v>9731</v>
      </c>
      <c r="P41" s="45" t="s">
        <v>9732</v>
      </c>
      <c r="Q41" s="13"/>
      <c r="R41" s="44" t="s">
        <v>9733</v>
      </c>
      <c r="S41" s="132" t="s">
        <v>9734</v>
      </c>
      <c r="T41" s="45" t="s">
        <v>9735</v>
      </c>
      <c r="U41" s="36"/>
      <c r="V41" s="41"/>
      <c r="W41" s="26"/>
      <c r="X41" s="58" t="s">
        <v>71</v>
      </c>
      <c r="Y41" s="59" t="s">
        <v>72</v>
      </c>
      <c r="Z41" s="48" t="s">
        <v>84</v>
      </c>
      <c r="AA41" s="85" t="str">
        <f>AA$8</f>
        <v/>
      </c>
      <c r="AB41" s="15" t="str">
        <f>IFERROR(__xludf.DUMMYFUNCTION("join("","",filter(split($H$84,"",""),ARRAYFORMULA(ISERROR(FIND(split($H$84,"",""),CONCATENATE(E41:V41))))=TRUE))"),"СЗ,КЗ,206,403,409,АЗ")</f>
        <v>СЗ,КЗ,206,403,409,АЗ</v>
      </c>
      <c r="AC41" s="14"/>
      <c r="AD41" s="14"/>
      <c r="AE41" s="14"/>
      <c r="AF41" s="29"/>
      <c r="AG41" s="29"/>
      <c r="AH41" s="29"/>
    </row>
    <row r="42" ht="48.75" hidden="1" customHeight="1">
      <c r="A42" s="30"/>
      <c r="B42" s="31">
        <v>7.0</v>
      </c>
      <c r="C42" s="32" t="s">
        <v>85</v>
      </c>
      <c r="D42" s="32" t="s">
        <v>86</v>
      </c>
      <c r="E42" s="45" t="s">
        <v>9736</v>
      </c>
      <c r="F42" s="13"/>
      <c r="G42" s="44" t="s">
        <v>9737</v>
      </c>
      <c r="H42" s="45" t="s">
        <v>9738</v>
      </c>
      <c r="I42" s="13"/>
      <c r="J42" s="44" t="s">
        <v>9739</v>
      </c>
      <c r="K42" s="44" t="s">
        <v>9740</v>
      </c>
      <c r="L42" s="45"/>
      <c r="M42" s="13"/>
      <c r="N42" s="87" t="s">
        <v>9741</v>
      </c>
      <c r="O42" s="13"/>
      <c r="P42" s="45" t="s">
        <v>9742</v>
      </c>
      <c r="Q42" s="13"/>
      <c r="R42" s="44" t="s">
        <v>9743</v>
      </c>
      <c r="S42" s="44" t="s">
        <v>9744</v>
      </c>
      <c r="T42" s="165" t="s">
        <v>9745</v>
      </c>
      <c r="U42" s="36"/>
      <c r="V42" s="41"/>
      <c r="W42" s="26"/>
      <c r="X42" s="42" t="s">
        <v>85</v>
      </c>
      <c r="Y42" s="42" t="s">
        <v>86</v>
      </c>
      <c r="Z42" s="48" t="s">
        <v>97</v>
      </c>
      <c r="AA42" s="85" t="str">
        <f>AA$9</f>
        <v/>
      </c>
      <c r="AB42" s="15" t="str">
        <f>IFERROR(__xludf.DUMMYFUNCTION("join("","",filter(split($H$84,"",""),ARRAYFORMULA(ISERROR(FIND(split($H$84,"",""),CONCATENATE(E42:V42))))=TRUE))"),"СЗ,КЗ,206,210,403,406,409,АЗ")</f>
        <v>СЗ,КЗ,206,210,403,406,409,АЗ</v>
      </c>
      <c r="AC42" s="14"/>
      <c r="AD42" s="14"/>
      <c r="AE42" s="14"/>
      <c r="AF42" s="29"/>
      <c r="AG42" s="29"/>
      <c r="AH42" s="29"/>
    </row>
    <row r="43" ht="52.5" hidden="1" customHeight="1">
      <c r="A43" s="30"/>
      <c r="B43" s="31">
        <v>8.0</v>
      </c>
      <c r="C43" s="32" t="s">
        <v>98</v>
      </c>
      <c r="D43" s="32" t="s">
        <v>99</v>
      </c>
      <c r="E43" s="45" t="s">
        <v>9746</v>
      </c>
      <c r="F43" s="13"/>
      <c r="G43" s="44" t="s">
        <v>9747</v>
      </c>
      <c r="H43" s="45" t="s">
        <v>379</v>
      </c>
      <c r="I43" s="13"/>
      <c r="J43" s="44" t="s">
        <v>9748</v>
      </c>
      <c r="K43" s="44" t="s">
        <v>9749</v>
      </c>
      <c r="L43" s="45"/>
      <c r="M43" s="13"/>
      <c r="N43" s="87" t="s">
        <v>9750</v>
      </c>
      <c r="O43" s="13"/>
      <c r="P43" s="45" t="s">
        <v>9751</v>
      </c>
      <c r="Q43" s="13"/>
      <c r="R43" s="166"/>
      <c r="S43" s="13"/>
      <c r="T43" s="165"/>
      <c r="U43" s="36"/>
      <c r="V43" s="41"/>
      <c r="W43" s="26"/>
      <c r="X43" s="42" t="s">
        <v>98</v>
      </c>
      <c r="Y43" s="42" t="s">
        <v>99</v>
      </c>
      <c r="Z43" s="11"/>
      <c r="AA43" s="14"/>
      <c r="AB43" s="15" t="str">
        <f>IFERROR(__xludf.DUMMYFUNCTION("join("","",filter(split($H$84,"",""),ARRAYFORMULA(ISERROR(FIND(split($H$84,"",""),CONCATENATE(E43:V43))))=TRUE))"),"СЗ,КЗ,206,210,403,404,405,406,409,АЗ")</f>
        <v>СЗ,КЗ,206,210,403,404,405,406,409,АЗ</v>
      </c>
      <c r="AC43" s="14"/>
      <c r="AD43" s="14"/>
      <c r="AE43" s="14"/>
      <c r="AF43" s="29"/>
      <c r="AG43" s="29"/>
      <c r="AH43" s="29"/>
    </row>
    <row r="44" ht="40.5" hidden="1" customHeight="1">
      <c r="A44" s="30"/>
      <c r="B44" s="31">
        <v>9.0</v>
      </c>
      <c r="C44" s="65">
        <v>44697.0</v>
      </c>
      <c r="D44" s="44" t="s">
        <v>109</v>
      </c>
      <c r="E44" s="167" t="s">
        <v>9752</v>
      </c>
      <c r="F44" s="4"/>
      <c r="G44" s="168"/>
      <c r="H44" s="169" t="s">
        <v>9753</v>
      </c>
      <c r="I44" s="36"/>
      <c r="J44" s="13"/>
      <c r="K44" s="170"/>
      <c r="L44" s="4"/>
      <c r="M44" s="171"/>
      <c r="N44" s="45" t="s">
        <v>9754</v>
      </c>
      <c r="O44" s="13"/>
      <c r="P44" s="33"/>
      <c r="Q44" s="172" t="s">
        <v>390</v>
      </c>
      <c r="R44" s="8"/>
      <c r="S44" s="8"/>
      <c r="T44" s="8"/>
      <c r="U44" s="8"/>
      <c r="V44" s="129"/>
      <c r="W44" s="26"/>
      <c r="X44" s="69">
        <v>44697.0</v>
      </c>
      <c r="Y44" s="70" t="s">
        <v>109</v>
      </c>
      <c r="Z44" s="28"/>
      <c r="AA44" s="14"/>
      <c r="AB44" s="15" t="str">
        <f>IFERROR(__xludf.DUMMYFUNCTION("join("","",filter(split($H$84,"",""),ARRAYFORMULA(ISERROR(FIND(split($H$84,"",""),CONCATENATE(E44:V44))))=TRUE))"),"КЗ,202,206,209,210,401,403,404,405,406,408,409,АЗ")</f>
        <v>КЗ,202,206,209,210,401,403,404,405,406,408,409,АЗ</v>
      </c>
      <c r="AC44" s="14"/>
      <c r="AD44" s="14"/>
      <c r="AE44" s="14"/>
      <c r="AF44" s="29"/>
      <c r="AG44" s="29"/>
      <c r="AH44" s="29"/>
    </row>
    <row r="45" ht="40.5" hidden="1" customHeight="1">
      <c r="A45" s="30"/>
      <c r="B45" s="31">
        <v>10.0</v>
      </c>
      <c r="C45" s="44" t="s">
        <v>120</v>
      </c>
      <c r="D45" s="44" t="s">
        <v>121</v>
      </c>
      <c r="E45" s="104"/>
      <c r="F45" s="72"/>
      <c r="G45" s="173"/>
      <c r="H45" s="169" t="s">
        <v>9755</v>
      </c>
      <c r="I45" s="36"/>
      <c r="J45" s="13"/>
      <c r="K45" s="104"/>
      <c r="L45" s="72"/>
      <c r="M45" s="171"/>
      <c r="N45" s="45" t="s">
        <v>9756</v>
      </c>
      <c r="O45" s="13"/>
      <c r="P45" s="33"/>
      <c r="Q45" s="104"/>
      <c r="R45" s="64"/>
      <c r="S45" s="64"/>
      <c r="T45" s="64"/>
      <c r="U45" s="64"/>
      <c r="V45" s="88"/>
      <c r="W45" s="26"/>
      <c r="X45" s="70" t="s">
        <v>120</v>
      </c>
      <c r="Y45" s="70" t="s">
        <v>121</v>
      </c>
      <c r="Z45" s="28"/>
      <c r="AA45" s="14"/>
      <c r="AB45" s="15" t="str">
        <f>IFERROR(__xludf.DUMMYFUNCTION("join("","",filter(split($H$84,"",""),ARRAYFORMULA(ISERROR(FIND(split($H$84,"",""),CONCATENATE(E45:V45))))=TRUE))"),"КЗ,201,202,206,209,210,401,403,404,405,406,408,409,410,АЗ")</f>
        <v>КЗ,201,202,206,209,210,401,403,404,405,406,408,409,410,АЗ</v>
      </c>
      <c r="AC45" s="14"/>
      <c r="AD45" s="14"/>
      <c r="AE45" s="14"/>
      <c r="AF45" s="29"/>
      <c r="AG45" s="29"/>
      <c r="AH45" s="29"/>
    </row>
    <row r="46" ht="40.5" hidden="1" customHeight="1">
      <c r="A46" s="74"/>
      <c r="B46" s="75">
        <v>11.0</v>
      </c>
      <c r="C46" s="76" t="s">
        <v>124</v>
      </c>
      <c r="D46" s="76" t="s">
        <v>125</v>
      </c>
      <c r="E46" s="111"/>
      <c r="F46" s="111"/>
      <c r="G46" s="111"/>
      <c r="H46" s="111"/>
      <c r="I46" s="225"/>
      <c r="J46" s="111"/>
      <c r="K46" s="111"/>
      <c r="L46" s="111"/>
      <c r="M46" s="111"/>
      <c r="N46" s="111"/>
      <c r="O46" s="111"/>
      <c r="P46" s="111"/>
      <c r="Q46" s="111"/>
      <c r="R46" s="111"/>
      <c r="S46" s="111"/>
      <c r="T46" s="111"/>
      <c r="U46" s="111"/>
      <c r="V46" s="112"/>
      <c r="W46" s="26"/>
      <c r="X46" s="79" t="s">
        <v>124</v>
      </c>
      <c r="Y46" s="79" t="s">
        <v>125</v>
      </c>
      <c r="Z46" s="28"/>
      <c r="AA46" s="14"/>
      <c r="AB46" s="15" t="str">
        <f>IFERROR(__xludf.DUMMYFUNCTION("join("","",filter(split($H$84,"",""),ARRAYFORMULA(ISERROR(FIND(split($H$84,"",""),CONCATENATE(E46:V46))))=TRUE))"),"СЗ,КЗ,201,202,206,209,210,401,402,403,404,405,406,408,409,410,АЗ")</f>
        <v>СЗ,КЗ,201,202,206,209,210,401,402,403,404,405,406,408,409,410,АЗ</v>
      </c>
      <c r="AC46" s="14"/>
      <c r="AD46" s="14"/>
      <c r="AE46" s="14"/>
      <c r="AF46" s="29"/>
      <c r="AG46" s="29"/>
      <c r="AH46" s="29"/>
    </row>
    <row r="47" ht="60.75" customHeight="1">
      <c r="A47" s="18">
        <v>45009.0</v>
      </c>
      <c r="B47" s="19">
        <v>1.0</v>
      </c>
      <c r="C47" s="20" t="s">
        <v>12</v>
      </c>
      <c r="D47" s="20" t="s">
        <v>13</v>
      </c>
      <c r="E47" s="156" t="s">
        <v>9757</v>
      </c>
      <c r="F47" s="156" t="s">
        <v>9758</v>
      </c>
      <c r="G47" s="80" t="s">
        <v>9759</v>
      </c>
      <c r="H47" s="25"/>
      <c r="I47" s="841" t="s">
        <v>9760</v>
      </c>
      <c r="J47" s="175" t="s">
        <v>9761</v>
      </c>
      <c r="K47" s="25"/>
      <c r="L47" s="80" t="s">
        <v>9762</v>
      </c>
      <c r="M47" s="25"/>
      <c r="N47" s="156" t="s">
        <v>9763</v>
      </c>
      <c r="O47" s="156" t="s">
        <v>9764</v>
      </c>
      <c r="P47" s="80" t="s">
        <v>9765</v>
      </c>
      <c r="Q47" s="25"/>
      <c r="R47" s="80" t="s">
        <v>9766</v>
      </c>
      <c r="S47" s="25"/>
      <c r="T47" s="80" t="s">
        <v>9767</v>
      </c>
      <c r="U47" s="24"/>
      <c r="V47" s="22"/>
      <c r="W47" s="26"/>
      <c r="X47" s="27" t="s">
        <v>12</v>
      </c>
      <c r="Y47" s="27" t="s">
        <v>13</v>
      </c>
      <c r="Z47" s="28"/>
      <c r="AA47" s="14"/>
      <c r="AB47" s="15" t="str">
        <f>IFERROR(__xludf.DUMMYFUNCTION("join("","",filter(split($H$84,"",""),ARRAYFORMULA(ISERROR(FIND(split($H$84,"",""),CONCATENATE(E47:V47))))=TRUE))"),"СЗ,КЗ,206,402,408,409,410")</f>
        <v>СЗ,КЗ,206,402,408,409,410</v>
      </c>
      <c r="AC47" s="14"/>
      <c r="AD47" s="14"/>
      <c r="AE47" s="14"/>
      <c r="AF47" s="29"/>
      <c r="AG47" s="29"/>
      <c r="AH47" s="29"/>
    </row>
    <row r="48" ht="40.5" customHeight="1">
      <c r="A48" s="30"/>
      <c r="B48" s="31">
        <v>2.0</v>
      </c>
      <c r="C48" s="32" t="s">
        <v>21</v>
      </c>
      <c r="D48" s="32" t="s">
        <v>22</v>
      </c>
      <c r="E48" s="44" t="s">
        <v>9768</v>
      </c>
      <c r="F48" s="44" t="s">
        <v>9769</v>
      </c>
      <c r="G48" s="45" t="s">
        <v>9770</v>
      </c>
      <c r="H48" s="13"/>
      <c r="I48" s="258" t="s">
        <v>9771</v>
      </c>
      <c r="J48" s="157" t="s">
        <v>9772</v>
      </c>
      <c r="K48" s="13"/>
      <c r="L48" s="80" t="s">
        <v>9773</v>
      </c>
      <c r="M48" s="25"/>
      <c r="N48" s="44" t="s">
        <v>9774</v>
      </c>
      <c r="O48" s="44" t="s">
        <v>9775</v>
      </c>
      <c r="P48" s="45" t="s">
        <v>9776</v>
      </c>
      <c r="Q48" s="13"/>
      <c r="R48" s="44" t="s">
        <v>9777</v>
      </c>
      <c r="S48" s="90" t="s">
        <v>9778</v>
      </c>
      <c r="T48" s="45" t="s">
        <v>9779</v>
      </c>
      <c r="U48" s="36"/>
      <c r="V48" s="41"/>
      <c r="W48" s="26"/>
      <c r="X48" s="42" t="s">
        <v>21</v>
      </c>
      <c r="Y48" s="42" t="s">
        <v>22</v>
      </c>
      <c r="Z48" s="28"/>
      <c r="AA48" s="14"/>
      <c r="AB48" s="15" t="str">
        <f>IFERROR(__xludf.DUMMYFUNCTION("join("","",filter(split($H$84,"",""),ARRAYFORMULA(ISERROR(FIND(split($H$84,"",""),CONCATENATE(E48:V48))))=TRUE))"),"СЗ,КЗ,206,408,409,410")</f>
        <v>СЗ,КЗ,206,408,409,410</v>
      </c>
      <c r="AC48" s="14"/>
      <c r="AD48" s="14"/>
      <c r="AE48" s="14"/>
      <c r="AF48" s="29"/>
      <c r="AG48" s="29"/>
      <c r="AH48" s="29"/>
    </row>
    <row r="49" ht="40.5" customHeight="1">
      <c r="A49" s="30"/>
      <c r="B49" s="31">
        <v>3.0</v>
      </c>
      <c r="C49" s="32" t="s">
        <v>33</v>
      </c>
      <c r="D49" s="32" t="s">
        <v>34</v>
      </c>
      <c r="E49" s="40" t="s">
        <v>9780</v>
      </c>
      <c r="F49" s="13"/>
      <c r="G49" s="176" t="s">
        <v>9781</v>
      </c>
      <c r="H49" s="4"/>
      <c r="I49" s="90" t="s">
        <v>9782</v>
      </c>
      <c r="J49" s="44" t="s">
        <v>9783</v>
      </c>
      <c r="K49" s="44" t="s">
        <v>9784</v>
      </c>
      <c r="L49" s="44" t="s">
        <v>9785</v>
      </c>
      <c r="M49" s="44" t="s">
        <v>9786</v>
      </c>
      <c r="N49" s="164" t="s">
        <v>9787</v>
      </c>
      <c r="O49" s="36"/>
      <c r="P49" s="36"/>
      <c r="Q49" s="13"/>
      <c r="R49" s="44" t="s">
        <v>9788</v>
      </c>
      <c r="S49" s="90" t="s">
        <v>9789</v>
      </c>
      <c r="T49" s="45" t="s">
        <v>9790</v>
      </c>
      <c r="U49" s="36"/>
      <c r="V49" s="41"/>
      <c r="W49" s="26"/>
      <c r="X49" s="42" t="s">
        <v>33</v>
      </c>
      <c r="Y49" s="42" t="s">
        <v>34</v>
      </c>
      <c r="Z49" s="48" t="s">
        <v>47</v>
      </c>
      <c r="AA49" s="85" t="str">
        <f>AA$5</f>
        <v/>
      </c>
      <c r="AB49" s="15" t="str">
        <f>IFERROR(__xludf.DUMMYFUNCTION("join("","",filter(split($H$84,"",""),ARRAYFORMULA(ISERROR(FIND(split($H$84,"",""),CONCATENATE(E49:V49))))=TRUE))"),"СЗ,КЗ,206,209,409,410")</f>
        <v>СЗ,КЗ,206,209,409,410</v>
      </c>
      <c r="AC49" s="14"/>
      <c r="AD49" s="14"/>
      <c r="AE49" s="14"/>
      <c r="AF49" s="29"/>
      <c r="AG49" s="29"/>
      <c r="AH49" s="29"/>
    </row>
    <row r="50" ht="40.5" customHeight="1">
      <c r="A50" s="30"/>
      <c r="B50" s="31">
        <v>4.0</v>
      </c>
      <c r="C50" s="32" t="s">
        <v>48</v>
      </c>
      <c r="D50" s="32" t="s">
        <v>49</v>
      </c>
      <c r="E50" s="40" t="s">
        <v>9791</v>
      </c>
      <c r="F50" s="13"/>
      <c r="G50" s="104"/>
      <c r="H50" s="72"/>
      <c r="I50" s="90" t="s">
        <v>9792</v>
      </c>
      <c r="J50" s="44" t="s">
        <v>9793</v>
      </c>
      <c r="K50" s="44" t="s">
        <v>9794</v>
      </c>
      <c r="L50" s="44" t="s">
        <v>9795</v>
      </c>
      <c r="M50" s="44" t="s">
        <v>9796</v>
      </c>
      <c r="N50" s="164" t="s">
        <v>9797</v>
      </c>
      <c r="O50" s="36"/>
      <c r="P50" s="36"/>
      <c r="Q50" s="13"/>
      <c r="R50" s="97" t="s">
        <v>9798</v>
      </c>
      <c r="S50" s="133" t="s">
        <v>9799</v>
      </c>
      <c r="T50" s="45" t="s">
        <v>9800</v>
      </c>
      <c r="U50" s="36"/>
      <c r="V50" s="41"/>
      <c r="W50" s="26"/>
      <c r="X50" s="42" t="s">
        <v>48</v>
      </c>
      <c r="Y50" s="42" t="s">
        <v>49</v>
      </c>
      <c r="Z50" s="48" t="s">
        <v>57</v>
      </c>
      <c r="AA50" s="85" t="str">
        <f>AA$6</f>
        <v/>
      </c>
      <c r="AB50" s="15" t="str">
        <f>IFERROR(__xludf.DUMMYFUNCTION("join("","",filter(split($H$84,"",""),ARRAYFORMULA(ISERROR(FIND(split($H$84,"",""),CONCATENATE(E50:V50))))=TRUE))"),"СЗ,КЗ,201,206,409,410,АЗ")</f>
        <v>СЗ,КЗ,201,206,409,410,АЗ</v>
      </c>
      <c r="AC50" s="14"/>
      <c r="AD50" s="14"/>
      <c r="AE50" s="14"/>
      <c r="AF50" s="29"/>
      <c r="AG50" s="29"/>
      <c r="AH50" s="29"/>
    </row>
    <row r="51" ht="40.5" customHeight="1">
      <c r="A51" s="30"/>
      <c r="B51" s="31">
        <v>5.0</v>
      </c>
      <c r="C51" s="32" t="s">
        <v>58</v>
      </c>
      <c r="D51" s="53">
        <v>44847.0</v>
      </c>
      <c r="E51" s="45" t="s">
        <v>9801</v>
      </c>
      <c r="F51" s="13"/>
      <c r="G51" s="44" t="s">
        <v>9802</v>
      </c>
      <c r="H51" s="44" t="s">
        <v>9803</v>
      </c>
      <c r="I51" s="44" t="s">
        <v>9804</v>
      </c>
      <c r="J51" s="45" t="s">
        <v>9805</v>
      </c>
      <c r="K51" s="13"/>
      <c r="L51" s="45" t="s">
        <v>9806</v>
      </c>
      <c r="M51" s="13"/>
      <c r="N51" s="177" t="s">
        <v>9807</v>
      </c>
      <c r="O51" s="124" t="s">
        <v>9808</v>
      </c>
      <c r="P51" s="45" t="s">
        <v>9809</v>
      </c>
      <c r="Q51" s="13"/>
      <c r="R51" s="97" t="s">
        <v>9810</v>
      </c>
      <c r="S51" s="133" t="s">
        <v>9811</v>
      </c>
      <c r="T51" s="45" t="s">
        <v>9812</v>
      </c>
      <c r="U51" s="36"/>
      <c r="V51" s="41"/>
      <c r="W51" s="26"/>
      <c r="X51" s="42" t="s">
        <v>58</v>
      </c>
      <c r="Y51" s="54">
        <v>44847.0</v>
      </c>
      <c r="Z51" s="48" t="s">
        <v>70</v>
      </c>
      <c r="AA51" s="85" t="str">
        <f>AA$7</f>
        <v/>
      </c>
      <c r="AB51" s="15" t="str">
        <f>IFERROR(__xludf.DUMMYFUNCTION("join("","",filter(split($H$84,"",""),ARRAYFORMULA(ISERROR(FIND(split($H$84,"",""),CONCATENATE(E51:V51))))=TRUE))"),"СЗ,КЗ,206,401,404,408,409,410")</f>
        <v>СЗ,КЗ,206,401,404,408,409,410</v>
      </c>
      <c r="AC51" s="14"/>
      <c r="AD51" s="14"/>
      <c r="AE51" s="14"/>
      <c r="AF51" s="29"/>
      <c r="AG51" s="29"/>
      <c r="AH51" s="29"/>
    </row>
    <row r="52" ht="48.75" customHeight="1">
      <c r="A52" s="30"/>
      <c r="B52" s="31">
        <v>6.0</v>
      </c>
      <c r="C52" s="55" t="s">
        <v>71</v>
      </c>
      <c r="D52" s="56" t="s">
        <v>72</v>
      </c>
      <c r="E52" s="45" t="s">
        <v>9813</v>
      </c>
      <c r="F52" s="13"/>
      <c r="G52" s="44" t="s">
        <v>9814</v>
      </c>
      <c r="H52" s="44" t="s">
        <v>9815</v>
      </c>
      <c r="I52" s="44" t="s">
        <v>9816</v>
      </c>
      <c r="J52" s="45" t="s">
        <v>9817</v>
      </c>
      <c r="K52" s="13"/>
      <c r="L52" s="45" t="s">
        <v>9818</v>
      </c>
      <c r="M52" s="13"/>
      <c r="N52" s="177" t="s">
        <v>9819</v>
      </c>
      <c r="O52" s="124" t="s">
        <v>9820</v>
      </c>
      <c r="P52" s="45" t="s">
        <v>9821</v>
      </c>
      <c r="Q52" s="13"/>
      <c r="R52" s="162" t="s">
        <v>9822</v>
      </c>
      <c r="S52" s="178" t="s">
        <v>9823</v>
      </c>
      <c r="T52" s="44" t="s">
        <v>9824</v>
      </c>
      <c r="U52" s="44" t="s">
        <v>9825</v>
      </c>
      <c r="V52" s="34"/>
      <c r="W52" s="179"/>
      <c r="X52" s="58" t="s">
        <v>71</v>
      </c>
      <c r="Y52" s="59" t="s">
        <v>72</v>
      </c>
      <c r="Z52" s="48" t="s">
        <v>84</v>
      </c>
      <c r="AA52" s="85"/>
      <c r="AB52" s="15" t="str">
        <f>IFERROR(__xludf.DUMMYFUNCTION("join("","",filter(split($H$84,"",""),ARRAYFORMULA(ISERROR(FIND(split($H$84,"",""),CONCATENATE(E52:V52))))=TRUE))"),"СЗ,206,404,409,410")</f>
        <v>СЗ,206,404,409,410</v>
      </c>
      <c r="AC52" s="15" t="str">
        <f>IFERROR(__xludf.DUMMYFUNCTION("join("","",filter(split(#REF!,"",""),ARRAYFORMULA(ISERROR(FIND(split(#REF!,"",""),CONCATENATE(E52:S52))))=TRUE))"),"#REF!")</f>
        <v>#REF!</v>
      </c>
      <c r="AD52" s="14"/>
      <c r="AE52" s="14"/>
      <c r="AF52" s="29"/>
      <c r="AG52" s="29"/>
      <c r="AH52" s="29"/>
    </row>
    <row r="53" ht="55.5" customHeight="1">
      <c r="A53" s="30"/>
      <c r="B53" s="31">
        <v>7.0</v>
      </c>
      <c r="C53" s="32" t="s">
        <v>85</v>
      </c>
      <c r="D53" s="32" t="s">
        <v>86</v>
      </c>
      <c r="E53" s="45" t="s">
        <v>9826</v>
      </c>
      <c r="F53" s="13"/>
      <c r="G53" s="44" t="s">
        <v>9827</v>
      </c>
      <c r="H53" s="44" t="s">
        <v>9828</v>
      </c>
      <c r="I53" s="44" t="s">
        <v>9829</v>
      </c>
      <c r="J53" s="45" t="s">
        <v>9830</v>
      </c>
      <c r="K53" s="13"/>
      <c r="L53" s="45" t="s">
        <v>9831</v>
      </c>
      <c r="M53" s="13"/>
      <c r="N53" s="86" t="s">
        <v>9832</v>
      </c>
      <c r="O53" s="13"/>
      <c r="P53" s="124" t="s">
        <v>9833</v>
      </c>
      <c r="Q53" s="37" t="s">
        <v>9834</v>
      </c>
      <c r="R53" s="180" t="s">
        <v>9835</v>
      </c>
      <c r="S53" s="181" t="s">
        <v>9836</v>
      </c>
      <c r="T53" s="44" t="s">
        <v>472</v>
      </c>
      <c r="U53" s="44"/>
      <c r="V53" s="34"/>
      <c r="W53" s="26"/>
      <c r="X53" s="42" t="s">
        <v>85</v>
      </c>
      <c r="Y53" s="42" t="s">
        <v>86</v>
      </c>
      <c r="Z53" s="48" t="s">
        <v>97</v>
      </c>
      <c r="AA53" s="85" t="str">
        <f>AA$9</f>
        <v/>
      </c>
      <c r="AB53" s="15" t="str">
        <f>IFERROR(__xludf.DUMMYFUNCTION("join("","",filter(split($H$84,"",""),ARRAYFORMULA(ISERROR(FIND(split($H$84,"",""),CONCATENATE(E53:V53))))=TRUE))"),"СЗ,206,404,410")</f>
        <v>СЗ,206,404,410</v>
      </c>
      <c r="AC53" s="14"/>
      <c r="AD53" s="14"/>
      <c r="AE53" s="14"/>
      <c r="AF53" s="29"/>
      <c r="AG53" s="29"/>
      <c r="AH53" s="29"/>
    </row>
    <row r="54" ht="51.75" customHeight="1">
      <c r="A54" s="30"/>
      <c r="B54" s="31">
        <v>8.0</v>
      </c>
      <c r="C54" s="32" t="s">
        <v>98</v>
      </c>
      <c r="D54" s="32" t="s">
        <v>99</v>
      </c>
      <c r="E54" s="44" t="s">
        <v>9837</v>
      </c>
      <c r="F54" s="44" t="s">
        <v>9838</v>
      </c>
      <c r="G54" s="416" t="s">
        <v>1913</v>
      </c>
      <c r="H54" s="86" t="s">
        <v>9839</v>
      </c>
      <c r="I54" s="13"/>
      <c r="J54" s="45" t="s">
        <v>9840</v>
      </c>
      <c r="K54" s="13"/>
      <c r="L54" s="45" t="s">
        <v>9841</v>
      </c>
      <c r="M54" s="13"/>
      <c r="N54" s="182"/>
      <c r="O54" s="177" t="s">
        <v>9842</v>
      </c>
      <c r="P54" s="124" t="s">
        <v>9843</v>
      </c>
      <c r="Q54" s="37" t="s">
        <v>160</v>
      </c>
      <c r="R54" s="183" t="s">
        <v>9844</v>
      </c>
      <c r="S54" s="181" t="s">
        <v>9845</v>
      </c>
      <c r="T54" s="144"/>
      <c r="U54" s="144"/>
      <c r="V54" s="184"/>
      <c r="W54" s="26"/>
      <c r="X54" s="42" t="s">
        <v>98</v>
      </c>
      <c r="Y54" s="42" t="s">
        <v>99</v>
      </c>
      <c r="Z54" s="11"/>
      <c r="AA54" s="14"/>
      <c r="AB54" s="15" t="str">
        <f>IFERROR(__xludf.DUMMYFUNCTION("join("","",filter(split($H$84,"",""),ARRAYFORMULA(ISERROR(FIND(split($H$84,"",""),CONCATENATE(E54:V54))))=TRUE))"),"СЗ,201,206,404,405,408,410")</f>
        <v>СЗ,201,206,404,405,408,410</v>
      </c>
      <c r="AC54" s="14"/>
      <c r="AD54" s="14"/>
      <c r="AE54" s="14"/>
      <c r="AF54" s="29"/>
      <c r="AG54" s="29"/>
      <c r="AH54" s="29"/>
    </row>
    <row r="55" ht="71.25" customHeight="1">
      <c r="A55" s="30"/>
      <c r="B55" s="31">
        <v>9.0</v>
      </c>
      <c r="C55" s="65">
        <v>44697.0</v>
      </c>
      <c r="D55" s="44" t="s">
        <v>109</v>
      </c>
      <c r="E55" s="187" t="s">
        <v>480</v>
      </c>
      <c r="F55" s="8"/>
      <c r="G55" s="8"/>
      <c r="H55" s="8"/>
      <c r="I55" s="8"/>
      <c r="J55" s="8"/>
      <c r="K55" s="8"/>
      <c r="L55" s="8"/>
      <c r="M55" s="8"/>
      <c r="N55" s="163"/>
      <c r="O55" s="177" t="s">
        <v>9846</v>
      </c>
      <c r="P55" s="187" t="s">
        <v>480</v>
      </c>
      <c r="Q55" s="8"/>
      <c r="R55" s="8"/>
      <c r="S55" s="8"/>
      <c r="T55" s="8"/>
      <c r="U55" s="8"/>
      <c r="V55" s="8"/>
      <c r="W55" s="186"/>
      <c r="X55" s="69">
        <v>44697.0</v>
      </c>
      <c r="Y55" s="70" t="s">
        <v>109</v>
      </c>
      <c r="Z55" s="28"/>
      <c r="AA55" s="14"/>
      <c r="AB55" s="15" t="str">
        <f>IFERROR(__xludf.DUMMYFUNCTION("join("","",filter(split($H$84,"",""),ARRAYFORMULA(ISERROR(FIND(split($H$84,"",""),CONCATENATE(E55:V55))))=TRUE))"),"206,209,403,404,405,408,409,410,АЗ")</f>
        <v>206,209,403,404,405,408,409,410,АЗ</v>
      </c>
      <c r="AC55" s="14"/>
      <c r="AD55" s="14"/>
      <c r="AE55" s="14"/>
      <c r="AF55" s="29"/>
      <c r="AG55" s="29"/>
      <c r="AH55" s="29"/>
    </row>
    <row r="56" ht="40.5" customHeight="1">
      <c r="A56" s="30"/>
      <c r="B56" s="31">
        <v>10.0</v>
      </c>
      <c r="C56" s="44" t="s">
        <v>120</v>
      </c>
      <c r="D56" s="44" t="s">
        <v>121</v>
      </c>
      <c r="E56" s="104"/>
      <c r="F56" s="64"/>
      <c r="G56" s="64"/>
      <c r="H56" s="64"/>
      <c r="I56" s="64"/>
      <c r="J56" s="64"/>
      <c r="K56" s="64"/>
      <c r="L56" s="64"/>
      <c r="M56" s="64"/>
      <c r="N56" s="188"/>
      <c r="O56" s="189"/>
      <c r="P56" s="104"/>
      <c r="Q56" s="64"/>
      <c r="R56" s="64"/>
      <c r="S56" s="64"/>
      <c r="T56" s="64"/>
      <c r="U56" s="64"/>
      <c r="V56" s="64"/>
      <c r="W56" s="190"/>
      <c r="X56" s="70" t="s">
        <v>120</v>
      </c>
      <c r="Y56" s="70" t="s">
        <v>121</v>
      </c>
      <c r="Z56" s="28"/>
      <c r="AA56" s="14"/>
      <c r="AB56" s="15" t="str">
        <f>IFERROR(__xludf.DUMMYFUNCTION("join("","",filter(split($H$84,"",""),ARRAYFORMULA(ISERROR(FIND(split($H$84,"",""),CONCATENATE(E56:V56))))=TRUE))"),"СЗ,КЗ,201,202,206,209,210,401,402,403,404,405,406,408,409,410,АЗ")</f>
        <v>СЗ,КЗ,201,202,206,209,210,401,402,403,404,405,406,408,409,410,АЗ</v>
      </c>
      <c r="AC56" s="14"/>
      <c r="AD56" s="14"/>
      <c r="AE56" s="14"/>
      <c r="AF56" s="29"/>
      <c r="AG56" s="29"/>
      <c r="AH56" s="29"/>
    </row>
    <row r="57" ht="40.5" customHeight="1">
      <c r="A57" s="74"/>
      <c r="B57" s="75">
        <v>11.0</v>
      </c>
      <c r="C57" s="76" t="s">
        <v>124</v>
      </c>
      <c r="D57" s="76" t="s">
        <v>125</v>
      </c>
      <c r="E57" s="111"/>
      <c r="F57" s="111"/>
      <c r="G57" s="842"/>
      <c r="H57" s="842"/>
      <c r="I57" s="842"/>
      <c r="J57" s="111"/>
      <c r="K57" s="111"/>
      <c r="L57" s="111"/>
      <c r="M57" s="111"/>
      <c r="N57" s="111"/>
      <c r="O57" s="111"/>
      <c r="P57" s="111"/>
      <c r="Q57" s="111"/>
      <c r="R57" s="111"/>
      <c r="S57" s="111"/>
      <c r="T57" s="111"/>
      <c r="U57" s="111"/>
      <c r="V57" s="112"/>
      <c r="W57" s="26"/>
      <c r="X57" s="79" t="s">
        <v>124</v>
      </c>
      <c r="Y57" s="79" t="s">
        <v>125</v>
      </c>
      <c r="Z57" s="28"/>
      <c r="AA57" s="14"/>
      <c r="AB57" s="15" t="str">
        <f>IFERROR(__xludf.DUMMYFUNCTION("join("","",filter(split($H$84,"",""),ARRAYFORMULA(ISERROR(FIND(split($H$84,"",""),CONCATENATE(E57:V57))))=TRUE))"),"СЗ,КЗ,201,202,206,209,210,401,402,403,404,405,406,408,409,410,АЗ")</f>
        <v>СЗ,КЗ,201,202,206,209,210,401,402,403,404,405,406,408,409,410,АЗ</v>
      </c>
      <c r="AC57" s="14"/>
      <c r="AD57" s="14"/>
      <c r="AE57" s="14"/>
      <c r="AF57" s="29"/>
      <c r="AG57" s="29"/>
      <c r="AH57" s="29"/>
    </row>
    <row r="58" ht="40.5" customHeight="1">
      <c r="A58" s="18">
        <v>45010.0</v>
      </c>
      <c r="B58" s="191">
        <v>1.0</v>
      </c>
      <c r="C58" s="192" t="str">
        <f>D$1</f>
        <v/>
      </c>
      <c r="D58" s="72"/>
      <c r="E58" s="843" t="s">
        <v>9847</v>
      </c>
      <c r="V58" s="139"/>
      <c r="W58" s="15"/>
      <c r="X58" s="197" t="str">
        <f>Y$1</f>
        <v/>
      </c>
      <c r="Y58" s="13"/>
      <c r="Z58" s="28"/>
      <c r="AA58" s="14"/>
      <c r="AB58" s="15"/>
      <c r="AC58" s="14"/>
      <c r="AD58" s="14"/>
      <c r="AE58" s="14"/>
      <c r="AF58" s="29"/>
      <c r="AG58" s="29"/>
      <c r="AH58" s="29"/>
    </row>
    <row r="59" ht="40.5" customHeight="1">
      <c r="A59" s="30"/>
      <c r="B59" s="31">
        <v>2.0</v>
      </c>
      <c r="C59" s="85"/>
      <c r="D59" s="85"/>
      <c r="E59" s="104"/>
      <c r="F59" s="64"/>
      <c r="G59" s="64"/>
      <c r="H59" s="64"/>
      <c r="I59" s="64"/>
      <c r="J59" s="64"/>
      <c r="K59" s="64"/>
      <c r="L59" s="64"/>
      <c r="M59" s="64"/>
      <c r="N59" s="64"/>
      <c r="O59" s="64"/>
      <c r="P59" s="64"/>
      <c r="Q59" s="64"/>
      <c r="R59" s="64"/>
      <c r="S59" s="64"/>
      <c r="T59" s="64"/>
      <c r="U59" s="64"/>
      <c r="V59" s="72"/>
      <c r="W59" s="15"/>
      <c r="X59" s="85"/>
      <c r="Y59" s="85"/>
      <c r="Z59" s="198"/>
      <c r="AA59" s="14"/>
      <c r="AB59" s="15"/>
      <c r="AC59" s="14"/>
      <c r="AD59" s="14"/>
      <c r="AE59" s="14"/>
      <c r="AF59" s="29"/>
      <c r="AG59" s="29"/>
      <c r="AH59" s="29"/>
    </row>
    <row r="60" ht="40.5" customHeight="1">
      <c r="A60" s="30"/>
      <c r="B60" s="31">
        <v>3.0</v>
      </c>
      <c r="C60" s="85"/>
      <c r="D60" s="85"/>
      <c r="E60" s="15"/>
      <c r="F60" s="15"/>
      <c r="G60" s="15"/>
      <c r="H60" s="15"/>
      <c r="I60" s="15"/>
      <c r="J60" s="44"/>
      <c r="K60" s="44"/>
      <c r="L60" s="44"/>
      <c r="M60" s="44"/>
      <c r="N60" s="15"/>
      <c r="O60" s="15"/>
      <c r="P60" s="424" t="s">
        <v>482</v>
      </c>
      <c r="Q60" s="36"/>
      <c r="R60" s="36"/>
      <c r="S60" s="13"/>
      <c r="T60" s="15"/>
      <c r="U60" s="15"/>
      <c r="V60" s="15"/>
      <c r="W60" s="15"/>
      <c r="X60" s="85"/>
      <c r="Y60" s="85"/>
      <c r="Z60" s="198"/>
      <c r="AA60" s="85" t="str">
        <f>AA$5</f>
        <v/>
      </c>
      <c r="AB60" s="15"/>
      <c r="AC60" s="14"/>
      <c r="AD60" s="14"/>
      <c r="AE60" s="14"/>
      <c r="AF60" s="29"/>
      <c r="AG60" s="29"/>
      <c r="AH60" s="29"/>
    </row>
    <row r="61" ht="40.5" customHeight="1">
      <c r="A61" s="30"/>
      <c r="B61" s="31">
        <v>4.0</v>
      </c>
      <c r="C61" s="85"/>
      <c r="D61" s="85"/>
      <c r="E61" s="15"/>
      <c r="F61" s="15"/>
      <c r="G61" s="15"/>
      <c r="H61" s="15"/>
      <c r="I61" s="15"/>
      <c r="J61" s="44"/>
      <c r="K61" s="44"/>
      <c r="L61" s="44"/>
      <c r="M61" s="44"/>
      <c r="N61" s="15"/>
      <c r="O61" s="15"/>
      <c r="P61" s="199"/>
      <c r="Q61" s="199"/>
      <c r="R61" s="199"/>
      <c r="S61" s="199"/>
      <c r="T61" s="15"/>
      <c r="U61" s="15"/>
      <c r="V61" s="15"/>
      <c r="W61" s="15"/>
      <c r="X61" s="85"/>
      <c r="Y61" s="85"/>
      <c r="Z61" s="198"/>
      <c r="AA61" s="85" t="str">
        <f>AA$6</f>
        <v/>
      </c>
      <c r="AB61" s="15"/>
      <c r="AC61" s="14"/>
      <c r="AD61" s="14"/>
      <c r="AE61" s="14"/>
      <c r="AF61" s="29"/>
      <c r="AG61" s="29"/>
      <c r="AH61" s="29"/>
    </row>
    <row r="62" ht="40.5" customHeight="1">
      <c r="A62" s="30"/>
      <c r="B62" s="31">
        <v>5.0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AA$7</f>
        <v/>
      </c>
      <c r="AB62" s="15"/>
      <c r="AC62" s="14"/>
      <c r="AD62" s="14"/>
      <c r="AE62" s="14"/>
      <c r="AF62" s="29"/>
      <c r="AG62" s="29"/>
      <c r="AH62" s="29"/>
    </row>
    <row r="63" ht="40.5" customHeight="1">
      <c r="A63" s="30"/>
      <c r="B63" s="31">
        <v>6.0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t="str">
        <f>AA$8</f>
        <v/>
      </c>
      <c r="AB63" s="15"/>
      <c r="AC63" s="14"/>
      <c r="AD63" s="14"/>
      <c r="AE63" s="14"/>
      <c r="AF63" s="29"/>
      <c r="AG63" s="29"/>
      <c r="AH63" s="29"/>
    </row>
    <row r="64" ht="40.5" customHeight="1">
      <c r="A64" s="30"/>
      <c r="B64" s="31">
        <v>7.0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c r="AB64" s="14"/>
      <c r="AC64" s="14"/>
      <c r="AD64" s="14"/>
      <c r="AE64" s="14"/>
      <c r="AF64" s="29"/>
      <c r="AG64" s="29"/>
      <c r="AH64" s="29"/>
    </row>
    <row r="65" ht="40.5" customHeight="1">
      <c r="A65" s="30"/>
      <c r="B65" s="31">
        <v>8.0</v>
      </c>
      <c r="C65" s="85"/>
      <c r="D65" s="85"/>
      <c r="E65" s="15"/>
      <c r="F65" s="15"/>
      <c r="G65" s="15"/>
      <c r="H65" s="15"/>
      <c r="I65" s="15"/>
      <c r="J65" s="44"/>
      <c r="K65" s="44"/>
      <c r="L65" s="44"/>
      <c r="M65" s="44"/>
      <c r="N65" s="15"/>
      <c r="O65" s="15"/>
      <c r="P65" s="15"/>
      <c r="Q65" s="15"/>
      <c r="R65" s="15"/>
      <c r="S65" s="15"/>
      <c r="T65" s="15"/>
      <c r="U65" s="15"/>
      <c r="V65" s="15"/>
      <c r="W65" s="15"/>
      <c r="X65" s="85"/>
      <c r="Y65" s="85"/>
      <c r="Z65" s="198"/>
      <c r="AA65" s="85" t="str">
        <f>AA$9</f>
        <v/>
      </c>
      <c r="AB65" s="14"/>
      <c r="AC65" s="14"/>
      <c r="AD65" s="14"/>
      <c r="AE65" s="14"/>
      <c r="AF65" s="29"/>
      <c r="AG65" s="29"/>
      <c r="AH65" s="29"/>
    </row>
    <row r="66" ht="40.5" customHeight="1">
      <c r="A66" s="30"/>
      <c r="B66" s="31">
        <v>9.0</v>
      </c>
      <c r="C66" s="85"/>
      <c r="D66" s="85"/>
      <c r="E66" s="15"/>
      <c r="F66" s="15"/>
      <c r="G66" s="15"/>
      <c r="H66" s="15"/>
      <c r="I66" s="15"/>
      <c r="J66" s="44"/>
      <c r="K66" s="44"/>
      <c r="L66" s="44"/>
      <c r="M66" s="44"/>
      <c r="N66" s="15"/>
      <c r="O66" s="15"/>
      <c r="P66" s="15"/>
      <c r="Q66" s="15"/>
      <c r="R66" s="15"/>
      <c r="S66" s="15"/>
      <c r="T66" s="15"/>
      <c r="U66" s="15"/>
      <c r="V66" s="15"/>
      <c r="W66" s="15"/>
      <c r="X66" s="85"/>
      <c r="Y66" s="85"/>
      <c r="Z66" s="198"/>
      <c r="AA66" s="14"/>
      <c r="AB66" s="15"/>
      <c r="AC66" s="14"/>
      <c r="AD66" s="14"/>
      <c r="AE66" s="14"/>
      <c r="AF66" s="29"/>
      <c r="AG66" s="29"/>
      <c r="AH66" s="29"/>
    </row>
    <row r="67" ht="40.5" customHeight="1">
      <c r="A67" s="30"/>
      <c r="B67" s="200"/>
      <c r="C67" s="85"/>
      <c r="D67" s="85"/>
      <c r="E67" s="15"/>
      <c r="F67" s="15"/>
      <c r="G67" s="15"/>
      <c r="H67" s="15"/>
      <c r="I67" s="15"/>
      <c r="J67" s="15"/>
      <c r="K67" s="45"/>
      <c r="L67" s="13"/>
      <c r="M67" s="15"/>
      <c r="N67" s="15"/>
      <c r="O67" s="15"/>
      <c r="P67" s="15"/>
      <c r="Q67" s="15"/>
      <c r="R67" s="15"/>
      <c r="S67" s="15"/>
      <c r="T67" s="15"/>
      <c r="U67" s="15"/>
      <c r="V67" s="15"/>
      <c r="W67" s="15"/>
      <c r="X67" s="85"/>
      <c r="Y67" s="85"/>
      <c r="Z67" s="198" t="str">
        <f>Z$12</f>
        <v/>
      </c>
      <c r="AA67" s="14"/>
      <c r="AB67" s="14"/>
      <c r="AC67" s="14"/>
      <c r="AD67" s="14"/>
      <c r="AE67" s="14"/>
      <c r="AF67" s="29"/>
      <c r="AG67" s="29"/>
      <c r="AH67" s="29"/>
    </row>
    <row r="68" ht="40.5" customHeight="1">
      <c r="A68" s="74"/>
      <c r="B68" s="200"/>
      <c r="C68" s="14"/>
      <c r="D68" s="15"/>
      <c r="E68" s="15"/>
      <c r="F68" s="15"/>
      <c r="G68" s="15"/>
      <c r="H68" s="15"/>
      <c r="I68" s="15"/>
      <c r="J68" s="15"/>
      <c r="K68" s="45"/>
      <c r="L68" s="13"/>
      <c r="M68" s="15"/>
      <c r="N68" s="15"/>
      <c r="O68" s="15"/>
      <c r="P68" s="15"/>
      <c r="Q68" s="15"/>
      <c r="R68" s="15"/>
      <c r="S68" s="15"/>
      <c r="T68" s="15"/>
      <c r="U68" s="15"/>
      <c r="V68" s="15"/>
      <c r="W68" s="15"/>
      <c r="X68" s="14"/>
      <c r="Y68" s="15"/>
      <c r="Z68" s="198" t="str">
        <f>#REF!</f>
        <v>#REF!</v>
      </c>
      <c r="AA68" s="14"/>
      <c r="AB68" s="14"/>
      <c r="AC68" s="14"/>
      <c r="AD68" s="14"/>
      <c r="AE68" s="14"/>
      <c r="AF68" s="29"/>
      <c r="AG68" s="29"/>
      <c r="AH68" s="29"/>
    </row>
    <row r="69" ht="40.5" customHeight="1">
      <c r="A69" s="201"/>
      <c r="B69" s="200"/>
      <c r="C69" s="14"/>
      <c r="D69" s="14"/>
      <c r="E69" s="15"/>
      <c r="F69" s="15"/>
      <c r="G69" s="15"/>
      <c r="H69" s="15"/>
      <c r="I69" s="15"/>
      <c r="J69" s="15"/>
      <c r="K69" s="45"/>
      <c r="L69" s="13"/>
      <c r="M69" s="15"/>
      <c r="N69" s="15"/>
      <c r="O69" s="15"/>
      <c r="P69" s="15"/>
      <c r="Q69" s="15"/>
      <c r="R69" s="15"/>
      <c r="S69" s="15"/>
      <c r="T69" s="15"/>
      <c r="U69" s="15"/>
      <c r="V69" s="15"/>
      <c r="W69" s="15"/>
      <c r="X69" s="14"/>
      <c r="Y69" s="14"/>
      <c r="Z69" s="19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5"/>
      <c r="D71" s="14"/>
      <c r="E71" s="15"/>
      <c r="F71" s="15"/>
      <c r="G71" s="15"/>
      <c r="H71" s="15"/>
      <c r="I71" s="15"/>
      <c r="J71" s="15"/>
      <c r="K71" s="15"/>
      <c r="L71" s="15"/>
      <c r="M71" s="15"/>
      <c r="N71" s="15"/>
      <c r="O71" s="15"/>
      <c r="P71" s="15"/>
      <c r="Q71" s="15"/>
      <c r="R71" s="15"/>
      <c r="S71" s="15"/>
      <c r="T71" s="15"/>
      <c r="U71" s="15"/>
      <c r="V71" s="15"/>
      <c r="W71" s="15"/>
      <c r="X71" s="15"/>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15"/>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44" t="s">
        <v>484</v>
      </c>
      <c r="F83" s="15"/>
      <c r="G83" s="15"/>
      <c r="H83" s="15"/>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202" t="s">
        <v>485</v>
      </c>
      <c r="F84" s="203"/>
      <c r="G84" s="203"/>
      <c r="H84" s="204" t="s">
        <v>486</v>
      </c>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15"/>
      <c r="K85" s="15"/>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205" t="s">
        <v>487</v>
      </c>
      <c r="K86" s="205" t="b">
        <f>IFERROR(__xludf.DUMMYFUNCTION("IF(COUNTA(filter($E3:$W3,ARRAYFORMULA(ISERROR(FIND(join("","",filter(split($H$84,"",""),ARRAYFORMULA(ISERROR(FIND(split($H$84,"",""),E3)))=FALSE)),$E3:$W3))=FALSE)))&gt;1,FALSE,TRUE)"),TRUE)</f>
        <v>1</v>
      </c>
      <c r="L86" s="15"/>
      <c r="M86" s="15"/>
      <c r="N86" s="15"/>
      <c r="O86" s="15"/>
      <c r="P86" s="15"/>
      <c r="Q86" s="15"/>
      <c r="R86" s="15"/>
      <c r="S86" s="15"/>
      <c r="T86" s="15"/>
      <c r="U86" s="15"/>
      <c r="V86" s="15"/>
      <c r="W86" s="15"/>
      <c r="X86" s="14"/>
      <c r="Y86" s="14"/>
      <c r="Z86" s="28"/>
      <c r="AA86" s="14"/>
      <c r="AB86" s="14"/>
      <c r="AC86" s="14"/>
      <c r="AD86" s="14"/>
      <c r="AE86" s="14"/>
      <c r="AF86" s="29"/>
      <c r="AG86" s="29"/>
      <c r="AH86" s="29"/>
    </row>
    <row r="87" ht="40.5" customHeight="1">
      <c r="A87" s="201"/>
      <c r="B87" s="200"/>
      <c r="C87" s="14"/>
      <c r="D87" s="14"/>
      <c r="E87" s="15"/>
      <c r="F87" s="15"/>
      <c r="G87" s="15"/>
      <c r="H87" s="15"/>
      <c r="I87" s="15"/>
      <c r="J87" s="15"/>
      <c r="K87" s="15"/>
      <c r="L87" s="15"/>
      <c r="M87" s="15"/>
      <c r="N87" s="15"/>
      <c r="O87" s="15"/>
      <c r="P87" s="15"/>
      <c r="Q87" s="15"/>
      <c r="R87" s="15"/>
      <c r="S87" s="15"/>
      <c r="T87" s="15"/>
      <c r="U87" s="15"/>
      <c r="V87" s="15"/>
      <c r="W87" s="15"/>
      <c r="X87" s="14"/>
      <c r="Y87" s="14"/>
      <c r="Z87" s="28"/>
      <c r="AA87" s="14"/>
      <c r="AB87" s="14"/>
      <c r="AC87" s="14"/>
      <c r="AD87" s="14"/>
      <c r="AE87" s="14"/>
      <c r="AF87" s="29"/>
      <c r="AG87" s="29"/>
      <c r="AH87" s="29"/>
    </row>
  </sheetData>
  <mergeCells count="284">
    <mergeCell ref="E33:F33"/>
    <mergeCell ref="E34:F34"/>
    <mergeCell ref="A25:A35"/>
    <mergeCell ref="A36:A46"/>
    <mergeCell ref="A47:A57"/>
    <mergeCell ref="A58:A68"/>
    <mergeCell ref="E21:F22"/>
    <mergeCell ref="G21:G22"/>
    <mergeCell ref="E25:F25"/>
    <mergeCell ref="E26:F26"/>
    <mergeCell ref="E27:F27"/>
    <mergeCell ref="E32:F32"/>
    <mergeCell ref="E35:F35"/>
    <mergeCell ref="E36:F36"/>
    <mergeCell ref="E37:F37"/>
    <mergeCell ref="E38:F38"/>
    <mergeCell ref="E39:F39"/>
    <mergeCell ref="E40:F40"/>
    <mergeCell ref="E41:F41"/>
    <mergeCell ref="E42:F42"/>
    <mergeCell ref="E53:F53"/>
    <mergeCell ref="C58:D58"/>
    <mergeCell ref="E43:F43"/>
    <mergeCell ref="E44:F45"/>
    <mergeCell ref="G44:G45"/>
    <mergeCell ref="E49:F49"/>
    <mergeCell ref="E50:F50"/>
    <mergeCell ref="E51:F51"/>
    <mergeCell ref="E52:F52"/>
    <mergeCell ref="H25:I25"/>
    <mergeCell ref="H26:I26"/>
    <mergeCell ref="G27:I27"/>
    <mergeCell ref="G28:H28"/>
    <mergeCell ref="G29:H29"/>
    <mergeCell ref="G30:H30"/>
    <mergeCell ref="G31:H31"/>
    <mergeCell ref="G47:H47"/>
    <mergeCell ref="G48:H48"/>
    <mergeCell ref="G49:H50"/>
    <mergeCell ref="H54:I54"/>
    <mergeCell ref="G32:I33"/>
    <mergeCell ref="H36:I36"/>
    <mergeCell ref="H37:I37"/>
    <mergeCell ref="H38:I38"/>
    <mergeCell ref="H39:I39"/>
    <mergeCell ref="H40:I40"/>
    <mergeCell ref="H41:I41"/>
    <mergeCell ref="E16:F16"/>
    <mergeCell ref="G16:I16"/>
    <mergeCell ref="E17:F17"/>
    <mergeCell ref="H17:I17"/>
    <mergeCell ref="E18:F18"/>
    <mergeCell ref="H18:I18"/>
    <mergeCell ref="E19:F19"/>
    <mergeCell ref="H19:I19"/>
    <mergeCell ref="E20:F20"/>
    <mergeCell ref="H20:I20"/>
    <mergeCell ref="E10:F10"/>
    <mergeCell ref="H10:I10"/>
    <mergeCell ref="A13:A23"/>
    <mergeCell ref="E13:F13"/>
    <mergeCell ref="H13:I13"/>
    <mergeCell ref="E14:F14"/>
    <mergeCell ref="H14:I14"/>
    <mergeCell ref="H42:I42"/>
    <mergeCell ref="H43:I43"/>
    <mergeCell ref="J33:M33"/>
    <mergeCell ref="G34:Q35"/>
    <mergeCell ref="J36:K36"/>
    <mergeCell ref="N36:O36"/>
    <mergeCell ref="T36:V36"/>
    <mergeCell ref="N37:O37"/>
    <mergeCell ref="T37:V37"/>
    <mergeCell ref="J37:K37"/>
    <mergeCell ref="J38:K38"/>
    <mergeCell ref="N38:Q38"/>
    <mergeCell ref="T38:V38"/>
    <mergeCell ref="J39:K39"/>
    <mergeCell ref="N39:Q39"/>
    <mergeCell ref="T39:V39"/>
    <mergeCell ref="L47:M47"/>
    <mergeCell ref="P47:Q47"/>
    <mergeCell ref="H44:J44"/>
    <mergeCell ref="K44:L45"/>
    <mergeCell ref="N44:O44"/>
    <mergeCell ref="Q44:V45"/>
    <mergeCell ref="H45:J45"/>
    <mergeCell ref="N45:O45"/>
    <mergeCell ref="J47:K47"/>
    <mergeCell ref="R47:S47"/>
    <mergeCell ref="T47:V47"/>
    <mergeCell ref="J48:K48"/>
    <mergeCell ref="L48:M48"/>
    <mergeCell ref="P48:Q48"/>
    <mergeCell ref="T48:V48"/>
    <mergeCell ref="T49:V49"/>
    <mergeCell ref="E55:M56"/>
    <mergeCell ref="P55:V56"/>
    <mergeCell ref="E58:V59"/>
    <mergeCell ref="X58:Y58"/>
    <mergeCell ref="P60:S60"/>
    <mergeCell ref="K67:L67"/>
    <mergeCell ref="K68:L68"/>
    <mergeCell ref="K69:L69"/>
    <mergeCell ref="N49:Q49"/>
    <mergeCell ref="N50:Q50"/>
    <mergeCell ref="T50:V50"/>
    <mergeCell ref="J51:K51"/>
    <mergeCell ref="L51:M51"/>
    <mergeCell ref="P51:Q51"/>
    <mergeCell ref="T51:V51"/>
    <mergeCell ref="P22:S22"/>
    <mergeCell ref="T22:V22"/>
    <mergeCell ref="J24:V24"/>
    <mergeCell ref="J25:M25"/>
    <mergeCell ref="N25:O25"/>
    <mergeCell ref="P25:S25"/>
    <mergeCell ref="T25:V25"/>
    <mergeCell ref="R27:S27"/>
    <mergeCell ref="T27:V27"/>
    <mergeCell ref="T28:V28"/>
    <mergeCell ref="J26:K26"/>
    <mergeCell ref="L26:M26"/>
    <mergeCell ref="N26:O26"/>
    <mergeCell ref="P26:Q26"/>
    <mergeCell ref="R26:S26"/>
    <mergeCell ref="T26:V26"/>
    <mergeCell ref="J27:K27"/>
    <mergeCell ref="L27:M27"/>
    <mergeCell ref="N27:O27"/>
    <mergeCell ref="J28:K28"/>
    <mergeCell ref="L28:M28"/>
    <mergeCell ref="N28:O28"/>
    <mergeCell ref="P28:Q28"/>
    <mergeCell ref="R28:S28"/>
    <mergeCell ref="J29:K29"/>
    <mergeCell ref="L29:M29"/>
    <mergeCell ref="N29:O29"/>
    <mergeCell ref="R29:S29"/>
    <mergeCell ref="J30:K30"/>
    <mergeCell ref="L30:M30"/>
    <mergeCell ref="N30:O30"/>
    <mergeCell ref="J31:K31"/>
    <mergeCell ref="L31:M31"/>
    <mergeCell ref="N31:O31"/>
    <mergeCell ref="J32:M32"/>
    <mergeCell ref="N32:O32"/>
    <mergeCell ref="P32:Q33"/>
    <mergeCell ref="N33:O33"/>
    <mergeCell ref="J52:K52"/>
    <mergeCell ref="L52:M52"/>
    <mergeCell ref="P52:Q52"/>
    <mergeCell ref="J53:K53"/>
    <mergeCell ref="L53:M53"/>
    <mergeCell ref="N53:O53"/>
    <mergeCell ref="J54:K54"/>
    <mergeCell ref="L54:M54"/>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C1:D1"/>
    <mergeCell ref="J1:M1"/>
    <mergeCell ref="N1:O1"/>
    <mergeCell ref="P1:Q1"/>
    <mergeCell ref="R1:S1"/>
    <mergeCell ref="A2:A12"/>
    <mergeCell ref="R2:S2"/>
    <mergeCell ref="J10:K10"/>
    <mergeCell ref="L10:M10"/>
    <mergeCell ref="J13:K13"/>
    <mergeCell ref="L13:M13"/>
    <mergeCell ref="N13:O13"/>
    <mergeCell ref="P13:Q13"/>
    <mergeCell ref="R13:S13"/>
    <mergeCell ref="J19:K19"/>
    <mergeCell ref="L19:M19"/>
    <mergeCell ref="N19:O19"/>
    <mergeCell ref="P19:Q19"/>
    <mergeCell ref="J20:K20"/>
    <mergeCell ref="L20:M20"/>
    <mergeCell ref="N20:O20"/>
    <mergeCell ref="P20:Q20"/>
    <mergeCell ref="J16:K16"/>
    <mergeCell ref="J17:K17"/>
    <mergeCell ref="L17:M17"/>
    <mergeCell ref="N17:O17"/>
    <mergeCell ref="J18:K18"/>
    <mergeCell ref="L18:M18"/>
    <mergeCell ref="N18:O18"/>
    <mergeCell ref="G1:I1"/>
    <mergeCell ref="G3:I3"/>
    <mergeCell ref="R7:S7"/>
    <mergeCell ref="E8:F8"/>
    <mergeCell ref="H8:I8"/>
    <mergeCell ref="J8:M8"/>
    <mergeCell ref="N8:O8"/>
    <mergeCell ref="P8:Q8"/>
    <mergeCell ref="R8:S8"/>
    <mergeCell ref="E9:F9"/>
    <mergeCell ref="H9:I9"/>
    <mergeCell ref="J9:M9"/>
    <mergeCell ref="N9:O9"/>
    <mergeCell ref="N10:O10"/>
    <mergeCell ref="E11:S11"/>
    <mergeCell ref="J14:K14"/>
    <mergeCell ref="L14:M14"/>
    <mergeCell ref="N14:O14"/>
    <mergeCell ref="P14:Q14"/>
    <mergeCell ref="R14:S14"/>
    <mergeCell ref="E15:F15"/>
    <mergeCell ref="G15:I15"/>
    <mergeCell ref="J15:K15"/>
    <mergeCell ref="L15:M15"/>
    <mergeCell ref="N15:O15"/>
    <mergeCell ref="L16:M16"/>
    <mergeCell ref="N16:O16"/>
    <mergeCell ref="T20:V20"/>
    <mergeCell ref="R21:S21"/>
    <mergeCell ref="T21:V21"/>
    <mergeCell ref="R23:V23"/>
    <mergeCell ref="R30:R31"/>
    <mergeCell ref="U13:V13"/>
    <mergeCell ref="U14:V14"/>
    <mergeCell ref="T15:V15"/>
    <mergeCell ref="T16:V16"/>
    <mergeCell ref="T17:V17"/>
    <mergeCell ref="T18:V18"/>
    <mergeCell ref="T19:V19"/>
    <mergeCell ref="T29:V33"/>
    <mergeCell ref="N4:O4"/>
    <mergeCell ref="P4:Q4"/>
    <mergeCell ref="H5:I5"/>
    <mergeCell ref="N5:O5"/>
    <mergeCell ref="P5:Q5"/>
    <mergeCell ref="R5:S5"/>
    <mergeCell ref="H6:I6"/>
    <mergeCell ref="N6:O6"/>
    <mergeCell ref="P6:Q6"/>
    <mergeCell ref="R6:S6"/>
    <mergeCell ref="N7:O7"/>
    <mergeCell ref="P7:Q7"/>
    <mergeCell ref="U7:V7"/>
    <mergeCell ref="U8:V8"/>
    <mergeCell ref="R9:V9"/>
    <mergeCell ref="S10:V10"/>
    <mergeCell ref="T11:V11"/>
    <mergeCell ref="H7:I7"/>
    <mergeCell ref="J7:M7"/>
    <mergeCell ref="H21:M21"/>
    <mergeCell ref="N21:O21"/>
    <mergeCell ref="P21:Q21"/>
    <mergeCell ref="H22:M22"/>
    <mergeCell ref="N22:O22"/>
    <mergeCell ref="L40:M40"/>
    <mergeCell ref="P40:Q40"/>
    <mergeCell ref="T40:V40"/>
    <mergeCell ref="L41:M41"/>
    <mergeCell ref="P41:Q41"/>
    <mergeCell ref="T41:V41"/>
    <mergeCell ref="L42:M42"/>
    <mergeCell ref="T42:V42"/>
    <mergeCell ref="N42:O42"/>
    <mergeCell ref="P42:Q42"/>
    <mergeCell ref="L43:M43"/>
    <mergeCell ref="N43:O43"/>
    <mergeCell ref="P43:Q43"/>
    <mergeCell ref="R43:S43"/>
    <mergeCell ref="T43:V43"/>
  </mergeCells>
  <conditionalFormatting sqref="E1:T87 U1:U32 V33:V35 U36:U87 V51:V53 W52">
    <cfRule type="containsText" dxfId="0" priority="1" operator="containsText" text="Физика">
      <formula>NOT(ISERROR(SEARCH(("Физика"),(E1))))</formula>
    </cfRule>
  </conditionalFormatting>
  <conditionalFormatting sqref="N53:O53 E55:W56">
    <cfRule type="containsText" dxfId="1" priority="2" operator="containsText" text="Шерашова">
      <formula>NOT(ISERROR(SEARCH(("Шерашова"),(N53))))</formula>
    </cfRule>
  </conditionalFormatting>
  <conditionalFormatting sqref="E2:N54 O2:O55 P2:T54 U2:U32 V33:V35 U36:U54 V51:V53 W52 P60 K62:L69">
    <cfRule type="containsText" dxfId="2" priority="3" operator="containsText" text="Шерашова">
      <formula>NOT(ISERROR(SEARCH(("Шерашова"),(E2))))</formula>
    </cfRule>
  </conditionalFormatting>
  <conditionalFormatting sqref="E2:N54 O2:O55 P2:T54 U2:U32 V33:V35 U36:U54 V51:V53 W52 P60 K62:L69">
    <cfRule type="containsText" dxfId="3" priority="4" operator="containsText" text="Англ">
      <formula>NOT(ISERROR(SEARCH(("Англ"),(E2))))</formula>
    </cfRule>
  </conditionalFormatting>
  <conditionalFormatting sqref="E2:N54 O2:O55 P2:T54 U2:U32 V33:V35 U36:U54 V51:V53 W52 P60 K62:L69">
    <cfRule type="containsText" dxfId="4" priority="5" operator="containsText" text="Театр">
      <formula>NOT(ISERROR(SEARCH(("Театр"),(E2))))</formula>
    </cfRule>
  </conditionalFormatting>
  <conditionalFormatting sqref="E2:N54 O2:O55 P2:T54 U2:U32 V33:V35 U36:U54 V51:V53 W52 P60 K62:L69">
    <cfRule type="containsText" dxfId="5" priority="6" operator="containsText" text="Колечкин">
      <formula>NOT(ISERROR(SEARCH(("Колечкин"),(E2))))</formula>
    </cfRule>
  </conditionalFormatting>
  <conditionalFormatting sqref="E2:G73 H2:H74 I2:W73">
    <cfRule type="containsText" dxfId="0" priority="7" operator="containsText" text="Репнев">
      <formula>NOT(ISERROR(SEARCH(("Репнев"),(E2))))</formula>
    </cfRule>
  </conditionalFormatting>
  <conditionalFormatting sqref="E2:G66 H2:H74 I2:J66 K2:L69 M2:W66">
    <cfRule type="containsText" dxfId="6" priority="8" operator="containsText" text="Рогацкина">
      <formula>NOT(ISERROR(SEARCH(("Рогацкина"),(E2))))</formula>
    </cfRule>
  </conditionalFormatting>
  <conditionalFormatting sqref="E2:G68 H2:H74 I2:J68 K2:L69 M2:W68">
    <cfRule type="containsText" dxfId="7" priority="9" operator="containsText" text="Белоусова">
      <formula>NOT(ISERROR(SEARCH(("Белоусова"),(E2))))</formula>
    </cfRule>
  </conditionalFormatting>
  <conditionalFormatting sqref="E2:G61 H2:H74 I2:J66 K2:L69 M2:M66 N2:W61">
    <cfRule type="containsText" dxfId="8" priority="10" operator="containsText" text="Караванова">
      <formula>NOT(ISERROR(SEARCH(("Караванова"),(E2))))</formula>
    </cfRule>
  </conditionalFormatting>
  <conditionalFormatting sqref="E2:G64 H2:H74 I2:J66 K2:L69 M2:M66 N2:W64">
    <cfRule type="containsText" dxfId="9" priority="11" operator="containsText" text="Дронзик">
      <formula>NOT(ISERROR(SEARCH(("Дронзик"),(E2))))</formula>
    </cfRule>
  </conditionalFormatting>
  <conditionalFormatting sqref="E2:G65 H2:H74 I2:J66 K2:L69 M2:M66 N2:W65">
    <cfRule type="containsText" dxfId="10" priority="12" operator="containsText" text="Старунова">
      <formula>NOT(ISERROR(SEARCH(("Старунова"),(E2))))</formula>
    </cfRule>
  </conditionalFormatting>
  <conditionalFormatting sqref="E2:G63 H2:H74 I2:J66 K2:L69 M2:M66 N2:W63">
    <cfRule type="containsText" dxfId="11" priority="13" operator="containsText" text="Харитонов">
      <formula>NOT(ISERROR(SEARCH(("Харитонов"),(E2))))</formula>
    </cfRule>
  </conditionalFormatting>
  <conditionalFormatting sqref="E2:G68 H2:H74 I2:J68 K2:L69 M2:W68">
    <cfRule type="containsText" dxfId="12" priority="14" operator="containsText" text="Хуснутдинов">
      <formula>NOT(ISERROR(SEARCH(("Хуснутдинов"),(E2))))</formula>
    </cfRule>
  </conditionalFormatting>
  <conditionalFormatting sqref="E2:G67 H2:H74 I2:J67 K2:L69 M2:W67">
    <cfRule type="containsText" dxfId="13" priority="15" operator="containsText" text="Решетников">
      <formula>NOT(ISERROR(SEARCH(("Решетников"),(E2))))</formula>
    </cfRule>
  </conditionalFormatting>
  <conditionalFormatting sqref="E2:G70 H2:H74 I2:W70">
    <cfRule type="containsText" dxfId="14" priority="16" operator="containsText" text="Заводов">
      <formula>NOT(ISERROR(SEARCH(("Заводов"),(E2))))</formula>
    </cfRule>
  </conditionalFormatting>
  <conditionalFormatting sqref="E1:G67 H1:H74 I1:J67 K1:L69 M1:W67">
    <cfRule type="containsText" dxfId="15" priority="17" operator="containsText" text="Абрамов">
      <formula>NOT(ISERROR(SEARCH(("Абрамов"),(E1))))</formula>
    </cfRule>
  </conditionalFormatting>
  <conditionalFormatting sqref="E2:G68 H2:H74 I2:J68 K2:L69 M2:W68">
    <cfRule type="containsText" dxfId="16" priority="18" operator="containsText" text="Климов">
      <formula>NOT(ISERROR(SEARCH(("Климов"),(E2))))</formula>
    </cfRule>
  </conditionalFormatting>
  <conditionalFormatting sqref="E2:G62 H2:H74 I2:J66 K2:L69 M2:M66 N2:W62">
    <cfRule type="containsText" dxfId="17" priority="19" operator="containsText" text="Клейменов">
      <formula>NOT(ISERROR(SEARCH(("Клейменов"),(E2))))</formula>
    </cfRule>
  </conditionalFormatting>
  <conditionalFormatting sqref="E2:G69 H2:H74 I2:W69">
    <cfRule type="containsText" dxfId="18" priority="20" operator="containsText" text="Попович">
      <formula>NOT(ISERROR(SEARCH(("Попович"),(E2))))</formula>
    </cfRule>
  </conditionalFormatting>
  <conditionalFormatting sqref="E2:G69 H2:H74 I2:W69">
    <cfRule type="containsText" dxfId="19" priority="21" operator="containsText" text="Исмаилов">
      <formula>NOT(ISERROR(SEARCH(("Исмаилов"),(E2))))</formula>
    </cfRule>
  </conditionalFormatting>
  <conditionalFormatting sqref="E2:E20 F2:F12 G2:I46 J2:K50 L2:Q46 R2:S6 T2:V8 S10:S33 T10:V46 R11:R47 F15:F17 F19:F20 E24:F31 E33:E54 F33:F46 S36:S42 S44:S46 S48:S54 T48:T51 F49:F50 N49:N50 R50:R54 G51:H54 I51:I53 P51:P54 F53:F54 J53:J54 N53:N54 Q53:Q54 K54:M54 P60 K62:L69">
    <cfRule type="containsText" dxfId="20" priority="22" operator="containsText" text="Ларченко">
      <formula>NOT(ISERROR(SEARCH(("Ларченко"),(E2))))</formula>
    </cfRule>
  </conditionalFormatting>
  <conditionalFormatting sqref="E2:G66 H2:H74 I2:J66 K2:L69 M2:W66">
    <cfRule type="containsText" dxfId="21" priority="23" operator="containsText" text="Краснова">
      <formula>NOT(ISERROR(SEARCH(("Краснова"),(E2))))</formula>
    </cfRule>
  </conditionalFormatting>
  <conditionalFormatting sqref="E2:G66 H2:H74 I2:J66 K2:L69 M2:W66">
    <cfRule type="containsText" dxfId="22" priority="24" operator="containsText" text="Белоус">
      <formula>NOT(ISERROR(SEARCH(("Белоус"),(E2))))</formula>
    </cfRule>
  </conditionalFormatting>
  <conditionalFormatting sqref="E2:G66 H2:H74 I2:J66 K2:L69 M2:W66">
    <cfRule type="containsText" dxfId="23" priority="25" operator="containsText" text="Куницын">
      <formula>NOT(ISERROR(SEARCH(("Куницын"),(E2))))</formula>
    </cfRule>
  </conditionalFormatting>
  <dataValidations>
    <dataValidation type="custom" allowBlank="1" showDropDown="1" sqref="R8:R10">
      <formula1>IF(COUNTA(filter($E53:$W53,ARRAYFORMULA(ISERROR(FIND(join(",",filter(split($H$84,","),ARRAYFORMULA(ISERROR(FIND(split($H$84,","),R8)))=FALSE)),$E53:$W53))=FALSE)))&gt;1,FALSE,TRUE)</formula1>
    </dataValidation>
    <dataValidation type="custom" allowBlank="1" showDropDown="1" sqref="P13:P16 E24:I24 N27 G28:G29 L28:L29 J31 N32:N33 E36:E37 J36:J37 N36:N37 T40:T41 E42:E43 P42:P43 R47 T48:T49 K49:K50 P51:P52 E51:E53 Q53:Q54">
      <formula1>IF(COUNTA(filter(#REF!,ARRAYFORMULA(ISERROR(FIND(join(",",filter(split($H$84,","),ARRAYFORMULA(ISERROR(FIND(split($H$84,","),E13)))=FALSE)),#REF!))=FALSE)))&gt;1,FALSE,TRUE)</formula1>
    </dataValidation>
    <dataValidation type="custom" allowBlank="1" showDropDown="1" sqref="H4:I4">
      <formula1>IF(COUNTA(filter($E7:$W7,ARRAYFORMULA(ISERROR(FIND(join(",",filter(split($H$84,","),ARRAYFORMULA(ISERROR(FIND(split($H$84,","),#REF!)))=FALSE)),$E7:$W7))=FALSE)))&gt;1,FALSE,TRUE)</formula1>
    </dataValidation>
    <dataValidation type="custom" allowBlank="1" showDropDown="1" sqref="E3:F3 G4 J5:J6 E15:E16 E47:E48 J49:J50 G51:G53 E54">
      <formula1>IF(COUNTA(filter($E3:$W3,ARRAYFORMULA(ISERROR(FIND(join(",",filter(split($H$84,","),ARRAYFORMULA(ISERROR(FIND(split($H$84,","),#REF!)))=FALSE)),$E3:$W3))=FALSE)))&gt;1,FALSE,TRUE)</formula1>
    </dataValidation>
    <dataValidation type="custom" allowBlank="1" showDropDown="1" sqref="F4:F5 E6:E7 H7:H8 E25 G25:H25 G26 E27 R28:R29 H36:H37 G38:G39 E49:E50 N53:N55">
      <formula1>IF(COUNTA(filter($E5:$W5,ARRAYFORMULA(ISERROR(FIND(join(",",filter(split($H$84,","),ARRAYFORMULA(ISERROR(FIND(split($H$84,","),E4)))=FALSE)),$E5:$W5))=FALSE)))&gt;1,FALSE,TRUE)</formula1>
    </dataValidation>
    <dataValidation type="custom" allowBlank="1" showDropDown="1" sqref="H9 G10 H17:H18 G19:G20 I30:I31 L51 J51:J52 R54">
      <formula1>IF(COUNTA(filter($E5:$W5,ARRAYFORMULA(ISERROR(FIND(join(",",filter(split($H$84,","),ARRAYFORMULA(ISERROR(FIND(split($H$84,","),G9)))=FALSE)),$E5:$W5))=FALSE)))&gt;1,FALSE,TRUE)</formula1>
    </dataValidation>
    <dataValidation type="custom" allowBlank="1" showDropDown="1" sqref="N22">
      <formula1>IF(COUNTA(filter($E35:$W35,ARRAYFORMULA(ISERROR(FIND(join(",",filter(split($H$84,","),ARRAYFORMULA(ISERROR(FIND(split($H$84,","),N22)))=FALSE)),$E35:$W35))=FALSE)))&gt;1,FALSE,TRUE)</formula1>
    </dataValidation>
    <dataValidation type="custom" allowBlank="1" showDropDown="1" sqref="S52">
      <formula1>IF(COUNTA(filter($E32:$W32,ARRAYFORMULA(ISERROR(FIND(join(",",filter(split($H$84,","),ARRAYFORMULA(ISERROR(FIND(split($H$84,","),S52)))=FALSE)),$E32:$W32))=FALSE)))&gt;1,FALSE,TRUE)</formula1>
    </dataValidation>
    <dataValidation type="custom" allowBlank="1" showDropDown="1" sqref="N8">
      <formula1>IF(COUNTA(filter($E1:$W1,ARRAYFORMULA(ISERROR(FIND(join(",",filter(split($H$84,","),ARRAYFORMULA(ISERROR(FIND(split($H$84,","),#REF!)))=FALSE)),$E1:$W1))=FALSE)))&gt;1,FALSE,TRUE)</formula1>
    </dataValidation>
    <dataValidation type="custom" allowBlank="1" showDropDown="1" sqref="T11 W11">
      <formula1>IF(COUNTA(filter($F11:$W11,ARRAYFORMULA(ISERROR(FIND(join(",",filter(split($H$84,","),ARRAYFORMULA(ISERROR(FIND(split($H$84,","),T11)))=FALSE)),$F11:$W11))=FALSE)))&gt;1,FALSE,TRUE)</formula1>
    </dataValidation>
    <dataValidation type="custom" allowBlank="1" showDropDown="1" sqref="R3:R4">
      <formula1>IF(COUNTA(filter($E17:$W17,ARRAYFORMULA(ISERROR(FIND(join(",",filter(split($H$84,","),ARRAYFORMULA(ISERROR(FIND(split($H$84,","),R3)))=FALSE)),$E17:$W17))=FALSE)))&gt;1,FALSE,TRUE)</formula1>
    </dataValidation>
    <dataValidation type="custom" allowBlank="1" showDropDown="1" sqref="L40:L41">
      <formula1>IF(COUNTA(filter($E1:$W1,ARRAYFORMULA(ISERROR(FIND(join(",",filter(split($H$84,","),ARRAYFORMULA(ISERROR(FIND(split($H$84,","),L40)))=FALSE)),$E1:$W1))=FALSE)))&gt;1,FALSE,TRUE)</formula1>
    </dataValidation>
    <dataValidation type="custom" allowBlank="1" showDropDown="1" sqref="T13:U14 T15:T16 P25 J27">
      <formula1>IF(COUNTA(filter($E17:$W17,ARRAYFORMULA(ISERROR(FIND(join(",",filter(split($H$84,","),ARRAYFORMULA(ISERROR(FIND(split($H$84,","),J13)))=FALSE)),$E17:$W17))=FALSE)))&gt;1,FALSE,TRUE)</formula1>
    </dataValidation>
    <dataValidation type="custom" allowBlank="1" showDropDown="1" sqref="N25">
      <formula1>IF(COUNTA(filter($E22:$W22,ARRAYFORMULA(ISERROR(FIND(join(",",filter(split($H$84,","),ARRAYFORMULA(ISERROR(FIND(split($H$84,","),N25)))=FALSE)),$E22:$W22))=FALSE)))&gt;1,FALSE,TRUE)</formula1>
    </dataValidation>
    <dataValidation type="custom" allowBlank="1" showDropDown="1" sqref="E4:E5 F6:F7 L26 F28:F29 E30:E31">
      <formula1>IF(COUNTA(filter($E7:$W7,ARRAYFORMULA(ISERROR(FIND(join(",",filter(split($H$84,","),ARRAYFORMULA(ISERROR(FIND(split($H$84,","),E4)))=FALSE)),$E7:$W7))=FALSE)))&gt;1,FALSE,TRUE)</formula1>
    </dataValidation>
    <dataValidation type="custom" allowBlank="1" showDropDown="1" sqref="N2 R2 T2 G2:G3 J2:J3 L4 P2:P4 G5:H6 K5:M6 T5:T6 P7:P8 T7:U8 G7:G9 H10 J10 N9:N10 Q9:Q10 S10 W2:W10 E12:W12 E13:E14 H13:H14 L13:L14 E17:E18 G15:G18 S17:S18 H19:H20 J15:J20 L17:L20 G21 R19:R21 T21 H22 G23:R23 J25 P26 R26 Q27 P28 E28:E29 I28:I29 Q29 T29 F30:G31 P30:Q31 J32:J33 W13:W33 R34:R35 T34:W35 G36:G37 L36:M37 P36:Q37 H38:H39 J38:J39 L38:N39 E38:E41 G40:G41 J40:K41 N40:P41 R38:S41 R42:T42 J42:L43 T43 E44 G42:H44 K44 Q44 H45 M44:N45 W36:W45 E46:W46 F47:G48 I47:I48 L47:L48 N47:P48 G49 L49:M50 L52 N51:O52 I51:I53 P53 G54:H54 E55 O54:P55 N56:O56 W47:W56 E57:W57 E58 W58:W59 E60:O61 T60:W61 E62:W66 K68:K69 H67:H74">
      <formula1>IF(COUNTA(filter($E2:$W2,ARRAYFORMULA(ISERROR(FIND(join(",",filter(split($H$84,","),ARRAYFORMULA(ISERROR(FIND(split($H$84,","),E2)))=FALSE)),$E2:$W2))=FALSE)))&gt;1,FALSE,TRUE)</formula1>
    </dataValidation>
    <dataValidation type="custom" allowBlank="1" showDropDown="1" sqref="H40:H41 T50:T51">
      <formula1>IF(COUNTA(filter($E72:$W72,ARRAYFORMULA(ISERROR(FIND(join(",",filter(split($H$84,","),ARRAYFORMULA(ISERROR(FIND(split($H$84,","),H40)))=FALSE)),$E72:$W72))=FALSE)))&gt;1,FALSE,TRUE)</formula1>
    </dataValidation>
    <dataValidation type="custom" allowBlank="1" showDropDown="1" sqref="N21">
      <formula1>IF(COUNTA(filter($E33:$W33,ARRAYFORMULA(ISERROR(FIND(join(",",filter(split($H$84,","),ARRAYFORMULA(ISERROR(FIND(split($H$84,","),N21)))=FALSE)),$E33:$W33))=FALSE)))&gt;1,FALSE,TRUE)</formula1>
    </dataValidation>
    <dataValidation type="custom" allowBlank="1" showDropDown="1" sqref="R13:R14">
      <formula1>IF(COUNTA(filter($E3:$W3,ARRAYFORMULA(ISERROR(FIND(join(",",filter(split($H$84,","),ARRAYFORMULA(ISERROR(FIND(split($H$84,","),R13)))=FALSE)),$E3:$W3))=FALSE)))&gt;1,FALSE,TRUE)</formula1>
    </dataValidation>
    <dataValidation type="custom" allowBlank="1" showDropDown="1" sqref="N3 P5:P6 J7:J8 L10">
      <formula1>IF(COUNTA(filter($E36:$W36,ARRAYFORMULA(ISERROR(FIND(join(",",filter(split($H$84,","),ARRAYFORMULA(ISERROR(FIND(split($H$84,","),J3)))=FALSE)),$E36:$W36))=FALSE)))&gt;1,FALSE,TRUE)</formula1>
    </dataValidation>
    <dataValidation type="custom" allowBlank="1" showDropDown="1" sqref="T47">
      <formula1>IF(COUNTA(filter($E53:$W53,ARRAYFORMULA(ISERROR(FIND(join(",",filter(split($H$84,","),ARRAYFORMULA(ISERROR(FIND(split($H$84,","),T47)))=FALSE)),$E53:$W53))=FALSE)))&gt;1,FALSE,TRUE)</formula1>
    </dataValidation>
    <dataValidation type="custom" allowBlank="1" showDropDown="1" sqref="H51:H53 F54">
      <formula1>IF(COUNTA(filter($E1:$W1,ARRAYFORMULA(ISERROR(FIND(join(",",filter(split($H$84,","),ARRAYFORMULA(ISERROR(FIND(split($H$84,","),F51)))=FALSE)),$E1:$W1))=FALSE)))&gt;1,FALSE,TRUE)</formula1>
    </dataValidation>
    <dataValidation type="custom" allowBlank="1" showDropDown="1" sqref="T17:T18 P32 P44:P45">
      <formula1>IF(COUNTA(filter($E26:$W26,ARRAYFORMULA(ISERROR(FIND(join(",",filter(split($H$84,","),ARRAYFORMULA(ISERROR(FIND(split($H$84,","),P17)))=FALSE)),$E26:$W26))=FALSE)))&gt;1,FALSE,TRUE)</formula1>
    </dataValidation>
    <dataValidation type="custom" allowBlank="1" showDropDown="1" sqref="J13:J14 L15:L16 N17:N18 P19:P20">
      <formula1>IF(COUNTA(filter($E47:$W47,ARRAYFORMULA(ISERROR(FIND(join(",",filter(split($H$84,","),ARRAYFORMULA(ISERROR(FIND(split($H$84,","),J13)))=FALSE)),$E47:$W47))=FALSE)))&gt;1,FALSE,TRUE)</formula1>
    </dataValidation>
    <dataValidation type="custom" allowBlank="1" showDropDown="1" sqref="J26">
      <formula1>IF(COUNTA(filter($E31:$W31,ARRAYFORMULA(ISERROR(FIND(join(",",filter(split($H$84,","),ARRAYFORMULA(ISERROR(FIND(split($H$84,","),J26)))=FALSE)),$E31:$W31))=FALSE)))&gt;1,FALSE,TRUE)</formula1>
    </dataValidation>
    <dataValidation type="custom" allowBlank="1" showDropDown="1" sqref="N4:N6 N13:N14 H26 L27 T25:T28 J29:J30 L31 T38:T39 N42:N43">
      <formula1>IF(COUNTA(filter($E6:$W6,ARRAYFORMULA(ISERROR(FIND(join(",",filter(split($H$84,","),ARRAYFORMULA(ISERROR(FIND(split($H$84,","),H4)))=FALSE)),$E6:$W6))=FALSE)))&gt;1,FALSE,TRUE)</formula1>
    </dataValidation>
    <dataValidation type="custom" allowBlank="1" showDropDown="1" sqref="N7">
      <formula1>IF(COUNTA(filter(#REF!,ARRAYFORMULA(ISERROR(FIND(join(",",filter(split($H$84,","),ARRAYFORMULA(ISERROR(FIND(split($H$84,","),#REF!)))=FALSE)),#REF!))=FALSE)))&gt;1,FALSE,TRUE)</formula1>
    </dataValidation>
    <dataValidation type="custom" allowBlank="1" showDropDown="1" sqref="N26 P27 P29 S31 S33 R48:R49 T52:V53 P60">
      <formula1>IF(COUNTA(filter($E25:$W25,ARRAYFORMULA(ISERROR(FIND(join(",",filter(split($H$84,","),ARRAYFORMULA(ISERROR(FIND(split($H$84,","),N26)))=FALSE)),$E25:$W25))=FALSE)))&gt;1,FALSE,TRUE)</formula1>
    </dataValidation>
    <dataValidation type="custom" allowBlank="1" showDropDown="1" sqref="S53:S54">
      <formula1>IF(COUNTA(filter($E9:$W9,ARRAYFORMULA(ISERROR(FIND(join(",",filter(split($H$84,","),ARRAYFORMULA(ISERROR(FIND(split($H$84,","),S53)))=FALSE)),$E9:$W9))=FALSE)))&gt;1,FALSE,TRUE)</formula1>
    </dataValidation>
    <dataValidation type="custom" allowBlank="1" showDropDown="1" sqref="G32 E33:E35">
      <formula1>IF(COUNTA(filter($E32:$W32,ARRAYFORMULA(ISERROR(FIND(join(",",filter(split($H$83,","),ARRAYFORMULA(ISERROR(FIND(split($H$83,","),#REF!)))=FALSE)),$E32:$W32))=FALSE)))&gt;1,FALSE,TRUE)</formula1>
    </dataValidation>
    <dataValidation type="custom" allowBlank="1" showDropDown="1" sqref="E2 R30">
      <formula1>IF(COUNTA(filter($E2:$W2,ARRAYFORMULA(ISERROR(FIND(join(",",filter(split($H$83,","),ARRAYFORMULA(ISERROR(FIND(split($H$83,","),E2)))=FALSE)),$E2:$W2))=FALSE)))&gt;1,FALSE,TRUE)</formula1>
    </dataValidation>
    <dataValidation type="custom" allowBlank="1" showDropDown="1" sqref="T19:T20">
      <formula1>IF(COUNTA(filter($E26:$W26,ARRAYFORMULA(ISERROR(FIND(join(",",filter(split($H$84,","),ARRAYFORMULA(ISERROR(FIND(split($H$84,","),T19)))=FALSE)),$E26:$W26))=FALSE)))&gt;1,FALSE,TRUE)</formula1>
    </dataValidation>
    <dataValidation type="custom" allowBlank="1" showDropDown="1" sqref="P9:P10 R15:S16 P17:Q18 N19:N20 N30:N31 J53:J54 L53:L54">
      <formula1>IF(COUNTA(filter($E7:$W7,ARRAYFORMULA(ISERROR(FIND(join(",",filter(split($H$84,","),ARRAYFORMULA(ISERROR(FIND(split($H$84,","),J9)))=FALSE)),$E7:$W7))=FALSE)))&gt;1,FALSE,TRUE)</formula1>
    </dataValidation>
    <dataValidation type="custom" allowBlank="1" showDropDown="1" sqref="S3:S4">
      <formula1>IF(COUNTA(filter($E27:$W27,ARRAYFORMULA(ISERROR(FIND(join(",",filter(split($H$84,","),ARRAYFORMULA(ISERROR(FIND(split($H$84,","),S3)))=FALSE)),$E27:$W27))=FALSE)))&gt;1,FALSE,TRUE)</formula1>
    </dataValidation>
    <dataValidation type="custom" allowBlank="1" showDropDown="1" sqref="T3:T4">
      <formula1>IF(COUNTA(filter($E47:$W47,ARRAYFORMULA(ISERROR(FIND(join(",",filter(split($H$84,","),ARRAYFORMULA(ISERROR(FIND(split($H$84,","),T3)))=FALSE)),$E47:$W47))=FALSE)))&gt;1,FALSE,TRUE)</formula1>
    </dataValidation>
    <dataValidation type="custom" allowBlank="1" showDropDown="1" sqref="T36:T37">
      <formula1>IF(COUNTA(filter($E13:$W13,ARRAYFORMULA(ISERROR(FIND(join(",",filter(split($H$84,","),ARRAYFORMULA(ISERROR(FIND(split($H$84,","),T36)))=FALSE)),$E13:$W13))=FALSE)))&gt;1,FALSE,TRUE)</formula1>
    </dataValidation>
    <dataValidation type="custom" allowBlank="1" showDropDown="1" sqref="J47:J48 K67">
      <formula1>IF(COUNTA(filter($E9:$W9,ARRAYFORMULA(ISERROR(FIND(join(",",filter(split($H$84,","),ARRAYFORMULA(ISERROR(FIND(split($H$84,","),J47)))=FALSE)),$E9:$W9))=FALSE)))&gt;1,FALSE,TRUE)</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429" t="s">
        <v>9848</v>
      </c>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18">
        <v>45019.0</v>
      </c>
      <c r="B2" s="19">
        <v>1.0</v>
      </c>
      <c r="C2" s="20" t="s">
        <v>12</v>
      </c>
      <c r="D2" s="20" t="s">
        <v>13</v>
      </c>
      <c r="E2" s="21" t="s">
        <v>9849</v>
      </c>
      <c r="F2" s="22"/>
      <c r="G2" s="23" t="s">
        <v>9850</v>
      </c>
      <c r="H2" s="24"/>
      <c r="I2" s="25"/>
      <c r="J2" s="21" t="s">
        <v>9851</v>
      </c>
      <c r="K2" s="24"/>
      <c r="L2" s="24"/>
      <c r="M2" s="25"/>
      <c r="N2" s="21" t="s">
        <v>9852</v>
      </c>
      <c r="O2" s="25"/>
      <c r="P2" s="844" t="s">
        <v>9853</v>
      </c>
      <c r="Q2" s="245"/>
      <c r="R2" s="21" t="s">
        <v>9854</v>
      </c>
      <c r="S2" s="25"/>
      <c r="T2" s="21" t="s">
        <v>9855</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9856</v>
      </c>
      <c r="F3" s="34" t="s">
        <v>9857</v>
      </c>
      <c r="G3" s="35" t="s">
        <v>25</v>
      </c>
      <c r="H3" s="36"/>
      <c r="I3" s="13"/>
      <c r="J3" s="37" t="s">
        <v>9858</v>
      </c>
      <c r="K3" s="13"/>
      <c r="L3" s="38" t="s">
        <v>9859</v>
      </c>
      <c r="M3" s="13"/>
      <c r="N3" s="37" t="s">
        <v>9860</v>
      </c>
      <c r="O3" s="13"/>
      <c r="P3" s="142"/>
      <c r="Q3" s="72"/>
      <c r="R3" s="39" t="s">
        <v>9861</v>
      </c>
      <c r="S3" s="40" t="s">
        <v>9862</v>
      </c>
      <c r="T3" s="37" t="s">
        <v>32</v>
      </c>
      <c r="U3" s="36"/>
      <c r="V3" s="41"/>
      <c r="W3" s="26"/>
      <c r="X3" s="42" t="s">
        <v>21</v>
      </c>
      <c r="Y3" s="42" t="s">
        <v>22</v>
      </c>
      <c r="Z3" s="28"/>
      <c r="AA3" s="14"/>
      <c r="AB3" s="15" t="str">
        <f>IFERROR(__xludf.DUMMYFUNCTION("join("","",filter(split($H$84,"",""),ARRAYFORMULA(ISERROR(FIND(split($H$84,"",""),CONCATENATE(E3:V3))))=TRUE))"),"СЗ,201,404,405,406,410,АЗ")</f>
        <v>СЗ,201,404,405,406,410,АЗ</v>
      </c>
      <c r="AC3" s="14"/>
      <c r="AD3" s="14"/>
      <c r="AE3" s="14"/>
      <c r="AF3" s="29"/>
      <c r="AG3" s="29"/>
      <c r="AH3" s="29"/>
    </row>
    <row r="4" ht="40.5" hidden="1" customHeight="1">
      <c r="A4" s="30"/>
      <c r="B4" s="31">
        <v>3.0</v>
      </c>
      <c r="C4" s="32" t="s">
        <v>33</v>
      </c>
      <c r="D4" s="32" t="s">
        <v>34</v>
      </c>
      <c r="E4" s="33" t="s">
        <v>9863</v>
      </c>
      <c r="F4" s="39" t="s">
        <v>9864</v>
      </c>
      <c r="G4" s="43" t="s">
        <v>9865</v>
      </c>
      <c r="H4" s="44" t="s">
        <v>9866</v>
      </c>
      <c r="I4" s="45" t="s">
        <v>9867</v>
      </c>
      <c r="J4" s="38" t="s">
        <v>9868</v>
      </c>
      <c r="K4" s="13"/>
      <c r="L4" s="45" t="s">
        <v>9869</v>
      </c>
      <c r="M4" s="13"/>
      <c r="N4" s="37" t="s">
        <v>9870</v>
      </c>
      <c r="O4" s="13"/>
      <c r="P4" s="37" t="s">
        <v>9871</v>
      </c>
      <c r="Q4" s="13"/>
      <c r="R4" s="39" t="s">
        <v>9872</v>
      </c>
      <c r="S4" s="40" t="s">
        <v>9873</v>
      </c>
      <c r="T4" s="37" t="s">
        <v>46</v>
      </c>
      <c r="U4" s="36"/>
      <c r="V4" s="41"/>
      <c r="W4" s="26"/>
      <c r="X4" s="42" t="s">
        <v>33</v>
      </c>
      <c r="Y4" s="42" t="s">
        <v>34</v>
      </c>
      <c r="Z4" s="48" t="s">
        <v>47</v>
      </c>
      <c r="AA4" s="14"/>
      <c r="AB4" s="15" t="str">
        <f>IFERROR(__xludf.DUMMYFUNCTION("join("","",filter(split($H$84,"",""),ARRAYFORMULA(ISERROR(FIND(split($H$84,"",""),CONCATENATE(E4:V4))))=TRUE))"),"КЗ,201,202,404,406,АЗ")</f>
        <v>КЗ,201,202,404,406,АЗ</v>
      </c>
      <c r="AC4" s="14"/>
      <c r="AD4" s="14"/>
      <c r="AE4" s="14"/>
      <c r="AF4" s="29"/>
      <c r="AG4" s="29"/>
      <c r="AH4" s="29"/>
    </row>
    <row r="5" ht="40.5" hidden="1" customHeight="1">
      <c r="A5" s="30"/>
      <c r="B5" s="31">
        <v>4.0</v>
      </c>
      <c r="C5" s="32" t="s">
        <v>48</v>
      </c>
      <c r="D5" s="32" t="s">
        <v>49</v>
      </c>
      <c r="E5" s="33" t="s">
        <v>9874</v>
      </c>
      <c r="F5" s="39" t="s">
        <v>9875</v>
      </c>
      <c r="G5" s="43" t="s">
        <v>9876</v>
      </c>
      <c r="H5" s="45" t="s">
        <v>9877</v>
      </c>
      <c r="I5" s="13"/>
      <c r="J5" s="33" t="s">
        <v>9878</v>
      </c>
      <c r="K5" s="44" t="s">
        <v>9879</v>
      </c>
      <c r="L5" s="44" t="s">
        <v>9880</v>
      </c>
      <c r="M5" s="45" t="s">
        <v>9881</v>
      </c>
      <c r="N5" s="37" t="s">
        <v>9882</v>
      </c>
      <c r="O5" s="13"/>
      <c r="P5" s="37" t="s">
        <v>9883</v>
      </c>
      <c r="Q5" s="13"/>
      <c r="R5" s="51" t="s">
        <v>9884</v>
      </c>
      <c r="S5" s="13"/>
      <c r="T5" s="52" t="s">
        <v>9885</v>
      </c>
      <c r="U5" s="36"/>
      <c r="V5" s="41"/>
      <c r="W5" s="26"/>
      <c r="X5" s="42" t="s">
        <v>48</v>
      </c>
      <c r="Y5" s="42" t="s">
        <v>49</v>
      </c>
      <c r="Z5" s="48" t="s">
        <v>57</v>
      </c>
      <c r="AA5" s="14"/>
      <c r="AB5" s="15" t="str">
        <f>IFERROR(__xludf.DUMMYFUNCTION("join("","",filter(split($H$84,"",""),ARRAYFORMULA(ISERROR(FIND(split($H$84,"",""),CONCATENATE(E5:V5))))=TRUE))"),"СЗ,КЗ,202,206,406")</f>
        <v>СЗ,КЗ,202,206,406</v>
      </c>
      <c r="AC5" s="14"/>
      <c r="AD5" s="14"/>
      <c r="AE5" s="14"/>
      <c r="AF5" s="29"/>
      <c r="AG5" s="29"/>
      <c r="AH5" s="29"/>
    </row>
    <row r="6" ht="40.5" hidden="1" customHeight="1">
      <c r="A6" s="30"/>
      <c r="B6" s="31">
        <v>5.0</v>
      </c>
      <c r="C6" s="32" t="s">
        <v>58</v>
      </c>
      <c r="D6" s="53">
        <v>44847.0</v>
      </c>
      <c r="E6" s="39" t="s">
        <v>9886</v>
      </c>
      <c r="F6" s="34" t="s">
        <v>9887</v>
      </c>
      <c r="G6" s="43" t="s">
        <v>9888</v>
      </c>
      <c r="H6" s="45" t="s">
        <v>9889</v>
      </c>
      <c r="I6" s="13"/>
      <c r="J6" s="33" t="s">
        <v>9890</v>
      </c>
      <c r="K6" s="44" t="s">
        <v>64</v>
      </c>
      <c r="L6" s="44" t="s">
        <v>9891</v>
      </c>
      <c r="M6" s="45" t="s">
        <v>9892</v>
      </c>
      <c r="N6" s="37" t="s">
        <v>9882</v>
      </c>
      <c r="O6" s="13"/>
      <c r="P6" s="37" t="s">
        <v>9893</v>
      </c>
      <c r="Q6" s="13"/>
      <c r="R6" s="51" t="s">
        <v>9894</v>
      </c>
      <c r="S6" s="13"/>
      <c r="T6" s="52" t="s">
        <v>9895</v>
      </c>
      <c r="U6" s="36"/>
      <c r="V6" s="41"/>
      <c r="W6" s="26"/>
      <c r="X6" s="42" t="s">
        <v>58</v>
      </c>
      <c r="Y6" s="54">
        <v>44847.0</v>
      </c>
      <c r="Z6" s="48" t="s">
        <v>70</v>
      </c>
      <c r="AA6" s="14"/>
      <c r="AB6" s="15" t="str">
        <f>IFERROR(__xludf.DUMMYFUNCTION("join("","",filter(split($H$84,"",""),ARRAYFORMULA(ISERROR(FIND(split($H$84,"",""),CONCATENATE(E6:V6))))=TRUE))"),"СЗ,КЗ,202,206,406")</f>
        <v>СЗ,КЗ,202,206,406</v>
      </c>
      <c r="AC6" s="14"/>
      <c r="AD6" s="14"/>
      <c r="AE6" s="14"/>
      <c r="AF6" s="29"/>
      <c r="AG6" s="29"/>
      <c r="AH6" s="29"/>
    </row>
    <row r="7" ht="42.0" hidden="1" customHeight="1">
      <c r="A7" s="30"/>
      <c r="B7" s="31">
        <v>6.0</v>
      </c>
      <c r="C7" s="55" t="s">
        <v>71</v>
      </c>
      <c r="D7" s="56" t="s">
        <v>72</v>
      </c>
      <c r="E7" s="39" t="s">
        <v>9896</v>
      </c>
      <c r="F7" s="34" t="s">
        <v>9897</v>
      </c>
      <c r="G7" s="43" t="s">
        <v>9898</v>
      </c>
      <c r="H7" s="45" t="s">
        <v>9899</v>
      </c>
      <c r="I7" s="13"/>
      <c r="J7" s="37" t="s">
        <v>9900</v>
      </c>
      <c r="K7" s="13"/>
      <c r="L7" s="45" t="s">
        <v>9901</v>
      </c>
      <c r="M7" s="13"/>
      <c r="N7" s="37" t="s">
        <v>9902</v>
      </c>
      <c r="O7" s="13"/>
      <c r="P7" s="37" t="s">
        <v>9903</v>
      </c>
      <c r="Q7" s="13"/>
      <c r="R7" s="57" t="s">
        <v>9904</v>
      </c>
      <c r="T7" s="33" t="s">
        <v>9905</v>
      </c>
      <c r="U7" s="45" t="s">
        <v>9906</v>
      </c>
      <c r="V7" s="41"/>
      <c r="W7" s="26"/>
      <c r="X7" s="58" t="s">
        <v>71</v>
      </c>
      <c r="Y7" s="59" t="s">
        <v>72</v>
      </c>
      <c r="Z7" s="48" t="s">
        <v>84</v>
      </c>
      <c r="AA7" s="14"/>
      <c r="AB7" s="15" t="str">
        <f>IFERROR(__xludf.DUMMYFUNCTION("join("","",filter(split($H$84,"",""),ARRAYFORMULA(ISERROR(FIND(split($H$84,"",""),CONCATENATE(E7:V7))))=TRUE))"),"КЗ,202,206,403,406,АЗ")</f>
        <v>КЗ,202,206,403,406,АЗ</v>
      </c>
      <c r="AC7" s="14"/>
      <c r="AD7" s="14"/>
      <c r="AE7" s="14"/>
      <c r="AF7" s="29"/>
      <c r="AG7" s="29"/>
      <c r="AH7" s="29"/>
    </row>
    <row r="8" ht="42.0" hidden="1" customHeight="1">
      <c r="A8" s="30"/>
      <c r="B8" s="31">
        <v>7.0</v>
      </c>
      <c r="C8" s="32" t="s">
        <v>85</v>
      </c>
      <c r="D8" s="32" t="s">
        <v>86</v>
      </c>
      <c r="E8" s="39" t="s">
        <v>9907</v>
      </c>
      <c r="F8" s="319" t="s">
        <v>9908</v>
      </c>
      <c r="G8" s="43" t="s">
        <v>9909</v>
      </c>
      <c r="H8" s="45" t="s">
        <v>9910</v>
      </c>
      <c r="I8" s="13"/>
      <c r="J8" s="37" t="s">
        <v>9911</v>
      </c>
      <c r="K8" s="13"/>
      <c r="L8" s="45" t="s">
        <v>9912</v>
      </c>
      <c r="M8" s="13"/>
      <c r="N8" s="37" t="s">
        <v>9913</v>
      </c>
      <c r="O8" s="13"/>
      <c r="P8" s="37" t="s">
        <v>9914</v>
      </c>
      <c r="Q8" s="13"/>
      <c r="R8" s="37" t="s">
        <v>9915</v>
      </c>
      <c r="S8" s="13"/>
      <c r="T8" s="43" t="s">
        <v>9916</v>
      </c>
      <c r="U8" s="45" t="s">
        <v>9917</v>
      </c>
      <c r="V8" s="41"/>
      <c r="W8" s="26"/>
      <c r="X8" s="42" t="s">
        <v>85</v>
      </c>
      <c r="Y8" s="42" t="s">
        <v>86</v>
      </c>
      <c r="Z8" s="48" t="s">
        <v>97</v>
      </c>
      <c r="AA8" s="14"/>
      <c r="AB8" s="15" t="str">
        <f>IFERROR(__xludf.DUMMYFUNCTION("join("","",filter(split($H$84,"",""),ARRAYFORMULA(ISERROR(FIND(split($H$84,"",""),CONCATENATE(E8:V8))))=TRUE))"),"КЗ,202,206,406,409,410,АЗ")</f>
        <v>КЗ,202,206,406,409,410,АЗ</v>
      </c>
      <c r="AC8" s="14"/>
      <c r="AD8" s="14"/>
      <c r="AE8" s="14"/>
      <c r="AF8" s="29"/>
      <c r="AG8" s="29"/>
      <c r="AH8" s="29"/>
    </row>
    <row r="9" ht="40.5" hidden="1" customHeight="1">
      <c r="A9" s="30"/>
      <c r="B9" s="31">
        <v>8.0</v>
      </c>
      <c r="C9" s="32" t="s">
        <v>98</v>
      </c>
      <c r="D9" s="32" t="s">
        <v>99</v>
      </c>
      <c r="E9" s="320" t="s">
        <v>9918</v>
      </c>
      <c r="F9" s="39" t="s">
        <v>9919</v>
      </c>
      <c r="G9" s="43" t="s">
        <v>9920</v>
      </c>
      <c r="H9" s="45" t="s">
        <v>9921</v>
      </c>
      <c r="I9" s="13"/>
      <c r="J9" s="37" t="s">
        <v>9922</v>
      </c>
      <c r="K9" s="13"/>
      <c r="L9" s="45" t="s">
        <v>9923</v>
      </c>
      <c r="M9" s="13"/>
      <c r="N9" s="61" t="s">
        <v>9924</v>
      </c>
      <c r="O9" s="13"/>
      <c r="P9" s="62" t="s">
        <v>9925</v>
      </c>
      <c r="Q9" s="45" t="s">
        <v>9926</v>
      </c>
      <c r="R9" s="63" t="s">
        <v>108</v>
      </c>
      <c r="S9" s="64"/>
      <c r="T9" s="64"/>
      <c r="U9" s="64"/>
      <c r="V9" s="64"/>
      <c r="W9" s="26"/>
      <c r="X9" s="42" t="s">
        <v>98</v>
      </c>
      <c r="Y9" s="42" t="s">
        <v>99</v>
      </c>
      <c r="Z9" s="11"/>
      <c r="AA9" s="14"/>
      <c r="AB9" s="15" t="str">
        <f>IFERROR(__xludf.DUMMYFUNCTION("join("","",filter(split($H$84,"",""),ARRAYFORMULA(ISERROR(FIND(split($H$84,"",""),CONCATENATE(E9:V9))))=TRUE))"),"КЗ,206,405,406,409,410,АЗ")</f>
        <v>КЗ,206,405,406,409,410,АЗ</v>
      </c>
      <c r="AC9" s="14"/>
      <c r="AD9" s="14"/>
      <c r="AE9" s="14"/>
      <c r="AF9" s="29"/>
      <c r="AG9" s="29"/>
      <c r="AH9" s="29"/>
    </row>
    <row r="10" ht="75.75" hidden="1" customHeight="1">
      <c r="A10" s="30"/>
      <c r="B10" s="31">
        <v>9.0</v>
      </c>
      <c r="C10" s="65">
        <v>44697.0</v>
      </c>
      <c r="D10" s="44" t="s">
        <v>109</v>
      </c>
      <c r="E10" s="66" t="s">
        <v>9927</v>
      </c>
      <c r="F10" s="67"/>
      <c r="G10" s="43" t="s">
        <v>9928</v>
      </c>
      <c r="H10" s="45" t="s">
        <v>9929</v>
      </c>
      <c r="I10" s="13"/>
      <c r="J10" s="37" t="s">
        <v>9930</v>
      </c>
      <c r="K10" s="13"/>
      <c r="L10" s="45" t="s">
        <v>9931</v>
      </c>
      <c r="M10" s="13"/>
      <c r="N10" s="61" t="s">
        <v>9932</v>
      </c>
      <c r="O10" s="13"/>
      <c r="P10" s="62" t="s">
        <v>9933</v>
      </c>
      <c r="Q10" s="68" t="s">
        <v>117</v>
      </c>
      <c r="R10" s="37" t="s">
        <v>9934</v>
      </c>
      <c r="S10" s="68" t="s">
        <v>9935</v>
      </c>
      <c r="T10" s="36"/>
      <c r="U10" s="36"/>
      <c r="V10" s="41"/>
      <c r="W10" s="26"/>
      <c r="X10" s="69">
        <v>44697.0</v>
      </c>
      <c r="Y10" s="70" t="s">
        <v>109</v>
      </c>
      <c r="Z10" s="28"/>
      <c r="AA10" s="14"/>
      <c r="AB10" s="15" t="str">
        <f>IFERROR(__xludf.DUMMYFUNCTION("join("","",filter(split($H$84,"",""),ARRAYFORMULA(ISERROR(FIND(split($H$84,"",""),CONCATENATE(E10:V10))))=TRUE))"),"КЗ,206,210,403,405,406,408,409,АЗ")</f>
        <v>КЗ,206,210,403,405,406,408,409,АЗ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9936</v>
      </c>
      <c r="U11" s="36"/>
      <c r="V11" s="41"/>
      <c r="W11" s="26"/>
      <c r="X11" s="70" t="s">
        <v>120</v>
      </c>
      <c r="Y11" s="70" t="s">
        <v>121</v>
      </c>
      <c r="Z11" s="28"/>
      <c r="AA11" s="14"/>
      <c r="AB11" s="15" t="str">
        <f>IFERROR(__xludf.DUMMYFUNCTION("join("","",filter(split($H$84,"",""),ARRAYFORMULA(ISERROR(FIND(split($H$84,"",""),CONCATENATE(F11:V11))))=TRUE))"),"СЗ,КЗ,201,202,206,209,210,401,402,403,404,405,406,408,409,410")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IFERROR(__xludf.DUMMYFUNCTION("join("","",filter(split($H$84,"",""),ARRAYFORMULA(ISERROR(FIND(split($H$84,"",""),CONCATENATE(E12:V12))))=TRUE))"),"СЗ,КЗ,201,202,206,209,210,401,402,403,404,405,406,408,409,410,АЗ")</f>
        <v>СЗ,КЗ,201,202,206,209,210,401,402,403,404,405,406,408,409,410,АЗ</v>
      </c>
      <c r="AC12" s="14"/>
      <c r="AD12" s="14"/>
      <c r="AE12" s="14"/>
      <c r="AF12" s="29"/>
      <c r="AG12" s="29"/>
      <c r="AH12" s="29"/>
    </row>
    <row r="13" ht="75.0" hidden="1" customHeight="1">
      <c r="A13" s="18">
        <v>45020.0</v>
      </c>
      <c r="B13" s="19">
        <v>1.0</v>
      </c>
      <c r="C13" s="20" t="s">
        <v>12</v>
      </c>
      <c r="D13" s="20" t="s">
        <v>13</v>
      </c>
      <c r="E13" s="80" t="s">
        <v>9937</v>
      </c>
      <c r="F13" s="25"/>
      <c r="G13" s="845"/>
      <c r="H13" s="80"/>
      <c r="I13" s="22"/>
      <c r="J13" s="23" t="s">
        <v>9938</v>
      </c>
      <c r="K13" s="25"/>
      <c r="L13" s="80" t="s">
        <v>9939</v>
      </c>
      <c r="M13" s="25"/>
      <c r="N13" s="846" t="s">
        <v>9940</v>
      </c>
      <c r="O13" s="25"/>
      <c r="P13" s="21" t="s">
        <v>9941</v>
      </c>
      <c r="Q13" s="22"/>
      <c r="R13" s="23" t="s">
        <v>9942</v>
      </c>
      <c r="S13" s="22"/>
      <c r="T13" s="847" t="s">
        <v>9943</v>
      </c>
      <c r="U13" s="247"/>
      <c r="V13" s="6"/>
      <c r="W13" s="26"/>
      <c r="X13" s="27" t="s">
        <v>12</v>
      </c>
      <c r="Y13" s="27" t="s">
        <v>13</v>
      </c>
      <c r="Z13" s="28"/>
      <c r="AA13" s="85"/>
      <c r="AB13" s="15" t="str">
        <f>IFERROR(__xludf.DUMMYFUNCTION("join("","",filter(split($H$84,"",""),ARRAYFORMULA(ISERROR(FIND(split($H$84,"",""),CONCATENATE(E13:V13))))=TRUE))"),"СЗ,202,206,209,403,404,405,410,АЗ")</f>
        <v>СЗ,202,206,209,403,404,405,410,АЗ</v>
      </c>
      <c r="AC13" s="14"/>
      <c r="AD13" s="14"/>
      <c r="AE13" s="14"/>
      <c r="AF13" s="29"/>
      <c r="AG13" s="29"/>
      <c r="AH13" s="29"/>
    </row>
    <row r="14" ht="40.5" hidden="1" customHeight="1">
      <c r="A14" s="30"/>
      <c r="B14" s="31">
        <v>2.0</v>
      </c>
      <c r="C14" s="32" t="s">
        <v>21</v>
      </c>
      <c r="D14" s="32" t="s">
        <v>22</v>
      </c>
      <c r="E14" s="45" t="s">
        <v>9944</v>
      </c>
      <c r="F14" s="13"/>
      <c r="G14" s="86" t="s">
        <v>9945</v>
      </c>
      <c r="H14" s="36"/>
      <c r="I14" s="41"/>
      <c r="J14" s="35" t="s">
        <v>9946</v>
      </c>
      <c r="K14" s="13"/>
      <c r="L14" s="45" t="s">
        <v>9947</v>
      </c>
      <c r="M14" s="13"/>
      <c r="N14" s="87" t="s">
        <v>9948</v>
      </c>
      <c r="O14" s="13"/>
      <c r="P14" s="37" t="s">
        <v>9949</v>
      </c>
      <c r="Q14" s="41"/>
      <c r="R14" s="35" t="s">
        <v>9950</v>
      </c>
      <c r="S14" s="41"/>
      <c r="T14" s="224"/>
      <c r="V14" s="134"/>
      <c r="W14" s="26"/>
      <c r="X14" s="42" t="s">
        <v>21</v>
      </c>
      <c r="Y14" s="42" t="s">
        <v>22</v>
      </c>
      <c r="Z14" s="28"/>
      <c r="AA14" s="85"/>
      <c r="AB14" s="15" t="str">
        <f>IFERROR(__xludf.DUMMYFUNCTION("join("","",filter(split($H$84,"",""),ARRAYFORMULA(ISERROR(FIND(split($H$84,"",""),CONCATENATE(E14:V14))))=TRUE))"),"СЗ,КЗ,206,403,404,405,406,408,410,АЗ")</f>
        <v>СЗ,КЗ,206,403,404,405,406,408,410,АЗ</v>
      </c>
      <c r="AC14" s="14"/>
      <c r="AD14" s="14"/>
      <c r="AE14" s="14"/>
      <c r="AF14" s="29"/>
      <c r="AG14" s="29"/>
      <c r="AH14" s="29"/>
    </row>
    <row r="15" ht="40.5" hidden="1" customHeight="1">
      <c r="A15" s="30"/>
      <c r="B15" s="31">
        <v>3.0</v>
      </c>
      <c r="C15" s="32" t="s">
        <v>33</v>
      </c>
      <c r="D15" s="32" t="s">
        <v>34</v>
      </c>
      <c r="E15" s="45" t="s">
        <v>9951</v>
      </c>
      <c r="F15" s="13"/>
      <c r="G15" s="37" t="s">
        <v>9952</v>
      </c>
      <c r="H15" s="36"/>
      <c r="I15" s="41"/>
      <c r="J15" s="35" t="s">
        <v>9953</v>
      </c>
      <c r="K15" s="13"/>
      <c r="L15" s="45" t="s">
        <v>9954</v>
      </c>
      <c r="M15" s="13"/>
      <c r="N15" s="89" t="s">
        <v>9955</v>
      </c>
      <c r="O15" s="13"/>
      <c r="P15" s="37" t="s">
        <v>9956</v>
      </c>
      <c r="Q15" s="90" t="s">
        <v>9957</v>
      </c>
      <c r="R15" s="43" t="s">
        <v>9958</v>
      </c>
      <c r="S15" s="45" t="s">
        <v>9959</v>
      </c>
      <c r="T15" s="224"/>
      <c r="V15" s="134"/>
      <c r="W15" s="26"/>
      <c r="X15" s="42" t="s">
        <v>33</v>
      </c>
      <c r="Y15" s="42" t="s">
        <v>34</v>
      </c>
      <c r="Z15" s="48" t="s">
        <v>47</v>
      </c>
      <c r="AA15" s="85" t="str">
        <f>AA$5</f>
        <v/>
      </c>
      <c r="AB15" s="15" t="str">
        <f>IFERROR(__xludf.DUMMYFUNCTION("join("","",filter(split($H$84,"",""),ARRAYFORMULA(ISERROR(FIND(split($H$84,"",""),CONCATENATE(E15:V15))))=TRUE))"),"КЗ,201,206,209,403,406,408,410,АЗ")</f>
        <v>КЗ,201,206,209,403,406,408,410,АЗ</v>
      </c>
      <c r="AC15" s="14"/>
      <c r="AD15" s="14"/>
      <c r="AE15" s="14"/>
      <c r="AF15" s="29"/>
      <c r="AG15" s="29"/>
      <c r="AH15" s="29"/>
    </row>
    <row r="16" ht="40.5" hidden="1" customHeight="1">
      <c r="A16" s="30"/>
      <c r="B16" s="31">
        <v>4.0</v>
      </c>
      <c r="C16" s="32" t="s">
        <v>48</v>
      </c>
      <c r="D16" s="32" t="s">
        <v>49</v>
      </c>
      <c r="E16" s="45" t="s">
        <v>9960</v>
      </c>
      <c r="F16" s="13"/>
      <c r="G16" s="37" t="s">
        <v>9961</v>
      </c>
      <c r="H16" s="36"/>
      <c r="I16" s="41"/>
      <c r="J16" s="35" t="s">
        <v>9962</v>
      </c>
      <c r="K16" s="13"/>
      <c r="L16" s="45" t="s">
        <v>9963</v>
      </c>
      <c r="M16" s="13"/>
      <c r="N16" s="89" t="s">
        <v>9964</v>
      </c>
      <c r="O16" s="13"/>
      <c r="P16" s="37" t="s">
        <v>160</v>
      </c>
      <c r="Q16" s="90" t="s">
        <v>161</v>
      </c>
      <c r="R16" s="43" t="s">
        <v>9965</v>
      </c>
      <c r="S16" s="45" t="s">
        <v>9966</v>
      </c>
      <c r="T16" s="224"/>
      <c r="V16" s="134"/>
      <c r="W16" s="26"/>
      <c r="X16" s="42" t="s">
        <v>48</v>
      </c>
      <c r="Y16" s="42" t="s">
        <v>49</v>
      </c>
      <c r="Z16" s="48" t="s">
        <v>57</v>
      </c>
      <c r="AA16" s="85" t="str">
        <f>AA$6</f>
        <v/>
      </c>
      <c r="AB16" s="15" t="str">
        <f>IFERROR(__xludf.DUMMYFUNCTION("join("","",filter(split($H$84,"",""),ARRAYFORMULA(ISERROR(FIND(split($H$84,"",""),CONCATENATE(E16:V16))))=TRUE))"),"КЗ,201,206,209,403,406,408,410,АЗ")</f>
        <v>КЗ,201,206,209,403,406,408,410,АЗ</v>
      </c>
      <c r="AC16" s="14"/>
      <c r="AD16" s="14"/>
      <c r="AE16" s="14"/>
      <c r="AF16" s="29"/>
      <c r="AG16" s="29"/>
      <c r="AH16" s="29"/>
    </row>
    <row r="17" ht="40.5" hidden="1" customHeight="1">
      <c r="A17" s="30"/>
      <c r="B17" s="31">
        <v>5.0</v>
      </c>
      <c r="C17" s="32" t="s">
        <v>58</v>
      </c>
      <c r="D17" s="53">
        <v>44847.0</v>
      </c>
      <c r="E17" s="45" t="s">
        <v>9967</v>
      </c>
      <c r="F17" s="13"/>
      <c r="G17" s="33" t="s">
        <v>9968</v>
      </c>
      <c r="H17" s="45" t="s">
        <v>9969</v>
      </c>
      <c r="I17" s="41"/>
      <c r="J17" s="35" t="s">
        <v>9970</v>
      </c>
      <c r="K17" s="13"/>
      <c r="L17" s="40" t="s">
        <v>9971</v>
      </c>
      <c r="M17" s="13"/>
      <c r="N17" s="45" t="s">
        <v>9972</v>
      </c>
      <c r="O17" s="13"/>
      <c r="P17" s="33" t="s">
        <v>9973</v>
      </c>
      <c r="Q17" s="34" t="s">
        <v>9974</v>
      </c>
      <c r="R17" s="90" t="s">
        <v>9975</v>
      </c>
      <c r="S17" s="40" t="s">
        <v>9976</v>
      </c>
      <c r="T17" s="224"/>
      <c r="V17" s="134"/>
      <c r="W17" s="26"/>
      <c r="X17" s="42" t="s">
        <v>58</v>
      </c>
      <c r="Y17" s="54">
        <v>44847.0</v>
      </c>
      <c r="Z17" s="48" t="s">
        <v>70</v>
      </c>
      <c r="AA17" s="85" t="str">
        <f>AA$7</f>
        <v/>
      </c>
      <c r="AB17" s="15" t="str">
        <f>IFERROR(__xludf.DUMMYFUNCTION("join("","",filter(split($H$84,"",""),ARRAYFORMULA(ISERROR(FIND(split($H$84,"",""),CONCATENATE(E17:V17))))=TRUE))"),"СЗ,КЗ,206,403,408,409,410,АЗ")</f>
        <v>СЗ,КЗ,206,403,408,409,410,АЗ</v>
      </c>
      <c r="AC17" s="14"/>
      <c r="AD17" s="14"/>
      <c r="AE17" s="14"/>
      <c r="AF17" s="29"/>
      <c r="AG17" s="29"/>
      <c r="AH17" s="29"/>
    </row>
    <row r="18" ht="40.5" hidden="1" customHeight="1">
      <c r="A18" s="30"/>
      <c r="B18" s="31">
        <v>6.0</v>
      </c>
      <c r="C18" s="55" t="s">
        <v>71</v>
      </c>
      <c r="D18" s="56" t="s">
        <v>72</v>
      </c>
      <c r="E18" s="45" t="s">
        <v>9977</v>
      </c>
      <c r="F18" s="13"/>
      <c r="G18" s="33" t="s">
        <v>9978</v>
      </c>
      <c r="H18" s="45" t="s">
        <v>9979</v>
      </c>
      <c r="I18" s="41"/>
      <c r="J18" s="35" t="s">
        <v>9980</v>
      </c>
      <c r="K18" s="13"/>
      <c r="L18" s="40" t="s">
        <v>9981</v>
      </c>
      <c r="M18" s="13"/>
      <c r="N18" s="45" t="s">
        <v>9982</v>
      </c>
      <c r="O18" s="13"/>
      <c r="P18" s="33" t="s">
        <v>9983</v>
      </c>
      <c r="Q18" s="34" t="s">
        <v>9984</v>
      </c>
      <c r="R18" s="90" t="s">
        <v>161</v>
      </c>
      <c r="S18" s="40" t="s">
        <v>9985</v>
      </c>
      <c r="T18" s="224"/>
      <c r="V18" s="134"/>
      <c r="W18" s="26"/>
      <c r="X18" s="58" t="s">
        <v>71</v>
      </c>
      <c r="Y18" s="59" t="s">
        <v>72</v>
      </c>
      <c r="Z18" s="48" t="s">
        <v>84</v>
      </c>
      <c r="AA18" s="85" t="str">
        <f>AA$8</f>
        <v/>
      </c>
      <c r="AB18" s="15" t="str">
        <f>IFERROR(__xludf.DUMMYFUNCTION("join("","",filter(split($H$84,"",""),ARRAYFORMULA(ISERROR(FIND(split($H$84,"",""),CONCATENATE(E18:V18))))=TRUE))"),"СЗ,КЗ,206,403,408,409,410,АЗ")</f>
        <v>СЗ,КЗ,206,403,408,409,410,АЗ</v>
      </c>
      <c r="AC18" s="14"/>
      <c r="AD18" s="14"/>
      <c r="AE18" s="14"/>
      <c r="AF18" s="29"/>
      <c r="AG18" s="29"/>
      <c r="AH18" s="29"/>
    </row>
    <row r="19" ht="40.5" hidden="1" customHeight="1">
      <c r="A19" s="30"/>
      <c r="B19" s="31">
        <v>7.0</v>
      </c>
      <c r="C19" s="32" t="s">
        <v>85</v>
      </c>
      <c r="D19" s="32" t="s">
        <v>86</v>
      </c>
      <c r="E19" s="94" t="s">
        <v>9986</v>
      </c>
      <c r="F19" s="13"/>
      <c r="G19" s="33" t="s">
        <v>9987</v>
      </c>
      <c r="H19" s="45" t="s">
        <v>9988</v>
      </c>
      <c r="I19" s="41"/>
      <c r="J19" s="95"/>
      <c r="K19" s="13"/>
      <c r="L19" s="45" t="s">
        <v>9989</v>
      </c>
      <c r="M19" s="13"/>
      <c r="N19" s="45" t="s">
        <v>9990</v>
      </c>
      <c r="O19" s="13"/>
      <c r="P19" s="37" t="s">
        <v>9991</v>
      </c>
      <c r="Q19" s="41"/>
      <c r="R19" s="96" t="s">
        <v>9992</v>
      </c>
      <c r="S19" s="38" t="s">
        <v>9993</v>
      </c>
      <c r="T19" s="224"/>
      <c r="V19" s="134"/>
      <c r="W19" s="26"/>
      <c r="X19" s="42" t="s">
        <v>85</v>
      </c>
      <c r="Y19" s="42" t="s">
        <v>86</v>
      </c>
      <c r="Z19" s="48" t="s">
        <v>97</v>
      </c>
      <c r="AA19" s="85" t="str">
        <f>AA$9</f>
        <v/>
      </c>
      <c r="AB19" s="15" t="str">
        <f>IFERROR(__xludf.DUMMYFUNCTION("join("","",filter(split($H$84,"",""),ARRAYFORMULA(ISERROR(FIND(split($H$84,"",""),CONCATENATE(E19:V19))))=TRUE))"),"СЗ,206,403,404,405,406,409,410,АЗ")</f>
        <v>СЗ,206,403,404,405,406,409,410,АЗ</v>
      </c>
      <c r="AC19" s="14"/>
      <c r="AD19" s="14"/>
      <c r="AE19" s="14"/>
      <c r="AF19" s="29"/>
      <c r="AG19" s="29"/>
      <c r="AH19" s="29"/>
    </row>
    <row r="20" ht="40.5" hidden="1" customHeight="1">
      <c r="A20" s="30"/>
      <c r="B20" s="31">
        <v>8.0</v>
      </c>
      <c r="C20" s="32" t="s">
        <v>98</v>
      </c>
      <c r="D20" s="32" t="s">
        <v>99</v>
      </c>
      <c r="E20" s="94" t="s">
        <v>9994</v>
      </c>
      <c r="F20" s="13"/>
      <c r="G20" s="33" t="s">
        <v>9995</v>
      </c>
      <c r="H20" s="45" t="s">
        <v>9996</v>
      </c>
      <c r="I20" s="41"/>
      <c r="J20" s="95"/>
      <c r="K20" s="13"/>
      <c r="L20" s="45" t="s">
        <v>9997</v>
      </c>
      <c r="M20" s="13"/>
      <c r="N20" s="45" t="s">
        <v>9998</v>
      </c>
      <c r="O20" s="13"/>
      <c r="P20" s="37" t="s">
        <v>9999</v>
      </c>
      <c r="Q20" s="41"/>
      <c r="R20" s="96" t="s">
        <v>10000</v>
      </c>
      <c r="S20" s="38" t="s">
        <v>10001</v>
      </c>
      <c r="T20" s="104"/>
      <c r="U20" s="64"/>
      <c r="V20" s="88"/>
      <c r="W20" s="26"/>
      <c r="X20" s="42" t="s">
        <v>98</v>
      </c>
      <c r="Y20" s="42" t="s">
        <v>99</v>
      </c>
      <c r="Z20" s="11"/>
      <c r="AA20" s="98"/>
      <c r="AB20" s="15" t="str">
        <f>IFERROR(__xludf.DUMMYFUNCTION("join("","",filter(split($H$84,"",""),ARRAYFORMULA(ISERROR(FIND(split($H$84,"",""),CONCATENATE(E20:V20))))=TRUE))"),"СЗ,206,403,404,405,406,409,410,АЗ")</f>
        <v>СЗ,206,403,404,405,406,409,410,АЗ</v>
      </c>
      <c r="AC20" s="14"/>
      <c r="AD20" s="14"/>
      <c r="AE20" s="14"/>
      <c r="AF20" s="29"/>
      <c r="AG20" s="29"/>
      <c r="AH20" s="29"/>
    </row>
    <row r="21" ht="40.5" hidden="1" customHeight="1">
      <c r="A21" s="30"/>
      <c r="B21" s="31">
        <v>9.0</v>
      </c>
      <c r="C21" s="65">
        <v>44697.0</v>
      </c>
      <c r="D21" s="44" t="s">
        <v>109</v>
      </c>
      <c r="E21" s="848" t="s">
        <v>206</v>
      </c>
      <c r="F21" s="4"/>
      <c r="G21" s="632" t="s">
        <v>207</v>
      </c>
      <c r="H21" s="101" t="s">
        <v>208</v>
      </c>
      <c r="I21" s="36"/>
      <c r="J21" s="36"/>
      <c r="K21" s="36"/>
      <c r="L21" s="36"/>
      <c r="M21" s="13"/>
      <c r="N21" s="45" t="s">
        <v>10002</v>
      </c>
      <c r="O21" s="13"/>
      <c r="P21" s="102" t="s">
        <v>10003</v>
      </c>
      <c r="Q21" s="41"/>
      <c r="R21" s="35" t="s">
        <v>211</v>
      </c>
      <c r="S21" s="41"/>
      <c r="T21" s="103"/>
      <c r="U21" s="36"/>
      <c r="V21" s="41"/>
      <c r="W21" s="26"/>
      <c r="X21" s="69">
        <v>44697.0</v>
      </c>
      <c r="Y21" s="70" t="s">
        <v>109</v>
      </c>
      <c r="Z21" s="28"/>
      <c r="AA21" s="98"/>
      <c r="AB21" s="15" t="str">
        <f>IFERROR(__xludf.DUMMYFUNCTION("join("","",filter(split($H$84,"",""),ARRAYFORMULA(ISERROR(FIND(split($H$84,"",""),CONCATENATE(E21:V21))))=TRUE))"),"201,206,210,401,403,404,405,406,408,409,АЗ")</f>
        <v>201,206,210,401,403,404,405,406,408,409,АЗ</v>
      </c>
      <c r="AC21" s="14"/>
      <c r="AD21" s="14"/>
      <c r="AE21" s="14"/>
      <c r="AF21" s="29"/>
      <c r="AG21" s="29"/>
      <c r="AH21" s="29"/>
    </row>
    <row r="22" ht="40.5" hidden="1" customHeight="1">
      <c r="A22" s="30"/>
      <c r="B22" s="31">
        <v>10.0</v>
      </c>
      <c r="C22" s="44" t="s">
        <v>120</v>
      </c>
      <c r="D22" s="44" t="s">
        <v>121</v>
      </c>
      <c r="E22" s="64"/>
      <c r="F22" s="72"/>
      <c r="G22" s="72"/>
      <c r="H22" s="106" t="s">
        <v>213</v>
      </c>
      <c r="I22" s="36"/>
      <c r="J22" s="36"/>
      <c r="K22" s="36"/>
      <c r="L22" s="36"/>
      <c r="M22" s="13"/>
      <c r="N22" s="45" t="s">
        <v>10004</v>
      </c>
      <c r="O22" s="13"/>
      <c r="P22" s="101" t="s">
        <v>215</v>
      </c>
      <c r="Q22" s="36"/>
      <c r="R22" s="36"/>
      <c r="S22" s="13"/>
      <c r="T22" s="107"/>
      <c r="U22" s="36"/>
      <c r="V22" s="41"/>
      <c r="W22" s="26"/>
      <c r="X22" s="70" t="s">
        <v>120</v>
      </c>
      <c r="Y22" s="70" t="s">
        <v>121</v>
      </c>
      <c r="Z22" s="28"/>
      <c r="AA22" s="98"/>
      <c r="AB22" s="15" t="str">
        <f>IFERROR(__xludf.DUMMYFUNCTION("join("","",filter(split($H$84,"",""),ARRAYFORMULA(ISERROR(FIND(split($H$84,"",""),CONCATENATE(E22:V22))))=TRUE))"),"СЗ,201,202,206,209,210,401,403,404,405,406,408,409,АЗ")</f>
        <v>СЗ,201,202,206,209,210,401,403,404,405,406,408,409,АЗ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10005</v>
      </c>
      <c r="S23" s="115"/>
      <c r="T23" s="115"/>
      <c r="U23" s="115"/>
      <c r="V23" s="67"/>
      <c r="W23" s="26"/>
      <c r="X23" s="79" t="s">
        <v>124</v>
      </c>
      <c r="Y23" s="79" t="s">
        <v>125</v>
      </c>
      <c r="Z23" s="28" t="str">
        <f/>
        <v>#ERROR!</v>
      </c>
      <c r="AA23" s="98"/>
      <c r="AB23" s="15" t="str">
        <f>IFERROR(__xludf.DUMMYFUNCTION("join("","",filter(split($H$84,"",""),ARRAYFORMULA(ISERROR(FIND(split($H$84,"",""),CONCATENATE(E23:V23))))=TRUE))"),"КЗ,201,202,206,209,210,401,402,403,404,405,406,408,409,410,АЗ")</f>
        <v>КЗ,201,202,206,209,210,401,402,403,404,405,406,408,409,410,АЗ</v>
      </c>
      <c r="AC23" s="14"/>
      <c r="AD23" s="14"/>
      <c r="AE23" s="14"/>
      <c r="AF23" s="29"/>
      <c r="AG23" s="29"/>
      <c r="AH23" s="29"/>
    </row>
    <row r="24" ht="40.5" hidden="1" customHeight="1">
      <c r="A24" s="18">
        <v>45021.0</v>
      </c>
      <c r="B24" s="435">
        <v>1.0</v>
      </c>
      <c r="C24" s="20" t="s">
        <v>12</v>
      </c>
      <c r="D24" s="20" t="s">
        <v>13</v>
      </c>
      <c r="E24" s="21" t="s">
        <v>10006</v>
      </c>
      <c r="F24" s="22"/>
      <c r="G24" s="244" t="s">
        <v>10007</v>
      </c>
      <c r="H24" s="247"/>
      <c r="I24" s="245"/>
      <c r="J24" s="118" t="s">
        <v>221</v>
      </c>
      <c r="K24" s="24"/>
      <c r="L24" s="24"/>
      <c r="M24" s="25"/>
      <c r="N24" s="80" t="s">
        <v>10008</v>
      </c>
      <c r="O24" s="25"/>
      <c r="P24" s="585" t="s">
        <v>10009</v>
      </c>
      <c r="Q24" s="24"/>
      <c r="R24" s="24"/>
      <c r="S24" s="22"/>
      <c r="T24" s="849" t="s">
        <v>10010</v>
      </c>
      <c r="U24" s="247"/>
      <c r="V24" s="6"/>
      <c r="W24" s="26"/>
      <c r="X24" s="27" t="s">
        <v>12</v>
      </c>
      <c r="Y24" s="27" t="s">
        <v>13</v>
      </c>
      <c r="Z24" s="28"/>
      <c r="AA24" s="14"/>
      <c r="AB24" s="15" t="str">
        <f>IFERROR(__xludf.DUMMYFUNCTION("join("","",filter(split($H$84,"",""),ARRAYFORMULA(ISERROR(FIND(split($H$84,"",""),CONCATENATE(E24:V24))))=TRUE))"),"СЗ,206,210,401,402,403,404,405,406,408,409,410,АЗ")</f>
        <v>СЗ,206,210,401,402,403,404,405,406,408,409,410,АЗ</v>
      </c>
      <c r="AC24" s="14"/>
      <c r="AD24" s="14"/>
      <c r="AE24" s="14"/>
      <c r="AF24" s="29"/>
      <c r="AG24" s="29"/>
      <c r="AH24" s="29"/>
    </row>
    <row r="25" ht="40.5" hidden="1" customHeight="1">
      <c r="A25" s="30"/>
      <c r="B25" s="436">
        <v>2.0</v>
      </c>
      <c r="C25" s="32" t="s">
        <v>21</v>
      </c>
      <c r="D25" s="32" t="s">
        <v>22</v>
      </c>
      <c r="E25" s="51" t="s">
        <v>10011</v>
      </c>
      <c r="F25" s="41"/>
      <c r="G25" s="142"/>
      <c r="H25" s="64"/>
      <c r="I25" s="72"/>
      <c r="J25" s="35" t="s">
        <v>10012</v>
      </c>
      <c r="K25" s="13"/>
      <c r="L25" s="40" t="s">
        <v>10013</v>
      </c>
      <c r="M25" s="13"/>
      <c r="N25" s="40" t="s">
        <v>231</v>
      </c>
      <c r="O25" s="13"/>
      <c r="P25" s="37" t="s">
        <v>10014</v>
      </c>
      <c r="Q25" s="13"/>
      <c r="R25" s="122" t="s">
        <v>10015</v>
      </c>
      <c r="S25" s="41"/>
      <c r="T25" s="64"/>
      <c r="U25" s="64"/>
      <c r="V25" s="88"/>
      <c r="W25" s="26"/>
      <c r="X25" s="42" t="s">
        <v>21</v>
      </c>
      <c r="Y25" s="42" t="s">
        <v>22</v>
      </c>
      <c r="Z25" s="28"/>
      <c r="AA25" s="14"/>
      <c r="AB25" s="15" t="str">
        <f>IFERROR(__xludf.DUMMYFUNCTION("join("","",filter(split($H$84,"",""),ARRAYFORMULA(ISERROR(FIND(split($H$84,"",""),CONCATENATE(E25:V25))))=TRUE))"),"СЗ,КЗ,202,206,209,210,403,404,405,408,410,АЗ")</f>
        <v>СЗ,КЗ,202,206,209,210,403,404,405,408,410,АЗ</v>
      </c>
      <c r="AC25" s="14"/>
      <c r="AD25" s="14"/>
      <c r="AE25" s="14"/>
      <c r="AF25" s="29"/>
      <c r="AG25" s="29"/>
      <c r="AH25" s="29"/>
    </row>
    <row r="26" ht="40.5" hidden="1" customHeight="1">
      <c r="A26" s="30"/>
      <c r="B26" s="436">
        <v>3.0</v>
      </c>
      <c r="C26" s="32" t="s">
        <v>33</v>
      </c>
      <c r="D26" s="32" t="s">
        <v>34</v>
      </c>
      <c r="E26" s="37" t="s">
        <v>10016</v>
      </c>
      <c r="F26" s="41"/>
      <c r="G26" s="51" t="s">
        <v>10017</v>
      </c>
      <c r="H26" s="36"/>
      <c r="I26" s="41"/>
      <c r="J26" s="95" t="s">
        <v>10018</v>
      </c>
      <c r="K26" s="13"/>
      <c r="L26" s="123" t="s">
        <v>10019</v>
      </c>
      <c r="M26" s="41"/>
      <c r="N26" s="40" t="s">
        <v>231</v>
      </c>
      <c r="O26" s="13"/>
      <c r="P26" s="39" t="s">
        <v>10020</v>
      </c>
      <c r="Q26" s="122" t="s">
        <v>10021</v>
      </c>
      <c r="R26" s="36"/>
      <c r="S26" s="13"/>
      <c r="T26" s="125" t="s">
        <v>10022</v>
      </c>
      <c r="U26" s="36"/>
      <c r="V26" s="41"/>
      <c r="W26" s="26"/>
      <c r="X26" s="42" t="s">
        <v>33</v>
      </c>
      <c r="Y26" s="42" t="s">
        <v>34</v>
      </c>
      <c r="Z26" s="48" t="s">
        <v>47</v>
      </c>
      <c r="AA26" s="85" t="str">
        <f>AA$5</f>
        <v/>
      </c>
      <c r="AB26" s="15" t="str">
        <f>IFERROR(__xludf.DUMMYFUNCTION("join("","",filter(split($H$84,"",""),ARRAYFORMULA(ISERROR(FIND(split($H$84,"",""),CONCATENATE(E26:V26))))=TRUE))"),"СЗ,КЗ,206,210,403,404,405,408,410,АЗ")</f>
        <v>СЗ,КЗ,206,210,403,404,405,408,410,АЗ</v>
      </c>
      <c r="AC26" s="14"/>
      <c r="AD26" s="14"/>
      <c r="AE26" s="14"/>
      <c r="AF26" s="29"/>
      <c r="AG26" s="29"/>
      <c r="AH26" s="29"/>
    </row>
    <row r="27" ht="54.0" hidden="1" customHeight="1">
      <c r="A27" s="30"/>
      <c r="B27" s="31">
        <v>4.0</v>
      </c>
      <c r="C27" s="32" t="s">
        <v>48</v>
      </c>
      <c r="D27" s="32" t="s">
        <v>49</v>
      </c>
      <c r="E27" s="33" t="s">
        <v>10023</v>
      </c>
      <c r="F27" s="126" t="s">
        <v>10024</v>
      </c>
      <c r="G27" s="37" t="s">
        <v>10025</v>
      </c>
      <c r="H27" s="13"/>
      <c r="I27" s="92" t="s">
        <v>10026</v>
      </c>
      <c r="J27" s="107" t="s">
        <v>10027</v>
      </c>
      <c r="K27" s="13"/>
      <c r="L27" s="45" t="s">
        <v>10028</v>
      </c>
      <c r="M27" s="13"/>
      <c r="N27" s="127" t="s">
        <v>10029</v>
      </c>
      <c r="O27" s="13"/>
      <c r="P27" s="37" t="s">
        <v>10030</v>
      </c>
      <c r="Q27" s="13"/>
      <c r="R27" s="132" t="s">
        <v>10031</v>
      </c>
      <c r="S27" s="34" t="s">
        <v>10032</v>
      </c>
      <c r="T27" s="125" t="s">
        <v>10033</v>
      </c>
      <c r="U27" s="36"/>
      <c r="V27" s="41"/>
      <c r="W27" s="26"/>
      <c r="X27" s="42"/>
      <c r="Y27" s="42"/>
      <c r="Z27" s="48"/>
      <c r="AA27" s="85"/>
      <c r="AB27" s="15"/>
      <c r="AC27" s="14"/>
      <c r="AD27" s="14"/>
      <c r="AE27" s="14"/>
      <c r="AF27" s="29"/>
      <c r="AG27" s="29"/>
      <c r="AH27" s="29"/>
    </row>
    <row r="28" ht="53.25" hidden="1" customHeight="1">
      <c r="A28" s="30"/>
      <c r="B28" s="436">
        <v>5.0</v>
      </c>
      <c r="C28" s="32" t="s">
        <v>58</v>
      </c>
      <c r="D28" s="53">
        <v>44847.0</v>
      </c>
      <c r="E28" s="33" t="s">
        <v>10034</v>
      </c>
      <c r="F28" s="126" t="s">
        <v>10035</v>
      </c>
      <c r="G28" s="37" t="s">
        <v>10036</v>
      </c>
      <c r="H28" s="13"/>
      <c r="I28" s="92" t="s">
        <v>10037</v>
      </c>
      <c r="J28" s="123" t="s">
        <v>10038</v>
      </c>
      <c r="K28" s="41"/>
      <c r="L28" s="45" t="s">
        <v>10039</v>
      </c>
      <c r="M28" s="13"/>
      <c r="N28" s="89" t="s">
        <v>10040</v>
      </c>
      <c r="O28" s="13"/>
      <c r="P28" s="39" t="s">
        <v>10041</v>
      </c>
      <c r="Q28" s="124" t="s">
        <v>10042</v>
      </c>
      <c r="R28" s="132" t="s">
        <v>10043</v>
      </c>
      <c r="S28" s="34" t="s">
        <v>10044</v>
      </c>
      <c r="T28" s="128" t="s">
        <v>10045</v>
      </c>
      <c r="U28" s="8"/>
      <c r="V28" s="129"/>
      <c r="W28" s="26"/>
      <c r="X28" s="42" t="s">
        <v>58</v>
      </c>
      <c r="Y28" s="54">
        <v>44847.0</v>
      </c>
      <c r="Z28" s="48" t="s">
        <v>70</v>
      </c>
      <c r="AA28" s="85" t="str">
        <f>AA$7</f>
        <v/>
      </c>
      <c r="AB28" s="15" t="str">
        <f>IFERROR(__xludf.DUMMYFUNCTION("join("","",filter(split($H$84,"",""),ARRAYFORMULA(ISERROR(FIND(split($H$84,"",""),CONCATENATE(E28:V28))))=TRUE))"),"СЗ,206,209,403,404,408,410")</f>
        <v>СЗ,206,209,403,404,408,410</v>
      </c>
      <c r="AC28" s="14"/>
      <c r="AD28" s="14"/>
      <c r="AE28" s="14"/>
      <c r="AF28" s="29"/>
      <c r="AG28" s="29"/>
      <c r="AH28" s="29"/>
    </row>
    <row r="29" ht="40.5" hidden="1" customHeight="1">
      <c r="A29" s="30"/>
      <c r="B29" s="436">
        <v>6.0</v>
      </c>
      <c r="C29" s="55" t="s">
        <v>71</v>
      </c>
      <c r="D29" s="56" t="s">
        <v>72</v>
      </c>
      <c r="E29" s="126" t="s">
        <v>10046</v>
      </c>
      <c r="F29" s="34" t="s">
        <v>10047</v>
      </c>
      <c r="G29" s="40"/>
      <c r="H29" s="41"/>
      <c r="I29" s="34" t="s">
        <v>10048</v>
      </c>
      <c r="J29" s="123" t="s">
        <v>10049</v>
      </c>
      <c r="K29" s="41"/>
      <c r="L29" s="89" t="s">
        <v>10050</v>
      </c>
      <c r="M29" s="13"/>
      <c r="N29" s="130" t="s">
        <v>10051</v>
      </c>
      <c r="O29" s="13"/>
      <c r="P29" s="131" t="s">
        <v>10052</v>
      </c>
      <c r="Q29" s="132" t="s">
        <v>10053</v>
      </c>
      <c r="R29" s="437"/>
      <c r="S29" s="92" t="s">
        <v>10054</v>
      </c>
      <c r="V29" s="134"/>
      <c r="W29" s="26"/>
      <c r="X29" s="58" t="s">
        <v>71</v>
      </c>
      <c r="Y29" s="59" t="s">
        <v>72</v>
      </c>
      <c r="Z29" s="48" t="s">
        <v>84</v>
      </c>
      <c r="AA29" s="85" t="str">
        <f>AA$8</f>
        <v/>
      </c>
      <c r="AB29" s="15" t="str">
        <f>IFERROR(__xludf.DUMMYFUNCTION("join("","",filter(split($H$84,"",""),ARRAYFORMULA(ISERROR(FIND(split($H$84,"",""),CONCATENATE(E29:V29))))=TRUE))"),"СЗ,201,206,402,403,404,405,408,410,АЗ")</f>
        <v>СЗ,201,206,402,403,404,405,408,410,АЗ</v>
      </c>
      <c r="AC29" s="14"/>
      <c r="AD29" s="14"/>
      <c r="AE29" s="14"/>
      <c r="AF29" s="29"/>
      <c r="AG29" s="29"/>
      <c r="AH29" s="29"/>
    </row>
    <row r="30" ht="40.5" hidden="1" customHeight="1">
      <c r="A30" s="30"/>
      <c r="B30" s="436">
        <v>7.0</v>
      </c>
      <c r="C30" s="32" t="s">
        <v>85</v>
      </c>
      <c r="D30" s="32" t="s">
        <v>86</v>
      </c>
      <c r="E30" s="126" t="s">
        <v>10055</v>
      </c>
      <c r="F30" s="34" t="s">
        <v>10056</v>
      </c>
      <c r="G30" s="40"/>
      <c r="H30" s="41"/>
      <c r="I30" s="34" t="s">
        <v>10057</v>
      </c>
      <c r="J30" s="35" t="s">
        <v>10058</v>
      </c>
      <c r="K30" s="13"/>
      <c r="L30" s="123" t="s">
        <v>10059</v>
      </c>
      <c r="M30" s="41"/>
      <c r="N30" s="130" t="s">
        <v>10060</v>
      </c>
      <c r="O30" s="13"/>
      <c r="P30" s="131" t="s">
        <v>10061</v>
      </c>
      <c r="Q30" s="132" t="s">
        <v>10062</v>
      </c>
      <c r="R30" s="173"/>
      <c r="S30" s="92" t="s">
        <v>10063</v>
      </c>
      <c r="V30" s="134"/>
      <c r="W30" s="26"/>
      <c r="X30" s="42" t="s">
        <v>85</v>
      </c>
      <c r="Y30" s="42" t="s">
        <v>86</v>
      </c>
      <c r="Z30" s="48" t="s">
        <v>97</v>
      </c>
      <c r="AA30" s="85" t="str">
        <f>AA$9</f>
        <v/>
      </c>
      <c r="AB30" s="15" t="str">
        <f>IFERROR(__xludf.DUMMYFUNCTION("join("","",filter(split($H$84,"",""),ARRAYFORMULA(ISERROR(FIND(split($H$84,"",""),CONCATENATE(E30:V30))))=TRUE))"),"СЗ,206,402,403,404,405,408,409,410,АЗ")</f>
        <v>СЗ,206,402,403,404,405,408,409,410,АЗ</v>
      </c>
      <c r="AC30" s="14"/>
      <c r="AD30" s="14"/>
      <c r="AE30" s="14"/>
      <c r="AF30" s="29"/>
      <c r="AG30" s="29"/>
      <c r="AH30" s="29"/>
    </row>
    <row r="31" ht="52.5" hidden="1" customHeight="1">
      <c r="A31" s="30"/>
      <c r="B31" s="436">
        <v>8.0</v>
      </c>
      <c r="C31" s="32" t="s">
        <v>98</v>
      </c>
      <c r="D31" s="32" t="s">
        <v>99</v>
      </c>
      <c r="E31" s="137" t="s">
        <v>10064</v>
      </c>
      <c r="F31" s="4"/>
      <c r="G31" s="137" t="s">
        <v>10065</v>
      </c>
      <c r="H31" s="8"/>
      <c r="I31" s="129"/>
      <c r="J31" s="840" t="s">
        <v>10066</v>
      </c>
      <c r="K31" s="36"/>
      <c r="L31" s="36"/>
      <c r="M31" s="13"/>
      <c r="N31" s="45" t="s">
        <v>10067</v>
      </c>
      <c r="O31" s="13"/>
      <c r="P31" s="140" t="s">
        <v>10068</v>
      </c>
      <c r="Q31" s="4"/>
      <c r="R31" s="144"/>
      <c r="S31" s="133" t="s">
        <v>276</v>
      </c>
      <c r="V31" s="134"/>
      <c r="W31" s="26"/>
      <c r="X31" s="42" t="s">
        <v>98</v>
      </c>
      <c r="Y31" s="42" t="s">
        <v>99</v>
      </c>
      <c r="Z31" s="11"/>
      <c r="AA31" s="14"/>
      <c r="AB31" s="15" t="str">
        <f>IFERROR(__xludf.DUMMYFUNCTION("join("","",filter(split($H$84,"",""),ARRAYFORMULA(ISERROR(FIND(split($H$84,"",""),CONCATENATE(E31:V31))))=TRUE))"),"СЗ,КЗ,201,206,401,402,403,404,405,406,408,409,АЗ")</f>
        <v>СЗ,КЗ,201,206,401,402,403,404,405,406,408,409,АЗ</v>
      </c>
      <c r="AC31" s="14"/>
      <c r="AD31" s="14"/>
      <c r="AE31" s="14"/>
      <c r="AF31" s="29"/>
      <c r="AG31" s="29"/>
      <c r="AH31" s="29"/>
    </row>
    <row r="32" ht="57.0" hidden="1" customHeight="1">
      <c r="A32" s="30"/>
      <c r="B32" s="436">
        <v>9.0</v>
      </c>
      <c r="C32" s="65">
        <v>44697.0</v>
      </c>
      <c r="D32" s="44" t="s">
        <v>109</v>
      </c>
      <c r="E32" s="636"/>
      <c r="F32" s="139"/>
      <c r="G32" s="142"/>
      <c r="H32" s="64"/>
      <c r="I32" s="88"/>
      <c r="J32" s="840" t="s">
        <v>10069</v>
      </c>
      <c r="K32" s="36"/>
      <c r="L32" s="36"/>
      <c r="M32" s="13"/>
      <c r="N32" s="45" t="s">
        <v>10070</v>
      </c>
      <c r="O32" s="13"/>
      <c r="P32" s="142"/>
      <c r="Q32" s="72"/>
      <c r="R32" s="144"/>
      <c r="S32" s="92"/>
      <c r="T32" s="64"/>
      <c r="U32" s="64"/>
      <c r="V32" s="88"/>
      <c r="W32" s="26"/>
      <c r="X32" s="69">
        <v>44697.0</v>
      </c>
      <c r="Y32" s="70" t="s">
        <v>109</v>
      </c>
      <c r="Z32" s="28"/>
      <c r="AA32" s="14"/>
      <c r="AB32" s="15" t="str">
        <f>IFERROR(__xludf.DUMMYFUNCTION("join("","",filter(split($H$84,"",""),ARRAYFORMULA(ISERROR(FIND(split($H$84,"",""),CONCATENATE(E32:V32))))=TRUE))"),"СЗ,КЗ,201,206,210,401,402,403,404,405,406,408,409,410,АЗ")</f>
        <v>СЗ,КЗ,201,206,210,401,402,403,404,405,406,408,409,410,АЗ</v>
      </c>
      <c r="AC32" s="14"/>
      <c r="AD32" s="14"/>
      <c r="AE32" s="14"/>
      <c r="AF32" s="29"/>
      <c r="AG32" s="29"/>
      <c r="AH32" s="29"/>
    </row>
    <row r="33" ht="40.5" hidden="1" customHeight="1">
      <c r="A33" s="30"/>
      <c r="B33" s="436">
        <v>10.0</v>
      </c>
      <c r="C33" s="44" t="s">
        <v>120</v>
      </c>
      <c r="D33" s="44" t="s">
        <v>121</v>
      </c>
      <c r="E33" s="636"/>
      <c r="F33" s="139"/>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2"/>
      <c r="F34" s="72"/>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IFERROR(__xludf.DUMMYFUNCTION("join("","",filter(split($H$84,"",""),ARRAYFORMULA(ISERROR(FIND(split($H$84,"",""),CONCATENATE(E34:V34))))=TRUE))"),"СЗ,КЗ,201,202,206,209,210,401,402,403,404,405,406,408,409,410,АЗ")</f>
        <v>СЗ,КЗ,201,202,206,209,210,401,402,403,404,405,406,408,409,410,АЗ</v>
      </c>
      <c r="AC34" s="14"/>
      <c r="AD34" s="14"/>
      <c r="AE34" s="14"/>
      <c r="AF34" s="29"/>
      <c r="AG34" s="29"/>
      <c r="AH34" s="29"/>
    </row>
    <row r="35" ht="60.0" hidden="1" customHeight="1">
      <c r="A35" s="18"/>
      <c r="B35" s="451"/>
      <c r="C35" s="452"/>
      <c r="D35" s="452"/>
      <c r="E35" s="850" t="s">
        <v>10071</v>
      </c>
      <c r="F35" s="247"/>
      <c r="G35" s="247"/>
      <c r="H35" s="247"/>
      <c r="I35" s="247"/>
      <c r="J35" s="247"/>
      <c r="K35" s="247"/>
      <c r="L35" s="247"/>
      <c r="M35" s="247"/>
      <c r="N35" s="247"/>
      <c r="O35" s="247"/>
      <c r="P35" s="247"/>
      <c r="Q35" s="247"/>
      <c r="R35" s="247"/>
      <c r="S35" s="247"/>
      <c r="T35" s="247"/>
      <c r="U35" s="247"/>
      <c r="V35" s="6"/>
      <c r="W35" s="26"/>
      <c r="X35" s="455"/>
      <c r="Y35" s="455"/>
      <c r="Z35" s="28"/>
      <c r="AA35" s="14"/>
      <c r="AB35" s="15"/>
      <c r="AC35" s="14"/>
      <c r="AD35" s="14"/>
      <c r="AE35" s="14"/>
      <c r="AF35" s="29"/>
      <c r="AG35" s="29"/>
      <c r="AH35" s="29"/>
    </row>
    <row r="36" ht="67.5" hidden="1" customHeight="1">
      <c r="A36" s="851">
        <v>45022.0</v>
      </c>
      <c r="B36" s="31">
        <v>1.0</v>
      </c>
      <c r="C36" s="32" t="s">
        <v>12</v>
      </c>
      <c r="D36" s="32" t="s">
        <v>13</v>
      </c>
      <c r="E36" s="852" t="s">
        <v>10072</v>
      </c>
      <c r="F36" s="13"/>
      <c r="G36" s="442" t="s">
        <v>10073</v>
      </c>
      <c r="H36" s="157" t="s">
        <v>10074</v>
      </c>
      <c r="I36" s="13"/>
      <c r="J36" s="157" t="s">
        <v>10075</v>
      </c>
      <c r="K36" s="13"/>
      <c r="L36" s="853" t="s">
        <v>10076</v>
      </c>
      <c r="M36" s="854" t="s">
        <v>10077</v>
      </c>
      <c r="N36" s="855" t="s">
        <v>10078</v>
      </c>
      <c r="O36" s="13"/>
      <c r="P36" s="44" t="s">
        <v>10079</v>
      </c>
      <c r="Q36" s="44" t="s">
        <v>10080</v>
      </c>
      <c r="R36" s="162" t="s">
        <v>10081</v>
      </c>
      <c r="S36" s="90"/>
      <c r="T36" s="856" t="s">
        <v>10082</v>
      </c>
      <c r="U36" s="8"/>
      <c r="V36" s="4"/>
      <c r="W36" s="15"/>
      <c r="X36" s="42" t="s">
        <v>12</v>
      </c>
      <c r="Y36" s="42" t="s">
        <v>13</v>
      </c>
      <c r="Z36" s="28"/>
      <c r="AA36" s="14"/>
      <c r="AB36" s="15" t="str">
        <f>IFERROR(__xludf.DUMMYFUNCTION("join("","",filter(split($H$84,"",""),ARRAYFORMULA(ISERROR(FIND(split($H$84,"",""),CONCATENATE(E36:V36))))=TRUE))"),"СЗ,206,209,406,410,АЗ")</f>
        <v>СЗ,206,209,406,410,АЗ</v>
      </c>
      <c r="AC36" s="14"/>
      <c r="AD36" s="14"/>
      <c r="AE36" s="14"/>
      <c r="AF36" s="14"/>
      <c r="AG36" s="14"/>
      <c r="AH36" s="14"/>
    </row>
    <row r="37" ht="62.25" hidden="1" customHeight="1">
      <c r="A37" s="222"/>
      <c r="B37" s="31">
        <v>2.0</v>
      </c>
      <c r="C37" s="32" t="s">
        <v>21</v>
      </c>
      <c r="D37" s="734" t="s">
        <v>22</v>
      </c>
      <c r="E37" s="852" t="s">
        <v>10083</v>
      </c>
      <c r="F37" s="13"/>
      <c r="G37" s="857" t="s">
        <v>10084</v>
      </c>
      <c r="H37" s="157" t="s">
        <v>10085</v>
      </c>
      <c r="I37" s="13"/>
      <c r="J37" s="157" t="s">
        <v>10086</v>
      </c>
      <c r="K37" s="13"/>
      <c r="L37" s="853" t="s">
        <v>10087</v>
      </c>
      <c r="M37" s="858" t="s">
        <v>10088</v>
      </c>
      <c r="N37" s="855" t="s">
        <v>10089</v>
      </c>
      <c r="O37" s="13"/>
      <c r="P37" s="43" t="s">
        <v>10090</v>
      </c>
      <c r="Q37" s="44" t="s">
        <v>10091</v>
      </c>
      <c r="R37" s="162" t="s">
        <v>10092</v>
      </c>
      <c r="S37" s="90"/>
      <c r="T37" s="224"/>
      <c r="V37" s="139"/>
      <c r="W37" s="26"/>
      <c r="X37" s="42" t="s">
        <v>21</v>
      </c>
      <c r="Y37" s="42" t="s">
        <v>22</v>
      </c>
      <c r="Z37" s="28"/>
      <c r="AA37" s="14"/>
      <c r="AB37" s="15" t="str">
        <f>IFERROR(__xludf.DUMMYFUNCTION("join("","",filter(split($H$84,"",""),ARRAYFORMULA(ISERROR(FIND(split($H$84,"",""),CONCATENATE(E37:V37))))=TRUE))"),"СЗ,КЗ,206,209,406,410,АЗ")</f>
        <v>СЗ,КЗ,206,209,406,410,АЗ</v>
      </c>
      <c r="AC37" s="14"/>
      <c r="AD37" s="14"/>
      <c r="AE37" s="14"/>
      <c r="AF37" s="29"/>
      <c r="AG37" s="29"/>
      <c r="AH37" s="29"/>
    </row>
    <row r="38" ht="63.75" hidden="1" customHeight="1">
      <c r="A38" s="222"/>
      <c r="B38" s="31">
        <v>3.0</v>
      </c>
      <c r="C38" s="32" t="s">
        <v>33</v>
      </c>
      <c r="D38" s="32" t="s">
        <v>34</v>
      </c>
      <c r="E38" s="859" t="s">
        <v>10093</v>
      </c>
      <c r="F38" s="72"/>
      <c r="G38" s="261" t="s">
        <v>10094</v>
      </c>
      <c r="H38" s="860" t="s">
        <v>10095</v>
      </c>
      <c r="I38" s="13"/>
      <c r="J38" s="861" t="s">
        <v>10096</v>
      </c>
      <c r="K38" s="13"/>
      <c r="L38" s="854" t="s">
        <v>10097</v>
      </c>
      <c r="M38" s="853" t="s">
        <v>10098</v>
      </c>
      <c r="N38" s="598" t="s">
        <v>10099</v>
      </c>
      <c r="O38" s="64"/>
      <c r="P38" s="64"/>
      <c r="Q38" s="72"/>
      <c r="R38" s="44" t="s">
        <v>10100</v>
      </c>
      <c r="S38" s="44" t="s">
        <v>10101</v>
      </c>
      <c r="T38" s="224"/>
      <c r="V38" s="139"/>
      <c r="W38" s="26"/>
      <c r="X38" s="42" t="s">
        <v>33</v>
      </c>
      <c r="Y38" s="42" t="s">
        <v>34</v>
      </c>
      <c r="Z38" s="48" t="s">
        <v>47</v>
      </c>
      <c r="AA38" s="85" t="str">
        <f>AA$5</f>
        <v/>
      </c>
      <c r="AB38" s="15" t="str">
        <f>IFERROR(__xludf.DUMMYFUNCTION("join("","",filter(split($H$84,"",""),ARRAYFORMULA(ISERROR(FIND(split($H$84,"",""),CONCATENATE(E38:V38))))=TRUE))"),"КЗ,206,209,406,408,410,АЗ")</f>
        <v>КЗ,206,209,406,408,410,АЗ</v>
      </c>
      <c r="AC38" s="14"/>
      <c r="AD38" s="14"/>
      <c r="AE38" s="14"/>
      <c r="AF38" s="29"/>
      <c r="AG38" s="29"/>
      <c r="AH38" s="29"/>
    </row>
    <row r="39" ht="64.5" hidden="1" customHeight="1">
      <c r="A39" s="222"/>
      <c r="B39" s="31">
        <v>4.0</v>
      </c>
      <c r="C39" s="32" t="s">
        <v>48</v>
      </c>
      <c r="D39" s="32" t="s">
        <v>49</v>
      </c>
      <c r="E39" s="862" t="s">
        <v>10102</v>
      </c>
      <c r="F39" s="13"/>
      <c r="G39" s="261" t="s">
        <v>10103</v>
      </c>
      <c r="H39" s="860" t="s">
        <v>10104</v>
      </c>
      <c r="I39" s="13"/>
      <c r="J39" s="861" t="s">
        <v>10105</v>
      </c>
      <c r="K39" s="13"/>
      <c r="L39" s="854" t="s">
        <v>10106</v>
      </c>
      <c r="M39" s="853" t="s">
        <v>10107</v>
      </c>
      <c r="N39" s="164" t="s">
        <v>10108</v>
      </c>
      <c r="O39" s="36"/>
      <c r="P39" s="36"/>
      <c r="Q39" s="13"/>
      <c r="R39" s="44" t="s">
        <v>10109</v>
      </c>
      <c r="S39" s="44" t="s">
        <v>10110</v>
      </c>
      <c r="T39" s="224"/>
      <c r="V39" s="139"/>
      <c r="W39" s="26"/>
      <c r="X39" s="42" t="s">
        <v>48</v>
      </c>
      <c r="Y39" s="42" t="s">
        <v>49</v>
      </c>
      <c r="Z39" s="48" t="s">
        <v>57</v>
      </c>
      <c r="AA39" s="85" t="str">
        <f>AA$6</f>
        <v/>
      </c>
      <c r="AB39" s="15" t="str">
        <f>IFERROR(__xludf.DUMMYFUNCTION("join("","",filter(split($H$84,"",""),ARRAYFORMULA(ISERROR(FIND(split($H$84,"",""),CONCATENATE(E39:V39))))=TRUE))"),"КЗ,206,209,406,408,410,АЗ")</f>
        <v>КЗ,206,209,406,408,410,АЗ</v>
      </c>
      <c r="AC39" s="14"/>
      <c r="AD39" s="14"/>
      <c r="AE39" s="14"/>
      <c r="AF39" s="29"/>
      <c r="AG39" s="29"/>
      <c r="AH39" s="29"/>
    </row>
    <row r="40" ht="79.5" hidden="1" customHeight="1">
      <c r="A40" s="222"/>
      <c r="B40" s="31">
        <v>5.0</v>
      </c>
      <c r="C40" s="32" t="s">
        <v>58</v>
      </c>
      <c r="D40" s="53">
        <v>44847.0</v>
      </c>
      <c r="E40" s="860" t="s">
        <v>10111</v>
      </c>
      <c r="F40" s="13"/>
      <c r="G40" s="44" t="s">
        <v>10112</v>
      </c>
      <c r="H40" s="45" t="s">
        <v>10113</v>
      </c>
      <c r="I40" s="13"/>
      <c r="J40" s="854" t="s">
        <v>10114</v>
      </c>
      <c r="K40" s="853" t="s">
        <v>10115</v>
      </c>
      <c r="L40" s="157" t="s">
        <v>10116</v>
      </c>
      <c r="M40" s="863" t="s">
        <v>10117</v>
      </c>
      <c r="N40" s="44" t="s">
        <v>10118</v>
      </c>
      <c r="O40" s="44" t="s">
        <v>10119</v>
      </c>
      <c r="P40" s="45" t="s">
        <v>10120</v>
      </c>
      <c r="Q40" s="13"/>
      <c r="R40" s="45" t="s">
        <v>10121</v>
      </c>
      <c r="S40" s="13"/>
      <c r="T40" s="224"/>
      <c r="V40" s="139"/>
      <c r="W40" s="26"/>
      <c r="X40" s="42" t="s">
        <v>58</v>
      </c>
      <c r="Y40" s="54">
        <v>44847.0</v>
      </c>
      <c r="Z40" s="48" t="s">
        <v>70</v>
      </c>
      <c r="AA40" s="85" t="str">
        <f>AA$7</f>
        <v/>
      </c>
      <c r="AB40" s="15" t="str">
        <f>IFERROR(__xludf.DUMMYFUNCTION("join("","",filter(split($H$84,"",""),ARRAYFORMULA(ISERROR(FIND(split($H$84,"",""),CONCATENATE(E40:V40))))=TRUE))"),"СЗ,КЗ,206,403,АЗ")</f>
        <v>СЗ,КЗ,206,403,АЗ</v>
      </c>
      <c r="AC40" s="14"/>
      <c r="AD40" s="14"/>
      <c r="AE40" s="14"/>
      <c r="AF40" s="29"/>
      <c r="AG40" s="29"/>
      <c r="AH40" s="29"/>
    </row>
    <row r="41" ht="54.0" hidden="1" customHeight="1">
      <c r="A41" s="222"/>
      <c r="B41" s="31">
        <v>6.0</v>
      </c>
      <c r="C41" s="55" t="s">
        <v>71</v>
      </c>
      <c r="D41" s="56" t="s">
        <v>72</v>
      </c>
      <c r="E41" s="860" t="s">
        <v>10122</v>
      </c>
      <c r="F41" s="13"/>
      <c r="G41" s="44" t="s">
        <v>355</v>
      </c>
      <c r="H41" s="45" t="s">
        <v>10123</v>
      </c>
      <c r="I41" s="13"/>
      <c r="J41" s="854" t="s">
        <v>10124</v>
      </c>
      <c r="K41" s="853" t="s">
        <v>10125</v>
      </c>
      <c r="L41" s="157" t="s">
        <v>10126</v>
      </c>
      <c r="M41" s="36"/>
      <c r="N41" s="44" t="s">
        <v>10127</v>
      </c>
      <c r="O41" s="44" t="s">
        <v>10128</v>
      </c>
      <c r="P41" s="45" t="s">
        <v>10129</v>
      </c>
      <c r="Q41" s="13"/>
      <c r="R41" s="45" t="s">
        <v>10130</v>
      </c>
      <c r="S41" s="13"/>
      <c r="T41" s="104"/>
      <c r="U41" s="64"/>
      <c r="V41" s="72"/>
      <c r="W41" s="26"/>
      <c r="X41" s="58" t="s">
        <v>71</v>
      </c>
      <c r="Y41" s="59" t="s">
        <v>72</v>
      </c>
      <c r="Z41" s="48" t="s">
        <v>84</v>
      </c>
      <c r="AA41" s="85" t="str">
        <f>AA$8</f>
        <v/>
      </c>
      <c r="AB41" s="15" t="str">
        <f>IFERROR(__xludf.DUMMYFUNCTION("join("","",filter(split($H$84,"",""),ARRAYFORMULA(ISERROR(FIND(split($H$84,"",""),CONCATENATE(E41:V41))))=TRUE))"),"СЗ,КЗ,206,403,406,408,АЗ")</f>
        <v>СЗ,КЗ,206,403,406,408,АЗ</v>
      </c>
      <c r="AC41" s="14"/>
      <c r="AD41" s="14"/>
      <c r="AE41" s="14"/>
      <c r="AF41" s="29"/>
      <c r="AG41" s="29"/>
      <c r="AH41" s="29"/>
    </row>
    <row r="42" ht="48.75" hidden="1" customHeight="1">
      <c r="A42" s="222"/>
      <c r="B42" s="31">
        <v>7.0</v>
      </c>
      <c r="C42" s="32" t="s">
        <v>85</v>
      </c>
      <c r="D42" s="32" t="s">
        <v>86</v>
      </c>
      <c r="E42" s="852" t="s">
        <v>10131</v>
      </c>
      <c r="F42" s="13"/>
      <c r="G42" s="44" t="s">
        <v>10132</v>
      </c>
      <c r="H42" s="45" t="s">
        <v>10133</v>
      </c>
      <c r="I42" s="13"/>
      <c r="J42" s="853" t="s">
        <v>10134</v>
      </c>
      <c r="K42" s="854" t="s">
        <v>10135</v>
      </c>
      <c r="L42" s="861" t="s">
        <v>10136</v>
      </c>
      <c r="M42" s="13"/>
      <c r="N42" s="87" t="s">
        <v>10137</v>
      </c>
      <c r="O42" s="13"/>
      <c r="P42" s="45" t="s">
        <v>10138</v>
      </c>
      <c r="Q42" s="13"/>
      <c r="R42" s="44" t="s">
        <v>10139</v>
      </c>
      <c r="S42" s="44" t="s">
        <v>10140</v>
      </c>
      <c r="T42" s="864"/>
      <c r="U42" s="865"/>
      <c r="V42" s="866"/>
      <c r="W42" s="26"/>
      <c r="X42" s="42" t="s">
        <v>85</v>
      </c>
      <c r="Y42" s="42" t="s">
        <v>86</v>
      </c>
      <c r="Z42" s="48" t="s">
        <v>97</v>
      </c>
      <c r="AA42" s="85" t="str">
        <f>AA$9</f>
        <v/>
      </c>
      <c r="AB42" s="15" t="str">
        <f>IFERROR(__xludf.DUMMYFUNCTION("join("","",filter(split($H$84,"",""),ARRAYFORMULA(ISERROR(FIND(split($H$84,"",""),CONCATENATE(E42:V42))))=TRUE))"),"СЗ,КЗ,206,210,403,406,АЗ")</f>
        <v>СЗ,КЗ,206,210,403,406,АЗ</v>
      </c>
      <c r="AC42" s="14"/>
      <c r="AD42" s="14"/>
      <c r="AE42" s="14"/>
      <c r="AF42" s="29"/>
      <c r="AG42" s="29"/>
      <c r="AH42" s="29"/>
    </row>
    <row r="43" ht="52.5" hidden="1" customHeight="1">
      <c r="A43" s="222"/>
      <c r="B43" s="31">
        <v>8.0</v>
      </c>
      <c r="C43" s="32" t="s">
        <v>98</v>
      </c>
      <c r="D43" s="32" t="s">
        <v>99</v>
      </c>
      <c r="E43" s="852" t="s">
        <v>10141</v>
      </c>
      <c r="F43" s="13"/>
      <c r="G43" s="44" t="s">
        <v>10142</v>
      </c>
      <c r="H43" s="45" t="s">
        <v>379</v>
      </c>
      <c r="I43" s="13"/>
      <c r="J43" s="853" t="s">
        <v>10143</v>
      </c>
      <c r="K43" s="854" t="s">
        <v>10144</v>
      </c>
      <c r="L43" s="861" t="s">
        <v>10145</v>
      </c>
      <c r="M43" s="13"/>
      <c r="N43" s="87" t="s">
        <v>10146</v>
      </c>
      <c r="O43" s="13"/>
      <c r="P43" s="45" t="s">
        <v>10147</v>
      </c>
      <c r="Q43" s="13"/>
      <c r="R43" s="166"/>
      <c r="S43" s="13"/>
      <c r="T43" s="867"/>
      <c r="U43" s="868"/>
      <c r="V43" s="869"/>
      <c r="W43" s="26"/>
      <c r="X43" s="42" t="s">
        <v>98</v>
      </c>
      <c r="Y43" s="42" t="s">
        <v>99</v>
      </c>
      <c r="Z43" s="11"/>
      <c r="AA43" s="14"/>
      <c r="AB43" s="15" t="str">
        <f>IFERROR(__xludf.DUMMYFUNCTION("join("","",filter(split($H$84,"",""),ARRAYFORMULA(ISERROR(FIND(split($H$84,"",""),CONCATENATE(E43:V43))))=TRUE))"),"СЗ,КЗ,206,210,403,404,405,406,АЗ")</f>
        <v>СЗ,КЗ,206,210,403,404,405,406,АЗ</v>
      </c>
      <c r="AC43" s="14"/>
      <c r="AD43" s="14"/>
      <c r="AE43" s="14"/>
      <c r="AF43" s="29"/>
      <c r="AG43" s="29"/>
      <c r="AH43" s="29"/>
    </row>
    <row r="44" ht="40.5" hidden="1" customHeight="1">
      <c r="A44" s="222"/>
      <c r="B44" s="31">
        <v>9.0</v>
      </c>
      <c r="C44" s="65">
        <v>44697.0</v>
      </c>
      <c r="D44" s="44" t="s">
        <v>109</v>
      </c>
      <c r="E44" s="167" t="s">
        <v>10148</v>
      </c>
      <c r="F44" s="4"/>
      <c r="G44" s="168"/>
      <c r="H44" s="169" t="s">
        <v>10149</v>
      </c>
      <c r="I44" s="36"/>
      <c r="J44" s="13"/>
      <c r="K44" s="170"/>
      <c r="L44" s="4"/>
      <c r="M44" s="171"/>
      <c r="N44" s="45" t="s">
        <v>10150</v>
      </c>
      <c r="O44" s="13"/>
      <c r="P44" s="33" t="s">
        <v>10151</v>
      </c>
      <c r="Q44" s="172" t="s">
        <v>390</v>
      </c>
      <c r="R44" s="8"/>
      <c r="S44" s="8"/>
      <c r="T44" s="8"/>
      <c r="U44" s="8"/>
      <c r="V44" s="129"/>
      <c r="W44" s="26"/>
      <c r="X44" s="69">
        <v>44697.0</v>
      </c>
      <c r="Y44" s="70" t="s">
        <v>109</v>
      </c>
      <c r="Z44" s="28"/>
      <c r="AA44" s="14"/>
      <c r="AB44" s="15" t="str">
        <f>IFERROR(__xludf.DUMMYFUNCTION("join("","",filter(split($H$84,"",""),ARRAYFORMULA(ISERROR(FIND(split($H$84,"",""),CONCATENATE(E44:V44))))=TRUE))"),"КЗ,202,206,209,401,403,404,405,406,408,409,АЗ")</f>
        <v>КЗ,202,206,209,401,403,404,405,406,408,409,АЗ</v>
      </c>
      <c r="AC44" s="14"/>
      <c r="AD44" s="14"/>
      <c r="AE44" s="14"/>
      <c r="AF44" s="29"/>
      <c r="AG44" s="29"/>
      <c r="AH44" s="29"/>
    </row>
    <row r="45" ht="40.5" hidden="1" customHeight="1">
      <c r="A45" s="222"/>
      <c r="B45" s="31">
        <v>10.0</v>
      </c>
      <c r="C45" s="44" t="s">
        <v>120</v>
      </c>
      <c r="D45" s="44" t="s">
        <v>121</v>
      </c>
      <c r="E45" s="104"/>
      <c r="F45" s="72"/>
      <c r="G45" s="173"/>
      <c r="H45" s="169" t="s">
        <v>10152</v>
      </c>
      <c r="I45" s="36"/>
      <c r="J45" s="13"/>
      <c r="K45" s="104"/>
      <c r="L45" s="72"/>
      <c r="M45" s="171"/>
      <c r="N45" s="45" t="s">
        <v>10153</v>
      </c>
      <c r="O45" s="13"/>
      <c r="P45" s="33" t="s">
        <v>10154</v>
      </c>
      <c r="Q45" s="104"/>
      <c r="R45" s="64"/>
      <c r="S45" s="64"/>
      <c r="T45" s="64"/>
      <c r="U45" s="64"/>
      <c r="V45" s="88"/>
      <c r="W45" s="26"/>
      <c r="X45" s="70" t="s">
        <v>120</v>
      </c>
      <c r="Y45" s="70" t="s">
        <v>121</v>
      </c>
      <c r="Z45" s="28"/>
      <c r="AA45" s="14"/>
      <c r="AB45" s="15" t="str">
        <f>IFERROR(__xludf.DUMMYFUNCTION("join("","",filter(split($H$84,"",""),ARRAYFORMULA(ISERROR(FIND(split($H$84,"",""),CONCATENATE(E45:V45))))=TRUE))"),"КЗ,201,202,206,209,401,403,404,405,406,408,409,410,АЗ")</f>
        <v>КЗ,201,202,206,209,401,403,404,405,406,408,409,410,АЗ</v>
      </c>
      <c r="AC45" s="14"/>
      <c r="AD45" s="14"/>
      <c r="AE45" s="14"/>
      <c r="AF45" s="29"/>
      <c r="AG45" s="29"/>
      <c r="AH45" s="29"/>
    </row>
    <row r="46" ht="50.25" hidden="1" customHeight="1">
      <c r="A46" s="173"/>
      <c r="B46" s="75">
        <v>11.0</v>
      </c>
      <c r="C46" s="76" t="s">
        <v>124</v>
      </c>
      <c r="D46" s="76" t="s">
        <v>125</v>
      </c>
      <c r="E46" s="870" t="s">
        <v>10071</v>
      </c>
      <c r="V46" s="134"/>
      <c r="W46" s="26"/>
      <c r="X46" s="79" t="s">
        <v>124</v>
      </c>
      <c r="Y46" s="79" t="s">
        <v>125</v>
      </c>
      <c r="Z46" s="28"/>
      <c r="AA46" s="14"/>
      <c r="AB46" s="15" t="str">
        <f>IFERROR(__xludf.DUMMYFUNCTION("join("","",filter(split($H$84,"",""),ARRAYFORMULA(ISERROR(FIND(split($H$84,"",""),CONCATENATE(E46:V46))))=TRUE))"),"СЗ,КЗ,201,202,206,209,210,401,402,403,404,405,406,408,409,410,АЗ")</f>
        <v>СЗ,КЗ,201,202,206,209,210,401,402,403,404,405,406,408,409,410,АЗ</v>
      </c>
      <c r="AC46" s="14"/>
      <c r="AD46" s="14"/>
      <c r="AE46" s="14"/>
      <c r="AF46" s="29"/>
      <c r="AG46" s="29"/>
      <c r="AH46" s="29"/>
    </row>
    <row r="47" ht="40.5" customHeight="1">
      <c r="A47" s="18">
        <v>45023.0</v>
      </c>
      <c r="B47" s="19">
        <v>1.0</v>
      </c>
      <c r="C47" s="20" t="s">
        <v>12</v>
      </c>
      <c r="D47" s="20" t="s">
        <v>13</v>
      </c>
      <c r="E47" s="156" t="s">
        <v>10155</v>
      </c>
      <c r="F47" s="156" t="s">
        <v>10156</v>
      </c>
      <c r="G47" s="80" t="s">
        <v>10157</v>
      </c>
      <c r="H47" s="25"/>
      <c r="I47" s="427" t="s">
        <v>10158</v>
      </c>
      <c r="J47" s="175" t="s">
        <v>10159</v>
      </c>
      <c r="K47" s="25"/>
      <c r="L47" s="80" t="s">
        <v>10160</v>
      </c>
      <c r="M47" s="25"/>
      <c r="N47" s="156" t="s">
        <v>10161</v>
      </c>
      <c r="O47" s="156" t="s">
        <v>10162</v>
      </c>
      <c r="P47" s="80" t="s">
        <v>10163</v>
      </c>
      <c r="Q47" s="25"/>
      <c r="R47" s="80" t="s">
        <v>10164</v>
      </c>
      <c r="S47" s="25"/>
      <c r="T47" s="80" t="s">
        <v>10165</v>
      </c>
      <c r="U47" s="24"/>
      <c r="V47" s="22"/>
      <c r="W47" s="26"/>
      <c r="X47" s="27" t="s">
        <v>12</v>
      </c>
      <c r="Y47" s="27" t="s">
        <v>13</v>
      </c>
      <c r="Z47" s="28"/>
      <c r="AA47" s="14"/>
      <c r="AB47" s="15" t="str">
        <f>IFERROR(__xludf.DUMMYFUNCTION("join("","",filter(split($H$84,"",""),ARRAYFORMULA(ISERROR(FIND(split($H$84,"",""),CONCATENATE(E47:V47))))=TRUE))"),"СЗ,КЗ,206,402,408,409,410")</f>
        <v>СЗ,КЗ,206,402,408,409,410</v>
      </c>
      <c r="AC47" s="14"/>
      <c r="AD47" s="14"/>
      <c r="AE47" s="14"/>
      <c r="AF47" s="29"/>
      <c r="AG47" s="29"/>
      <c r="AH47" s="29"/>
    </row>
    <row r="48" ht="40.5" customHeight="1">
      <c r="A48" s="30"/>
      <c r="B48" s="31">
        <v>2.0</v>
      </c>
      <c r="C48" s="32" t="s">
        <v>21</v>
      </c>
      <c r="D48" s="32" t="s">
        <v>22</v>
      </c>
      <c r="E48" s="44" t="s">
        <v>10166</v>
      </c>
      <c r="F48" s="44" t="s">
        <v>10167</v>
      </c>
      <c r="G48" s="45" t="s">
        <v>10168</v>
      </c>
      <c r="H48" s="13"/>
      <c r="I48" s="173"/>
      <c r="J48" s="157" t="s">
        <v>10169</v>
      </c>
      <c r="K48" s="13"/>
      <c r="L48" s="80" t="s">
        <v>10170</v>
      </c>
      <c r="M48" s="25"/>
      <c r="N48" s="44" t="s">
        <v>10171</v>
      </c>
      <c r="O48" s="44" t="s">
        <v>10172</v>
      </c>
      <c r="P48" s="45" t="s">
        <v>10173</v>
      </c>
      <c r="Q48" s="13"/>
      <c r="R48" s="44" t="s">
        <v>10174</v>
      </c>
      <c r="S48" s="90" t="s">
        <v>10175</v>
      </c>
      <c r="T48" s="45" t="s">
        <v>10176</v>
      </c>
      <c r="U48" s="36"/>
      <c r="V48" s="41"/>
      <c r="W48" s="26"/>
      <c r="X48" s="42" t="s">
        <v>21</v>
      </c>
      <c r="Y48" s="42" t="s">
        <v>22</v>
      </c>
      <c r="Z48" s="28"/>
      <c r="AA48" s="14"/>
      <c r="AB48" s="15" t="str">
        <f>IFERROR(__xludf.DUMMYFUNCTION("join("","",filter(split($H$84,"",""),ARRAYFORMULA(ISERROR(FIND(split($H$84,"",""),CONCATENATE(E48:V48))))=TRUE))"),"СЗ,КЗ,206,408,409,410,АЗ")</f>
        <v>СЗ,КЗ,206,408,409,410,АЗ</v>
      </c>
      <c r="AC48" s="14"/>
      <c r="AD48" s="14"/>
      <c r="AE48" s="14"/>
      <c r="AF48" s="29"/>
      <c r="AG48" s="29"/>
      <c r="AH48" s="29"/>
    </row>
    <row r="49" ht="40.5" customHeight="1">
      <c r="A49" s="30"/>
      <c r="B49" s="31">
        <v>3.0</v>
      </c>
      <c r="C49" s="32" t="s">
        <v>33</v>
      </c>
      <c r="D49" s="32" t="s">
        <v>34</v>
      </c>
      <c r="E49" s="40" t="s">
        <v>10177</v>
      </c>
      <c r="F49" s="13"/>
      <c r="G49" s="176" t="s">
        <v>10178</v>
      </c>
      <c r="H49" s="4"/>
      <c r="I49" s="90" t="s">
        <v>10179</v>
      </c>
      <c r="J49" s="44" t="s">
        <v>10180</v>
      </c>
      <c r="K49" s="44" t="s">
        <v>10181</v>
      </c>
      <c r="L49" s="44" t="s">
        <v>10182</v>
      </c>
      <c r="M49" s="44" t="s">
        <v>10183</v>
      </c>
      <c r="N49" s="164" t="s">
        <v>10184</v>
      </c>
      <c r="O49" s="36"/>
      <c r="P49" s="36"/>
      <c r="Q49" s="13"/>
      <c r="R49" s="44" t="s">
        <v>10185</v>
      </c>
      <c r="S49" s="90" t="s">
        <v>10186</v>
      </c>
      <c r="T49" s="45" t="s">
        <v>10187</v>
      </c>
      <c r="U49" s="36"/>
      <c r="V49" s="41"/>
      <c r="W49" s="26"/>
      <c r="X49" s="42" t="s">
        <v>33</v>
      </c>
      <c r="Y49" s="42" t="s">
        <v>34</v>
      </c>
      <c r="Z49" s="48" t="s">
        <v>47</v>
      </c>
      <c r="AA49" s="85" t="str">
        <f>AA$5</f>
        <v/>
      </c>
      <c r="AB49" s="15" t="str">
        <f>IFERROR(__xludf.DUMMYFUNCTION("join("","",filter(split($H$84,"",""),ARRAYFORMULA(ISERROR(FIND(split($H$84,"",""),CONCATENATE(E49:V49))))=TRUE))"),"СЗ,КЗ,206,209,409,410")</f>
        <v>СЗ,КЗ,206,209,409,410</v>
      </c>
      <c r="AC49" s="14"/>
      <c r="AD49" s="14"/>
      <c r="AE49" s="14"/>
      <c r="AF49" s="29"/>
      <c r="AG49" s="29"/>
      <c r="AH49" s="29"/>
    </row>
    <row r="50" ht="40.5" customHeight="1">
      <c r="A50" s="30"/>
      <c r="B50" s="31">
        <v>4.0</v>
      </c>
      <c r="C50" s="32" t="s">
        <v>48</v>
      </c>
      <c r="D50" s="32" t="s">
        <v>49</v>
      </c>
      <c r="E50" s="40" t="s">
        <v>10188</v>
      </c>
      <c r="F50" s="13"/>
      <c r="G50" s="104"/>
      <c r="H50" s="72"/>
      <c r="I50" s="90" t="s">
        <v>10189</v>
      </c>
      <c r="J50" s="44" t="s">
        <v>10190</v>
      </c>
      <c r="K50" s="44" t="s">
        <v>10191</v>
      </c>
      <c r="L50" s="44" t="s">
        <v>10192</v>
      </c>
      <c r="M50" s="44" t="s">
        <v>10193</v>
      </c>
      <c r="N50" s="164" t="s">
        <v>10194</v>
      </c>
      <c r="O50" s="36"/>
      <c r="P50" s="36"/>
      <c r="Q50" s="13"/>
      <c r="R50" s="97" t="s">
        <v>10195</v>
      </c>
      <c r="S50" s="133" t="s">
        <v>10196</v>
      </c>
      <c r="T50" s="45" t="s">
        <v>10197</v>
      </c>
      <c r="U50" s="36"/>
      <c r="V50" s="41"/>
      <c r="W50" s="26"/>
      <c r="X50" s="42" t="s">
        <v>48</v>
      </c>
      <c r="Y50" s="42" t="s">
        <v>49</v>
      </c>
      <c r="Z50" s="48" t="s">
        <v>57</v>
      </c>
      <c r="AA50" s="85" t="str">
        <f>AA$6</f>
        <v/>
      </c>
      <c r="AB50" s="15" t="str">
        <f>IFERROR(__xludf.DUMMYFUNCTION("join("","",filter(split($H$84,"",""),ARRAYFORMULA(ISERROR(FIND(split($H$84,"",""),CONCATENATE(E50:V50))))=TRUE))"),"СЗ,КЗ,201,206,409,410,АЗ")</f>
        <v>СЗ,КЗ,201,206,409,410,АЗ</v>
      </c>
      <c r="AC50" s="14"/>
      <c r="AD50" s="14"/>
      <c r="AE50" s="14"/>
      <c r="AF50" s="29"/>
      <c r="AG50" s="29"/>
      <c r="AH50" s="29"/>
    </row>
    <row r="51" ht="75.0" customHeight="1">
      <c r="A51" s="30"/>
      <c r="B51" s="31">
        <v>5.0</v>
      </c>
      <c r="C51" s="32" t="s">
        <v>58</v>
      </c>
      <c r="D51" s="53">
        <v>44847.0</v>
      </c>
      <c r="E51" s="45" t="s">
        <v>10198</v>
      </c>
      <c r="F51" s="13"/>
      <c r="G51" s="44" t="s">
        <v>10199</v>
      </c>
      <c r="H51" s="44" t="s">
        <v>10200</v>
      </c>
      <c r="I51" s="44" t="s">
        <v>10201</v>
      </c>
      <c r="J51" s="45" t="s">
        <v>10202</v>
      </c>
      <c r="K51" s="863" t="s">
        <v>10203</v>
      </c>
      <c r="L51" s="45" t="s">
        <v>10204</v>
      </c>
      <c r="M51" s="13"/>
      <c r="N51" s="177" t="s">
        <v>10205</v>
      </c>
      <c r="O51" s="124" t="s">
        <v>10206</v>
      </c>
      <c r="P51" s="45" t="s">
        <v>10207</v>
      </c>
      <c r="Q51" s="13"/>
      <c r="R51" s="97" t="s">
        <v>10208</v>
      </c>
      <c r="S51" s="133" t="s">
        <v>10209</v>
      </c>
      <c r="T51" s="45" t="s">
        <v>10210</v>
      </c>
      <c r="U51" s="36"/>
      <c r="V51" s="41"/>
      <c r="W51" s="26"/>
      <c r="X51" s="42" t="s">
        <v>58</v>
      </c>
      <c r="Y51" s="54">
        <v>44847.0</v>
      </c>
      <c r="Z51" s="48" t="s">
        <v>70</v>
      </c>
      <c r="AA51" s="85" t="str">
        <f>AA$7</f>
        <v/>
      </c>
      <c r="AB51" s="15" t="str">
        <f>IFERROR(__xludf.DUMMYFUNCTION("join("","",filter(split($H$84,"",""),ARRAYFORMULA(ISERROR(FIND(split($H$84,"",""),CONCATENATE(E51:V51))))=TRUE))"),"СЗ,КЗ,206,401,404,410")</f>
        <v>СЗ,КЗ,206,401,404,410</v>
      </c>
      <c r="AC51" s="14"/>
      <c r="AD51" s="14"/>
      <c r="AE51" s="14"/>
      <c r="AF51" s="29"/>
      <c r="AG51" s="29"/>
      <c r="AH51" s="29"/>
    </row>
    <row r="52" ht="48.75" customHeight="1">
      <c r="A52" s="30"/>
      <c r="B52" s="31">
        <v>6.0</v>
      </c>
      <c r="C52" s="55" t="s">
        <v>71</v>
      </c>
      <c r="D52" s="56" t="s">
        <v>72</v>
      </c>
      <c r="E52" s="45" t="s">
        <v>10211</v>
      </c>
      <c r="F52" s="13"/>
      <c r="G52" s="44" t="s">
        <v>10212</v>
      </c>
      <c r="H52" s="44" t="s">
        <v>10213</v>
      </c>
      <c r="I52" s="44" t="s">
        <v>10214</v>
      </c>
      <c r="J52" s="45" t="s">
        <v>10215</v>
      </c>
      <c r="K52" s="13"/>
      <c r="L52" s="45" t="s">
        <v>10216</v>
      </c>
      <c r="M52" s="13"/>
      <c r="N52" s="177" t="s">
        <v>10217</v>
      </c>
      <c r="O52" s="124" t="s">
        <v>10218</v>
      </c>
      <c r="P52" s="45" t="s">
        <v>10219</v>
      </c>
      <c r="Q52" s="13"/>
      <c r="R52" s="162" t="s">
        <v>10220</v>
      </c>
      <c r="S52" s="178" t="s">
        <v>10221</v>
      </c>
      <c r="T52" s="44" t="s">
        <v>10222</v>
      </c>
      <c r="U52" s="44" t="s">
        <v>10223</v>
      </c>
      <c r="V52" s="34"/>
      <c r="W52" s="179"/>
      <c r="X52" s="58" t="s">
        <v>71</v>
      </c>
      <c r="Y52" s="59" t="s">
        <v>72</v>
      </c>
      <c r="Z52" s="48" t="s">
        <v>84</v>
      </c>
      <c r="AA52" s="85"/>
      <c r="AB52" s="15" t="str">
        <f>IFERROR(__xludf.DUMMYFUNCTION("join("","",filter(split($H$84,"",""),ARRAYFORMULA(ISERROR(FIND(split($H$84,"",""),CONCATENATE(E52:V52))))=TRUE))"),"СЗ,206,406,408,410")</f>
        <v>СЗ,206,406,408,410</v>
      </c>
      <c r="AC52" s="15" t="str">
        <f>IFERROR(__xludf.DUMMYFUNCTION("join("","",filter(split(#REF!,"",""),ARRAYFORMULA(ISERROR(FIND(split(#REF!,"",""),CONCATENATE(E52:S52))))=TRUE))"),"#REF!")</f>
        <v>#REF!</v>
      </c>
      <c r="AD52" s="14"/>
      <c r="AE52" s="14"/>
      <c r="AF52" s="29"/>
      <c r="AG52" s="29"/>
      <c r="AH52" s="29"/>
    </row>
    <row r="53" ht="55.5" customHeight="1">
      <c r="A53" s="30"/>
      <c r="B53" s="31">
        <v>7.0</v>
      </c>
      <c r="C53" s="32" t="s">
        <v>85</v>
      </c>
      <c r="D53" s="32" t="s">
        <v>86</v>
      </c>
      <c r="E53" s="45" t="s">
        <v>10224</v>
      </c>
      <c r="F53" s="13"/>
      <c r="G53" s="44" t="s">
        <v>10225</v>
      </c>
      <c r="H53" s="44" t="s">
        <v>10226</v>
      </c>
      <c r="I53" s="44" t="s">
        <v>10227</v>
      </c>
      <c r="J53" s="45" t="s">
        <v>10228</v>
      </c>
      <c r="K53" s="13"/>
      <c r="L53" s="45" t="s">
        <v>10229</v>
      </c>
      <c r="M53" s="13"/>
      <c r="N53" s="86" t="s">
        <v>10230</v>
      </c>
      <c r="O53" s="13"/>
      <c r="P53" s="124" t="s">
        <v>10231</v>
      </c>
      <c r="Q53" s="37" t="s">
        <v>10232</v>
      </c>
      <c r="R53" s="180" t="s">
        <v>10233</v>
      </c>
      <c r="S53" s="181" t="s">
        <v>10234</v>
      </c>
      <c r="T53" s="44" t="s">
        <v>472</v>
      </c>
      <c r="U53" s="44"/>
      <c r="V53" s="34"/>
      <c r="W53" s="26"/>
      <c r="X53" s="42" t="s">
        <v>85</v>
      </c>
      <c r="Y53" s="42" t="s">
        <v>86</v>
      </c>
      <c r="Z53" s="48" t="s">
        <v>97</v>
      </c>
      <c r="AA53" s="85" t="str">
        <f>AA$9</f>
        <v/>
      </c>
      <c r="AB53" s="15" t="str">
        <f>IFERROR(__xludf.DUMMYFUNCTION("join("","",filter(split($H$84,"",""),ARRAYFORMULA(ISERROR(FIND(split($H$84,"",""),CONCATENATE(E53:V53))))=TRUE))"),"СЗ,206,408,410")</f>
        <v>СЗ,206,408,410</v>
      </c>
      <c r="AC53" s="14"/>
      <c r="AD53" s="14"/>
      <c r="AE53" s="14"/>
      <c r="AF53" s="29"/>
      <c r="AG53" s="29"/>
      <c r="AH53" s="29"/>
    </row>
    <row r="54" ht="51.75" customHeight="1">
      <c r="A54" s="30"/>
      <c r="B54" s="31">
        <v>8.0</v>
      </c>
      <c r="C54" s="32" t="s">
        <v>98</v>
      </c>
      <c r="D54" s="32" t="s">
        <v>99</v>
      </c>
      <c r="E54" s="44" t="s">
        <v>10235</v>
      </c>
      <c r="F54" s="44" t="s">
        <v>10236</v>
      </c>
      <c r="G54" s="416" t="s">
        <v>1913</v>
      </c>
      <c r="H54" s="86" t="s">
        <v>10237</v>
      </c>
      <c r="I54" s="13"/>
      <c r="J54" s="45" t="s">
        <v>10238</v>
      </c>
      <c r="K54" s="13"/>
      <c r="L54" s="45" t="s">
        <v>10239</v>
      </c>
      <c r="M54" s="13"/>
      <c r="N54" s="182"/>
      <c r="O54" s="177" t="s">
        <v>10240</v>
      </c>
      <c r="P54" s="124" t="s">
        <v>10241</v>
      </c>
      <c r="Q54" s="37" t="s">
        <v>160</v>
      </c>
      <c r="R54" s="183" t="s">
        <v>10242</v>
      </c>
      <c r="S54" s="181" t="s">
        <v>10243</v>
      </c>
      <c r="T54" s="144"/>
      <c r="U54" s="144"/>
      <c r="V54" s="184"/>
      <c r="W54" s="26"/>
      <c r="X54" s="42" t="s">
        <v>98</v>
      </c>
      <c r="Y54" s="42" t="s">
        <v>99</v>
      </c>
      <c r="Z54" s="11"/>
      <c r="AA54" s="14"/>
      <c r="AB54" s="15" t="str">
        <f>IFERROR(__xludf.DUMMYFUNCTION("join("","",filter(split($H$84,"",""),ARRAYFORMULA(ISERROR(FIND(split($H$84,"",""),CONCATENATE(E54:V54))))=TRUE))"),"СЗ,201,206,404,405,408,410")</f>
        <v>СЗ,201,206,404,405,408,410</v>
      </c>
      <c r="AC54" s="14"/>
      <c r="AD54" s="14"/>
      <c r="AE54" s="14"/>
      <c r="AF54" s="29"/>
      <c r="AG54" s="29"/>
      <c r="AH54" s="29"/>
    </row>
    <row r="55" ht="71.25" customHeight="1">
      <c r="A55" s="30"/>
      <c r="B55" s="31">
        <v>9.0</v>
      </c>
      <c r="C55" s="65">
        <v>44697.0</v>
      </c>
      <c r="D55" s="44" t="s">
        <v>109</v>
      </c>
      <c r="E55" s="187" t="s">
        <v>480</v>
      </c>
      <c r="F55" s="8"/>
      <c r="G55" s="8"/>
      <c r="H55" s="8"/>
      <c r="I55" s="8"/>
      <c r="J55" s="8"/>
      <c r="K55" s="8"/>
      <c r="L55" s="8"/>
      <c r="M55" s="8"/>
      <c r="N55" s="163"/>
      <c r="O55" s="177" t="s">
        <v>9846</v>
      </c>
      <c r="P55" s="187" t="s">
        <v>480</v>
      </c>
      <c r="Q55" s="8"/>
      <c r="R55" s="8"/>
      <c r="S55" s="8"/>
      <c r="T55" s="8"/>
      <c r="U55" s="8"/>
      <c r="V55" s="8"/>
      <c r="W55" s="186"/>
      <c r="X55" s="69">
        <v>44697.0</v>
      </c>
      <c r="Y55" s="70" t="s">
        <v>109</v>
      </c>
      <c r="Z55" s="28"/>
      <c r="AA55" s="14"/>
      <c r="AB55" s="15" t="str">
        <f>IFERROR(__xludf.DUMMYFUNCTION("join("","",filter(split($H$84,"",""),ARRAYFORMULA(ISERROR(FIND(split($H$84,"",""),CONCATENATE(E55:V55))))=TRUE))"),"206,209,403,404,405,408,409,410,АЗ")</f>
        <v>206,209,403,404,405,408,409,410,АЗ</v>
      </c>
      <c r="AC55" s="14"/>
      <c r="AD55" s="14"/>
      <c r="AE55" s="14"/>
      <c r="AF55" s="29"/>
      <c r="AG55" s="29"/>
      <c r="AH55" s="29"/>
    </row>
    <row r="56" ht="40.5" customHeight="1">
      <c r="A56" s="30"/>
      <c r="B56" s="31">
        <v>10.0</v>
      </c>
      <c r="C56" s="44" t="s">
        <v>120</v>
      </c>
      <c r="D56" s="44" t="s">
        <v>121</v>
      </c>
      <c r="E56" s="104"/>
      <c r="F56" s="64"/>
      <c r="G56" s="64"/>
      <c r="H56" s="64"/>
      <c r="I56" s="64"/>
      <c r="J56" s="64"/>
      <c r="K56" s="64"/>
      <c r="L56" s="64"/>
      <c r="M56" s="64"/>
      <c r="N56" s="188"/>
      <c r="O56" s="189"/>
      <c r="P56" s="104"/>
      <c r="Q56" s="64"/>
      <c r="R56" s="64"/>
      <c r="S56" s="64"/>
      <c r="T56" s="64"/>
      <c r="U56" s="64"/>
      <c r="V56" s="64"/>
      <c r="W56" s="190"/>
      <c r="X56" s="70" t="s">
        <v>120</v>
      </c>
      <c r="Y56" s="70" t="s">
        <v>121</v>
      </c>
      <c r="Z56" s="28"/>
      <c r="AA56" s="14"/>
      <c r="AB56" s="15" t="str">
        <f>IFERROR(__xludf.DUMMYFUNCTION("join("","",filter(split($H$84,"",""),ARRAYFORMULA(ISERROR(FIND(split($H$84,"",""),CONCATENATE(E56:V56))))=TRUE))"),"СЗ,КЗ,201,202,206,209,210,401,402,403,404,405,406,408,409,410,АЗ")</f>
        <v>СЗ,КЗ,201,202,206,209,210,401,402,403,404,405,406,408,409,410,АЗ</v>
      </c>
      <c r="AC56" s="14"/>
      <c r="AD56" s="14"/>
      <c r="AE56" s="14"/>
      <c r="AF56" s="29"/>
      <c r="AG56" s="29"/>
      <c r="AH56" s="29"/>
    </row>
    <row r="57" ht="40.5" customHeight="1">
      <c r="A57" s="74"/>
      <c r="B57" s="75">
        <v>11.0</v>
      </c>
      <c r="C57" s="76" t="s">
        <v>124</v>
      </c>
      <c r="D57" s="76" t="s">
        <v>125</v>
      </c>
      <c r="E57" s="111"/>
      <c r="F57" s="111"/>
      <c r="G57" s="111"/>
      <c r="H57" s="111"/>
      <c r="I57" s="111"/>
      <c r="J57" s="111"/>
      <c r="K57" s="111"/>
      <c r="L57" s="111"/>
      <c r="M57" s="111"/>
      <c r="N57" s="111"/>
      <c r="O57" s="111"/>
      <c r="P57" s="111"/>
      <c r="Q57" s="111"/>
      <c r="R57" s="111"/>
      <c r="S57" s="111"/>
      <c r="T57" s="111"/>
      <c r="U57" s="111"/>
      <c r="V57" s="112"/>
      <c r="W57" s="26"/>
      <c r="X57" s="79" t="s">
        <v>124</v>
      </c>
      <c r="Y57" s="79" t="s">
        <v>125</v>
      </c>
      <c r="Z57" s="28"/>
      <c r="AA57" s="14"/>
      <c r="AB57" s="15" t="str">
        <f>IFERROR(__xludf.DUMMYFUNCTION("join("","",filter(split($H$84,"",""),ARRAYFORMULA(ISERROR(FIND(split($H$84,"",""),CONCATENATE(E57:V57))))=TRUE))"),"СЗ,КЗ,201,202,206,209,210,401,402,403,404,405,406,408,409,410,АЗ")</f>
        <v>СЗ,КЗ,201,202,206,209,210,401,402,403,404,405,406,408,409,410,АЗ</v>
      </c>
      <c r="AC57" s="14"/>
      <c r="AD57" s="14"/>
      <c r="AE57" s="14"/>
      <c r="AF57" s="29"/>
      <c r="AG57" s="29"/>
      <c r="AH57" s="29"/>
    </row>
    <row r="58" ht="40.5" customHeight="1">
      <c r="A58" s="18">
        <v>45024.0</v>
      </c>
      <c r="B58" s="191">
        <v>1.0</v>
      </c>
      <c r="C58" s="192" t="str">
        <f>D$1</f>
        <v/>
      </c>
      <c r="D58" s="72"/>
      <c r="E58" s="193"/>
      <c r="F58" s="193"/>
      <c r="G58" s="194" t="s">
        <v>481</v>
      </c>
      <c r="H58" s="64"/>
      <c r="I58" s="72"/>
      <c r="J58" s="195"/>
      <c r="K58" s="64"/>
      <c r="L58" s="64"/>
      <c r="M58" s="72"/>
      <c r="N58" s="193"/>
      <c r="O58" s="177"/>
      <c r="P58" s="187" t="s">
        <v>482</v>
      </c>
      <c r="Q58" s="8"/>
      <c r="R58" s="8"/>
      <c r="S58" s="4"/>
      <c r="T58" s="871"/>
      <c r="U58" s="64"/>
      <c r="V58" s="72"/>
      <c r="W58" s="15"/>
      <c r="X58" s="197" t="str">
        <f>Y$1</f>
        <v/>
      </c>
      <c r="Y58" s="13"/>
      <c r="Z58" s="28"/>
      <c r="AA58" s="14"/>
      <c r="AB58" s="15"/>
      <c r="AC58" s="14"/>
      <c r="AD58" s="14"/>
      <c r="AE58" s="14"/>
      <c r="AF58" s="29"/>
      <c r="AG58" s="29"/>
      <c r="AH58" s="29"/>
    </row>
    <row r="59" ht="40.5" customHeight="1">
      <c r="A59" s="30"/>
      <c r="B59" s="31">
        <v>2.0</v>
      </c>
      <c r="C59" s="85"/>
      <c r="D59" s="85"/>
      <c r="E59" s="15"/>
      <c r="F59" s="15"/>
      <c r="G59" s="15"/>
      <c r="H59" s="15"/>
      <c r="I59" s="15"/>
      <c r="J59" s="15"/>
      <c r="K59" s="15"/>
      <c r="L59" s="15"/>
      <c r="M59" s="15"/>
      <c r="N59" s="15"/>
      <c r="O59" s="177"/>
      <c r="P59" s="104"/>
      <c r="Q59" s="64"/>
      <c r="R59" s="64"/>
      <c r="S59" s="72"/>
      <c r="T59" s="15"/>
      <c r="U59" s="15"/>
      <c r="V59" s="15"/>
      <c r="W59" s="15"/>
      <c r="X59" s="85"/>
      <c r="Y59" s="85"/>
      <c r="Z59" s="198"/>
      <c r="AA59" s="14"/>
      <c r="AB59" s="15"/>
      <c r="AC59" s="14"/>
      <c r="AD59" s="14"/>
      <c r="AE59" s="14"/>
      <c r="AF59" s="29"/>
      <c r="AG59" s="29"/>
      <c r="AH59" s="29"/>
    </row>
    <row r="60" ht="40.5" customHeight="1">
      <c r="A60" s="30"/>
      <c r="B60" s="31">
        <v>3.0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AA$5</f>
        <v/>
      </c>
      <c r="AB60" s="15"/>
      <c r="AC60" s="14"/>
      <c r="AD60" s="14"/>
      <c r="AE60" s="14"/>
      <c r="AF60" s="29"/>
      <c r="AG60" s="29"/>
      <c r="AH60" s="29"/>
    </row>
    <row r="61" ht="40.5" customHeight="1">
      <c r="A61" s="30"/>
      <c r="B61" s="31">
        <v>4.0</v>
      </c>
      <c r="C61" s="85"/>
      <c r="D61" s="85"/>
      <c r="E61" s="15"/>
      <c r="F61" s="15"/>
      <c r="G61" s="15"/>
      <c r="H61" s="15"/>
      <c r="I61" s="15"/>
      <c r="J61" s="44"/>
      <c r="K61" s="44"/>
      <c r="L61" s="44"/>
      <c r="M61" s="44"/>
      <c r="N61" s="15"/>
      <c r="O61" s="15"/>
      <c r="P61" s="199"/>
      <c r="Q61" s="199"/>
      <c r="R61" s="199"/>
      <c r="S61" s="199"/>
      <c r="T61" s="15"/>
      <c r="U61" s="15"/>
      <c r="V61" s="15"/>
      <c r="W61" s="15"/>
      <c r="X61" s="85"/>
      <c r="Y61" s="85"/>
      <c r="Z61" s="198"/>
      <c r="AA61" s="85" t="str">
        <f>AA$6</f>
        <v/>
      </c>
      <c r="AB61" s="15"/>
      <c r="AC61" s="14"/>
      <c r="AD61" s="14"/>
      <c r="AE61" s="14"/>
      <c r="AF61" s="29"/>
      <c r="AG61" s="29"/>
      <c r="AH61" s="29"/>
    </row>
    <row r="62" ht="40.5" customHeight="1">
      <c r="A62" s="30"/>
      <c r="B62" s="31">
        <v>5.0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AA$7</f>
        <v/>
      </c>
      <c r="AB62" s="15"/>
      <c r="AC62" s="14"/>
      <c r="AD62" s="14"/>
      <c r="AE62" s="14"/>
      <c r="AF62" s="29"/>
      <c r="AG62" s="29"/>
      <c r="AH62" s="29"/>
    </row>
    <row r="63" ht="40.5" customHeight="1">
      <c r="A63" s="30"/>
      <c r="B63" s="31">
        <v>6.0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t="str">
        <f>AA$8</f>
        <v/>
      </c>
      <c r="AB63" s="15"/>
      <c r="AC63" s="14"/>
      <c r="AD63" s="14"/>
      <c r="AE63" s="14"/>
      <c r="AF63" s="29"/>
      <c r="AG63" s="29"/>
      <c r="AH63" s="29"/>
    </row>
    <row r="64" ht="40.5" customHeight="1">
      <c r="A64" s="30"/>
      <c r="B64" s="31">
        <v>7.0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c r="AB64" s="14"/>
      <c r="AC64" s="14"/>
      <c r="AD64" s="14"/>
      <c r="AE64" s="14"/>
      <c r="AF64" s="29"/>
      <c r="AG64" s="29"/>
      <c r="AH64" s="29"/>
    </row>
    <row r="65" ht="40.5" customHeight="1">
      <c r="A65" s="30"/>
      <c r="B65" s="31">
        <v>8.0</v>
      </c>
      <c r="C65" s="85"/>
      <c r="D65" s="85"/>
      <c r="E65" s="15"/>
      <c r="F65" s="15"/>
      <c r="G65" s="15"/>
      <c r="H65" s="15"/>
      <c r="I65" s="15"/>
      <c r="J65" s="44"/>
      <c r="K65" s="44"/>
      <c r="L65" s="44"/>
      <c r="M65" s="44"/>
      <c r="N65" s="15"/>
      <c r="O65" s="15"/>
      <c r="P65" s="15"/>
      <c r="Q65" s="15"/>
      <c r="R65" s="15"/>
      <c r="S65" s="15"/>
      <c r="T65" s="15"/>
      <c r="U65" s="15"/>
      <c r="V65" s="15"/>
      <c r="W65" s="15"/>
      <c r="X65" s="85"/>
      <c r="Y65" s="85"/>
      <c r="Z65" s="198"/>
      <c r="AA65" s="85" t="str">
        <f>AA$9</f>
        <v/>
      </c>
      <c r="AB65" s="14"/>
      <c r="AC65" s="14"/>
      <c r="AD65" s="14"/>
      <c r="AE65" s="14"/>
      <c r="AF65" s="29"/>
      <c r="AG65" s="29"/>
      <c r="AH65" s="29"/>
    </row>
    <row r="66" ht="40.5" customHeight="1">
      <c r="A66" s="30"/>
      <c r="B66" s="31">
        <v>9.0</v>
      </c>
      <c r="C66" s="85"/>
      <c r="D66" s="85"/>
      <c r="E66" s="15"/>
      <c r="F66" s="15"/>
      <c r="G66" s="15"/>
      <c r="H66" s="15"/>
      <c r="I66" s="15"/>
      <c r="J66" s="44"/>
      <c r="K66" s="44"/>
      <c r="L66" s="44"/>
      <c r="M66" s="44"/>
      <c r="N66" s="15"/>
      <c r="O66" s="15"/>
      <c r="P66" s="15"/>
      <c r="Q66" s="15"/>
      <c r="R66" s="15"/>
      <c r="S66" s="15"/>
      <c r="T66" s="15"/>
      <c r="U66" s="15"/>
      <c r="V66" s="15"/>
      <c r="W66" s="15"/>
      <c r="X66" s="85"/>
      <c r="Y66" s="85"/>
      <c r="Z66" s="198"/>
      <c r="AA66" s="14"/>
      <c r="AB66" s="15"/>
      <c r="AC66" s="14"/>
      <c r="AD66" s="14"/>
      <c r="AE66" s="14"/>
      <c r="AF66" s="29"/>
      <c r="AG66" s="29"/>
      <c r="AH66" s="29"/>
    </row>
    <row r="67" ht="40.5" customHeight="1">
      <c r="A67" s="30"/>
      <c r="B67" s="200"/>
      <c r="C67" s="85"/>
      <c r="D67" s="85"/>
      <c r="E67" s="15"/>
      <c r="F67" s="15"/>
      <c r="G67" s="15"/>
      <c r="H67" s="15"/>
      <c r="I67" s="15"/>
      <c r="J67" s="15"/>
      <c r="K67" s="45"/>
      <c r="L67" s="13"/>
      <c r="M67" s="15"/>
      <c r="N67" s="15"/>
      <c r="O67" s="15"/>
      <c r="P67" s="15"/>
      <c r="Q67" s="15"/>
      <c r="R67" s="15"/>
      <c r="S67" s="15"/>
      <c r="T67" s="15"/>
      <c r="U67" s="15"/>
      <c r="V67" s="15"/>
      <c r="W67" s="15"/>
      <c r="X67" s="85"/>
      <c r="Y67" s="85"/>
      <c r="Z67" s="198" t="str">
        <f>Z$12</f>
        <v/>
      </c>
      <c r="AA67" s="14"/>
      <c r="AB67" s="14"/>
      <c r="AC67" s="14"/>
      <c r="AD67" s="14"/>
      <c r="AE67" s="14"/>
      <c r="AF67" s="29"/>
      <c r="AG67" s="29"/>
      <c r="AH67" s="29"/>
    </row>
    <row r="68" ht="40.5" customHeight="1">
      <c r="A68" s="74"/>
      <c r="B68" s="200"/>
      <c r="C68" s="14"/>
      <c r="D68" s="15"/>
      <c r="E68" s="15"/>
      <c r="F68" s="15"/>
      <c r="G68" s="15"/>
      <c r="H68" s="15"/>
      <c r="I68" s="15"/>
      <c r="J68" s="15"/>
      <c r="K68" s="45"/>
      <c r="L68" s="13"/>
      <c r="M68" s="15"/>
      <c r="N68" s="15"/>
      <c r="O68" s="15"/>
      <c r="P68" s="15"/>
      <c r="Q68" s="15"/>
      <c r="R68" s="15"/>
      <c r="S68" s="15"/>
      <c r="T68" s="15"/>
      <c r="U68" s="15"/>
      <c r="V68" s="15"/>
      <c r="W68" s="15"/>
      <c r="X68" s="14"/>
      <c r="Y68" s="15"/>
      <c r="Z68" s="198" t="str">
        <f>#REF!</f>
        <v>#REF!</v>
      </c>
      <c r="AA68" s="14"/>
      <c r="AB68" s="14"/>
      <c r="AC68" s="14"/>
      <c r="AD68" s="14"/>
      <c r="AE68" s="14"/>
      <c r="AF68" s="29"/>
      <c r="AG68" s="29"/>
      <c r="AH68" s="29"/>
    </row>
    <row r="69" ht="40.5" customHeight="1">
      <c r="A69" s="201"/>
      <c r="B69" s="200"/>
      <c r="C69" s="14"/>
      <c r="D69" s="14"/>
      <c r="E69" s="15"/>
      <c r="F69" s="15"/>
      <c r="G69" s="15"/>
      <c r="H69" s="15"/>
      <c r="I69" s="15"/>
      <c r="J69" s="15"/>
      <c r="K69" s="45"/>
      <c r="L69" s="13"/>
      <c r="M69" s="15"/>
      <c r="N69" s="15"/>
      <c r="O69" s="15"/>
      <c r="P69" s="15"/>
      <c r="Q69" s="15"/>
      <c r="R69" s="15"/>
      <c r="S69" s="15"/>
      <c r="T69" s="15"/>
      <c r="U69" s="15"/>
      <c r="V69" s="15"/>
      <c r="W69" s="15"/>
      <c r="X69" s="14"/>
      <c r="Y69" s="14"/>
      <c r="Z69" s="19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5"/>
      <c r="D71" s="14"/>
      <c r="E71" s="15"/>
      <c r="F71" s="15"/>
      <c r="G71" s="15"/>
      <c r="H71" s="15"/>
      <c r="I71" s="15"/>
      <c r="J71" s="15"/>
      <c r="K71" s="15"/>
      <c r="L71" s="15"/>
      <c r="M71" s="15"/>
      <c r="N71" s="15"/>
      <c r="O71" s="15"/>
      <c r="P71" s="15"/>
      <c r="Q71" s="15"/>
      <c r="R71" s="15"/>
      <c r="S71" s="15"/>
      <c r="T71" s="15"/>
      <c r="U71" s="15"/>
      <c r="V71" s="15"/>
      <c r="W71" s="15"/>
      <c r="X71" s="15"/>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15"/>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44" t="s">
        <v>484</v>
      </c>
      <c r="F83" s="15"/>
      <c r="G83" s="15"/>
      <c r="H83" s="15"/>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202" t="s">
        <v>485</v>
      </c>
      <c r="F84" s="203"/>
      <c r="G84" s="203"/>
      <c r="H84" s="204" t="s">
        <v>486</v>
      </c>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15"/>
      <c r="K85" s="15"/>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205" t="s">
        <v>487</v>
      </c>
      <c r="K86" s="205" t="b">
        <f>IFERROR(__xludf.DUMMYFUNCTION("IF(COUNTA(filter($E3:$W3,ARRAYFORMULA(ISERROR(FIND(join("","",filter(split($H$84,"",""),ARRAYFORMULA(ISERROR(FIND(split($H$84,"",""),E3)))=FALSE)),$E3:$W3))=FALSE)))&gt;1,FALSE,TRUE)"),TRUE)</f>
        <v>1</v>
      </c>
      <c r="L86" s="15"/>
      <c r="M86" s="15"/>
      <c r="N86" s="15"/>
      <c r="O86" s="15"/>
      <c r="P86" s="15"/>
      <c r="Q86" s="15"/>
      <c r="R86" s="15"/>
      <c r="S86" s="15"/>
      <c r="T86" s="15"/>
      <c r="U86" s="15"/>
      <c r="V86" s="15"/>
      <c r="W86" s="15"/>
      <c r="X86" s="14"/>
      <c r="Y86" s="14"/>
      <c r="Z86" s="28"/>
      <c r="AA86" s="14"/>
      <c r="AB86" s="14"/>
      <c r="AC86" s="14"/>
      <c r="AD86" s="14"/>
      <c r="AE86" s="14"/>
      <c r="AF86" s="29"/>
      <c r="AG86" s="29"/>
      <c r="AH86" s="29"/>
    </row>
    <row r="87" ht="40.5" customHeight="1">
      <c r="A87" s="201"/>
      <c r="B87" s="200"/>
      <c r="C87" s="14"/>
      <c r="D87" s="14"/>
      <c r="E87" s="15"/>
      <c r="F87" s="15"/>
      <c r="G87" s="15"/>
      <c r="H87" s="15"/>
      <c r="I87" s="15"/>
      <c r="J87" s="15"/>
      <c r="K87" s="15"/>
      <c r="L87" s="15"/>
      <c r="M87" s="15"/>
      <c r="N87" s="15"/>
      <c r="O87" s="15"/>
      <c r="P87" s="15"/>
      <c r="Q87" s="15"/>
      <c r="R87" s="15"/>
      <c r="S87" s="15"/>
      <c r="T87" s="15"/>
      <c r="U87" s="15"/>
      <c r="V87" s="15"/>
      <c r="W87" s="15"/>
      <c r="X87" s="14"/>
      <c r="Y87" s="14"/>
      <c r="Z87" s="28"/>
      <c r="AA87" s="14"/>
      <c r="AB87" s="14"/>
      <c r="AC87" s="14"/>
      <c r="AD87" s="14"/>
      <c r="AE87" s="14"/>
      <c r="AF87" s="29"/>
      <c r="AG87" s="29"/>
      <c r="AH87" s="29"/>
    </row>
  </sheetData>
  <mergeCells count="267">
    <mergeCell ref="J20:K20"/>
    <mergeCell ref="L20:M20"/>
    <mergeCell ref="J24:M24"/>
    <mergeCell ref="N24:O24"/>
    <mergeCell ref="J25:K25"/>
    <mergeCell ref="L25:M25"/>
    <mergeCell ref="N25:O25"/>
    <mergeCell ref="T21:V21"/>
    <mergeCell ref="T22:V22"/>
    <mergeCell ref="R23:V23"/>
    <mergeCell ref="P24:S24"/>
    <mergeCell ref="T24:V25"/>
    <mergeCell ref="P25:Q25"/>
    <mergeCell ref="R25:S25"/>
    <mergeCell ref="N17:O17"/>
    <mergeCell ref="J18:K18"/>
    <mergeCell ref="L18:M18"/>
    <mergeCell ref="N18:O18"/>
    <mergeCell ref="N20:O20"/>
    <mergeCell ref="P20:Q20"/>
    <mergeCell ref="J10:K10"/>
    <mergeCell ref="L10:M10"/>
    <mergeCell ref="L13:M13"/>
    <mergeCell ref="N13:O13"/>
    <mergeCell ref="P13:Q13"/>
    <mergeCell ref="R13:S13"/>
    <mergeCell ref="T13:V20"/>
    <mergeCell ref="J26:K26"/>
    <mergeCell ref="L26:M26"/>
    <mergeCell ref="N26:O26"/>
    <mergeCell ref="Q26:S26"/>
    <mergeCell ref="T26:V26"/>
    <mergeCell ref="J27:K27"/>
    <mergeCell ref="L27:M27"/>
    <mergeCell ref="N27:O27"/>
    <mergeCell ref="P27:Q27"/>
    <mergeCell ref="T27:V27"/>
    <mergeCell ref="L28:M28"/>
    <mergeCell ref="N28:O28"/>
    <mergeCell ref="T28:V32"/>
    <mergeCell ref="R29:R30"/>
    <mergeCell ref="J28:K28"/>
    <mergeCell ref="J29:K29"/>
    <mergeCell ref="L29:M29"/>
    <mergeCell ref="N29:O29"/>
    <mergeCell ref="J30:K30"/>
    <mergeCell ref="L30:M30"/>
    <mergeCell ref="N30:O30"/>
    <mergeCell ref="H36:I36"/>
    <mergeCell ref="J36:K36"/>
    <mergeCell ref="N36:O36"/>
    <mergeCell ref="T36:V41"/>
    <mergeCell ref="J37:K37"/>
    <mergeCell ref="N37:O37"/>
    <mergeCell ref="R40:S40"/>
    <mergeCell ref="R41:S41"/>
    <mergeCell ref="N38:Q38"/>
    <mergeCell ref="N39:Q39"/>
    <mergeCell ref="N44:O44"/>
    <mergeCell ref="Q44:V45"/>
    <mergeCell ref="N45:O45"/>
    <mergeCell ref="E46:V46"/>
    <mergeCell ref="G47:H47"/>
    <mergeCell ref="T47:V47"/>
    <mergeCell ref="J31:M31"/>
    <mergeCell ref="N31:O31"/>
    <mergeCell ref="P31:Q32"/>
    <mergeCell ref="J32:M32"/>
    <mergeCell ref="N32:O32"/>
    <mergeCell ref="G33:Q34"/>
    <mergeCell ref="E35:V35"/>
    <mergeCell ref="H38:I38"/>
    <mergeCell ref="J38:K38"/>
    <mergeCell ref="H37:I37"/>
    <mergeCell ref="H39:I39"/>
    <mergeCell ref="H40:I40"/>
    <mergeCell ref="P40:Q40"/>
    <mergeCell ref="J47:K47"/>
    <mergeCell ref="L47:M47"/>
    <mergeCell ref="G48:H48"/>
    <mergeCell ref="L48:M48"/>
    <mergeCell ref="P47:Q47"/>
    <mergeCell ref="R47:S47"/>
    <mergeCell ref="P48:Q48"/>
    <mergeCell ref="T48:V48"/>
    <mergeCell ref="I47:I48"/>
    <mergeCell ref="J48:K48"/>
    <mergeCell ref="J39:K39"/>
    <mergeCell ref="H41:I41"/>
    <mergeCell ref="H42:I42"/>
    <mergeCell ref="H43:I43"/>
    <mergeCell ref="H44:J44"/>
    <mergeCell ref="K44:L45"/>
    <mergeCell ref="H45:J45"/>
    <mergeCell ref="T1:V1"/>
    <mergeCell ref="X1:Y1"/>
    <mergeCell ref="T2:V2"/>
    <mergeCell ref="T3:V3"/>
    <mergeCell ref="T4:V4"/>
    <mergeCell ref="T5:V5"/>
    <mergeCell ref="T6:V6"/>
    <mergeCell ref="U7:V7"/>
    <mergeCell ref="E1:F1"/>
    <mergeCell ref="E2:F2"/>
    <mergeCell ref="G2:I2"/>
    <mergeCell ref="J2:M2"/>
    <mergeCell ref="P1:Q1"/>
    <mergeCell ref="P2:Q3"/>
    <mergeCell ref="G1:I1"/>
    <mergeCell ref="G3:I3"/>
    <mergeCell ref="J3:K3"/>
    <mergeCell ref="L3:M3"/>
    <mergeCell ref="N3:O3"/>
    <mergeCell ref="J4:K4"/>
    <mergeCell ref="L4:M4"/>
    <mergeCell ref="N4:O4"/>
    <mergeCell ref="P4:Q4"/>
    <mergeCell ref="H5:I5"/>
    <mergeCell ref="N5:O5"/>
    <mergeCell ref="P5:Q5"/>
    <mergeCell ref="H7:I7"/>
    <mergeCell ref="J7:K7"/>
    <mergeCell ref="L7:M7"/>
    <mergeCell ref="N7:O7"/>
    <mergeCell ref="P7:Q7"/>
    <mergeCell ref="R7:S7"/>
    <mergeCell ref="H8:I8"/>
    <mergeCell ref="J8:K8"/>
    <mergeCell ref="L8:M8"/>
    <mergeCell ref="N8:O8"/>
    <mergeCell ref="P8:Q8"/>
    <mergeCell ref="R8:S8"/>
    <mergeCell ref="U8:V8"/>
    <mergeCell ref="R9:V9"/>
    <mergeCell ref="S10:V10"/>
    <mergeCell ref="T11:V11"/>
    <mergeCell ref="R5:S5"/>
    <mergeCell ref="H6:I6"/>
    <mergeCell ref="N6:O6"/>
    <mergeCell ref="P6:Q6"/>
    <mergeCell ref="R6:S6"/>
    <mergeCell ref="H9:I9"/>
    <mergeCell ref="J9:K9"/>
    <mergeCell ref="L9:M9"/>
    <mergeCell ref="N9:O9"/>
    <mergeCell ref="N10:O10"/>
    <mergeCell ref="E11:S11"/>
    <mergeCell ref="C1:D1"/>
    <mergeCell ref="J1:M1"/>
    <mergeCell ref="N1:O1"/>
    <mergeCell ref="R1:S1"/>
    <mergeCell ref="A2:A12"/>
    <mergeCell ref="N2:O2"/>
    <mergeCell ref="R2:S2"/>
    <mergeCell ref="J13:K13"/>
    <mergeCell ref="J14:K14"/>
    <mergeCell ref="E15:F15"/>
    <mergeCell ref="G15:I15"/>
    <mergeCell ref="L14:M14"/>
    <mergeCell ref="N14:O14"/>
    <mergeCell ref="P14:Q14"/>
    <mergeCell ref="R14:S14"/>
    <mergeCell ref="J15:K15"/>
    <mergeCell ref="L15:M15"/>
    <mergeCell ref="N15:O15"/>
    <mergeCell ref="J16:K16"/>
    <mergeCell ref="L16:M16"/>
    <mergeCell ref="N16:O16"/>
    <mergeCell ref="J17:K17"/>
    <mergeCell ref="L17:M17"/>
    <mergeCell ref="N19:O19"/>
    <mergeCell ref="P19:Q19"/>
    <mergeCell ref="N22:O22"/>
    <mergeCell ref="P22:S22"/>
    <mergeCell ref="J19:K19"/>
    <mergeCell ref="L19:M19"/>
    <mergeCell ref="H21:M21"/>
    <mergeCell ref="N21:O21"/>
    <mergeCell ref="P21:Q21"/>
    <mergeCell ref="R21:S21"/>
    <mergeCell ref="H22:M22"/>
    <mergeCell ref="E31:F34"/>
    <mergeCell ref="E36:F36"/>
    <mergeCell ref="E37:F37"/>
    <mergeCell ref="E38:F38"/>
    <mergeCell ref="E39:F39"/>
    <mergeCell ref="E40:F40"/>
    <mergeCell ref="E41:F41"/>
    <mergeCell ref="E42:F42"/>
    <mergeCell ref="A36:A46"/>
    <mergeCell ref="A47:A57"/>
    <mergeCell ref="A58:A68"/>
    <mergeCell ref="E21:F22"/>
    <mergeCell ref="G21:G22"/>
    <mergeCell ref="A24:A34"/>
    <mergeCell ref="E24:F24"/>
    <mergeCell ref="E25:F25"/>
    <mergeCell ref="E26:F26"/>
    <mergeCell ref="G44:G45"/>
    <mergeCell ref="E53:F53"/>
    <mergeCell ref="H54:I54"/>
    <mergeCell ref="C58:D58"/>
    <mergeCell ref="G58:I58"/>
    <mergeCell ref="K67:L67"/>
    <mergeCell ref="K68:L68"/>
    <mergeCell ref="K69:L69"/>
    <mergeCell ref="E43:F43"/>
    <mergeCell ref="E44:F45"/>
    <mergeCell ref="E49:F49"/>
    <mergeCell ref="G49:H50"/>
    <mergeCell ref="E50:F50"/>
    <mergeCell ref="E51:F51"/>
    <mergeCell ref="E52:F52"/>
    <mergeCell ref="E16:F16"/>
    <mergeCell ref="G16:I16"/>
    <mergeCell ref="E17:F17"/>
    <mergeCell ref="H17:I17"/>
    <mergeCell ref="E18:F18"/>
    <mergeCell ref="H18:I18"/>
    <mergeCell ref="E19:F19"/>
    <mergeCell ref="H19:I19"/>
    <mergeCell ref="E20:F20"/>
    <mergeCell ref="H20:I20"/>
    <mergeCell ref="G24:I25"/>
    <mergeCell ref="G26:I26"/>
    <mergeCell ref="G27:H27"/>
    <mergeCell ref="G28:H28"/>
    <mergeCell ref="G29:H29"/>
    <mergeCell ref="G30:H30"/>
    <mergeCell ref="G31:I32"/>
    <mergeCell ref="E10:F10"/>
    <mergeCell ref="H10:I10"/>
    <mergeCell ref="A13:A23"/>
    <mergeCell ref="E13:F13"/>
    <mergeCell ref="H13:I13"/>
    <mergeCell ref="E14:F14"/>
    <mergeCell ref="G14:I14"/>
    <mergeCell ref="P43:Q43"/>
    <mergeCell ref="R43:S43"/>
    <mergeCell ref="L41:M41"/>
    <mergeCell ref="P41:Q41"/>
    <mergeCell ref="L42:M42"/>
    <mergeCell ref="N42:O42"/>
    <mergeCell ref="P42:Q42"/>
    <mergeCell ref="L43:M43"/>
    <mergeCell ref="N43:O43"/>
    <mergeCell ref="N49:Q49"/>
    <mergeCell ref="T49:V49"/>
    <mergeCell ref="N50:Q50"/>
    <mergeCell ref="T50:V50"/>
    <mergeCell ref="L51:M51"/>
    <mergeCell ref="P51:Q51"/>
    <mergeCell ref="T51:V51"/>
    <mergeCell ref="L54:M54"/>
    <mergeCell ref="E55:M56"/>
    <mergeCell ref="P55:V56"/>
    <mergeCell ref="J58:M58"/>
    <mergeCell ref="P58:S59"/>
    <mergeCell ref="T58:V58"/>
    <mergeCell ref="X58:Y58"/>
    <mergeCell ref="J52:K52"/>
    <mergeCell ref="L52:M52"/>
    <mergeCell ref="P52:Q52"/>
    <mergeCell ref="J53:K53"/>
    <mergeCell ref="L53:M53"/>
    <mergeCell ref="N53:O53"/>
    <mergeCell ref="J54:K54"/>
  </mergeCells>
  <conditionalFormatting sqref="E1:T87 U1:U31 V32:V34 U35:U87 V51:V53 W52">
    <cfRule type="containsText" dxfId="0" priority="1" operator="containsText" text="Физика">
      <formula>NOT(ISERROR(SEARCH(("Физика"),(E1))))</formula>
    </cfRule>
  </conditionalFormatting>
  <conditionalFormatting sqref="N53:O53 E55:W56">
    <cfRule type="containsText" dxfId="1" priority="2" operator="containsText" text="Шерашова">
      <formula>NOT(ISERROR(SEARCH(("Шерашова"),(N53))))</formula>
    </cfRule>
  </conditionalFormatting>
  <conditionalFormatting sqref="E2:N54 O2:O55 P2:T54 U2:U31 V32:V34 U35:U54 V51:V53 W52 O58:O59 P58 K62:L69">
    <cfRule type="containsText" dxfId="2" priority="3" operator="containsText" text="Шерашова">
      <formula>NOT(ISERROR(SEARCH(("Шерашова"),(E2))))</formula>
    </cfRule>
  </conditionalFormatting>
  <conditionalFormatting sqref="E2:N54 O2:O55 P2:T54 U2:U31 V32:V34 U35:U54 V51:V53 W52 O58:O59 P58 K62:L69">
    <cfRule type="containsText" dxfId="3" priority="4" operator="containsText" text="Англ">
      <formula>NOT(ISERROR(SEARCH(("Англ"),(E2))))</formula>
    </cfRule>
  </conditionalFormatting>
  <conditionalFormatting sqref="E2:N54 O2:O55 P2:T54 U2:U31 V32:V34 U35:U54 V51:V53 W52 O58:O59 P58 K62:L69">
    <cfRule type="containsText" dxfId="4" priority="5" operator="containsText" text="Театр">
      <formula>NOT(ISERROR(SEARCH(("Театр"),(E2))))</formula>
    </cfRule>
  </conditionalFormatting>
  <conditionalFormatting sqref="E2:N54 O2:O55 P2:T54 U2:U31 V32:V34 U35:U54 V51:V53 W52 O58:O59 P58 K62:L69">
    <cfRule type="containsText" dxfId="5" priority="6" operator="containsText" text="Колечкин">
      <formula>NOT(ISERROR(SEARCH(("Колечкин"),(E2))))</formula>
    </cfRule>
  </conditionalFormatting>
  <conditionalFormatting sqref="E2:G73 H2:H74 I2:W73">
    <cfRule type="containsText" dxfId="0" priority="7" operator="containsText" text="Репнев">
      <formula>NOT(ISERROR(SEARCH(("Репнев"),(E2))))</formula>
    </cfRule>
  </conditionalFormatting>
  <conditionalFormatting sqref="E2:G66 H2:H74 I2:J66 K2:L69 M2:W66">
    <cfRule type="containsText" dxfId="6" priority="8" operator="containsText" text="Рогацкина">
      <formula>NOT(ISERROR(SEARCH(("Рогацкина"),(E2))))</formula>
    </cfRule>
  </conditionalFormatting>
  <conditionalFormatting sqref="E2:G68 H2:H74 I2:J68 K2:L69 M2:W68">
    <cfRule type="containsText" dxfId="7" priority="9" operator="containsText" text="Белоусова">
      <formula>NOT(ISERROR(SEARCH(("Белоусова"),(E2))))</formula>
    </cfRule>
  </conditionalFormatting>
  <conditionalFormatting sqref="E2:G61 H2:H74 I2:J66 K2:L69 M2:M66 N2:W61">
    <cfRule type="containsText" dxfId="8" priority="10" operator="containsText" text="Караванова">
      <formula>NOT(ISERROR(SEARCH(("Караванова"),(E2))))</formula>
    </cfRule>
  </conditionalFormatting>
  <conditionalFormatting sqref="E2:G64 H2:H74 I2:J66 K2:L69 M2:M66 N2:W64">
    <cfRule type="containsText" dxfId="9" priority="11" operator="containsText" text="Дронзик">
      <formula>NOT(ISERROR(SEARCH(("Дронзик"),(E2))))</formula>
    </cfRule>
  </conditionalFormatting>
  <conditionalFormatting sqref="E2:G65 H2:H74 I2:J66 K2:L69 M2:M66 N2:W65">
    <cfRule type="containsText" dxfId="10" priority="12" operator="containsText" text="Старунова">
      <formula>NOT(ISERROR(SEARCH(("Старунова"),(E2))))</formula>
    </cfRule>
  </conditionalFormatting>
  <conditionalFormatting sqref="E2:G63 H2:H74 I2:J66 K2:L69 M2:M66 N2:W63">
    <cfRule type="containsText" dxfId="11" priority="13" operator="containsText" text="Харитонов">
      <formula>NOT(ISERROR(SEARCH(("Харитонов"),(E2))))</formula>
    </cfRule>
  </conditionalFormatting>
  <conditionalFormatting sqref="E2:G68 H2:H74 I2:J68 K2:L69 M2:W68">
    <cfRule type="containsText" dxfId="12" priority="14" operator="containsText" text="Хуснутдинов">
      <formula>NOT(ISERROR(SEARCH(("Хуснутдинов"),(E2))))</formula>
    </cfRule>
  </conditionalFormatting>
  <conditionalFormatting sqref="E2:G67 H2:H74 I2:J67 K2:L69 M2:W67">
    <cfRule type="containsText" dxfId="13" priority="15" operator="containsText" text="Решетников">
      <formula>NOT(ISERROR(SEARCH(("Решетников"),(E2))))</formula>
    </cfRule>
  </conditionalFormatting>
  <conditionalFormatting sqref="E2:G70 H2:H74 I2:W70">
    <cfRule type="containsText" dxfId="14" priority="16" operator="containsText" text="Заводов">
      <formula>NOT(ISERROR(SEARCH(("Заводов"),(E2))))</formula>
    </cfRule>
  </conditionalFormatting>
  <conditionalFormatting sqref="E1:G67 H1:H74 I1:J67 K1:L69 M1:W67">
    <cfRule type="containsText" dxfId="15" priority="17" operator="containsText" text="Абрамов">
      <formula>NOT(ISERROR(SEARCH(("Абрамов"),(E1))))</formula>
    </cfRule>
  </conditionalFormatting>
  <conditionalFormatting sqref="E2:G68 H2:H74 I2:J68 K2:L69 M2:W68">
    <cfRule type="containsText" dxfId="16" priority="18" operator="containsText" text="Климов">
      <formula>NOT(ISERROR(SEARCH(("Климов"),(E2))))</formula>
    </cfRule>
  </conditionalFormatting>
  <conditionalFormatting sqref="E2:G62 H2:H74 I2:J66 K2:L69 M2:M66 N2:W62">
    <cfRule type="containsText" dxfId="17" priority="19" operator="containsText" text="Клейменов">
      <formula>NOT(ISERROR(SEARCH(("Клейменов"),(E2))))</formula>
    </cfRule>
  </conditionalFormatting>
  <conditionalFormatting sqref="E2:G69 H2:H74 I2:W69">
    <cfRule type="containsText" dxfId="18" priority="20" operator="containsText" text="Попович">
      <formula>NOT(ISERROR(SEARCH(("Попович"),(E2))))</formula>
    </cfRule>
  </conditionalFormatting>
  <conditionalFormatting sqref="E2:G69 H2:H74 I2:W69">
    <cfRule type="containsText" dxfId="19" priority="21" operator="containsText" text="Исмаилов">
      <formula>NOT(ISERROR(SEARCH(("Исмаилов"),(E2))))</formula>
    </cfRule>
  </conditionalFormatting>
  <conditionalFormatting sqref="E2:E21 F2:F12 G2:I46 J2:J50 K2:K51 L2:Q46 R2:S6 T2:V8 S10:S32 T10:V46 R11:R47 F15:F17 F19:F20 E24:F30 E35:E54 F35:F46 S35:S42 S44:S46 S48:S54 T48:T51 F49:F50 N49:N50 R50:R54 G51:H54 I51:I53 P51:P54 F53:F54 J53:J54 N53:N54 Q53:Q54 K54:M54 P58 K62:L69">
    <cfRule type="containsText" dxfId="20" priority="22" operator="containsText" text="Ларченко">
      <formula>NOT(ISERROR(SEARCH(("Ларченко"),(E2))))</formula>
    </cfRule>
  </conditionalFormatting>
  <conditionalFormatting sqref="E2:G66 H2:H74 I2:J66 K2:L69 M2:W66">
    <cfRule type="containsText" dxfId="21" priority="23" operator="containsText" text="Краснова">
      <formula>NOT(ISERROR(SEARCH(("Краснова"),(E2))))</formula>
    </cfRule>
  </conditionalFormatting>
  <conditionalFormatting sqref="E2:G66 H2:H74 I2:J66 K2:L69 M2:W66">
    <cfRule type="containsText" dxfId="22" priority="24" operator="containsText" text="Белоус">
      <formula>NOT(ISERROR(SEARCH(("Белоус"),(E2))))</formula>
    </cfRule>
  </conditionalFormatting>
  <conditionalFormatting sqref="E2:G66 H2:H74 I2:J66 K2:L69 M2:W66">
    <cfRule type="containsText" dxfId="23" priority="25" operator="containsText" text="Куницын">
      <formula>NOT(ISERROR(SEARCH(("Куницын"),(E2))))</formula>
    </cfRule>
  </conditionalFormatting>
  <dataValidations>
    <dataValidation type="custom" allowBlank="1" showDropDown="1" sqref="R8:R10">
      <formula1>IF(COUNTA(filter($E53:$W53,ARRAYFORMULA(ISERROR(FIND(join(",",filter(split($H$84,","),ARRAYFORMULA(ISERROR(FIND(split($H$84,","),R8)))=FALSE)),$E53:$W53))=FALSE)))&gt;1,FALSE,TRUE)</formula1>
    </dataValidation>
    <dataValidation type="custom" allowBlank="1" showDropDown="1" sqref="T13 P13:P16 G27:G28 L27:L28 J30 N31:N32 E35:E37 J36:J37 N36:N37 E42:E43 P42:P43 E46 R47 T48:T49 K49:K50 P51:P52 E51:E53 Q53:Q54">
      <formula1>IF(COUNTA(filter(#REF!,ARRAYFORMULA(ISERROR(FIND(join(",",filter(split($H$84,","),ARRAYFORMULA(ISERROR(FIND(split($H$84,","),E13)))=FALSE)),#REF!))=FALSE)))&gt;1,FALSE,TRUE)</formula1>
    </dataValidation>
    <dataValidation type="custom" allowBlank="1" showDropDown="1" sqref="H4:I4">
      <formula1>IF(COUNTA(filter($E7:$W7,ARRAYFORMULA(ISERROR(FIND(join(",",filter(split($H$84,","),ARRAYFORMULA(ISERROR(FIND(split($H$84,","),#REF!)))=FALSE)),$E7:$W7))=FALSE)))&gt;1,FALSE,TRUE)</formula1>
    </dataValidation>
    <dataValidation type="custom" allowBlank="1" showDropDown="1" sqref="E3:F3 G4 J5:J6 E47:E48 J49:J50 G51:G53 E54">
      <formula1>IF(COUNTA(filter($E3:$W3,ARRAYFORMULA(ISERROR(FIND(join(",",filter(split($H$84,","),ARRAYFORMULA(ISERROR(FIND(split($H$84,","),#REF!)))=FALSE)),$E3:$W3))=FALSE)))&gt;1,FALSE,TRUE)</formula1>
    </dataValidation>
    <dataValidation type="custom" allowBlank="1" showDropDown="1" sqref="F4:F5 E6:E8 H7:H8 F9 E24 G24 E26 R27:S28 H36:H37 G38:G39 E49:E50 N53:N55">
      <formula1>IF(COUNTA(filter($E5:$W5,ARRAYFORMULA(ISERROR(FIND(join(",",filter(split($H$84,","),ARRAYFORMULA(ISERROR(FIND(split($H$84,","),E4)))=FALSE)),$E5:$W5))=FALSE)))&gt;1,FALSE,TRUE)</formula1>
    </dataValidation>
    <dataValidation type="custom" allowBlank="1" showDropDown="1" sqref="H9 G10 H17:H18 G19:G20 I29:I30 L51 J51:J52 R54">
      <formula1>IF(COUNTA(filter($E5:$W5,ARRAYFORMULA(ISERROR(FIND(join(",",filter(split($H$84,","),ARRAYFORMULA(ISERROR(FIND(split($H$84,","),G9)))=FALSE)),$E5:$W5))=FALSE)))&gt;1,FALSE,TRUE)</formula1>
    </dataValidation>
    <dataValidation type="custom" allowBlank="1" showDropDown="1" sqref="N8">
      <formula1>IF(COUNTA(filter($E1:$W1,ARRAYFORMULA(ISERROR(FIND(join(",",filter(split($H$84,","),ARRAYFORMULA(ISERROR(FIND(split($H$84,","),#REF!)))=FALSE)),$E1:$W1))=FALSE)))&gt;1,FALSE,TRUE)</formula1>
    </dataValidation>
    <dataValidation type="custom" allowBlank="1" showDropDown="1" sqref="T11 W11">
      <formula1>IF(COUNTA(filter($F11:$W11,ARRAYFORMULA(ISERROR(FIND(join(",",filter(split($H$84,","),ARRAYFORMULA(ISERROR(FIND(split($H$84,","),T11)))=FALSE)),$F11:$W11))=FALSE)))&gt;1,FALSE,TRUE)</formula1>
    </dataValidation>
    <dataValidation type="custom" allowBlank="1" showDropDown="1" sqref="R3:R4">
      <formula1>IF(COUNTA(filter($E17:$W17,ARRAYFORMULA(ISERROR(FIND(join(",",filter(split($H$84,","),ARRAYFORMULA(ISERROR(FIND(split($H$84,","),R3)))=FALSE)),$E17:$W17))=FALSE)))&gt;1,FALSE,TRUE)</formula1>
    </dataValidation>
    <dataValidation type="custom" allowBlank="1" showDropDown="1" sqref="L40:M40 L41 K51 K67">
      <formula1>IF(COUNTA(filter($E1:$W1,ARRAYFORMULA(ISERROR(FIND(join(",",filter(split($H$84,","),ARRAYFORMULA(ISERROR(FIND(split($H$84,","),K40)))=FALSE)),$E1:$W1))=FALSE)))&gt;1,FALSE,TRUE)</formula1>
    </dataValidation>
    <dataValidation type="custom" allowBlank="1" showDropDown="1" sqref="P24 J26">
      <formula1>IF(COUNTA(filter($E28:$W28,ARRAYFORMULA(ISERROR(FIND(join(",",filter(split($H$84,","),ARRAYFORMULA(ISERROR(FIND(split($H$84,","),J24)))=FALSE)),$E28:$W28))=FALSE)))&gt;1,FALSE,TRUE)</formula1>
    </dataValidation>
    <dataValidation type="custom" allowBlank="1" showDropDown="1" sqref="E31">
      <formula1>IF(COUNTA(filter($E32:$W32,ARRAYFORMULA(ISERROR(FIND(join(",",filter(split($H$83,","),ARRAYFORMULA(ISERROR(FIND(split($H$83,","),#REF!)))=FALSE)),$E32:$W32))=FALSE)))&gt;1,FALSE,TRUE)</formula1>
    </dataValidation>
    <dataValidation type="custom" allowBlank="1" showDropDown="1" sqref="E4:E5 F6:F7 L25 F27:F28 E29:E30">
      <formula1>IF(COUNTA(filter($E7:$W7,ARRAYFORMULA(ISERROR(FIND(join(",",filter(split($H$84,","),ARRAYFORMULA(ISERROR(FIND(split($H$84,","),E4)))=FALSE)),$E7:$W7))=FALSE)))&gt;1,FALSE,TRUE)</formula1>
    </dataValidation>
    <dataValidation type="custom" allowBlank="1" showDropDown="1" sqref="N2 P2 R2 T2 G2:G3 J2:J3 L4 P4 G5:H6 K5:M6 T5:T6 L7:L8 P7:P8 T7:U8 G7:G9 H10 J9:J10 N9:N10 Q9:Q10 S10 W2:W10 E12:W12 H13 L13:L14 E13:E18 G14:G18 S17:S18 H19:H20 J15:J20 L17:L20 N19:N20 G21 R19:R21 T21 H22 G23:R23 J24 P25 R25 Q26 P27 E27:E28 I27:I28 Q28 T28 F29:G30 P29:Q30 W13:W32 R33:R34 T33:W34 G36:G37 L36:M37 P36:Q37 H38:H39 J38:J39 L38:N39 R38:S39 E38:E41 G40:G41 J40:K41 N40:P41 R40:R41 R42:S42 J42:L43 E44 G42:H44 K44 Q44 H45 M44:N45 I47 F47:G48 L47:L48 N47:P48 G49 L49:M50 L52 N51:O52 I51:I53 P53 G54:H54 O54:P54 O55 N56:O56 W35:W56 E57:W57 E58:G58 J58 N58:O58 T58 W58 E59:O61 T59:W61 E62:W66 K68:K69 H67:H74">
      <formula1>IF(COUNTA(filter($E2:$W2,ARRAYFORMULA(ISERROR(FIND(join(",",filter(split($H$84,","),ARRAYFORMULA(ISERROR(FIND(split($H$84,","),E2)))=FALSE)),$E2:$W2))=FALSE)))&gt;1,FALSE,TRUE)</formula1>
    </dataValidation>
    <dataValidation type="custom" allowBlank="1" showDropDown="1" sqref="H40:H41 T50:T51">
      <formula1>IF(COUNTA(filter($E72:$W72,ARRAYFORMULA(ISERROR(FIND(join(",",filter(split($H$84,","),ARRAYFORMULA(ISERROR(FIND(split($H$84,","),H40)))=FALSE)),$E72:$W72))=FALSE)))&gt;1,FALSE,TRUE)</formula1>
    </dataValidation>
    <dataValidation type="custom" allowBlank="1" showDropDown="1" sqref="N22">
      <formula1>IF(COUNTA(filter($E34:$W34,ARRAYFORMULA(ISERROR(FIND(join(",",filter(split($H$84,","),ARRAYFORMULA(ISERROR(FIND(split($H$84,","),N22)))=FALSE)),$E34:$W34))=FALSE)))&gt;1,FALSE,TRUE)</formula1>
    </dataValidation>
    <dataValidation type="custom" allowBlank="1" showDropDown="1" sqref="S52">
      <formula1>IF(COUNTA(filter($E31:$W31,ARRAYFORMULA(ISERROR(FIND(join(",",filter(split($H$84,","),ARRAYFORMULA(ISERROR(FIND(split($H$84,","),S52)))=FALSE)),$E31:$W31))=FALSE)))&gt;1,FALSE,TRUE)</formula1>
    </dataValidation>
    <dataValidation type="custom" allowBlank="1" showDropDown="1" sqref="R13:R14">
      <formula1>IF(COUNTA(filter($E3:$W3,ARRAYFORMULA(ISERROR(FIND(join(",",filter(split($H$84,","),ARRAYFORMULA(ISERROR(FIND(split($H$84,","),R13)))=FALSE)),$E3:$W3))=FALSE)))&gt;1,FALSE,TRUE)</formula1>
    </dataValidation>
    <dataValidation type="custom" allowBlank="1" showDropDown="1" sqref="N3:N4 P5:P6 J7:J8 L9:L10">
      <formula1>IF(COUNTA(filter($E36:$W36,ARRAYFORMULA(ISERROR(FIND(join(",",filter(split($H$84,","),ARRAYFORMULA(ISERROR(FIND(split($H$84,","),J3)))=FALSE)),$E36:$W36))=FALSE)))&gt;1,FALSE,TRUE)</formula1>
    </dataValidation>
    <dataValidation type="custom" allowBlank="1" showDropDown="1" sqref="T47">
      <formula1>IF(COUNTA(filter($E53:$W53,ARRAYFORMULA(ISERROR(FIND(join(",",filter(split($H$84,","),ARRAYFORMULA(ISERROR(FIND(split($H$84,","),T47)))=FALSE)),$E53:$W53))=FALSE)))&gt;1,FALSE,TRUE)</formula1>
    </dataValidation>
    <dataValidation type="custom" allowBlank="1" showDropDown="1" sqref="H51:H53 F54">
      <formula1>IF(COUNTA(filter($E1:$W1,ARRAYFORMULA(ISERROR(FIND(join(",",filter(split($H$84,","),ARRAYFORMULA(ISERROR(FIND(split($H$84,","),F51)))=FALSE)),$E1:$W1))=FALSE)))&gt;1,FALSE,TRUE)</formula1>
    </dataValidation>
    <dataValidation type="custom" allowBlank="1" showDropDown="1" sqref="P31">
      <formula1>IF(COUNTA(filter($E41:$W41,ARRAYFORMULA(ISERROR(FIND(join(",",filter(split($H$84,","),ARRAYFORMULA(ISERROR(FIND(split($H$84,","),P31)))=FALSE)),$E41:$W41))=FALSE)))&gt;1,FALSE,TRUE)</formula1>
    </dataValidation>
    <dataValidation type="custom" allowBlank="1" showDropDown="1" sqref="P44:P45">
      <formula1>IF(COUNTA(filter($E53:$W53,ARRAYFORMULA(ISERROR(FIND(join(",",filter(split($H$84,","),ARRAYFORMULA(ISERROR(FIND(split($H$84,","),P44)))=FALSE)),$E53:$W53))=FALSE)))&gt;1,FALSE,TRUE)</formula1>
    </dataValidation>
    <dataValidation type="custom" allowBlank="1" showDropDown="1" sqref="J13:J14 L15:L16 N17:N18 P19:P20">
      <formula1>IF(COUNTA(filter($E47:$W47,ARRAYFORMULA(ISERROR(FIND(join(",",filter(split($H$84,","),ARRAYFORMULA(ISERROR(FIND(split($H$84,","),J13)))=FALSE)),$E47:$W47))=FALSE)))&gt;1,FALSE,TRUE)</formula1>
    </dataValidation>
    <dataValidation type="custom" allowBlank="1" showDropDown="1" sqref="J25">
      <formula1>IF(COUNTA(filter($E30:$W30,ARRAYFORMULA(ISERROR(FIND(join(",",filter(split($H$84,","),ARRAYFORMULA(ISERROR(FIND(split($H$84,","),J25)))=FALSE)),$E30:$W30))=FALSE)))&gt;1,FALSE,TRUE)</formula1>
    </dataValidation>
    <dataValidation type="custom" allowBlank="1" showDropDown="1" sqref="N5:N6 N13:N14 T24 N25:N26 T26:T27 N42:N43">
      <formula1>IF(COUNTA(filter($E7:$W7,ARRAYFORMULA(ISERROR(FIND(join(",",filter(split($H$84,","),ARRAYFORMULA(ISERROR(FIND(split($H$84,","),N5)))=FALSE)),$E7:$W7))=FALSE)))&gt;1,FALSE,TRUE)</formula1>
    </dataValidation>
    <dataValidation type="custom" allowBlank="1" showDropDown="1" sqref="N21">
      <formula1>IF(COUNTA(filter($E32:$W32,ARRAYFORMULA(ISERROR(FIND(join(",",filter(split($H$84,","),ARRAYFORMULA(ISERROR(FIND(split($H$84,","),N21)))=FALSE)),$E32:$W32))=FALSE)))&gt;1,FALSE,TRUE)</formula1>
    </dataValidation>
    <dataValidation type="custom" allowBlank="1" showDropDown="1" sqref="N7">
      <formula1>IF(COUNTA(filter(#REF!,ARRAYFORMULA(ISERROR(FIND(join(",",filter(split($H$84,","),ARRAYFORMULA(ISERROR(FIND(split($H$84,","),#REF!)))=FALSE)),#REF!))=FALSE)))&gt;1,FALSE,TRUE)</formula1>
    </dataValidation>
    <dataValidation type="custom" allowBlank="1" showDropDown="1" sqref="P26 P28 S29:S30 S32 R48:R49 T52:V53 P58">
      <formula1>IF(COUNTA(filter($E25:$W25,ARRAYFORMULA(ISERROR(FIND(join(",",filter(split($H$84,","),ARRAYFORMULA(ISERROR(FIND(split($H$84,","),P26)))=FALSE)),$E25:$W25))=FALSE)))&gt;1,FALSE,TRUE)</formula1>
    </dataValidation>
    <dataValidation type="custom" allowBlank="1" showDropDown="1" sqref="S53:S54">
      <formula1>IF(COUNTA(filter($E9:$W9,ARRAYFORMULA(ISERROR(FIND(join(",",filter(split($H$84,","),ARRAYFORMULA(ISERROR(FIND(split($H$84,","),S53)))=FALSE)),$E9:$W9))=FALSE)))&gt;1,FALSE,TRUE)</formula1>
    </dataValidation>
    <dataValidation type="custom" allowBlank="1" showDropDown="1" sqref="G31">
      <formula1>IF(COUNTA(filter($E31:$W31,ARRAYFORMULA(ISERROR(FIND(join(",",filter(split($H$83,","),ARRAYFORMULA(ISERROR(FIND(split($H$83,","),#REF!)))=FALSE)),$E31:$W31))=FALSE)))&gt;1,FALSE,TRUE)</formula1>
    </dataValidation>
    <dataValidation type="custom" allowBlank="1" showDropDown="1" sqref="E2 R29">
      <formula1>IF(COUNTA(filter($E2:$W2,ARRAYFORMULA(ISERROR(FIND(join(",",filter(split($H$83,","),ARRAYFORMULA(ISERROR(FIND(split($H$83,","),E2)))=FALSE)),$E2:$W2))=FALSE)))&gt;1,FALSE,TRUE)</formula1>
    </dataValidation>
    <dataValidation type="custom" allowBlank="1" showDropDown="1" sqref="P9:P10 R15:S16 P17:Q18 N24 N29:N30 J53:J54 L53:L54">
      <formula1>IF(COUNTA(filter($E7:$W7,ARRAYFORMULA(ISERROR(FIND(join(",",filter(split($H$84,","),ARRAYFORMULA(ISERROR(FIND(split($H$84,","),J9)))=FALSE)),$E7:$W7))=FALSE)))&gt;1,FALSE,TRUE)</formula1>
    </dataValidation>
    <dataValidation type="custom" allowBlank="1" showDropDown="1" sqref="J31:J32 E55 P55">
      <formula1>IF(COUNTA(filter($E31:$W31,ARRAYFORMULA(ISERROR(FIND(join(",",filter(split($H$85,","),ARRAYFORMULA(ISERROR(FIND(split($H$85,","),E31)))=FALSE)),$E31:$W31))=FALSE)))&gt;1,FALSE,TRUE)</formula1>
    </dataValidation>
    <dataValidation type="custom" allowBlank="1" showDropDown="1" sqref="T3:T4">
      <formula1>IF(COUNTA(filter($E47:$W47,ARRAYFORMULA(ISERROR(FIND(join(",",filter(split($H$84,","),ARRAYFORMULA(ISERROR(FIND(split($H$84,","),T3)))=FALSE)),$E47:$W47))=FALSE)))&gt;1,FALSE,TRUE)</formula1>
    </dataValidation>
    <dataValidation type="custom" allowBlank="1" showDropDown="1" sqref="T36 T42:V43">
      <formula1>IF(COUNTA(filter($E13:$W13,ARRAYFORMULA(ISERROR(FIND(join(",",filter(split($H$84,","),ARRAYFORMULA(ISERROR(FIND(split($H$84,","),T36)))=FALSE)),$E13:$W13))=FALSE)))&gt;1,FALSE,TRUE)</formula1>
    </dataValidation>
    <dataValidation type="custom" allowBlank="1" showDropDown="1" sqref="S3:S4">
      <formula1>IF(COUNTA(filter($E26:$W26,ARRAYFORMULA(ISERROR(FIND(join(",",filter(split($H$84,","),ARRAYFORMULA(ISERROR(FIND(split($H$84,","),S3)))=FALSE)),$E26:$W26))=FALSE)))&gt;1,FALSE,TRUE)</formula1>
    </dataValidation>
    <dataValidation type="custom" allowBlank="1" showDropDown="1" sqref="J47:J48">
      <formula1>IF(COUNTA(filter($E9:$W9,ARRAYFORMULA(ISERROR(FIND(join(",",filter(split($H$84,","),ARRAYFORMULA(ISERROR(FIND(split($H$84,","),J47)))=FALSE)),$E9:$W9))=FALSE)))&gt;1,FALSE,TRUE)</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2.75"/>
    <col customWidth="1" min="15" max="15" width="16.38"/>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customHeight="1">
      <c r="A2" s="18">
        <v>45033.0</v>
      </c>
      <c r="B2" s="19">
        <v>1.0</v>
      </c>
      <c r="C2" s="20" t="s">
        <v>12</v>
      </c>
      <c r="D2" s="20" t="s">
        <v>13</v>
      </c>
      <c r="E2" s="23" t="s">
        <v>10244</v>
      </c>
      <c r="F2" s="24"/>
      <c r="G2" s="24"/>
      <c r="H2" s="24"/>
      <c r="I2" s="25"/>
      <c r="J2" s="21" t="s">
        <v>10245</v>
      </c>
      <c r="K2" s="24"/>
      <c r="L2" s="24"/>
      <c r="M2" s="25"/>
      <c r="N2" s="21" t="s">
        <v>10246</v>
      </c>
      <c r="O2" s="25"/>
      <c r="P2" s="21" t="s">
        <v>10247</v>
      </c>
      <c r="Q2" s="25"/>
      <c r="R2" s="21" t="s">
        <v>10248</v>
      </c>
      <c r="S2" s="25"/>
      <c r="T2" s="21" t="s">
        <v>10249</v>
      </c>
      <c r="U2" s="24"/>
      <c r="V2" s="22"/>
      <c r="W2" s="26"/>
      <c r="X2" s="27" t="s">
        <v>12</v>
      </c>
      <c r="Y2" s="27" t="s">
        <v>13</v>
      </c>
      <c r="Z2" s="28"/>
      <c r="AA2" s="14"/>
      <c r="AB2" s="15"/>
      <c r="AC2" s="14"/>
      <c r="AD2" s="14"/>
      <c r="AE2" s="14"/>
      <c r="AF2" s="29"/>
      <c r="AG2" s="29"/>
      <c r="AH2" s="29"/>
    </row>
    <row r="3" ht="40.5" customHeight="1">
      <c r="A3" s="30"/>
      <c r="B3" s="31">
        <v>2.0</v>
      </c>
      <c r="C3" s="32" t="s">
        <v>21</v>
      </c>
      <c r="D3" s="32" t="s">
        <v>22</v>
      </c>
      <c r="E3" s="33" t="s">
        <v>10250</v>
      </c>
      <c r="F3" s="34" t="s">
        <v>10251</v>
      </c>
      <c r="G3" s="35" t="s">
        <v>25</v>
      </c>
      <c r="H3" s="36"/>
      <c r="I3" s="13"/>
      <c r="J3" s="37" t="s">
        <v>10252</v>
      </c>
      <c r="K3" s="13"/>
      <c r="L3" s="38" t="s">
        <v>10253</v>
      </c>
      <c r="M3" s="13"/>
      <c r="N3" s="37" t="s">
        <v>10254</v>
      </c>
      <c r="O3" s="13"/>
      <c r="P3" s="37" t="s">
        <v>10255</v>
      </c>
      <c r="Q3" s="13"/>
      <c r="R3" s="39" t="s">
        <v>10256</v>
      </c>
      <c r="S3" s="40" t="s">
        <v>10257</v>
      </c>
      <c r="T3" s="37" t="s">
        <v>32</v>
      </c>
      <c r="U3" s="36"/>
      <c r="V3" s="41"/>
      <c r="W3" s="26"/>
      <c r="X3" s="42" t="s">
        <v>21</v>
      </c>
      <c r="Y3" s="42" t="s">
        <v>22</v>
      </c>
      <c r="Z3" s="28"/>
      <c r="AA3" s="14"/>
      <c r="AB3" s="15" t="str">
        <f>IFERROR(__xludf.DUMMYFUNCTION("join("","",filter(split($H$83,"",""),ARRAYFORMULA(ISERROR(FIND(split($H$83,"",""),CONCATENATE(E3:V3))))=TRUE))"),"201,404,405,406,410,АЗ")</f>
        <v>201,404,405,406,410,АЗ</v>
      </c>
      <c r="AC3" s="14"/>
      <c r="AD3" s="14"/>
      <c r="AE3" s="14"/>
      <c r="AF3" s="29"/>
      <c r="AG3" s="29"/>
      <c r="AH3" s="29"/>
    </row>
    <row r="4" ht="40.5" customHeight="1">
      <c r="A4" s="30"/>
      <c r="B4" s="31">
        <v>3.0</v>
      </c>
      <c r="C4" s="32" t="s">
        <v>33</v>
      </c>
      <c r="D4" s="32" t="s">
        <v>34</v>
      </c>
      <c r="E4" s="33" t="s">
        <v>10258</v>
      </c>
      <c r="F4" s="39" t="s">
        <v>10259</v>
      </c>
      <c r="G4" s="43" t="s">
        <v>10260</v>
      </c>
      <c r="H4" s="44" t="s">
        <v>10261</v>
      </c>
      <c r="I4" s="45" t="s">
        <v>10262</v>
      </c>
      <c r="J4" s="46" t="s">
        <v>10263</v>
      </c>
      <c r="K4" s="13"/>
      <c r="L4" s="45" t="s">
        <v>10264</v>
      </c>
      <c r="M4" s="13"/>
      <c r="N4" s="37" t="s">
        <v>10265</v>
      </c>
      <c r="O4" s="13"/>
      <c r="P4" s="37" t="s">
        <v>10266</v>
      </c>
      <c r="Q4" s="13"/>
      <c r="R4" s="39" t="s">
        <v>10267</v>
      </c>
      <c r="S4" s="40" t="s">
        <v>10268</v>
      </c>
      <c r="T4" s="37" t="s">
        <v>46</v>
      </c>
      <c r="U4" s="36"/>
      <c r="V4" s="41"/>
      <c r="W4" s="26"/>
      <c r="X4" s="42" t="s">
        <v>33</v>
      </c>
      <c r="Y4" s="42" t="s">
        <v>34</v>
      </c>
      <c r="Z4" s="48" t="s">
        <v>47</v>
      </c>
      <c r="AA4" s="14"/>
      <c r="AB4" s="15" t="str">
        <f>IFERROR(__xludf.DUMMYFUNCTION("join("","",filter(split($H$83,"",""),ARRAYFORMULA(ISERROR(FIND(split($H$83,"",""),CONCATENATE(E4:V4))))=TRUE))"),"КЗ,201,202,404,406,АЗ")</f>
        <v>КЗ,201,202,404,406,АЗ</v>
      </c>
      <c r="AC4" s="14"/>
      <c r="AD4" s="14"/>
      <c r="AE4" s="14"/>
      <c r="AF4" s="29"/>
      <c r="AG4" s="29"/>
      <c r="AH4" s="29"/>
    </row>
    <row r="5" ht="40.5" customHeight="1">
      <c r="A5" s="30"/>
      <c r="B5" s="31">
        <v>4.0</v>
      </c>
      <c r="C5" s="32" t="s">
        <v>48</v>
      </c>
      <c r="D5" s="32" t="s">
        <v>49</v>
      </c>
      <c r="E5" s="33" t="s">
        <v>10269</v>
      </c>
      <c r="F5" s="39" t="s">
        <v>10270</v>
      </c>
      <c r="G5" s="43" t="s">
        <v>10271</v>
      </c>
      <c r="H5" s="45" t="s">
        <v>10272</v>
      </c>
      <c r="I5" s="13"/>
      <c r="J5" s="33" t="s">
        <v>10273</v>
      </c>
      <c r="K5" s="44" t="s">
        <v>10274</v>
      </c>
      <c r="L5" s="44" t="s">
        <v>10275</v>
      </c>
      <c r="M5" s="45" t="s">
        <v>10276</v>
      </c>
      <c r="N5" s="37" t="s">
        <v>10277</v>
      </c>
      <c r="O5" s="13"/>
      <c r="P5" s="37" t="s">
        <v>10278</v>
      </c>
      <c r="Q5" s="13"/>
      <c r="R5" s="51" t="s">
        <v>10279</v>
      </c>
      <c r="S5" s="13"/>
      <c r="T5" s="52" t="s">
        <v>10280</v>
      </c>
      <c r="U5" s="36"/>
      <c r="V5" s="41"/>
      <c r="W5" s="26"/>
      <c r="X5" s="42" t="s">
        <v>48</v>
      </c>
      <c r="Y5" s="42" t="s">
        <v>49</v>
      </c>
      <c r="Z5" s="48" t="s">
        <v>57</v>
      </c>
      <c r="AA5" s="14"/>
      <c r="AB5" s="15" t="str">
        <f>IFERROR(__xludf.DUMMYFUNCTION("join("","",filter(split($H$83,"",""),ARRAYFORMULA(ISERROR(FIND(split($H$83,"",""),CONCATENATE(E5:V5))))=TRUE))"),"СЗ,КЗ,202,206,406")</f>
        <v>СЗ,КЗ,202,206,406</v>
      </c>
      <c r="AC5" s="14"/>
      <c r="AD5" s="14"/>
      <c r="AE5" s="14"/>
      <c r="AF5" s="29"/>
      <c r="AG5" s="29"/>
      <c r="AH5" s="29"/>
    </row>
    <row r="6" ht="40.5" customHeight="1">
      <c r="A6" s="30"/>
      <c r="B6" s="31">
        <v>5.0</v>
      </c>
      <c r="C6" s="32" t="s">
        <v>58</v>
      </c>
      <c r="D6" s="53">
        <v>44847.0</v>
      </c>
      <c r="E6" s="39" t="s">
        <v>10281</v>
      </c>
      <c r="F6" s="34" t="s">
        <v>10282</v>
      </c>
      <c r="G6" s="43" t="s">
        <v>10283</v>
      </c>
      <c r="H6" s="45" t="s">
        <v>10284</v>
      </c>
      <c r="I6" s="13"/>
      <c r="J6" s="33" t="s">
        <v>10285</v>
      </c>
      <c r="K6" s="44" t="s">
        <v>64</v>
      </c>
      <c r="L6" s="44" t="s">
        <v>10286</v>
      </c>
      <c r="M6" s="45" t="s">
        <v>10287</v>
      </c>
      <c r="N6" s="37" t="s">
        <v>10288</v>
      </c>
      <c r="O6" s="13"/>
      <c r="P6" s="37" t="s">
        <v>10289</v>
      </c>
      <c r="Q6" s="13"/>
      <c r="R6" s="51" t="s">
        <v>10290</v>
      </c>
      <c r="S6" s="13"/>
      <c r="T6" s="52" t="s">
        <v>10291</v>
      </c>
      <c r="U6" s="36"/>
      <c r="V6" s="41"/>
      <c r="W6" s="26"/>
      <c r="X6" s="42" t="s">
        <v>58</v>
      </c>
      <c r="Y6" s="54">
        <v>44847.0</v>
      </c>
      <c r="Z6" s="48" t="s">
        <v>70</v>
      </c>
      <c r="AA6" s="14"/>
      <c r="AB6" s="15" t="str">
        <f>IFERROR(__xludf.DUMMYFUNCTION("join("","",filter(split($H$83,"",""),ARRAYFORMULA(ISERROR(FIND(split($H$83,"",""),CONCATENATE(E6:V6))))=TRUE))"),"СЗ,КЗ,202,206,406")</f>
        <v>СЗ,КЗ,202,206,406</v>
      </c>
      <c r="AC6" s="14"/>
      <c r="AD6" s="14"/>
      <c r="AE6" s="14"/>
      <c r="AF6" s="29"/>
      <c r="AG6" s="29"/>
      <c r="AH6" s="29"/>
    </row>
    <row r="7" ht="42.0" customHeight="1">
      <c r="A7" s="30"/>
      <c r="B7" s="31">
        <v>6.0</v>
      </c>
      <c r="C7" s="55" t="s">
        <v>71</v>
      </c>
      <c r="D7" s="56" t="s">
        <v>72</v>
      </c>
      <c r="E7" s="39" t="s">
        <v>10292</v>
      </c>
      <c r="F7" s="34" t="s">
        <v>10293</v>
      </c>
      <c r="G7" s="43" t="s">
        <v>10294</v>
      </c>
      <c r="H7" s="45" t="s">
        <v>10295</v>
      </c>
      <c r="I7" s="13"/>
      <c r="J7" s="37" t="s">
        <v>10296</v>
      </c>
      <c r="K7" s="13"/>
      <c r="L7" s="45" t="s">
        <v>10297</v>
      </c>
      <c r="M7" s="13"/>
      <c r="N7" s="37" t="s">
        <v>10298</v>
      </c>
      <c r="O7" s="13"/>
      <c r="P7" s="37" t="s">
        <v>10299</v>
      </c>
      <c r="Q7" s="13"/>
      <c r="R7" s="57" t="s">
        <v>10300</v>
      </c>
      <c r="T7" s="33" t="s">
        <v>10301</v>
      </c>
      <c r="U7" s="45" t="s">
        <v>10302</v>
      </c>
      <c r="V7" s="41"/>
      <c r="W7" s="26"/>
      <c r="X7" s="58" t="s">
        <v>71</v>
      </c>
      <c r="Y7" s="59" t="s">
        <v>72</v>
      </c>
      <c r="Z7" s="48" t="s">
        <v>84</v>
      </c>
      <c r="AA7" s="14"/>
      <c r="AB7" s="15" t="str">
        <f>IFERROR(__xludf.DUMMYFUNCTION("join("","",filter(split($H$83,"",""),ARRAYFORMULA(ISERROR(FIND(split($H$83,"",""),CONCATENATE(E7:V7))))=TRUE))"),"КЗ,202,206,403,406,АЗ")</f>
        <v>КЗ,202,206,403,406,АЗ</v>
      </c>
      <c r="AC7" s="14"/>
      <c r="AD7" s="14"/>
      <c r="AE7" s="14"/>
      <c r="AF7" s="29"/>
      <c r="AG7" s="29"/>
      <c r="AH7" s="29"/>
    </row>
    <row r="8" ht="42.0" customHeight="1">
      <c r="A8" s="30"/>
      <c r="B8" s="31">
        <v>7.0</v>
      </c>
      <c r="C8" s="32" t="s">
        <v>85</v>
      </c>
      <c r="D8" s="32" t="s">
        <v>86</v>
      </c>
      <c r="E8" s="319" t="s">
        <v>10303</v>
      </c>
      <c r="F8" s="39" t="s">
        <v>10304</v>
      </c>
      <c r="G8" s="43" t="s">
        <v>10305</v>
      </c>
      <c r="H8" s="45" t="s">
        <v>10306</v>
      </c>
      <c r="I8" s="13"/>
      <c r="J8" s="37" t="s">
        <v>10307</v>
      </c>
      <c r="K8" s="13"/>
      <c r="L8" s="45" t="s">
        <v>10308</v>
      </c>
      <c r="M8" s="13"/>
      <c r="N8" s="37" t="s">
        <v>10309</v>
      </c>
      <c r="O8" s="13"/>
      <c r="P8" s="37" t="s">
        <v>10310</v>
      </c>
      <c r="Q8" s="13"/>
      <c r="R8" s="37" t="s">
        <v>10311</v>
      </c>
      <c r="S8" s="13"/>
      <c r="T8" s="43" t="s">
        <v>10312</v>
      </c>
      <c r="U8" s="45" t="s">
        <v>10313</v>
      </c>
      <c r="V8" s="41"/>
      <c r="W8" s="26"/>
      <c r="X8" s="42" t="s">
        <v>85</v>
      </c>
      <c r="Y8" s="42" t="s">
        <v>86</v>
      </c>
      <c r="Z8" s="48" t="s">
        <v>97</v>
      </c>
      <c r="AA8" s="14"/>
      <c r="AB8" s="15" t="str">
        <f>IFERROR(__xludf.DUMMYFUNCTION("join("","",filter(split($H$83,"",""),ARRAYFORMULA(ISERROR(FIND(split($H$83,"",""),CONCATENATE(E8:V8))))=TRUE))"),"КЗ,202,206,406,409,410,АЗ")</f>
        <v>КЗ,202,206,406,409,410,АЗ</v>
      </c>
      <c r="AC8" s="14"/>
      <c r="AD8" s="14"/>
      <c r="AE8" s="14"/>
      <c r="AF8" s="29"/>
      <c r="AG8" s="29"/>
      <c r="AH8" s="29"/>
    </row>
    <row r="9" ht="40.5" customHeight="1">
      <c r="A9" s="30"/>
      <c r="B9" s="31">
        <v>8.0</v>
      </c>
      <c r="C9" s="32" t="s">
        <v>98</v>
      </c>
      <c r="D9" s="32" t="s">
        <v>99</v>
      </c>
      <c r="E9" s="39" t="s">
        <v>10314</v>
      </c>
      <c r="F9" s="319" t="s">
        <v>10315</v>
      </c>
      <c r="G9" s="43" t="s">
        <v>10316</v>
      </c>
      <c r="H9" s="45" t="s">
        <v>10317</v>
      </c>
      <c r="I9" s="13"/>
      <c r="J9" s="37" t="s">
        <v>10318</v>
      </c>
      <c r="K9" s="13"/>
      <c r="L9" s="45" t="s">
        <v>10319</v>
      </c>
      <c r="M9" s="13"/>
      <c r="N9" s="61" t="s">
        <v>10320</v>
      </c>
      <c r="O9" s="13"/>
      <c r="P9" s="62" t="s">
        <v>10321</v>
      </c>
      <c r="Q9" s="45" t="s">
        <v>10322</v>
      </c>
      <c r="R9" s="63" t="s">
        <v>108</v>
      </c>
      <c r="S9" s="64"/>
      <c r="T9" s="64"/>
      <c r="U9" s="64"/>
      <c r="V9" s="64"/>
      <c r="W9" s="26"/>
      <c r="X9" s="42" t="s">
        <v>98</v>
      </c>
      <c r="Y9" s="42" t="s">
        <v>99</v>
      </c>
      <c r="Z9" s="11"/>
      <c r="AA9" s="14"/>
      <c r="AB9" s="15" t="str">
        <f>IFERROR(__xludf.DUMMYFUNCTION("join("","",filter(split($H$83,"",""),ARRAYFORMULA(ISERROR(FIND(split($H$83,"",""),CONCATENATE(E9:V9))))=TRUE))"),"КЗ,206,405,406,409,410,АЗ")</f>
        <v>КЗ,206,405,406,409,410,АЗ</v>
      </c>
      <c r="AC9" s="14"/>
      <c r="AD9" s="14"/>
      <c r="AE9" s="14"/>
      <c r="AF9" s="29"/>
      <c r="AG9" s="29"/>
      <c r="AH9" s="29"/>
    </row>
    <row r="10" ht="75.75" customHeight="1">
      <c r="A10" s="30"/>
      <c r="B10" s="31">
        <v>9.0</v>
      </c>
      <c r="C10" s="65">
        <v>44697.0</v>
      </c>
      <c r="D10" s="44" t="s">
        <v>109</v>
      </c>
      <c r="E10" s="66" t="s">
        <v>10323</v>
      </c>
      <c r="F10" s="67"/>
      <c r="G10" s="43" t="s">
        <v>10324</v>
      </c>
      <c r="H10" s="45" t="s">
        <v>10325</v>
      </c>
      <c r="I10" s="13"/>
      <c r="J10" s="37" t="s">
        <v>10326</v>
      </c>
      <c r="K10" s="13"/>
      <c r="L10" s="45" t="s">
        <v>10327</v>
      </c>
      <c r="M10" s="13"/>
      <c r="N10" s="61" t="s">
        <v>10328</v>
      </c>
      <c r="O10" s="13"/>
      <c r="P10" s="62" t="s">
        <v>10329</v>
      </c>
      <c r="Q10" s="68" t="s">
        <v>117</v>
      </c>
      <c r="R10" s="37" t="s">
        <v>10330</v>
      </c>
      <c r="S10" s="68" t="s">
        <v>10331</v>
      </c>
      <c r="T10" s="36"/>
      <c r="U10" s="36"/>
      <c r="V10" s="41"/>
      <c r="W10" s="26"/>
      <c r="X10" s="69">
        <v>44697.0</v>
      </c>
      <c r="Y10" s="70" t="s">
        <v>109</v>
      </c>
      <c r="Z10" s="28"/>
      <c r="AA10" s="14"/>
      <c r="AB10" s="15" t="str">
        <f>IFERROR(__xludf.DUMMYFUNCTION("join("","",filter(split($H$83,"",""),ARRAYFORMULA(ISERROR(FIND(split($H$83,"",""),CONCATENATE(E10:V10))))=TRUE))"),"КЗ,206,210,403,405,406,408,409,АЗ")</f>
        <v>КЗ,206,210,403,405,406,408,409,АЗ</v>
      </c>
      <c r="AC10" s="14"/>
      <c r="AD10" s="14"/>
      <c r="AE10" s="14"/>
      <c r="AF10" s="29"/>
      <c r="AG10" s="29"/>
      <c r="AH10" s="29"/>
    </row>
    <row r="11" ht="49.5"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10332</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customHeight="1">
      <c r="A13" s="18">
        <v>45034.0</v>
      </c>
      <c r="B13" s="19">
        <v>1.0</v>
      </c>
      <c r="C13" s="20" t="s">
        <v>12</v>
      </c>
      <c r="D13" s="20" t="s">
        <v>13</v>
      </c>
      <c r="E13" s="80" t="s">
        <v>10333</v>
      </c>
      <c r="F13" s="25"/>
      <c r="G13" s="81" t="s">
        <v>10334</v>
      </c>
      <c r="H13" s="24"/>
      <c r="I13" s="24"/>
      <c r="J13" s="23" t="s">
        <v>10335</v>
      </c>
      <c r="K13" s="25"/>
      <c r="L13" s="80" t="s">
        <v>10336</v>
      </c>
      <c r="M13" s="25"/>
      <c r="N13" s="82" t="s">
        <v>10337</v>
      </c>
      <c r="O13" s="25"/>
      <c r="P13" s="21" t="s">
        <v>10338</v>
      </c>
      <c r="Q13" s="22"/>
      <c r="R13" s="23" t="s">
        <v>10339</v>
      </c>
      <c r="S13" s="22"/>
      <c r="T13" s="84" t="s">
        <v>10340</v>
      </c>
      <c r="U13" s="80" t="s">
        <v>10341</v>
      </c>
      <c r="V13" s="22"/>
      <c r="W13" s="26"/>
      <c r="X13" s="27" t="s">
        <v>12</v>
      </c>
      <c r="Y13" s="27" t="s">
        <v>13</v>
      </c>
      <c r="Z13" s="28"/>
      <c r="AA13" s="85"/>
      <c r="AB13" s="15" t="str">
        <f>IFERROR(__xludf.DUMMYFUNCTION("join("","",filter(split($H$83,"",""),ARRAYFORMULA(ISERROR(FIND(split($H$83,"",""),CONCATENATE(E13:V13))))=TRUE))"),"СЗ,КЗ,206,403,406,408,410,АЗ")</f>
        <v>СЗ,КЗ,206,403,406,408,410,АЗ</v>
      </c>
      <c r="AC13" s="14"/>
      <c r="AD13" s="14"/>
      <c r="AE13" s="14"/>
      <c r="AF13" s="29"/>
      <c r="AG13" s="29"/>
      <c r="AH13" s="29"/>
    </row>
    <row r="14" ht="40.5" customHeight="1">
      <c r="A14" s="30"/>
      <c r="B14" s="31">
        <v>2.0</v>
      </c>
      <c r="C14" s="32" t="s">
        <v>21</v>
      </c>
      <c r="D14" s="32" t="s">
        <v>22</v>
      </c>
      <c r="E14" s="45" t="s">
        <v>10342</v>
      </c>
      <c r="F14" s="13"/>
      <c r="G14" s="81" t="s">
        <v>10343</v>
      </c>
      <c r="H14" s="24"/>
      <c r="I14" s="24"/>
      <c r="J14" s="35" t="s">
        <v>10344</v>
      </c>
      <c r="K14" s="13"/>
      <c r="L14" s="45" t="s">
        <v>10345</v>
      </c>
      <c r="M14" s="13"/>
      <c r="N14" s="87" t="s">
        <v>10346</v>
      </c>
      <c r="O14" s="13"/>
      <c r="P14" s="37" t="s">
        <v>10347</v>
      </c>
      <c r="Q14" s="41"/>
      <c r="R14" s="35" t="s">
        <v>10348</v>
      </c>
      <c r="S14" s="41"/>
      <c r="T14" s="43" t="s">
        <v>10349</v>
      </c>
      <c r="U14" s="45" t="s">
        <v>10350</v>
      </c>
      <c r="V14" s="41"/>
      <c r="W14" s="26"/>
      <c r="X14" s="42" t="s">
        <v>21</v>
      </c>
      <c r="Y14" s="42" t="s">
        <v>22</v>
      </c>
      <c r="Z14" s="28"/>
      <c r="AA14" s="85"/>
      <c r="AB14" s="15" t="str">
        <f>IFERROR(__xludf.DUMMYFUNCTION("join("","",filter(split($H$83,"",""),ARRAYFORMULA(ISERROR(FIND(split($H$83,"",""),CONCATENATE(E14:V14))))=TRUE))"),"СЗ,КЗ,206,403,406,408,410,АЗ")</f>
        <v>СЗ,КЗ,206,403,406,408,410,АЗ</v>
      </c>
      <c r="AC14" s="14"/>
      <c r="AD14" s="14"/>
      <c r="AE14" s="14"/>
      <c r="AF14" s="29"/>
      <c r="AG14" s="29"/>
      <c r="AH14" s="29"/>
    </row>
    <row r="15" ht="40.5" customHeight="1">
      <c r="A15" s="30"/>
      <c r="B15" s="31">
        <v>3.0</v>
      </c>
      <c r="C15" s="32" t="s">
        <v>33</v>
      </c>
      <c r="D15" s="32" t="s">
        <v>34</v>
      </c>
      <c r="E15" s="94" t="s">
        <v>10351</v>
      </c>
      <c r="F15" s="13"/>
      <c r="G15" s="35" t="s">
        <v>10352</v>
      </c>
      <c r="H15" s="36"/>
      <c r="I15" s="41"/>
      <c r="J15" s="35" t="s">
        <v>10353</v>
      </c>
      <c r="K15" s="13"/>
      <c r="L15" s="45" t="s">
        <v>10354</v>
      </c>
      <c r="M15" s="13"/>
      <c r="N15" s="89" t="s">
        <v>10355</v>
      </c>
      <c r="O15" s="13"/>
      <c r="P15" s="37" t="s">
        <v>10356</v>
      </c>
      <c r="Q15" s="90" t="s">
        <v>10357</v>
      </c>
      <c r="R15" s="43" t="s">
        <v>10358</v>
      </c>
      <c r="S15" s="34" t="s">
        <v>10359</v>
      </c>
      <c r="T15" s="91" t="s">
        <v>10360</v>
      </c>
      <c r="U15" s="36"/>
      <c r="V15" s="41"/>
      <c r="W15" s="26"/>
      <c r="X15" s="42" t="s">
        <v>33</v>
      </c>
      <c r="Y15" s="42" t="s">
        <v>34</v>
      </c>
      <c r="Z15" s="48" t="s">
        <v>47</v>
      </c>
      <c r="AA15" s="85" t="str">
        <f>AA$5</f>
        <v/>
      </c>
      <c r="AB15" s="15" t="str">
        <f>IFERROR(__xludf.DUMMYFUNCTION("join("","",filter(split($H$83,"",""),ARRAYFORMULA(ISERROR(FIND(split($H$83,"",""),CONCATENATE(E15:V15))))=TRUE))"),"КЗ,201,206,210,406,408,410,АЗ")</f>
        <v>КЗ,201,206,210,406,408,410,АЗ</v>
      </c>
      <c r="AC15" s="14"/>
      <c r="AD15" s="14"/>
      <c r="AE15" s="14"/>
      <c r="AF15" s="29"/>
      <c r="AG15" s="29"/>
      <c r="AH15" s="29"/>
    </row>
    <row r="16" ht="40.5" customHeight="1">
      <c r="A16" s="30"/>
      <c r="B16" s="31">
        <v>4.0</v>
      </c>
      <c r="C16" s="32" t="s">
        <v>48</v>
      </c>
      <c r="D16" s="32" t="s">
        <v>49</v>
      </c>
      <c r="E16" s="94" t="s">
        <v>10361</v>
      </c>
      <c r="F16" s="13"/>
      <c r="G16" s="35" t="s">
        <v>10362</v>
      </c>
      <c r="H16" s="36"/>
      <c r="I16" s="41"/>
      <c r="J16" s="35" t="s">
        <v>10363</v>
      </c>
      <c r="K16" s="13"/>
      <c r="L16" s="45" t="s">
        <v>10364</v>
      </c>
      <c r="M16" s="13"/>
      <c r="N16" s="872" t="s">
        <v>10365</v>
      </c>
      <c r="O16" s="4"/>
      <c r="P16" s="37" t="s">
        <v>160</v>
      </c>
      <c r="Q16" s="90" t="s">
        <v>10357</v>
      </c>
      <c r="R16" s="43" t="s">
        <v>10366</v>
      </c>
      <c r="S16" s="34" t="s">
        <v>10367</v>
      </c>
      <c r="T16" s="91" t="s">
        <v>10368</v>
      </c>
      <c r="U16" s="36"/>
      <c r="V16" s="41"/>
      <c r="W16" s="26"/>
      <c r="X16" s="42" t="s">
        <v>48</v>
      </c>
      <c r="Y16" s="42" t="s">
        <v>49</v>
      </c>
      <c r="Z16" s="48" t="s">
        <v>57</v>
      </c>
      <c r="AA16" s="85" t="str">
        <f>AA$6</f>
        <v/>
      </c>
      <c r="AB16" s="15" t="str">
        <f>IFERROR(__xludf.DUMMYFUNCTION("join("","",filter(split($H$83,"",""),ARRAYFORMULA(ISERROR(FIND(split($H$83,"",""),CONCATENATE(E16:V16))))=TRUE))"),"КЗ,201,202,206,210,410,АЗ")</f>
        <v>КЗ,201,202,206,210,410,АЗ</v>
      </c>
      <c r="AC16" s="14"/>
      <c r="AD16" s="14"/>
      <c r="AE16" s="14"/>
      <c r="AF16" s="29"/>
      <c r="AG16" s="29"/>
      <c r="AH16" s="29"/>
    </row>
    <row r="17" ht="40.5" customHeight="1">
      <c r="A17" s="30"/>
      <c r="B17" s="31">
        <v>5.0</v>
      </c>
      <c r="C17" s="32" t="s">
        <v>58</v>
      </c>
      <c r="D17" s="53">
        <v>44847.0</v>
      </c>
      <c r="E17" s="45" t="s">
        <v>10369</v>
      </c>
      <c r="F17" s="13"/>
      <c r="G17" s="33" t="s">
        <v>10370</v>
      </c>
      <c r="H17" s="45" t="s">
        <v>10371</v>
      </c>
      <c r="I17" s="41"/>
      <c r="J17" s="35" t="s">
        <v>10372</v>
      </c>
      <c r="K17" s="13"/>
      <c r="L17" s="40" t="s">
        <v>10373</v>
      </c>
      <c r="M17" s="13"/>
      <c r="N17" s="104"/>
      <c r="O17" s="72"/>
      <c r="P17" s="33" t="s">
        <v>10374</v>
      </c>
      <c r="Q17" s="34" t="s">
        <v>10375</v>
      </c>
      <c r="R17" s="90" t="s">
        <v>10357</v>
      </c>
      <c r="S17" s="92" t="s">
        <v>10376</v>
      </c>
      <c r="T17" s="93" t="s">
        <v>10377</v>
      </c>
      <c r="U17" s="36"/>
      <c r="V17" s="41"/>
      <c r="W17" s="26"/>
      <c r="X17" s="42" t="s">
        <v>58</v>
      </c>
      <c r="Y17" s="54">
        <v>44847.0</v>
      </c>
      <c r="Z17" s="48" t="s">
        <v>70</v>
      </c>
      <c r="AA17" s="85" t="str">
        <f>AA$7</f>
        <v/>
      </c>
      <c r="AB17" s="15" t="str">
        <f>IFERROR(__xludf.DUMMYFUNCTION("join("","",filter(split($H$83,"",""),ARRAYFORMULA(ISERROR(FIND(split($H$83,"",""),CONCATENATE(E17:V17))))=TRUE))"),"СЗ,202,206,402,406,408,410,АЗ")</f>
        <v>СЗ,202,206,402,406,408,410,АЗ</v>
      </c>
      <c r="AC17" s="14"/>
      <c r="AD17" s="14"/>
      <c r="AE17" s="14"/>
      <c r="AF17" s="29"/>
      <c r="AG17" s="29"/>
      <c r="AH17" s="29"/>
    </row>
    <row r="18" ht="40.5" customHeight="1">
      <c r="A18" s="30"/>
      <c r="B18" s="31">
        <v>6.0</v>
      </c>
      <c r="C18" s="55" t="s">
        <v>71</v>
      </c>
      <c r="D18" s="56" t="s">
        <v>72</v>
      </c>
      <c r="E18" s="45" t="s">
        <v>10378</v>
      </c>
      <c r="F18" s="13"/>
      <c r="G18" s="33" t="s">
        <v>10379</v>
      </c>
      <c r="H18" s="45" t="s">
        <v>10380</v>
      </c>
      <c r="I18" s="41"/>
      <c r="J18" s="35" t="s">
        <v>10381</v>
      </c>
      <c r="K18" s="13"/>
      <c r="L18" s="40" t="s">
        <v>10382</v>
      </c>
      <c r="M18" s="13"/>
      <c r="N18" s="45" t="s">
        <v>10383</v>
      </c>
      <c r="O18" s="13"/>
      <c r="P18" s="33" t="s">
        <v>10384</v>
      </c>
      <c r="Q18" s="34" t="s">
        <v>10385</v>
      </c>
      <c r="R18" s="90" t="s">
        <v>10357</v>
      </c>
      <c r="S18" s="92" t="s">
        <v>10386</v>
      </c>
      <c r="T18" s="93" t="s">
        <v>10377</v>
      </c>
      <c r="U18" s="36"/>
      <c r="V18" s="41"/>
      <c r="W18" s="26"/>
      <c r="X18" s="58" t="s">
        <v>71</v>
      </c>
      <c r="Y18" s="59" t="s">
        <v>72</v>
      </c>
      <c r="Z18" s="48" t="s">
        <v>84</v>
      </c>
      <c r="AA18" s="85" t="str">
        <f>AA$8</f>
        <v/>
      </c>
      <c r="AB18" s="15" t="str">
        <f>IFERROR(__xludf.DUMMYFUNCTION("join("","",filter(split($H$83,"",""),ARRAYFORMULA(ISERROR(FIND(split($H$83,"",""),CONCATENATE(E18:V18))))=TRUE))"),"СЗ,202,206,406,408,410,АЗ")</f>
        <v>СЗ,202,206,406,408,410,АЗ</v>
      </c>
      <c r="AC18" s="14"/>
      <c r="AD18" s="14"/>
      <c r="AE18" s="14"/>
      <c r="AF18" s="29"/>
      <c r="AG18" s="29"/>
      <c r="AH18" s="29"/>
    </row>
    <row r="19" ht="40.5" customHeight="1">
      <c r="A19" s="30"/>
      <c r="B19" s="31">
        <v>7.0</v>
      </c>
      <c r="C19" s="32" t="s">
        <v>85</v>
      </c>
      <c r="D19" s="32" t="s">
        <v>86</v>
      </c>
      <c r="E19" s="166"/>
      <c r="F19" s="13"/>
      <c r="G19" s="33" t="s">
        <v>10387</v>
      </c>
      <c r="H19" s="45" t="s">
        <v>10388</v>
      </c>
      <c r="I19" s="41"/>
      <c r="J19" s="95"/>
      <c r="K19" s="13"/>
      <c r="L19" s="45" t="s">
        <v>10389</v>
      </c>
      <c r="M19" s="13"/>
      <c r="N19" s="45"/>
      <c r="O19" s="13"/>
      <c r="P19" s="37" t="s">
        <v>10390</v>
      </c>
      <c r="Q19" s="41"/>
      <c r="R19" s="96" t="s">
        <v>10391</v>
      </c>
      <c r="S19" s="97" t="s">
        <v>10392</v>
      </c>
      <c r="T19" s="93" t="s">
        <v>10377</v>
      </c>
      <c r="U19" s="36"/>
      <c r="V19" s="41"/>
      <c r="W19" s="26"/>
      <c r="X19" s="42" t="s">
        <v>85</v>
      </c>
      <c r="Y19" s="42" t="s">
        <v>86</v>
      </c>
      <c r="Z19" s="48" t="s">
        <v>97</v>
      </c>
      <c r="AA19" s="85" t="str">
        <f>AA$9</f>
        <v/>
      </c>
      <c r="AB19" s="15" t="str">
        <f>IFERROR(__xludf.DUMMYFUNCTION("join("","",filter(split($H$83,"",""),ARRAYFORMULA(ISERROR(FIND(split($H$83,"",""),CONCATENATE(E19:V19))))=TRUE))"),"СЗ,КЗ,206,403,404,405,406,408,409,410,АЗ")</f>
        <v>СЗ,КЗ,206,403,404,405,406,408,409,410,АЗ</v>
      </c>
      <c r="AC19" s="14"/>
      <c r="AD19" s="14"/>
      <c r="AE19" s="14"/>
      <c r="AF19" s="29"/>
      <c r="AG19" s="29"/>
      <c r="AH19" s="29"/>
    </row>
    <row r="20" ht="40.5" customHeight="1">
      <c r="A20" s="30"/>
      <c r="B20" s="31">
        <v>8.0</v>
      </c>
      <c r="C20" s="32" t="s">
        <v>98</v>
      </c>
      <c r="D20" s="32" t="s">
        <v>99</v>
      </c>
      <c r="E20" s="166"/>
      <c r="F20" s="13"/>
      <c r="G20" s="33" t="s">
        <v>10393</v>
      </c>
      <c r="H20" s="45" t="s">
        <v>10394</v>
      </c>
      <c r="I20" s="41"/>
      <c r="J20" s="95"/>
      <c r="K20" s="13"/>
      <c r="L20" s="45" t="s">
        <v>10395</v>
      </c>
      <c r="M20" s="13"/>
      <c r="N20" s="45"/>
      <c r="O20" s="13"/>
      <c r="P20" s="37" t="s">
        <v>10396</v>
      </c>
      <c r="Q20" s="41"/>
      <c r="R20" s="96" t="s">
        <v>10397</v>
      </c>
      <c r="S20" s="97" t="s">
        <v>10398</v>
      </c>
      <c r="T20" s="93" t="s">
        <v>10377</v>
      </c>
      <c r="U20" s="36"/>
      <c r="V20" s="41"/>
      <c r="W20" s="26"/>
      <c r="X20" s="42" t="s">
        <v>98</v>
      </c>
      <c r="Y20" s="42" t="s">
        <v>99</v>
      </c>
      <c r="Z20" s="11"/>
      <c r="AA20" s="98"/>
      <c r="AB20" s="15" t="str">
        <f>IFERROR(__xludf.DUMMYFUNCTION("join("","",filter(split($H$83,"",""),ARRAYFORMULA(ISERROR(FIND(split($H$83,"",""),CONCATENATE(E20:V20))))=TRUE))"),"СЗ,КЗ,206,403,404,405,406,408,409,410,АЗ")</f>
        <v>СЗ,КЗ,206,403,404,405,406,408,409,410,АЗ</v>
      </c>
      <c r="AC20" s="14"/>
      <c r="AD20" s="14"/>
      <c r="AE20" s="14"/>
      <c r="AF20" s="29"/>
      <c r="AG20" s="29"/>
      <c r="AH20" s="29"/>
    </row>
    <row r="21" ht="40.5" customHeight="1">
      <c r="A21" s="30"/>
      <c r="B21" s="31">
        <v>9.0</v>
      </c>
      <c r="C21" s="65">
        <v>44697.0</v>
      </c>
      <c r="D21" s="44" t="s">
        <v>109</v>
      </c>
      <c r="E21" s="99"/>
      <c r="F21" s="4"/>
      <c r="G21" s="100"/>
      <c r="H21" s="101" t="s">
        <v>208</v>
      </c>
      <c r="I21" s="36"/>
      <c r="J21" s="36"/>
      <c r="K21" s="36"/>
      <c r="L21" s="36"/>
      <c r="M21" s="13"/>
      <c r="N21" s="45"/>
      <c r="O21" s="13"/>
      <c r="P21" s="102" t="s">
        <v>10399</v>
      </c>
      <c r="Q21" s="41"/>
      <c r="R21" s="35" t="s">
        <v>211</v>
      </c>
      <c r="S21" s="41"/>
      <c r="T21" s="103"/>
      <c r="U21" s="36"/>
      <c r="V21" s="41"/>
      <c r="W21" s="26"/>
      <c r="X21" s="69">
        <v>44697.0</v>
      </c>
      <c r="Y21" s="70" t="s">
        <v>109</v>
      </c>
      <c r="Z21" s="28"/>
      <c r="AA21" s="98"/>
      <c r="AB21" s="15" t="str">
        <f>IFERROR(__xludf.DUMMYFUNCTION("join("","",filter(split($H$83,"",""),ARRAYFORMULA(ISERROR(FIND(split($H$83,"",""),CONCATENATE(E21:V21))))=TRUE))"),"201,206,209,210,401,402,403,404,405,406,408,409,АЗ")</f>
        <v>201,206,209,210,401,402,403,404,405,406,408,409,АЗ</v>
      </c>
      <c r="AC21" s="14"/>
      <c r="AD21" s="14"/>
      <c r="AE21" s="14"/>
      <c r="AF21" s="29"/>
      <c r="AG21" s="29"/>
      <c r="AH21" s="29"/>
    </row>
    <row r="22" ht="40.5" customHeight="1">
      <c r="A22" s="30"/>
      <c r="B22" s="31">
        <v>10.0</v>
      </c>
      <c r="C22" s="44" t="s">
        <v>120</v>
      </c>
      <c r="D22" s="44" t="s">
        <v>121</v>
      </c>
      <c r="E22" s="104"/>
      <c r="F22" s="72"/>
      <c r="G22" s="105"/>
      <c r="H22" s="106" t="s">
        <v>213</v>
      </c>
      <c r="I22" s="36"/>
      <c r="J22" s="36"/>
      <c r="K22" s="36"/>
      <c r="L22" s="36"/>
      <c r="M22" s="13"/>
      <c r="N22" s="45"/>
      <c r="O22" s="13"/>
      <c r="P22" s="101" t="s">
        <v>215</v>
      </c>
      <c r="Q22" s="36"/>
      <c r="R22" s="36"/>
      <c r="S22" s="13"/>
      <c r="T22" s="107" t="s">
        <v>10400</v>
      </c>
      <c r="U22" s="36"/>
      <c r="V22" s="41"/>
      <c r="W22" s="26"/>
      <c r="X22" s="70" t="s">
        <v>120</v>
      </c>
      <c r="Y22" s="70" t="s">
        <v>121</v>
      </c>
      <c r="Z22" s="28"/>
      <c r="AA22" s="98"/>
      <c r="AB22" s="15" t="str">
        <f>IFERROR(__xludf.DUMMYFUNCTION("join("","",filter(split($H$83,"",""),ARRAYFORMULA(ISERROR(FIND(split($H$83,"",""),CONCATENATE(E22:V22))))=TRUE))"),"201,202,206,209,210,401,402,403,404,405,406,408,409,АЗ")</f>
        <v>201,202,206,209,210,401,402,403,404,405,406,408,409,АЗ</v>
      </c>
      <c r="AC22" s="14"/>
      <c r="AD22" s="14"/>
      <c r="AE22" s="14"/>
      <c r="AF22" s="29"/>
      <c r="AG22" s="29"/>
      <c r="AH22" s="29"/>
    </row>
    <row r="23" ht="40.5" customHeight="1">
      <c r="A23" s="74"/>
      <c r="B23" s="75">
        <v>11.0</v>
      </c>
      <c r="C23" s="76" t="s">
        <v>124</v>
      </c>
      <c r="D23" s="76" t="s">
        <v>125</v>
      </c>
      <c r="E23" s="108"/>
      <c r="F23" s="109"/>
      <c r="G23" s="110"/>
      <c r="H23" s="111"/>
      <c r="I23" s="112"/>
      <c r="J23" s="113"/>
      <c r="K23" s="111"/>
      <c r="L23" s="111"/>
      <c r="M23" s="111"/>
      <c r="N23" s="111"/>
      <c r="O23" s="111"/>
      <c r="P23" s="111"/>
      <c r="Q23" s="111"/>
      <c r="R23" s="114" t="s">
        <v>10401</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103.5" customHeight="1">
      <c r="A24" s="18">
        <v>45035.0</v>
      </c>
      <c r="B24" s="435">
        <v>1.0</v>
      </c>
      <c r="C24" s="20" t="s">
        <v>12</v>
      </c>
      <c r="D24" s="20" t="s">
        <v>13</v>
      </c>
      <c r="E24" s="21" t="s">
        <v>10402</v>
      </c>
      <c r="F24" s="22"/>
      <c r="G24" s="116" t="s">
        <v>10403</v>
      </c>
      <c r="H24" s="117" t="s">
        <v>10404</v>
      </c>
      <c r="I24" s="22"/>
      <c r="J24" s="118" t="s">
        <v>221</v>
      </c>
      <c r="K24" s="24"/>
      <c r="L24" s="24"/>
      <c r="M24" s="25"/>
      <c r="N24" s="80" t="s">
        <v>10405</v>
      </c>
      <c r="O24" s="873" t="s">
        <v>10406</v>
      </c>
      <c r="P24" s="120" t="s">
        <v>10407</v>
      </c>
      <c r="Q24" s="24"/>
      <c r="R24" s="24"/>
      <c r="S24" s="22"/>
      <c r="T24" s="121" t="s">
        <v>10408</v>
      </c>
      <c r="U24" s="24"/>
      <c r="V24" s="22"/>
      <c r="W24" s="26"/>
      <c r="X24" s="27" t="s">
        <v>12</v>
      </c>
      <c r="Y24" s="27" t="s">
        <v>13</v>
      </c>
      <c r="Z24" s="28"/>
      <c r="AA24" s="14"/>
      <c r="AB24" s="15" t="str">
        <f>IFERROR(__xludf.DUMMYFUNCTION("join("","",filter(split($H$83,"",""),ARRAYFORMULA(ISERROR(FIND(split($H$83,"",""),CONCATENATE(E24:V24))))=TRUE))"),"СЗ,206,210,401,402,403,404,405,409,410,АЗ")</f>
        <v>СЗ,206,210,401,402,403,404,405,409,410,АЗ</v>
      </c>
      <c r="AC24" s="14"/>
      <c r="AD24" s="14"/>
      <c r="AE24" s="14"/>
      <c r="AF24" s="29"/>
      <c r="AG24" s="29"/>
      <c r="AH24" s="29"/>
    </row>
    <row r="25" ht="40.5" customHeight="1">
      <c r="A25" s="30"/>
      <c r="B25" s="436">
        <v>2.0</v>
      </c>
      <c r="C25" s="32" t="s">
        <v>21</v>
      </c>
      <c r="D25" s="32" t="s">
        <v>22</v>
      </c>
      <c r="E25" s="51" t="s">
        <v>10409</v>
      </c>
      <c r="F25" s="41"/>
      <c r="G25" s="39" t="s">
        <v>10410</v>
      </c>
      <c r="H25" s="89" t="s">
        <v>10411</v>
      </c>
      <c r="I25" s="41"/>
      <c r="J25" s="35" t="s">
        <v>10412</v>
      </c>
      <c r="K25" s="13"/>
      <c r="L25" s="40" t="s">
        <v>10413</v>
      </c>
      <c r="M25" s="13"/>
      <c r="N25" s="40" t="s">
        <v>231</v>
      </c>
      <c r="O25" s="13"/>
      <c r="P25" s="37" t="s">
        <v>10414</v>
      </c>
      <c r="Q25" s="13"/>
      <c r="R25" s="122" t="s">
        <v>10415</v>
      </c>
      <c r="S25" s="41"/>
      <c r="T25" s="103" t="s">
        <v>10416</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customHeight="1">
      <c r="A26" s="30"/>
      <c r="B26" s="436">
        <v>3.0</v>
      </c>
      <c r="C26" s="32" t="s">
        <v>33</v>
      </c>
      <c r="D26" s="32" t="s">
        <v>34</v>
      </c>
      <c r="E26" s="37" t="s">
        <v>10417</v>
      </c>
      <c r="F26" s="41"/>
      <c r="G26" s="51" t="s">
        <v>10418</v>
      </c>
      <c r="H26" s="36"/>
      <c r="I26" s="41"/>
      <c r="J26" s="95" t="s">
        <v>10419</v>
      </c>
      <c r="K26" s="13"/>
      <c r="L26" s="123" t="s">
        <v>10420</v>
      </c>
      <c r="M26" s="41"/>
      <c r="N26" s="40" t="s">
        <v>231</v>
      </c>
      <c r="O26" s="13"/>
      <c r="P26" s="39" t="s">
        <v>10421</v>
      </c>
      <c r="Q26" s="124" t="s">
        <v>10422</v>
      </c>
      <c r="R26" s="89" t="s">
        <v>10423</v>
      </c>
      <c r="S26" s="41"/>
      <c r="T26" s="125" t="s">
        <v>10424</v>
      </c>
      <c r="U26" s="36"/>
      <c r="V26" s="41"/>
      <c r="W26" s="26"/>
      <c r="X26" s="42" t="s">
        <v>33</v>
      </c>
      <c r="Y26" s="42" t="s">
        <v>34</v>
      </c>
      <c r="Z26" s="48" t="s">
        <v>47</v>
      </c>
      <c r="AA26" s="85" t="str">
        <f>AA$5</f>
        <v/>
      </c>
      <c r="AB26" s="15" t="str">
        <f>IFERROR(__xludf.DUMMYFUNCTION("join("","",filter(split($H$83,"",""),ARRAYFORMULA(ISERROR(FIND(split($H$83,"",""),CONCATENATE(E26:V26))))=TRUE))"),"СЗ,КЗ,206,210,403,404,405,408,410,АЗ")</f>
        <v>СЗ,КЗ,206,210,403,404,405,408,410,АЗ</v>
      </c>
      <c r="AC26" s="14"/>
      <c r="AD26" s="14"/>
      <c r="AE26" s="14"/>
      <c r="AF26" s="29"/>
      <c r="AG26" s="29"/>
      <c r="AH26" s="29"/>
    </row>
    <row r="27" ht="54.0" customHeight="1">
      <c r="A27" s="30"/>
      <c r="B27" s="436">
        <v>4.0</v>
      </c>
      <c r="C27" s="32" t="s">
        <v>48</v>
      </c>
      <c r="D27" s="32" t="s">
        <v>49</v>
      </c>
      <c r="E27" s="33" t="s">
        <v>10425</v>
      </c>
      <c r="F27" s="126" t="s">
        <v>10426</v>
      </c>
      <c r="G27" s="37" t="s">
        <v>10427</v>
      </c>
      <c r="H27" s="13"/>
      <c r="I27" s="92" t="s">
        <v>10428</v>
      </c>
      <c r="J27" s="107" t="s">
        <v>10429</v>
      </c>
      <c r="K27" s="13"/>
      <c r="L27" s="45" t="s">
        <v>10430</v>
      </c>
      <c r="M27" s="13"/>
      <c r="N27" s="127" t="s">
        <v>10431</v>
      </c>
      <c r="O27" s="13"/>
      <c r="P27" s="37" t="s">
        <v>10432</v>
      </c>
      <c r="Q27" s="13"/>
      <c r="R27" s="34" t="s">
        <v>10433</v>
      </c>
      <c r="S27" s="92" t="s">
        <v>10434</v>
      </c>
      <c r="T27" s="125" t="s">
        <v>10435</v>
      </c>
      <c r="U27" s="36"/>
      <c r="V27" s="41"/>
      <c r="W27" s="26"/>
      <c r="X27" s="42" t="s">
        <v>48</v>
      </c>
      <c r="Y27" s="42" t="s">
        <v>49</v>
      </c>
      <c r="Z27" s="48" t="s">
        <v>57</v>
      </c>
      <c r="AA27" s="85" t="str">
        <f>AA$6</f>
        <v/>
      </c>
      <c r="AB27" s="15" t="str">
        <f>IFERROR(__xludf.DUMMYFUNCTION("join("","",filter(split($H$83,"",""),ARRAYFORMULA(ISERROR(FIND(split($H$83,"",""),CONCATENATE(E27:V27))))=TRUE))"),"СЗ,202,206,403,404,408,410,АЗ")</f>
        <v>СЗ,202,206,403,404,408,410,АЗ</v>
      </c>
      <c r="AC27" s="14"/>
      <c r="AD27" s="14"/>
      <c r="AE27" s="14"/>
      <c r="AF27" s="29"/>
      <c r="AG27" s="29"/>
      <c r="AH27" s="29"/>
    </row>
    <row r="28" ht="53.25" customHeight="1">
      <c r="A28" s="30"/>
      <c r="B28" s="436">
        <v>5.0</v>
      </c>
      <c r="C28" s="32" t="s">
        <v>58</v>
      </c>
      <c r="D28" s="53">
        <v>44847.0</v>
      </c>
      <c r="E28" s="33" t="s">
        <v>10436</v>
      </c>
      <c r="F28" s="126" t="s">
        <v>10437</v>
      </c>
      <c r="G28" s="37" t="s">
        <v>10438</v>
      </c>
      <c r="H28" s="13"/>
      <c r="I28" s="92" t="s">
        <v>10439</v>
      </c>
      <c r="J28" s="123" t="s">
        <v>10440</v>
      </c>
      <c r="K28" s="41"/>
      <c r="L28" s="45" t="s">
        <v>10441</v>
      </c>
      <c r="M28" s="13"/>
      <c r="N28" s="89" t="s">
        <v>10442</v>
      </c>
      <c r="O28" s="13"/>
      <c r="P28" s="39" t="s">
        <v>10443</v>
      </c>
      <c r="Q28" s="124" t="s">
        <v>10444</v>
      </c>
      <c r="R28" s="34" t="s">
        <v>10445</v>
      </c>
      <c r="S28" s="92" t="s">
        <v>10446</v>
      </c>
      <c r="T28" s="128" t="s">
        <v>10447</v>
      </c>
      <c r="U28" s="8"/>
      <c r="V28" s="129"/>
      <c r="W28" s="26"/>
      <c r="X28" s="42" t="s">
        <v>58</v>
      </c>
      <c r="Y28" s="54">
        <v>44847.0</v>
      </c>
      <c r="Z28" s="48" t="s">
        <v>70</v>
      </c>
      <c r="AA28" s="85" t="str">
        <f>AA$7</f>
        <v/>
      </c>
      <c r="AB28" s="15" t="str">
        <f>IFERROR(__xludf.DUMMYFUNCTION("join("","",filter(split($H$83,"",""),ARRAYFORMULA(ISERROR(FIND(split($H$83,"",""),CONCATENATE(E28:V28))))=TRUE))"),"СЗ,206,209,403,404,408,410")</f>
        <v>СЗ,206,209,403,404,408,410</v>
      </c>
      <c r="AC28" s="14"/>
      <c r="AD28" s="14"/>
      <c r="AE28" s="14"/>
      <c r="AF28" s="29"/>
      <c r="AG28" s="29"/>
      <c r="AH28" s="29"/>
    </row>
    <row r="29" ht="40.5" customHeight="1">
      <c r="A29" s="30"/>
      <c r="B29" s="436">
        <v>6.0</v>
      </c>
      <c r="C29" s="55" t="s">
        <v>71</v>
      </c>
      <c r="D29" s="56" t="s">
        <v>72</v>
      </c>
      <c r="E29" s="126" t="s">
        <v>10448</v>
      </c>
      <c r="F29" s="34" t="s">
        <v>10449</v>
      </c>
      <c r="G29" s="40" t="s">
        <v>10450</v>
      </c>
      <c r="H29" s="41"/>
      <c r="I29" s="34" t="s">
        <v>10451</v>
      </c>
      <c r="J29" s="123" t="s">
        <v>10452</v>
      </c>
      <c r="K29" s="41"/>
      <c r="L29" s="89" t="s">
        <v>10453</v>
      </c>
      <c r="M29" s="13"/>
      <c r="N29" s="130" t="s">
        <v>10454</v>
      </c>
      <c r="O29" s="13"/>
      <c r="P29" s="131" t="s">
        <v>10455</v>
      </c>
      <c r="Q29" s="132" t="s">
        <v>10456</v>
      </c>
      <c r="R29" s="132" t="s">
        <v>10457</v>
      </c>
      <c r="S29" s="133" t="s">
        <v>276</v>
      </c>
      <c r="V29" s="134"/>
      <c r="W29" s="26"/>
      <c r="X29" s="58" t="s">
        <v>71</v>
      </c>
      <c r="Y29" s="59" t="s">
        <v>72</v>
      </c>
      <c r="Z29" s="48" t="s">
        <v>84</v>
      </c>
      <c r="AA29" s="85" t="str">
        <f>AA$8</f>
        <v/>
      </c>
      <c r="AB29" s="15" t="str">
        <f>IFERROR(__xludf.DUMMYFUNCTION("join("","",filter(split($H$83,"",""),ARRAYFORMULA(ISERROR(FIND(split($H$83,"",""),CONCATENATE(E29:V29))))=TRUE))"),"СЗ,201,206,403,404,405,408,410,АЗ")</f>
        <v>СЗ,201,206,403,404,405,408,410,АЗ</v>
      </c>
      <c r="AC29" s="14"/>
      <c r="AD29" s="14"/>
      <c r="AE29" s="14"/>
      <c r="AF29" s="29"/>
      <c r="AG29" s="29"/>
      <c r="AH29" s="29"/>
    </row>
    <row r="30" ht="40.5" customHeight="1">
      <c r="A30" s="30"/>
      <c r="B30" s="436">
        <v>7.0</v>
      </c>
      <c r="C30" s="32" t="s">
        <v>85</v>
      </c>
      <c r="D30" s="32" t="s">
        <v>86</v>
      </c>
      <c r="E30" s="126" t="s">
        <v>10458</v>
      </c>
      <c r="F30" s="34" t="s">
        <v>10459</v>
      </c>
      <c r="G30" s="40" t="s">
        <v>10460</v>
      </c>
      <c r="H30" s="41"/>
      <c r="I30" s="34" t="s">
        <v>10461</v>
      </c>
      <c r="J30" s="35" t="s">
        <v>10462</v>
      </c>
      <c r="K30" s="13"/>
      <c r="L30" s="123" t="s">
        <v>10463</v>
      </c>
      <c r="M30" s="41"/>
      <c r="N30" s="130" t="s">
        <v>10464</v>
      </c>
      <c r="O30" s="13"/>
      <c r="P30" s="131" t="s">
        <v>10465</v>
      </c>
      <c r="Q30" s="132" t="s">
        <v>10466</v>
      </c>
      <c r="R30" s="132" t="s">
        <v>10467</v>
      </c>
      <c r="V30" s="134"/>
      <c r="W30" s="26"/>
      <c r="X30" s="42" t="s">
        <v>85</v>
      </c>
      <c r="Y30" s="42" t="s">
        <v>86</v>
      </c>
      <c r="Z30" s="48" t="s">
        <v>97</v>
      </c>
      <c r="AA30" s="85" t="str">
        <f>AA$9</f>
        <v/>
      </c>
      <c r="AB30" s="15" t="str">
        <f>IFERROR(__xludf.DUMMYFUNCTION("join("","",filter(split($H$83,"",""),ARRAYFORMULA(ISERROR(FIND(split($H$83,"",""),CONCATENATE(E30:V30))))=TRUE))"),"СЗ,206,403,404,405,408,409,410,АЗ")</f>
        <v>СЗ,206,403,404,405,408,409,410,АЗ</v>
      </c>
      <c r="AC30" s="14"/>
      <c r="AD30" s="14"/>
      <c r="AE30" s="14"/>
      <c r="AF30" s="29"/>
      <c r="AG30" s="29"/>
      <c r="AH30" s="29"/>
    </row>
    <row r="31" ht="52.5" customHeight="1">
      <c r="A31" s="30"/>
      <c r="B31" s="436">
        <v>8.0</v>
      </c>
      <c r="C31" s="32" t="s">
        <v>98</v>
      </c>
      <c r="D31" s="32" t="s">
        <v>99</v>
      </c>
      <c r="E31" s="46" t="s">
        <v>10468</v>
      </c>
      <c r="F31" s="41"/>
      <c r="G31" s="137" t="s">
        <v>10469</v>
      </c>
      <c r="H31" s="8"/>
      <c r="I31" s="129"/>
      <c r="J31" s="840" t="s">
        <v>10470</v>
      </c>
      <c r="K31" s="36"/>
      <c r="L31" s="36"/>
      <c r="M31" s="13"/>
      <c r="N31" s="45" t="s">
        <v>10471</v>
      </c>
      <c r="O31" s="13"/>
      <c r="P31" s="140" t="s">
        <v>10472</v>
      </c>
      <c r="Q31" s="4"/>
      <c r="R31" s="144"/>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customHeight="1">
      <c r="A32" s="30"/>
      <c r="B32" s="436">
        <v>9.0</v>
      </c>
      <c r="C32" s="65">
        <v>44697.0</v>
      </c>
      <c r="D32" s="44" t="s">
        <v>109</v>
      </c>
      <c r="E32" s="141" t="s">
        <v>10473</v>
      </c>
      <c r="F32" s="13"/>
      <c r="G32" s="142"/>
      <c r="H32" s="64"/>
      <c r="I32" s="88"/>
      <c r="J32" s="840" t="s">
        <v>10474</v>
      </c>
      <c r="K32" s="36"/>
      <c r="L32" s="36"/>
      <c r="M32" s="13"/>
      <c r="N32" s="45" t="s">
        <v>10475</v>
      </c>
      <c r="O32" s="13"/>
      <c r="P32" s="142"/>
      <c r="Q32" s="72"/>
      <c r="R32" s="144"/>
      <c r="S32" s="92"/>
      <c r="T32" s="64"/>
      <c r="U32" s="64"/>
      <c r="V32" s="88"/>
      <c r="W32" s="26"/>
      <c r="X32" s="69">
        <v>44697.0</v>
      </c>
      <c r="Y32" s="70" t="s">
        <v>109</v>
      </c>
      <c r="Z32" s="28"/>
      <c r="AA32" s="14"/>
      <c r="AB32" s="15" t="str">
        <f>IFERROR(__xludf.DUMMYFUNCTION("join("","",filter(split($H$83,"",""),ARRAYFORMULA(ISERROR(FIND(split($H$83,"",""),CONCATENATE(E32:V32))))=TRUE))"),"СЗ,КЗ,201,206,210,401,402,403,404,405,406,408,409,АЗ")</f>
        <v>СЗ,КЗ,201,206,210,401,402,403,404,405,406,408,409,АЗ</v>
      </c>
      <c r="AC32" s="14"/>
      <c r="AD32" s="14"/>
      <c r="AE32" s="14"/>
      <c r="AF32" s="29"/>
      <c r="AG32" s="29"/>
      <c r="AH32" s="29"/>
    </row>
    <row r="33" ht="40.5" customHeight="1">
      <c r="A33" s="30"/>
      <c r="B33" s="436">
        <v>10.0</v>
      </c>
      <c r="C33" s="44" t="s">
        <v>120</v>
      </c>
      <c r="D33" s="44" t="s">
        <v>121</v>
      </c>
      <c r="E33" s="141" t="s">
        <v>10476</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customHeight="1">
      <c r="A34" s="74"/>
      <c r="B34" s="438">
        <v>11.0</v>
      </c>
      <c r="C34" s="76" t="s">
        <v>124</v>
      </c>
      <c r="D34" s="76" t="s">
        <v>125</v>
      </c>
      <c r="E34" s="141" t="s">
        <v>10477</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customHeight="1">
      <c r="A35" s="18">
        <v>45036.0</v>
      </c>
      <c r="B35" s="19">
        <v>1.0</v>
      </c>
      <c r="C35" s="20" t="s">
        <v>12</v>
      </c>
      <c r="D35" s="20" t="s">
        <v>13</v>
      </c>
      <c r="E35" s="80" t="s">
        <v>10478</v>
      </c>
      <c r="F35" s="25"/>
      <c r="G35" s="156" t="s">
        <v>10479</v>
      </c>
      <c r="H35" s="117" t="s">
        <v>10480</v>
      </c>
      <c r="I35" s="25"/>
      <c r="J35" s="157" t="s">
        <v>10481</v>
      </c>
      <c r="K35" s="13"/>
      <c r="L35" s="156" t="s">
        <v>10482</v>
      </c>
      <c r="M35" s="156" t="s">
        <v>10483</v>
      </c>
      <c r="N35" s="80" t="s">
        <v>10484</v>
      </c>
      <c r="O35" s="25"/>
      <c r="P35" s="156" t="s">
        <v>10485</v>
      </c>
      <c r="Q35" s="156" t="s">
        <v>10486</v>
      </c>
      <c r="R35" s="159" t="s">
        <v>10487</v>
      </c>
      <c r="S35" s="160" t="s">
        <v>10488</v>
      </c>
      <c r="T35" s="161" t="s">
        <v>10489</v>
      </c>
      <c r="U35" s="24"/>
      <c r="V35" s="22"/>
      <c r="W35" s="26"/>
      <c r="X35" s="27" t="s">
        <v>12</v>
      </c>
      <c r="Y35" s="27" t="s">
        <v>13</v>
      </c>
      <c r="Z35" s="28"/>
      <c r="AA35" s="14"/>
      <c r="AB35" s="15" t="str">
        <f>IFERROR(__xludf.DUMMYFUNCTION("join("","",filter(split($H$83,"",""),ARRAYFORMULA(ISERROR(FIND(split($H$83,"",""),CONCATENATE(E35:V35))))=TRUE))"),"СЗ,206,406,410,АЗ")</f>
        <v>СЗ,206,406,410,АЗ</v>
      </c>
      <c r="AC35" s="14"/>
      <c r="AD35" s="14"/>
      <c r="AE35" s="14"/>
      <c r="AF35" s="29"/>
      <c r="AG35" s="29"/>
      <c r="AH35" s="29"/>
    </row>
    <row r="36" ht="54.0" customHeight="1">
      <c r="A36" s="30"/>
      <c r="B36" s="31">
        <v>2.0</v>
      </c>
      <c r="C36" s="32" t="s">
        <v>21</v>
      </c>
      <c r="D36" s="32" t="s">
        <v>22</v>
      </c>
      <c r="E36" s="45" t="s">
        <v>10490</v>
      </c>
      <c r="F36" s="13"/>
      <c r="G36" s="44" t="s">
        <v>10491</v>
      </c>
      <c r="H36" s="40" t="s">
        <v>312</v>
      </c>
      <c r="I36" s="13"/>
      <c r="J36" s="157" t="s">
        <v>313</v>
      </c>
      <c r="K36" s="13"/>
      <c r="L36" s="44" t="s">
        <v>10492</v>
      </c>
      <c r="M36" s="44" t="s">
        <v>10493</v>
      </c>
      <c r="N36" s="45" t="s">
        <v>316</v>
      </c>
      <c r="O36" s="13"/>
      <c r="P36" s="44" t="s">
        <v>10494</v>
      </c>
      <c r="Q36" s="44" t="s">
        <v>10495</v>
      </c>
      <c r="R36" s="162" t="s">
        <v>10496</v>
      </c>
      <c r="S36" s="90" t="s">
        <v>320</v>
      </c>
      <c r="T36" s="163" t="s">
        <v>10497</v>
      </c>
      <c r="U36" s="36"/>
      <c r="V36" s="41"/>
      <c r="W36" s="26"/>
      <c r="X36" s="42" t="s">
        <v>21</v>
      </c>
      <c r="Y36" s="42" t="s">
        <v>22</v>
      </c>
      <c r="Z36" s="28"/>
      <c r="AA36" s="14"/>
      <c r="AB36" s="15" t="str">
        <f>IFERROR(__xludf.DUMMYFUNCTION("join("","",filter(split($H$83,"",""),ARRAYFORMULA(ISERROR(FIND(split($H$83,"",""),CONCATENATE(E36:V36))))=TRUE))"),"СЗ,206,406,410,АЗ")</f>
        <v>СЗ,206,406,410,АЗ</v>
      </c>
      <c r="AC36" s="14"/>
      <c r="AD36" s="14"/>
      <c r="AE36" s="14"/>
      <c r="AF36" s="29"/>
      <c r="AG36" s="29"/>
      <c r="AH36" s="29"/>
    </row>
    <row r="37" ht="56.25" customHeight="1">
      <c r="A37" s="30"/>
      <c r="B37" s="31">
        <v>3.0</v>
      </c>
      <c r="C37" s="32" t="s">
        <v>33</v>
      </c>
      <c r="D37" s="32" t="s">
        <v>34</v>
      </c>
      <c r="E37" s="45" t="s">
        <v>10498</v>
      </c>
      <c r="F37" s="13"/>
      <c r="G37" s="132" t="s">
        <v>10499</v>
      </c>
      <c r="H37" s="45" t="s">
        <v>10500</v>
      </c>
      <c r="I37" s="13"/>
      <c r="J37" s="45" t="s">
        <v>10501</v>
      </c>
      <c r="K37" s="13"/>
      <c r="L37" s="44" t="s">
        <v>10502</v>
      </c>
      <c r="M37" s="44" t="s">
        <v>10503</v>
      </c>
      <c r="N37" s="164" t="s">
        <v>10504</v>
      </c>
      <c r="O37" s="36"/>
      <c r="P37" s="36"/>
      <c r="Q37" s="13"/>
      <c r="R37" s="44" t="s">
        <v>10505</v>
      </c>
      <c r="S37" s="44" t="s">
        <v>10506</v>
      </c>
      <c r="T37" s="87" t="s">
        <v>10507</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customHeight="1">
      <c r="A38" s="30"/>
      <c r="B38" s="31">
        <v>4.0</v>
      </c>
      <c r="C38" s="32" t="s">
        <v>48</v>
      </c>
      <c r="D38" s="32" t="s">
        <v>49</v>
      </c>
      <c r="E38" s="45" t="s">
        <v>10508</v>
      </c>
      <c r="F38" s="13"/>
      <c r="G38" s="132" t="s">
        <v>10509</v>
      </c>
      <c r="H38" s="45" t="s">
        <v>10510</v>
      </c>
      <c r="I38" s="13"/>
      <c r="J38" s="45" t="s">
        <v>10511</v>
      </c>
      <c r="K38" s="13"/>
      <c r="L38" s="44" t="s">
        <v>10512</v>
      </c>
      <c r="M38" s="44" t="s">
        <v>10513</v>
      </c>
      <c r="N38" s="164" t="s">
        <v>10514</v>
      </c>
      <c r="O38" s="36"/>
      <c r="P38" s="36"/>
      <c r="Q38" s="13"/>
      <c r="R38" s="44" t="s">
        <v>10515</v>
      </c>
      <c r="S38" s="44" t="s">
        <v>10516</v>
      </c>
      <c r="T38" s="87" t="s">
        <v>10517</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customHeight="1">
      <c r="A39" s="30"/>
      <c r="B39" s="31">
        <v>5.0</v>
      </c>
      <c r="C39" s="32" t="s">
        <v>58</v>
      </c>
      <c r="D39" s="53">
        <v>44847.0</v>
      </c>
      <c r="E39" s="45" t="s">
        <v>10518</v>
      </c>
      <c r="F39" s="13"/>
      <c r="G39" s="44" t="s">
        <v>10519</v>
      </c>
      <c r="H39" s="45" t="s">
        <v>10520</v>
      </c>
      <c r="I39" s="13"/>
      <c r="J39" s="44" t="s">
        <v>10521</v>
      </c>
      <c r="K39" s="44" t="s">
        <v>10522</v>
      </c>
      <c r="L39" s="45" t="s">
        <v>10523</v>
      </c>
      <c r="M39" s="13"/>
      <c r="N39" s="44" t="s">
        <v>10524</v>
      </c>
      <c r="O39" s="44" t="s">
        <v>10525</v>
      </c>
      <c r="P39" s="45" t="s">
        <v>10526</v>
      </c>
      <c r="Q39" s="13"/>
      <c r="R39" s="44" t="s">
        <v>10527</v>
      </c>
      <c r="S39" s="132" t="s">
        <v>10528</v>
      </c>
      <c r="T39" s="45" t="s">
        <v>10529</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customHeight="1">
      <c r="A40" s="30"/>
      <c r="B40" s="31">
        <v>6.0</v>
      </c>
      <c r="C40" s="55" t="s">
        <v>71</v>
      </c>
      <c r="D40" s="56" t="s">
        <v>72</v>
      </c>
      <c r="E40" s="45" t="s">
        <v>10530</v>
      </c>
      <c r="F40" s="13"/>
      <c r="G40" s="44" t="s">
        <v>355</v>
      </c>
      <c r="H40" s="45" t="s">
        <v>10531</v>
      </c>
      <c r="I40" s="13"/>
      <c r="J40" s="44" t="s">
        <v>10532</v>
      </c>
      <c r="K40" s="44" t="s">
        <v>10533</v>
      </c>
      <c r="L40" s="45" t="s">
        <v>10534</v>
      </c>
      <c r="M40" s="13"/>
      <c r="N40" s="44" t="s">
        <v>10535</v>
      </c>
      <c r="O40" s="44" t="s">
        <v>10536</v>
      </c>
      <c r="P40" s="45" t="s">
        <v>10537</v>
      </c>
      <c r="Q40" s="13"/>
      <c r="R40" s="44" t="s">
        <v>10538</v>
      </c>
      <c r="S40" s="132" t="s">
        <v>10539</v>
      </c>
      <c r="T40" s="45" t="s">
        <v>10540</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customHeight="1">
      <c r="A41" s="30"/>
      <c r="B41" s="31">
        <v>7.0</v>
      </c>
      <c r="C41" s="32" t="s">
        <v>85</v>
      </c>
      <c r="D41" s="32" t="s">
        <v>86</v>
      </c>
      <c r="E41" s="45" t="s">
        <v>10541</v>
      </c>
      <c r="F41" s="13"/>
      <c r="G41" s="44" t="s">
        <v>10542</v>
      </c>
      <c r="H41" s="45" t="s">
        <v>10543</v>
      </c>
      <c r="I41" s="13"/>
      <c r="J41" s="44" t="s">
        <v>10544</v>
      </c>
      <c r="K41" s="44" t="s">
        <v>10545</v>
      </c>
      <c r="L41" s="45" t="s">
        <v>10546</v>
      </c>
      <c r="M41" s="13"/>
      <c r="N41" s="87" t="s">
        <v>10547</v>
      </c>
      <c r="O41" s="13"/>
      <c r="P41" s="45" t="s">
        <v>10548</v>
      </c>
      <c r="Q41" s="13"/>
      <c r="R41" s="44" t="s">
        <v>10549</v>
      </c>
      <c r="S41" s="44" t="s">
        <v>10550</v>
      </c>
      <c r="T41" s="165" t="s">
        <v>10551</v>
      </c>
      <c r="U41" s="36"/>
      <c r="V41" s="41"/>
      <c r="W41" s="26"/>
      <c r="X41" s="42" t="s">
        <v>85</v>
      </c>
      <c r="Y41" s="42" t="s">
        <v>86</v>
      </c>
      <c r="Z41" s="48" t="s">
        <v>97</v>
      </c>
      <c r="AA41" s="85" t="str">
        <f>AA$9</f>
        <v/>
      </c>
      <c r="AB41" s="15" t="str">
        <f>IFERROR(__xludf.DUMMYFUNCTION("join("","",filter(split($H$83,"",""),ARRAYFORMULA(ISERROR(FIND(split($H$83,"",""),CONCATENATE(E41:V41))))=TRUE))"),"СЗ,КЗ,206,210,403,406,АЗ")</f>
        <v>СЗ,КЗ,206,210,403,406,АЗ</v>
      </c>
      <c r="AC41" s="14"/>
      <c r="AD41" s="14"/>
      <c r="AE41" s="14"/>
      <c r="AF41" s="29"/>
      <c r="AG41" s="29"/>
      <c r="AH41" s="29"/>
    </row>
    <row r="42" ht="52.5" customHeight="1">
      <c r="A42" s="30"/>
      <c r="B42" s="31">
        <v>8.0</v>
      </c>
      <c r="C42" s="32" t="s">
        <v>98</v>
      </c>
      <c r="D42" s="32" t="s">
        <v>99</v>
      </c>
      <c r="E42" s="45" t="s">
        <v>10552</v>
      </c>
      <c r="F42" s="13"/>
      <c r="G42" s="44" t="s">
        <v>10553</v>
      </c>
      <c r="H42" s="45" t="s">
        <v>379</v>
      </c>
      <c r="I42" s="13"/>
      <c r="J42" s="44" t="s">
        <v>10554</v>
      </c>
      <c r="K42" s="44" t="s">
        <v>10555</v>
      </c>
      <c r="L42" s="45" t="s">
        <v>10556</v>
      </c>
      <c r="M42" s="13"/>
      <c r="N42" s="87" t="s">
        <v>10557</v>
      </c>
      <c r="O42" s="13"/>
      <c r="P42" s="45" t="s">
        <v>10558</v>
      </c>
      <c r="Q42" s="13"/>
      <c r="R42" s="166"/>
      <c r="S42" s="13"/>
      <c r="T42" s="165" t="s">
        <v>10559</v>
      </c>
      <c r="U42" s="36"/>
      <c r="V42" s="41"/>
      <c r="W42" s="26"/>
      <c r="X42" s="42" t="s">
        <v>98</v>
      </c>
      <c r="Y42" s="42" t="s">
        <v>99</v>
      </c>
      <c r="Z42" s="11"/>
      <c r="AA42" s="14"/>
      <c r="AB42" s="15" t="str">
        <f>IFERROR(__xludf.DUMMYFUNCTION("join("","",filter(split($H$83,"",""),ARRAYFORMULA(ISERROR(FIND(split($H$83,"",""),CONCATENATE(E42:V42))))=TRUE))"),"СЗ,КЗ,206,210,403,404,405,406,АЗ")</f>
        <v>СЗ,КЗ,206,210,403,404,405,406,АЗ</v>
      </c>
      <c r="AC42" s="14"/>
      <c r="AD42" s="14"/>
      <c r="AE42" s="14"/>
      <c r="AF42" s="29"/>
      <c r="AG42" s="29"/>
      <c r="AH42" s="29"/>
    </row>
    <row r="43" ht="40.5" customHeight="1">
      <c r="A43" s="30"/>
      <c r="B43" s="31">
        <v>9.0</v>
      </c>
      <c r="C43" s="65">
        <v>44697.0</v>
      </c>
      <c r="D43" s="44" t="s">
        <v>109</v>
      </c>
      <c r="E43" s="167" t="s">
        <v>10560</v>
      </c>
      <c r="F43" s="4"/>
      <c r="G43" s="168"/>
      <c r="H43" s="169" t="s">
        <v>10561</v>
      </c>
      <c r="I43" s="36"/>
      <c r="J43" s="13"/>
      <c r="K43" s="170"/>
      <c r="L43" s="4"/>
      <c r="M43" s="171"/>
      <c r="N43" s="45" t="s">
        <v>10562</v>
      </c>
      <c r="O43" s="13"/>
      <c r="P43" s="33" t="s">
        <v>10563</v>
      </c>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IFERROR(__xludf.DUMMYFUNCTION("join("","",filter(split($H$83,"",""),ARRAYFORMULA(ISERROR(FIND(split($H$83,"",""),CONCATENATE(E43:V43))))=TRUE))"),"КЗ,202,206,209,401,403,404,405,406,408,409,АЗ")</f>
        <v>КЗ,202,206,209,401,403,404,405,406,408,409,АЗ</v>
      </c>
      <c r="AC43" s="14"/>
      <c r="AD43" s="14"/>
      <c r="AE43" s="14"/>
      <c r="AF43" s="29"/>
      <c r="AG43" s="29"/>
      <c r="AH43" s="29"/>
    </row>
    <row r="44" ht="40.5" customHeight="1">
      <c r="A44" s="30"/>
      <c r="B44" s="31">
        <v>10.0</v>
      </c>
      <c r="C44" s="44" t="s">
        <v>120</v>
      </c>
      <c r="D44" s="44" t="s">
        <v>121</v>
      </c>
      <c r="E44" s="104"/>
      <c r="F44" s="72"/>
      <c r="G44" s="173"/>
      <c r="H44" s="169" t="s">
        <v>10564</v>
      </c>
      <c r="I44" s="36"/>
      <c r="J44" s="13"/>
      <c r="K44" s="104"/>
      <c r="L44" s="72"/>
      <c r="M44" s="171"/>
      <c r="N44" s="45" t="s">
        <v>10565</v>
      </c>
      <c r="O44" s="13"/>
      <c r="P44" s="33" t="s">
        <v>10566</v>
      </c>
      <c r="Q44" s="104"/>
      <c r="R44" s="64"/>
      <c r="S44" s="64"/>
      <c r="T44" s="64"/>
      <c r="U44" s="64"/>
      <c r="V44" s="88"/>
      <c r="W44" s="26"/>
      <c r="X44" s="70" t="s">
        <v>120</v>
      </c>
      <c r="Y44" s="70" t="s">
        <v>121</v>
      </c>
      <c r="Z44" s="28"/>
      <c r="AA44" s="14"/>
      <c r="AB44" s="15" t="str">
        <f>IFERROR(__xludf.DUMMYFUNCTION("join("","",filter(split($H$83,"",""),ARRAYFORMULA(ISERROR(FIND(split($H$83,"",""),CONCATENATE(E44:V44))))=TRUE))"),"КЗ,201,202,206,209,401,403,404,405,406,408,409,410,АЗ")</f>
        <v>КЗ,201,202,206,209,401,403,404,405,406,408,409,410,АЗ</v>
      </c>
      <c r="AC44" s="14"/>
      <c r="AD44" s="14"/>
      <c r="AE44" s="14"/>
      <c r="AF44" s="29"/>
      <c r="AG44" s="29"/>
      <c r="AH44" s="29"/>
    </row>
    <row r="45" ht="40.5"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18">
        <v>45037.0</v>
      </c>
      <c r="B46" s="19">
        <v>1.0</v>
      </c>
      <c r="C46" s="20" t="s">
        <v>12</v>
      </c>
      <c r="D46" s="20" t="s">
        <v>13</v>
      </c>
      <c r="E46" s="156" t="s">
        <v>10567</v>
      </c>
      <c r="F46" s="156" t="s">
        <v>10568</v>
      </c>
      <c r="G46" s="80" t="s">
        <v>10569</v>
      </c>
      <c r="H46" s="25"/>
      <c r="I46" s="174" t="s">
        <v>10570</v>
      </c>
      <c r="J46" s="175" t="s">
        <v>10571</v>
      </c>
      <c r="K46" s="25"/>
      <c r="L46" s="80" t="s">
        <v>10572</v>
      </c>
      <c r="M46" s="25"/>
      <c r="N46" s="156" t="s">
        <v>10573</v>
      </c>
      <c r="O46" s="156" t="s">
        <v>10574</v>
      </c>
      <c r="P46" s="80" t="s">
        <v>10575</v>
      </c>
      <c r="Q46" s="25"/>
      <c r="R46" s="80" t="s">
        <v>10576</v>
      </c>
      <c r="S46" s="25"/>
      <c r="T46" s="80" t="s">
        <v>10577</v>
      </c>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10578</v>
      </c>
      <c r="F47" s="44" t="s">
        <v>10579</v>
      </c>
      <c r="G47" s="45" t="s">
        <v>10580</v>
      </c>
      <c r="H47" s="13"/>
      <c r="I47" s="173"/>
      <c r="J47" s="157" t="s">
        <v>10581</v>
      </c>
      <c r="K47" s="13"/>
      <c r="L47" s="80" t="s">
        <v>10582</v>
      </c>
      <c r="M47" s="25"/>
      <c r="N47" s="44" t="s">
        <v>10583</v>
      </c>
      <c r="O47" s="44" t="s">
        <v>10584</v>
      </c>
      <c r="P47" s="45" t="s">
        <v>10585</v>
      </c>
      <c r="Q47" s="13"/>
      <c r="R47" s="44" t="s">
        <v>10586</v>
      </c>
      <c r="S47" s="90" t="s">
        <v>10587</v>
      </c>
      <c r="T47" s="45" t="s">
        <v>10588</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40" t="s">
        <v>10589</v>
      </c>
      <c r="F48" s="13"/>
      <c r="G48" s="176" t="s">
        <v>10590</v>
      </c>
      <c r="H48" s="4"/>
      <c r="I48" s="90" t="s">
        <v>10591</v>
      </c>
      <c r="J48" s="44" t="s">
        <v>10592</v>
      </c>
      <c r="K48" s="44" t="s">
        <v>10593</v>
      </c>
      <c r="L48" s="44" t="s">
        <v>10594</v>
      </c>
      <c r="M48" s="44" t="s">
        <v>10595</v>
      </c>
      <c r="N48" s="164" t="s">
        <v>10596</v>
      </c>
      <c r="O48" s="36"/>
      <c r="P48" s="36"/>
      <c r="Q48" s="13"/>
      <c r="R48" s="44" t="s">
        <v>10597</v>
      </c>
      <c r="S48" s="90" t="s">
        <v>10598</v>
      </c>
      <c r="T48" s="45" t="s">
        <v>10599</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10600</v>
      </c>
      <c r="F49" s="13"/>
      <c r="G49" s="104"/>
      <c r="H49" s="72"/>
      <c r="I49" s="90" t="s">
        <v>10601</v>
      </c>
      <c r="J49" s="44" t="s">
        <v>10602</v>
      </c>
      <c r="K49" s="44" t="s">
        <v>10603</v>
      </c>
      <c r="L49" s="44" t="s">
        <v>10604</v>
      </c>
      <c r="M49" s="44" t="s">
        <v>10605</v>
      </c>
      <c r="N49" s="164" t="s">
        <v>10606</v>
      </c>
      <c r="O49" s="36"/>
      <c r="P49" s="36"/>
      <c r="Q49" s="13"/>
      <c r="R49" s="97" t="s">
        <v>10607</v>
      </c>
      <c r="S49" s="133" t="s">
        <v>10608</v>
      </c>
      <c r="T49" s="45" t="s">
        <v>10609</v>
      </c>
      <c r="U49" s="36"/>
      <c r="V49" s="41"/>
      <c r="W49" s="26"/>
      <c r="X49" s="42" t="s">
        <v>48</v>
      </c>
      <c r="Y49" s="42" t="s">
        <v>49</v>
      </c>
      <c r="Z49" s="48" t="s">
        <v>57</v>
      </c>
      <c r="AA49" s="85" t="str">
        <f>AA$6</f>
        <v/>
      </c>
      <c r="AB49" s="15" t="str">
        <f>IFERROR(__xludf.DUMMYFUNCTION("join("","",filter(split($H$83,"",""),ARRAYFORMULA(ISERROR(FIND(split($H$83,"",""),CONCATENATE(E49:V49))))=TRUE))"),"СЗ,КЗ,201,206,409,410,АЗ")</f>
        <v>СЗ,КЗ,201,206,409,410,АЗ</v>
      </c>
      <c r="AC49" s="14"/>
      <c r="AD49" s="14"/>
      <c r="AE49" s="14"/>
      <c r="AF49" s="29"/>
      <c r="AG49" s="29"/>
      <c r="AH49" s="29"/>
    </row>
    <row r="50" ht="40.5" customHeight="1">
      <c r="A50" s="30"/>
      <c r="B50" s="31">
        <v>5.0</v>
      </c>
      <c r="C50" s="32" t="s">
        <v>58</v>
      </c>
      <c r="D50" s="53">
        <v>44847.0</v>
      </c>
      <c r="E50" s="45" t="s">
        <v>10610</v>
      </c>
      <c r="F50" s="13"/>
      <c r="G50" s="44" t="s">
        <v>10611</v>
      </c>
      <c r="H50" s="44" t="s">
        <v>10612</v>
      </c>
      <c r="I50" s="44" t="s">
        <v>10613</v>
      </c>
      <c r="J50" s="45" t="s">
        <v>10614</v>
      </c>
      <c r="K50" s="13"/>
      <c r="L50" s="45" t="s">
        <v>10615</v>
      </c>
      <c r="M50" s="13"/>
      <c r="N50" s="177" t="s">
        <v>10616</v>
      </c>
      <c r="O50" s="124" t="s">
        <v>10617</v>
      </c>
      <c r="P50" s="45" t="s">
        <v>10618</v>
      </c>
      <c r="Q50" s="13"/>
      <c r="R50" s="97" t="s">
        <v>10619</v>
      </c>
      <c r="S50" s="133" t="s">
        <v>10620</v>
      </c>
      <c r="T50" s="45" t="s">
        <v>10621</v>
      </c>
      <c r="U50" s="36"/>
      <c r="V50" s="41"/>
      <c r="W50" s="26"/>
      <c r="X50" s="42" t="s">
        <v>58</v>
      </c>
      <c r="Y50" s="54">
        <v>44847.0</v>
      </c>
      <c r="Z50" s="48" t="s">
        <v>70</v>
      </c>
      <c r="AA50" s="85" t="str">
        <f>AA$7</f>
        <v/>
      </c>
      <c r="AB50" s="15" t="str">
        <f>IFERROR(__xludf.DUMMYFUNCTION("join("","",filter(split($H$83,"",""),ARRAYFORMULA(ISERROR(FIND(split($H$83,"",""),CONCATENATE(E50:V50))))=TRUE))"),"СЗ,КЗ,206,401,404,406,408,410")</f>
        <v>СЗ,КЗ,206,401,404,406,408,410</v>
      </c>
      <c r="AC50" s="14"/>
      <c r="AD50" s="14"/>
      <c r="AE50" s="14"/>
      <c r="AF50" s="29"/>
      <c r="AG50" s="29"/>
      <c r="AH50" s="29"/>
    </row>
    <row r="51" ht="48.75" customHeight="1">
      <c r="A51" s="30"/>
      <c r="B51" s="31">
        <v>6.0</v>
      </c>
      <c r="C51" s="55" t="s">
        <v>71</v>
      </c>
      <c r="D51" s="56" t="s">
        <v>72</v>
      </c>
      <c r="E51" s="45" t="s">
        <v>10622</v>
      </c>
      <c r="F51" s="13"/>
      <c r="G51" s="44" t="s">
        <v>10623</v>
      </c>
      <c r="H51" s="44" t="s">
        <v>10624</v>
      </c>
      <c r="I51" s="44" t="s">
        <v>10625</v>
      </c>
      <c r="J51" s="45" t="s">
        <v>10626</v>
      </c>
      <c r="K51" s="13"/>
      <c r="L51" s="45" t="s">
        <v>10627</v>
      </c>
      <c r="M51" s="13"/>
      <c r="N51" s="177" t="s">
        <v>10628</v>
      </c>
      <c r="O51" s="124" t="s">
        <v>10629</v>
      </c>
      <c r="P51" s="45" t="s">
        <v>10630</v>
      </c>
      <c r="Q51" s="13"/>
      <c r="R51" s="162" t="s">
        <v>10631</v>
      </c>
      <c r="S51" s="178" t="s">
        <v>10632</v>
      </c>
      <c r="T51" s="44" t="s">
        <v>10633</v>
      </c>
      <c r="U51" s="44" t="s">
        <v>10634</v>
      </c>
      <c r="V51" s="34"/>
      <c r="W51" s="179"/>
      <c r="X51" s="58" t="s">
        <v>71</v>
      </c>
      <c r="Y51" s="59" t="s">
        <v>72</v>
      </c>
      <c r="Z51" s="48" t="s">
        <v>84</v>
      </c>
      <c r="AA51" s="85"/>
      <c r="AB51" s="15" t="str">
        <f>IFERROR(__xludf.DUMMYFUNCTION("join("","",filter(split($H$83,"",""),ARRAYFORMULA(ISERROR(FIND(split($H$83,"",""),CONCATENATE(E51:V51))))=TRUE))"),"СЗ,206,404,406,410")</f>
        <v>СЗ,206,404,406,410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10635</v>
      </c>
      <c r="F52" s="13"/>
      <c r="G52" s="167" t="s">
        <v>10636</v>
      </c>
      <c r="H52" s="8"/>
      <c r="I52" s="4"/>
      <c r="J52" s="45" t="s">
        <v>10637</v>
      </c>
      <c r="K52" s="13"/>
      <c r="L52" s="45" t="s">
        <v>10638</v>
      </c>
      <c r="M52" s="13"/>
      <c r="N52" s="86" t="s">
        <v>10639</v>
      </c>
      <c r="O52" s="13"/>
      <c r="P52" s="124" t="s">
        <v>10640</v>
      </c>
      <c r="Q52" s="37" t="s">
        <v>10641</v>
      </c>
      <c r="R52" s="180" t="s">
        <v>10642</v>
      </c>
      <c r="S52" s="181" t="s">
        <v>10643</v>
      </c>
      <c r="T52" s="44" t="s">
        <v>472</v>
      </c>
      <c r="U52" s="44"/>
      <c r="V52" s="34"/>
      <c r="W52" s="26"/>
      <c r="X52" s="42" t="s">
        <v>85</v>
      </c>
      <c r="Y52" s="42" t="s">
        <v>86</v>
      </c>
      <c r="Z52" s="48" t="s">
        <v>97</v>
      </c>
      <c r="AA52" s="85" t="str">
        <f>AA$9</f>
        <v/>
      </c>
      <c r="AB52" s="15" t="str">
        <f>IFERROR(__xludf.DUMMYFUNCTION("join("","",filter(split($H$83,"",""),ARRAYFORMULA(ISERROR(FIND(split($H$83,"",""),CONCATENATE(E52:V52))))=TRUE))"),"СЗ,206,210,403,404,405,410")</f>
        <v>СЗ,206,210,403,404,405,410</v>
      </c>
      <c r="AC52" s="14"/>
      <c r="AD52" s="14"/>
      <c r="AE52" s="14"/>
      <c r="AF52" s="29"/>
      <c r="AG52" s="29"/>
      <c r="AH52" s="29"/>
    </row>
    <row r="53" ht="51.75" customHeight="1">
      <c r="A53" s="30"/>
      <c r="B53" s="31">
        <v>8.0</v>
      </c>
      <c r="C53" s="32" t="s">
        <v>98</v>
      </c>
      <c r="D53" s="32" t="s">
        <v>99</v>
      </c>
      <c r="E53" s="44" t="s">
        <v>10644</v>
      </c>
      <c r="F53" s="44" t="s">
        <v>10645</v>
      </c>
      <c r="G53" s="104"/>
      <c r="H53" s="64"/>
      <c r="I53" s="72"/>
      <c r="J53" s="45" t="s">
        <v>10646</v>
      </c>
      <c r="K53" s="13"/>
      <c r="L53" s="45" t="s">
        <v>10647</v>
      </c>
      <c r="M53" s="13"/>
      <c r="N53" s="182"/>
      <c r="O53" s="177" t="s">
        <v>10648</v>
      </c>
      <c r="P53" s="124" t="s">
        <v>10649</v>
      </c>
      <c r="Q53" s="37" t="s">
        <v>160</v>
      </c>
      <c r="R53" s="183" t="s">
        <v>10650</v>
      </c>
      <c r="S53" s="181" t="s">
        <v>10651</v>
      </c>
      <c r="T53" s="144"/>
      <c r="U53" s="144"/>
      <c r="V53" s="184"/>
      <c r="W53" s="26"/>
      <c r="X53" s="42" t="s">
        <v>98</v>
      </c>
      <c r="Y53" s="42" t="s">
        <v>99</v>
      </c>
      <c r="Z53" s="11"/>
      <c r="AA53" s="14"/>
      <c r="AB53" s="15" t="str">
        <f>IFERROR(__xludf.DUMMYFUNCTION("join("","",filter(split($H$83,"",""),ARRAYFORMULA(ISERROR(FIND(split($H$83,"",""),CONCATENATE(E53:V53))))=TRUE))"),"СЗ,201,206,404,405,406,408,410")</f>
        <v>СЗ,201,206,404,405,406,408,410</v>
      </c>
      <c r="AC53" s="14"/>
      <c r="AD53" s="14"/>
      <c r="AE53" s="14"/>
      <c r="AF53" s="29"/>
      <c r="AG53" s="29"/>
      <c r="AH53" s="29"/>
    </row>
    <row r="54" ht="71.25" customHeight="1">
      <c r="A54" s="30"/>
      <c r="B54" s="31">
        <v>9.0</v>
      </c>
      <c r="C54" s="65">
        <v>44697.0</v>
      </c>
      <c r="D54" s="44" t="s">
        <v>109</v>
      </c>
      <c r="E54" s="187" t="s">
        <v>480</v>
      </c>
      <c r="F54" s="8"/>
      <c r="G54" s="8"/>
      <c r="H54" s="8"/>
      <c r="I54" s="8"/>
      <c r="J54" s="8"/>
      <c r="K54" s="8"/>
      <c r="L54" s="8"/>
      <c r="M54" s="8"/>
      <c r="N54" s="163"/>
      <c r="O54" s="177" t="s">
        <v>9846</v>
      </c>
      <c r="P54" s="187" t="s">
        <v>480</v>
      </c>
      <c r="Q54" s="8"/>
      <c r="R54" s="8"/>
      <c r="S54" s="8"/>
      <c r="T54" s="8"/>
      <c r="U54" s="8"/>
      <c r="V54" s="8"/>
      <c r="W54" s="186"/>
      <c r="X54" s="69">
        <v>44697.0</v>
      </c>
      <c r="Y54" s="70" t="s">
        <v>109</v>
      </c>
      <c r="Z54" s="28"/>
      <c r="AA54" s="14"/>
      <c r="AB54" s="15" t="str">
        <f>IFERROR(__xludf.DUMMYFUNCTION("join("","",filter(split($H$83,"",""),ARRAYFORMULA(ISERROR(FIND(split($H$83,"",""),CONCATENATE(E54:V54))))=TRUE))"),"206,209,403,404,405,408,409,410,АЗ")</f>
        <v>206,209,403,404,405,408,409,410,АЗ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18">
        <v>45038.0</v>
      </c>
      <c r="B57" s="191">
        <v>1.0</v>
      </c>
      <c r="C57" s="192" t="str">
        <f>D$1</f>
        <v/>
      </c>
      <c r="D57" s="72"/>
      <c r="E57" s="193"/>
      <c r="F57" s="193"/>
      <c r="G57" s="194" t="s">
        <v>481</v>
      </c>
      <c r="H57" s="64"/>
      <c r="I57" s="72"/>
      <c r="J57" s="195" t="s">
        <v>10652</v>
      </c>
      <c r="K57" s="64"/>
      <c r="L57" s="64"/>
      <c r="M57" s="72"/>
      <c r="N57" s="193"/>
      <c r="O57" s="177"/>
      <c r="P57" s="187"/>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77"/>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80">
    <mergeCell ref="C1:D1"/>
    <mergeCell ref="N1:O1"/>
    <mergeCell ref="P1:Q1"/>
    <mergeCell ref="R1:S1"/>
    <mergeCell ref="A2:A12"/>
    <mergeCell ref="P3:Q3"/>
    <mergeCell ref="A13:A23"/>
    <mergeCell ref="P22:S22"/>
    <mergeCell ref="P25:Q25"/>
    <mergeCell ref="R25:S25"/>
    <mergeCell ref="H22:M22"/>
    <mergeCell ref="N22:O22"/>
    <mergeCell ref="H24:I24"/>
    <mergeCell ref="J24:M24"/>
    <mergeCell ref="P24:S24"/>
    <mergeCell ref="H25:I25"/>
    <mergeCell ref="J25:K25"/>
    <mergeCell ref="R14:S14"/>
    <mergeCell ref="E15:F15"/>
    <mergeCell ref="G15:I15"/>
    <mergeCell ref="J15:K15"/>
    <mergeCell ref="L15:M15"/>
    <mergeCell ref="N15:O15"/>
    <mergeCell ref="N18:O18"/>
    <mergeCell ref="E19:F19"/>
    <mergeCell ref="H19:I19"/>
    <mergeCell ref="J19:K19"/>
    <mergeCell ref="L19:M19"/>
    <mergeCell ref="N19:O19"/>
    <mergeCell ref="P19:Q19"/>
    <mergeCell ref="E20:F20"/>
    <mergeCell ref="H20:I20"/>
    <mergeCell ref="J20:K20"/>
    <mergeCell ref="L20:M20"/>
    <mergeCell ref="N20:O20"/>
    <mergeCell ref="P20:Q20"/>
    <mergeCell ref="H21:M21"/>
    <mergeCell ref="N21:O21"/>
    <mergeCell ref="P21:Q21"/>
    <mergeCell ref="R21:S21"/>
    <mergeCell ref="J29:K29"/>
    <mergeCell ref="L29:M29"/>
    <mergeCell ref="L30:M30"/>
    <mergeCell ref="N30:O30"/>
    <mergeCell ref="N42:O42"/>
    <mergeCell ref="P42:Q42"/>
    <mergeCell ref="R42:S42"/>
    <mergeCell ref="T42:V42"/>
    <mergeCell ref="K43:L44"/>
    <mergeCell ref="N43:O43"/>
    <mergeCell ref="Q43:V44"/>
    <mergeCell ref="N44:O44"/>
    <mergeCell ref="H43:J43"/>
    <mergeCell ref="H44:J44"/>
    <mergeCell ref="J46:K46"/>
    <mergeCell ref="L46:M46"/>
    <mergeCell ref="P46:Q46"/>
    <mergeCell ref="R46:S46"/>
    <mergeCell ref="T46:V46"/>
    <mergeCell ref="T49:V49"/>
    <mergeCell ref="T50:V50"/>
    <mergeCell ref="P51:Q51"/>
    <mergeCell ref="N52:O52"/>
    <mergeCell ref="P57:S58"/>
    <mergeCell ref="X57:Y57"/>
    <mergeCell ref="L47:M47"/>
    <mergeCell ref="P47:Q47"/>
    <mergeCell ref="T47:V47"/>
    <mergeCell ref="N48:Q48"/>
    <mergeCell ref="T48:V48"/>
    <mergeCell ref="N49:Q49"/>
    <mergeCell ref="P50:Q50"/>
    <mergeCell ref="J53:K53"/>
    <mergeCell ref="L53:M53"/>
    <mergeCell ref="E54:M55"/>
    <mergeCell ref="P54:V55"/>
    <mergeCell ref="J47:K47"/>
    <mergeCell ref="J50:K50"/>
    <mergeCell ref="L50:M50"/>
    <mergeCell ref="J51:K51"/>
    <mergeCell ref="L51:M51"/>
    <mergeCell ref="J52:K52"/>
    <mergeCell ref="L52:M52"/>
    <mergeCell ref="J57:M57"/>
    <mergeCell ref="J28:K28"/>
    <mergeCell ref="J30:K30"/>
    <mergeCell ref="J35:K35"/>
    <mergeCell ref="J36:K36"/>
    <mergeCell ref="J37:K37"/>
    <mergeCell ref="J38:K38"/>
    <mergeCell ref="J31:M31"/>
    <mergeCell ref="N31:O31"/>
    <mergeCell ref="J26:K26"/>
    <mergeCell ref="J27:K27"/>
    <mergeCell ref="P27:Q27"/>
    <mergeCell ref="L28:M28"/>
    <mergeCell ref="N28:O28"/>
    <mergeCell ref="T28:V32"/>
    <mergeCell ref="N29:O29"/>
    <mergeCell ref="P31:Q32"/>
    <mergeCell ref="J32:M32"/>
    <mergeCell ref="N32:O32"/>
    <mergeCell ref="G33:Q34"/>
    <mergeCell ref="N35:O35"/>
    <mergeCell ref="T35:V35"/>
    <mergeCell ref="T36:V36"/>
    <mergeCell ref="T40:V40"/>
    <mergeCell ref="T41:V41"/>
    <mergeCell ref="N36:O36"/>
    <mergeCell ref="N37:Q37"/>
    <mergeCell ref="T37:V37"/>
    <mergeCell ref="N38:Q38"/>
    <mergeCell ref="T38:V38"/>
    <mergeCell ref="P39:Q39"/>
    <mergeCell ref="T39:V39"/>
    <mergeCell ref="L39:M39"/>
    <mergeCell ref="L40:M40"/>
    <mergeCell ref="P40:Q40"/>
    <mergeCell ref="L41:M41"/>
    <mergeCell ref="N41:O41"/>
    <mergeCell ref="P41:Q41"/>
    <mergeCell ref="L42:M42"/>
    <mergeCell ref="E49:F49"/>
    <mergeCell ref="E50:F50"/>
    <mergeCell ref="E41:F41"/>
    <mergeCell ref="E42:F42"/>
    <mergeCell ref="G43:G44"/>
    <mergeCell ref="G46:H46"/>
    <mergeCell ref="G47:H47"/>
    <mergeCell ref="E48:F48"/>
    <mergeCell ref="G48:H49"/>
    <mergeCell ref="E31:F31"/>
    <mergeCell ref="E32:F32"/>
    <mergeCell ref="E21:F22"/>
    <mergeCell ref="G21:G22"/>
    <mergeCell ref="A24:A34"/>
    <mergeCell ref="E24:F24"/>
    <mergeCell ref="E25:F25"/>
    <mergeCell ref="E26:F26"/>
    <mergeCell ref="G28:H28"/>
    <mergeCell ref="E39:F39"/>
    <mergeCell ref="E40:F40"/>
    <mergeCell ref="H39:I39"/>
    <mergeCell ref="H40:I40"/>
    <mergeCell ref="H41:I41"/>
    <mergeCell ref="H42:I42"/>
    <mergeCell ref="I46:I47"/>
    <mergeCell ref="G29:H29"/>
    <mergeCell ref="G30:H30"/>
    <mergeCell ref="G31:I32"/>
    <mergeCell ref="H35:I35"/>
    <mergeCell ref="H36:I36"/>
    <mergeCell ref="H37:I37"/>
    <mergeCell ref="H38:I38"/>
    <mergeCell ref="A35:A45"/>
    <mergeCell ref="A46:A56"/>
    <mergeCell ref="A57:A67"/>
    <mergeCell ref="E51:F51"/>
    <mergeCell ref="E52:F52"/>
    <mergeCell ref="G52:I53"/>
    <mergeCell ref="C57:D57"/>
    <mergeCell ref="G57:I57"/>
    <mergeCell ref="K66:L66"/>
    <mergeCell ref="K67:L67"/>
    <mergeCell ref="K68:L68"/>
    <mergeCell ref="E33:F33"/>
    <mergeCell ref="E34:F34"/>
    <mergeCell ref="E35:F35"/>
    <mergeCell ref="E36:F36"/>
    <mergeCell ref="E37:F37"/>
    <mergeCell ref="E38:F38"/>
    <mergeCell ref="E43:F44"/>
    <mergeCell ref="T1:V1"/>
    <mergeCell ref="X1:Y1"/>
    <mergeCell ref="G1:I1"/>
    <mergeCell ref="E2:I2"/>
    <mergeCell ref="J2:M2"/>
    <mergeCell ref="N2:O2"/>
    <mergeCell ref="P2:Q2"/>
    <mergeCell ref="R2:S2"/>
    <mergeCell ref="T2:V2"/>
    <mergeCell ref="G3:I3"/>
    <mergeCell ref="J3:K3"/>
    <mergeCell ref="L3:M3"/>
    <mergeCell ref="N3:O3"/>
    <mergeCell ref="T3:V3"/>
    <mergeCell ref="N4:O4"/>
    <mergeCell ref="P4:Q4"/>
    <mergeCell ref="T4:V4"/>
    <mergeCell ref="T5:V5"/>
    <mergeCell ref="T6:V6"/>
    <mergeCell ref="H5:I5"/>
    <mergeCell ref="N5:O5"/>
    <mergeCell ref="P5:Q5"/>
    <mergeCell ref="R5:S5"/>
    <mergeCell ref="H6:I6"/>
    <mergeCell ref="N6:O6"/>
    <mergeCell ref="P6:Q6"/>
    <mergeCell ref="R6:S6"/>
    <mergeCell ref="H7:I7"/>
    <mergeCell ref="J7:K7"/>
    <mergeCell ref="L7:M7"/>
    <mergeCell ref="N7:O7"/>
    <mergeCell ref="P7:Q7"/>
    <mergeCell ref="R7:S7"/>
    <mergeCell ref="U7:V7"/>
    <mergeCell ref="U8:V8"/>
    <mergeCell ref="R9:V9"/>
    <mergeCell ref="J1:M1"/>
    <mergeCell ref="J4:K4"/>
    <mergeCell ref="L4:M4"/>
    <mergeCell ref="E1:F1"/>
    <mergeCell ref="E13:F13"/>
    <mergeCell ref="G13:I13"/>
    <mergeCell ref="J13:K13"/>
    <mergeCell ref="L13:M13"/>
    <mergeCell ref="N13:O13"/>
    <mergeCell ref="P13:Q13"/>
    <mergeCell ref="R13:S13"/>
    <mergeCell ref="E14:F14"/>
    <mergeCell ref="G14:I14"/>
    <mergeCell ref="J14:K14"/>
    <mergeCell ref="L14:M14"/>
    <mergeCell ref="N10:O10"/>
    <mergeCell ref="E11:S11"/>
    <mergeCell ref="N14:O14"/>
    <mergeCell ref="P14:Q14"/>
    <mergeCell ref="E16:F16"/>
    <mergeCell ref="G16:I16"/>
    <mergeCell ref="J16:K16"/>
    <mergeCell ref="L16:M16"/>
    <mergeCell ref="N16:O17"/>
    <mergeCell ref="E17:F17"/>
    <mergeCell ref="H17:I17"/>
    <mergeCell ref="J17:K17"/>
    <mergeCell ref="L17:M17"/>
    <mergeCell ref="E18:F18"/>
    <mergeCell ref="H18:I18"/>
    <mergeCell ref="J18:K18"/>
    <mergeCell ref="L18:M18"/>
    <mergeCell ref="R23:V23"/>
    <mergeCell ref="T24:V24"/>
    <mergeCell ref="T25:V25"/>
    <mergeCell ref="T26:V26"/>
    <mergeCell ref="T27:V27"/>
    <mergeCell ref="T16:V16"/>
    <mergeCell ref="T17:V17"/>
    <mergeCell ref="T18:V18"/>
    <mergeCell ref="T19:V19"/>
    <mergeCell ref="T20:V20"/>
    <mergeCell ref="T21:V21"/>
    <mergeCell ref="T22:V22"/>
    <mergeCell ref="H8:I8"/>
    <mergeCell ref="J8:K8"/>
    <mergeCell ref="L8:M8"/>
    <mergeCell ref="N8:O8"/>
    <mergeCell ref="P8:Q8"/>
    <mergeCell ref="R8:S8"/>
    <mergeCell ref="H9:I9"/>
    <mergeCell ref="J9:K9"/>
    <mergeCell ref="L9:M9"/>
    <mergeCell ref="N9:O9"/>
    <mergeCell ref="E10:F10"/>
    <mergeCell ref="H10:I10"/>
    <mergeCell ref="J10:K10"/>
    <mergeCell ref="L10:M10"/>
    <mergeCell ref="S10:V10"/>
    <mergeCell ref="T11:V11"/>
    <mergeCell ref="U13:V13"/>
    <mergeCell ref="U14:V14"/>
    <mergeCell ref="T15:V15"/>
    <mergeCell ref="L27:M27"/>
    <mergeCell ref="N27:O27"/>
    <mergeCell ref="L25:M25"/>
    <mergeCell ref="N25:O25"/>
    <mergeCell ref="G26:I26"/>
    <mergeCell ref="L26:M26"/>
    <mergeCell ref="N26:O26"/>
    <mergeCell ref="R26:S26"/>
    <mergeCell ref="G27:H27"/>
  </mergeCells>
  <conditionalFormatting sqref="E1:T86 U1:U31 V32:V34 U35:U86 V50:V52 W51">
    <cfRule type="containsText" dxfId="0" priority="1" operator="containsText" text="Физика">
      <formula>NOT(ISERROR(SEARCH(("Физика"),(E1))))</formula>
    </cfRule>
  </conditionalFormatting>
  <conditionalFormatting sqref="N52:O52 E54:W55">
    <cfRule type="containsText" dxfId="1" priority="2" operator="containsText" text="Шерашова">
      <formula>NOT(ISERROR(SEARCH(("Шерашова"),(N52))))</formula>
    </cfRule>
  </conditionalFormatting>
  <conditionalFormatting sqref="E2:N53 O2:O54 P2:T53 U2:U31 V32:V34 U35:U53 V50:V52 W51 O57:O58 P57 K61:L68">
    <cfRule type="containsText" dxfId="2" priority="3" operator="containsText" text="Шерашова">
      <formula>NOT(ISERROR(SEARCH(("Шерашова"),(E2))))</formula>
    </cfRule>
  </conditionalFormatting>
  <conditionalFormatting sqref="E2:N53 O2:O54 P2:T53 U2:U31 V32:V34 U35:U53 V50:V52 W51 O57:O58 P57 K61:L68">
    <cfRule type="containsText" dxfId="3" priority="4" operator="containsText" text="Англ">
      <formula>NOT(ISERROR(SEARCH(("Англ"),(E2))))</formula>
    </cfRule>
  </conditionalFormatting>
  <conditionalFormatting sqref="E2:N53 O2:O54 P2:T53 U2:U31 V32:V34 U35:U53 V50:V52 W51 O57:O58 P57 K61:L68">
    <cfRule type="containsText" dxfId="4" priority="5" operator="containsText" text="Театр">
      <formula>NOT(ISERROR(SEARCH(("Театр"),(E2))))</formula>
    </cfRule>
  </conditionalFormatting>
  <conditionalFormatting sqref="E2:N53 O2:O54 P2:T53 U2:U31 V32:V34 U35:U53 V50:V52 W51 O57:O58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8 S10:S32 T10:V45 R11:R46 F15:F17 F19:F20 E24:F30 E32:E53 F32:F45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20">
      <formula1>IF(COUNTA(filter($E25:$W25,ARRAYFORMULA(ISERROR(FIND(join(",",filter(split($H$83,","),ARRAYFORMULA(ISERROR(FIND(split($H$83,","),T17)))=FALSE)),$E25:$W25))=FALSE)))&gt;1,FALSE,TRUE)</formula1>
    </dataValidation>
    <dataValidation type="custom" allowBlank="1" showDropDown="1" sqref="H50:H51 F53">
      <formula1>IF(COUNTA(filter($E1:$W1,ARRAYFORMULA(ISERROR(FIND(join(",",filter(split($H$83,","),ARRAYFORMULA(ISERROR(FIND(split($H$83,","),F50)))=FALSE)),$E1:$W1))=FALSE)))&gt;1,FALSE,TRUE)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J31:J32 E54 P54">
      <formula1>IF(COUNTA(filter($E31:$W31,ARRAYFORMULA(ISERROR(FIND(join(",",filter(split($H$84,","),ARRAYFORMULA(ISERROR(FIND(split($H$84,","),E31)))=FALSE)),$E31:$W31))=FALSE)))&gt;1,FALSE,TRUE)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O24 N29:N30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F4:F5 E6:E7 F8 H7:H8 E9 E24 G24:H24 G25 E26 R27:S28 H35:H36 G37:G38 E48:E49 N52:N54">
      <formula1>IF(COUNTA(filter($E5:$W5,ARRAYFORMULA(ISERROR(FIND(join(",",filter(split($H$83,","),ARRAYFORMULA(ISERROR(FIND(split($H$83,","),E4)))=FALSE)),$E5:$W5))=FALSE)))&gt;1,FALSE,TRUE)</formula1>
    </dataValidation>
    <dataValidation type="custom" allowBlank="1" showDropDown="1" sqref="E2 N2 R2 T2 G3 J2:J3 L4 P2:P4 G5:H6 K5:M6 T5:T6 L7:L8 P7:P8 T7:U8 G7:G9 H10 J9:J10 N9:N10 Q9:Q10 S10 W2:W10 E12:W12 E13:E14 L13:L14 E17:E18 G15:G18 S17:S18 H19:H20 J15:J20 L17:L20 G21 R19:R21 T21 H22 G23:R23 J24 P25 R25 Q26 P27 E27:E28 I27:I28 Q28 T28 F29:G30 P29:Q30 W13:W32 R33:R34 T33:W34 G35:G36 L35:M36 P35:Q36 H37:H38 J37:J38 L37:N38 E37:E40 G39:G40 J39:K40 N39:P40 R37:S40 R41:T41 J41:L42 T42 E43 G41:H43 K43 Q43 H44 M43:N44 W35:W44 E45:W45 I46 F46:G47 L46:L47 N46:P47 G48 L48:M49 I50:I51 L51 N50:O51 P52 O53:P53 O54 N55:O55 W46:W55 E56:W56 E57:G57 J57 N57:O57 E58: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 P43:P44">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E5 F6:F7 L25 F27:F28 E29:E30">
      <formula1>IF(COUNTA(filter($E7:$W7,ARRAYFORMULA(ISERROR(FIND(join(",",filter(split($H$83,","),ARRAYFORMULA(ISERROR(FIND(split($H$83,","),E4)))=FALSE)),$E7:$W7))=FALSE)))&gt;1,FALSE,TRUE)</formula1>
    </dataValidation>
    <dataValidation type="custom" allowBlank="1" showDropDown="1" sqref="P26 P28 R29:R30 S32 R47:R48 T51:V52 P57">
      <formula1>IF(COUNTA(filter($E25:$W25,ARRAYFORMULA(ISERROR(FIND(join(",",filter(split($H$83,","),ARRAYFORMULA(ISERROR(FIND(split($H$83,","),P26)))=FALSE)),$E25:$W25))=FALSE)))&gt;1,FALSE,TRUE)</formula1>
    </dataValidation>
    <dataValidation type="custom" allowBlank="1" showDropDown="1" sqref="P13:P16 G27:G28 L27:L28 J30 N31:N32 E35:E36 J35:J36 N35:N36 T39:T40 E41:E42 P41:P42 R46 T47:T48 K48:K49 P50:P51 E50:E52 Q52:Q53">
      <formula1>IF(COUNTA(filter(#REF!,ARRAYFORMULA(ISERROR(FIND(join(",",filter(split($H$83,","),ARRAYFORMULA(ISERROR(FIND(split($H$83,","),E13)))=FALSE)),#REF!))=FALSE)))&gt;1,FALSE,TRUE)</formula1>
    </dataValidation>
    <dataValidation type="custom" allowBlank="1" showDropDown="1" sqref="T46">
      <formula1>IF(COUNTA(filter($E52:$W52,ARRAYFORMULA(ISERROR(FIND(join(",",filter(split($H$83,","),ARRAYFORMULA(ISERROR(FIND(split($H$83,","),T46)))=FALSE)),$E52:$W52))=FALSE)))&gt;1,FALSE,TRUE)</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689">
        <v>45040.0</v>
      </c>
      <c r="B2" s="19">
        <v>1.0</v>
      </c>
      <c r="C2" s="20" t="s">
        <v>12</v>
      </c>
      <c r="D2" s="20" t="s">
        <v>13</v>
      </c>
      <c r="E2" s="21" t="s">
        <v>10653</v>
      </c>
      <c r="F2" s="22"/>
      <c r="G2" s="23" t="s">
        <v>10654</v>
      </c>
      <c r="H2" s="24"/>
      <c r="I2" s="25"/>
      <c r="J2" s="21" t="s">
        <v>10655</v>
      </c>
      <c r="K2" s="24"/>
      <c r="L2" s="24"/>
      <c r="M2" s="25"/>
      <c r="N2" s="21" t="s">
        <v>10656</v>
      </c>
      <c r="O2" s="25"/>
      <c r="P2" s="21"/>
      <c r="Q2" s="25"/>
      <c r="R2" s="21" t="s">
        <v>10657</v>
      </c>
      <c r="S2" s="25"/>
      <c r="T2" s="21" t="s">
        <v>10658</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10659</v>
      </c>
      <c r="F3" s="34" t="s">
        <v>10660</v>
      </c>
      <c r="G3" s="35" t="s">
        <v>25</v>
      </c>
      <c r="H3" s="36"/>
      <c r="I3" s="13"/>
      <c r="J3" s="37" t="s">
        <v>10661</v>
      </c>
      <c r="K3" s="13"/>
      <c r="L3" s="38" t="s">
        <v>10662</v>
      </c>
      <c r="M3" s="13"/>
      <c r="N3" s="37" t="s">
        <v>10663</v>
      </c>
      <c r="O3" s="13"/>
      <c r="P3" s="37"/>
      <c r="Q3" s="13"/>
      <c r="R3" s="39" t="s">
        <v>10664</v>
      </c>
      <c r="S3" s="40" t="s">
        <v>10665</v>
      </c>
      <c r="T3" s="37" t="s">
        <v>10666</v>
      </c>
      <c r="U3" s="36"/>
      <c r="V3" s="41"/>
      <c r="W3" s="26"/>
      <c r="X3" s="42" t="s">
        <v>21</v>
      </c>
      <c r="Y3" s="42" t="s">
        <v>22</v>
      </c>
      <c r="Z3" s="28"/>
      <c r="AA3" s="14"/>
      <c r="AB3" s="15" t="str">
        <f>IFERROR(__xludf.DUMMYFUNCTION("join("","",filter(split($H$83,"",""),ARRAYFORMULA(ISERROR(FIND(split($H$83,"",""),CONCATENATE(E3:V3))))=TRUE))"),"СЗ,201,404,405,406,410,АЗ")</f>
        <v>СЗ,201,404,405,406,410,АЗ</v>
      </c>
      <c r="AC3" s="14"/>
      <c r="AD3" s="14"/>
      <c r="AE3" s="14"/>
      <c r="AF3" s="29"/>
      <c r="AG3" s="29"/>
      <c r="AH3" s="29"/>
    </row>
    <row r="4" ht="40.5" hidden="1" customHeight="1">
      <c r="A4" s="30"/>
      <c r="B4" s="31">
        <v>3.0</v>
      </c>
      <c r="C4" s="32" t="s">
        <v>33</v>
      </c>
      <c r="D4" s="32" t="s">
        <v>34</v>
      </c>
      <c r="E4" s="33" t="s">
        <v>10667</v>
      </c>
      <c r="F4" s="874" t="s">
        <v>10668</v>
      </c>
      <c r="G4" s="43" t="s">
        <v>10669</v>
      </c>
      <c r="H4" s="44" t="s">
        <v>10670</v>
      </c>
      <c r="I4" s="45" t="s">
        <v>10671</v>
      </c>
      <c r="J4" s="46" t="s">
        <v>10672</v>
      </c>
      <c r="K4" s="13"/>
      <c r="L4" s="45" t="s">
        <v>10673</v>
      </c>
      <c r="M4" s="13"/>
      <c r="N4" s="37" t="s">
        <v>10674</v>
      </c>
      <c r="O4" s="13"/>
      <c r="P4" s="37"/>
      <c r="Q4" s="13"/>
      <c r="R4" s="39" t="s">
        <v>10675</v>
      </c>
      <c r="S4" s="40" t="s">
        <v>10676</v>
      </c>
      <c r="T4" s="37" t="s">
        <v>10677</v>
      </c>
      <c r="U4" s="36"/>
      <c r="V4" s="41"/>
      <c r="W4" s="26"/>
      <c r="X4" s="42" t="s">
        <v>33</v>
      </c>
      <c r="Y4" s="42" t="s">
        <v>34</v>
      </c>
      <c r="Z4" s="48" t="s">
        <v>47</v>
      </c>
      <c r="AA4" s="14"/>
      <c r="AB4" s="15" t="str">
        <f>IFERROR(__xludf.DUMMYFUNCTION("join("","",filter(split($H$83,"",""),ARRAYFORMULA(ISERROR(FIND(split($H$83,"",""),CONCATENATE(E4:V4))))=TRUE))"),"СЗ,КЗ,201,202,404,406,АЗ")</f>
        <v>СЗ,КЗ,201,202,404,406,АЗ</v>
      </c>
      <c r="AC4" s="14"/>
      <c r="AD4" s="14"/>
      <c r="AE4" s="14"/>
      <c r="AF4" s="29"/>
      <c r="AG4" s="29"/>
      <c r="AH4" s="29"/>
    </row>
    <row r="5" ht="40.5" hidden="1" customHeight="1">
      <c r="A5" s="30"/>
      <c r="B5" s="31">
        <v>4.0</v>
      </c>
      <c r="C5" s="32" t="s">
        <v>48</v>
      </c>
      <c r="D5" s="32" t="s">
        <v>49</v>
      </c>
      <c r="E5" s="33" t="s">
        <v>10678</v>
      </c>
      <c r="F5" s="874" t="s">
        <v>10679</v>
      </c>
      <c r="G5" s="128" t="s">
        <v>10680</v>
      </c>
      <c r="H5" s="8"/>
      <c r="I5" s="4"/>
      <c r="J5" s="33" t="s">
        <v>10681</v>
      </c>
      <c r="K5" s="44" t="s">
        <v>10682</v>
      </c>
      <c r="L5" s="44" t="s">
        <v>10683</v>
      </c>
      <c r="M5" s="45" t="s">
        <v>10684</v>
      </c>
      <c r="N5" s="37" t="s">
        <v>10685</v>
      </c>
      <c r="O5" s="13"/>
      <c r="P5" s="37" t="s">
        <v>10686</v>
      </c>
      <c r="Q5" s="13"/>
      <c r="R5" s="51" t="s">
        <v>10687</v>
      </c>
      <c r="S5" s="13"/>
      <c r="T5" s="52" t="s">
        <v>10688</v>
      </c>
      <c r="U5" s="36"/>
      <c r="V5" s="41"/>
      <c r="W5" s="26"/>
      <c r="X5" s="42" t="s">
        <v>48</v>
      </c>
      <c r="Y5" s="42" t="s">
        <v>49</v>
      </c>
      <c r="Z5" s="48" t="s">
        <v>57</v>
      </c>
      <c r="AA5" s="14"/>
      <c r="AB5" s="15" t="str">
        <f>IFERROR(__xludf.DUMMYFUNCTION("join("","",filter(split($H$83,"",""),ARRAYFORMULA(ISERROR(FIND(split($H$83,"",""),CONCATENATE(E5:V5))))=TRUE))"),"СЗ,КЗ,201,202,206,210,406")</f>
        <v>СЗ,КЗ,201,202,206,210,406</v>
      </c>
      <c r="AC5" s="14"/>
      <c r="AD5" s="14"/>
      <c r="AE5" s="14"/>
      <c r="AF5" s="29"/>
      <c r="AG5" s="29"/>
      <c r="AH5" s="29"/>
    </row>
    <row r="6" ht="40.5" hidden="1" customHeight="1">
      <c r="A6" s="30"/>
      <c r="B6" s="31">
        <v>5.0</v>
      </c>
      <c r="C6" s="32" t="s">
        <v>58</v>
      </c>
      <c r="D6" s="53">
        <v>44847.0</v>
      </c>
      <c r="E6" s="39" t="s">
        <v>10689</v>
      </c>
      <c r="F6" s="34" t="s">
        <v>10690</v>
      </c>
      <c r="I6" s="139"/>
      <c r="J6" s="33" t="s">
        <v>10691</v>
      </c>
      <c r="K6" s="44" t="s">
        <v>64</v>
      </c>
      <c r="L6" s="44" t="s">
        <v>10692</v>
      </c>
      <c r="M6" s="45" t="s">
        <v>10693</v>
      </c>
      <c r="N6" s="37" t="s">
        <v>10685</v>
      </c>
      <c r="O6" s="13"/>
      <c r="P6" s="37" t="s">
        <v>10694</v>
      </c>
      <c r="Q6" s="13"/>
      <c r="R6" s="51" t="s">
        <v>10695</v>
      </c>
      <c r="S6" s="13"/>
      <c r="T6" s="52" t="s">
        <v>10696</v>
      </c>
      <c r="U6" s="36"/>
      <c r="V6" s="41"/>
      <c r="W6" s="26"/>
      <c r="X6" s="42" t="s">
        <v>58</v>
      </c>
      <c r="Y6" s="54">
        <v>44847.0</v>
      </c>
      <c r="Z6" s="48" t="s">
        <v>70</v>
      </c>
      <c r="AA6" s="14"/>
      <c r="AB6" s="15" t="str">
        <f>IFERROR(__xludf.DUMMYFUNCTION("join("","",filter(split($H$83,"",""),ARRAYFORMULA(ISERROR(FIND(split($H$83,"",""),CONCATENATE(E6:V6))))=TRUE))"),"СЗ,КЗ,201,202,206,210,406,АЗ")</f>
        <v>СЗ,КЗ,201,202,206,210,406,АЗ</v>
      </c>
      <c r="AC6" s="14"/>
      <c r="AD6" s="14"/>
      <c r="AE6" s="14"/>
      <c r="AF6" s="29"/>
      <c r="AG6" s="29"/>
      <c r="AH6" s="29"/>
    </row>
    <row r="7" ht="42.0" hidden="1" customHeight="1">
      <c r="A7" s="30"/>
      <c r="B7" s="31">
        <v>6.0</v>
      </c>
      <c r="C7" s="55" t="s">
        <v>71</v>
      </c>
      <c r="D7" s="56" t="s">
        <v>72</v>
      </c>
      <c r="E7" s="39" t="s">
        <v>10697</v>
      </c>
      <c r="F7" s="34" t="s">
        <v>10698</v>
      </c>
      <c r="I7" s="139"/>
      <c r="J7" s="37" t="s">
        <v>10699</v>
      </c>
      <c r="K7" s="36"/>
      <c r="L7" s="36"/>
      <c r="M7" s="13"/>
      <c r="N7" s="37" t="s">
        <v>10700</v>
      </c>
      <c r="O7" s="13"/>
      <c r="P7" s="37" t="s">
        <v>10701</v>
      </c>
      <c r="Q7" s="13"/>
      <c r="R7" s="57" t="s">
        <v>10702</v>
      </c>
      <c r="T7" s="33" t="s">
        <v>10703</v>
      </c>
      <c r="U7" s="45" t="s">
        <v>10704</v>
      </c>
      <c r="V7" s="41"/>
      <c r="W7" s="26"/>
      <c r="X7" s="58" t="s">
        <v>71</v>
      </c>
      <c r="Y7" s="59" t="s">
        <v>72</v>
      </c>
      <c r="Z7" s="48" t="s">
        <v>84</v>
      </c>
      <c r="AA7" s="14"/>
      <c r="AB7" s="15" t="str">
        <f>IFERROR(__xludf.DUMMYFUNCTION("join("","",filter(split($H$83,"",""),ARRAYFORMULA(ISERROR(FIND(split($H$83,"",""),CONCATENATE(E7:V7))))=TRUE))"),"СЗ,201,202,206,210,402,403,406,АЗ")</f>
        <v>СЗ,201,202,206,210,402,403,406,АЗ</v>
      </c>
      <c r="AC7" s="14"/>
      <c r="AD7" s="14"/>
      <c r="AE7" s="14"/>
      <c r="AF7" s="29"/>
      <c r="AG7" s="29"/>
      <c r="AH7" s="29"/>
    </row>
    <row r="8" ht="42.0" hidden="1" customHeight="1">
      <c r="A8" s="30"/>
      <c r="B8" s="31">
        <v>7.0</v>
      </c>
      <c r="C8" s="32" t="s">
        <v>85</v>
      </c>
      <c r="D8" s="32" t="s">
        <v>86</v>
      </c>
      <c r="E8" s="319" t="s">
        <v>10705</v>
      </c>
      <c r="F8" s="874" t="s">
        <v>10706</v>
      </c>
      <c r="G8" s="64"/>
      <c r="H8" s="64"/>
      <c r="I8" s="72"/>
      <c r="J8" s="37" t="s">
        <v>10707</v>
      </c>
      <c r="K8" s="36"/>
      <c r="L8" s="36"/>
      <c r="M8" s="13"/>
      <c r="N8" s="37" t="s">
        <v>10708</v>
      </c>
      <c r="O8" s="13"/>
      <c r="P8" s="37" t="s">
        <v>10709</v>
      </c>
      <c r="Q8" s="13"/>
      <c r="R8" s="37" t="s">
        <v>10710</v>
      </c>
      <c r="S8" s="13"/>
      <c r="T8" s="43" t="s">
        <v>10711</v>
      </c>
      <c r="U8" s="45" t="s">
        <v>10712</v>
      </c>
      <c r="V8" s="41"/>
      <c r="W8" s="26"/>
      <c r="X8" s="42" t="s">
        <v>85</v>
      </c>
      <c r="Y8" s="42" t="s">
        <v>86</v>
      </c>
      <c r="Z8" s="48" t="s">
        <v>97</v>
      </c>
      <c r="AA8" s="14"/>
      <c r="AB8" s="15" t="str">
        <f>IFERROR(__xludf.DUMMYFUNCTION("join("","",filter(split($H$83,"",""),ARRAYFORMULA(ISERROR(FIND(split($H$83,"",""),CONCATENATE(E8:V8))))=TRUE))"),"СЗ,201,202,206,210,402,406,409,410,АЗ")</f>
        <v>СЗ,201,202,206,210,402,406,409,410,АЗ</v>
      </c>
      <c r="AC8" s="14"/>
      <c r="AD8" s="14"/>
      <c r="AE8" s="14"/>
      <c r="AF8" s="29"/>
      <c r="AG8" s="29"/>
      <c r="AH8" s="29"/>
    </row>
    <row r="9" ht="40.5" hidden="1" customHeight="1">
      <c r="A9" s="30"/>
      <c r="B9" s="31">
        <v>8.0</v>
      </c>
      <c r="C9" s="32" t="s">
        <v>98</v>
      </c>
      <c r="D9" s="32" t="s">
        <v>99</v>
      </c>
      <c r="E9" s="39" t="s">
        <v>10713</v>
      </c>
      <c r="F9" s="319" t="s">
        <v>10714</v>
      </c>
      <c r="G9" s="43" t="s">
        <v>10715</v>
      </c>
      <c r="H9" s="45" t="s">
        <v>10716</v>
      </c>
      <c r="I9" s="13"/>
      <c r="J9" s="37"/>
      <c r="K9" s="13"/>
      <c r="L9" s="45"/>
      <c r="M9" s="13"/>
      <c r="N9" s="61" t="s">
        <v>10717</v>
      </c>
      <c r="O9" s="13"/>
      <c r="P9" s="62" t="s">
        <v>10718</v>
      </c>
      <c r="Q9" s="45" t="s">
        <v>10719</v>
      </c>
      <c r="R9" s="63" t="s">
        <v>10720</v>
      </c>
      <c r="S9" s="64"/>
      <c r="T9" s="64"/>
      <c r="U9" s="64"/>
      <c r="V9" s="64"/>
      <c r="W9" s="26"/>
      <c r="X9" s="42" t="s">
        <v>98</v>
      </c>
      <c r="Y9" s="42" t="s">
        <v>99</v>
      </c>
      <c r="Z9" s="11"/>
      <c r="AA9" s="14"/>
      <c r="AB9" s="15" t="str">
        <f>IFERROR(__xludf.DUMMYFUNCTION("join("","",filter(split($H$83,"",""),ARRAYFORMULA(ISERROR(FIND(split($H$83,"",""),CONCATENATE(E9:V9))))=TRUE))"),"СЗ,КЗ,206,402,405,406,409,410,АЗ")</f>
        <v>СЗ,КЗ,206,402,405,406,409,410,АЗ</v>
      </c>
      <c r="AC9" s="14"/>
      <c r="AD9" s="14"/>
      <c r="AE9" s="14"/>
      <c r="AF9" s="29"/>
      <c r="AG9" s="29"/>
      <c r="AH9" s="29"/>
    </row>
    <row r="10" ht="75.75" hidden="1" customHeight="1">
      <c r="A10" s="30"/>
      <c r="B10" s="31">
        <v>9.0</v>
      </c>
      <c r="C10" s="65">
        <v>44697.0</v>
      </c>
      <c r="D10" s="44" t="s">
        <v>109</v>
      </c>
      <c r="E10" s="66" t="s">
        <v>10721</v>
      </c>
      <c r="F10" s="67"/>
      <c r="G10" s="43" t="s">
        <v>10722</v>
      </c>
      <c r="H10" s="45" t="s">
        <v>10723</v>
      </c>
      <c r="I10" s="13"/>
      <c r="J10" s="37"/>
      <c r="K10" s="13"/>
      <c r="L10" s="45"/>
      <c r="M10" s="13"/>
      <c r="N10" s="61" t="s">
        <v>10724</v>
      </c>
      <c r="O10" s="13"/>
      <c r="P10" s="62" t="s">
        <v>10725</v>
      </c>
      <c r="Q10" s="68" t="s">
        <v>117</v>
      </c>
      <c r="R10" s="37" t="s">
        <v>10726</v>
      </c>
      <c r="S10" s="68" t="s">
        <v>10727</v>
      </c>
      <c r="T10" s="36"/>
      <c r="U10" s="36"/>
      <c r="V10" s="41"/>
      <c r="W10" s="26"/>
      <c r="X10" s="69">
        <v>44697.0</v>
      </c>
      <c r="Y10" s="70" t="s">
        <v>109</v>
      </c>
      <c r="Z10" s="28"/>
      <c r="AA10" s="14"/>
      <c r="AB10" s="15" t="str">
        <f>IFERROR(__xludf.DUMMYFUNCTION("join("","",filter(split($H$83,"",""),ARRAYFORMULA(ISERROR(FIND(split($H$83,"",""),CONCATENATE(E10:V10))))=TRUE))"),"СЗ,КЗ,206,210,402,403,405,406,408,409,АЗ")</f>
        <v>СЗ,КЗ,206,210,402,403,405,406,408,409,АЗ</v>
      </c>
      <c r="AC10" s="14"/>
      <c r="AD10" s="14"/>
      <c r="AE10" s="14"/>
      <c r="AF10" s="29"/>
      <c r="AG10" s="29"/>
      <c r="AH10" s="29"/>
    </row>
    <row r="11" ht="49.5" hidden="1" customHeight="1">
      <c r="A11" s="30"/>
      <c r="B11" s="31">
        <v>10.0</v>
      </c>
      <c r="C11" s="44" t="s">
        <v>120</v>
      </c>
      <c r="D11" s="44" t="s">
        <v>121</v>
      </c>
      <c r="E11" s="71" t="s">
        <v>9516</v>
      </c>
      <c r="F11" s="64"/>
      <c r="G11" s="64"/>
      <c r="H11" s="64"/>
      <c r="I11" s="64"/>
      <c r="J11" s="64"/>
      <c r="K11" s="64"/>
      <c r="L11" s="64"/>
      <c r="M11" s="64"/>
      <c r="N11" s="64"/>
      <c r="O11" s="64"/>
      <c r="P11" s="64"/>
      <c r="Q11" s="64"/>
      <c r="R11" s="64"/>
      <c r="S11" s="72"/>
      <c r="T11" s="73" t="s">
        <v>10728</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689">
        <v>45041.0</v>
      </c>
      <c r="B13" s="19">
        <v>1.0</v>
      </c>
      <c r="C13" s="20" t="s">
        <v>12</v>
      </c>
      <c r="D13" s="20" t="s">
        <v>13</v>
      </c>
      <c r="E13" s="80" t="s">
        <v>10729</v>
      </c>
      <c r="F13" s="25"/>
      <c r="G13" s="845"/>
      <c r="H13" s="161"/>
      <c r="I13" s="22"/>
      <c r="J13" s="23" t="s">
        <v>10730</v>
      </c>
      <c r="K13" s="875" t="s">
        <v>10731</v>
      </c>
      <c r="L13" s="80" t="s">
        <v>10732</v>
      </c>
      <c r="M13" s="876" t="s">
        <v>10733</v>
      </c>
      <c r="N13" s="82" t="s">
        <v>10734</v>
      </c>
      <c r="O13" s="25"/>
      <c r="P13" s="21" t="s">
        <v>10735</v>
      </c>
      <c r="Q13" s="22"/>
      <c r="R13" s="23" t="s">
        <v>10736</v>
      </c>
      <c r="S13" s="22"/>
      <c r="T13" s="84" t="s">
        <v>10737</v>
      </c>
      <c r="U13" s="80" t="s">
        <v>10738</v>
      </c>
      <c r="V13" s="22"/>
      <c r="W13" s="26"/>
      <c r="X13" s="27" t="s">
        <v>12</v>
      </c>
      <c r="Y13" s="27" t="s">
        <v>13</v>
      </c>
      <c r="Z13" s="28"/>
      <c r="AA13" s="85"/>
      <c r="AB13" s="15" t="str">
        <f>IFERROR(__xludf.DUMMYFUNCTION("join("","",filter(split($H$83,"",""),ARRAYFORMULA(ISERROR(FIND(split($H$83,"",""),CONCATENATE(E13:V13))))=TRUE))"),"СЗ,КЗ,202,206,403,410,АЗ")</f>
        <v>СЗ,КЗ,202,206,403,410,АЗ</v>
      </c>
      <c r="AC13" s="14"/>
      <c r="AD13" s="14"/>
      <c r="AE13" s="14"/>
      <c r="AF13" s="29"/>
      <c r="AG13" s="29"/>
      <c r="AH13" s="29"/>
    </row>
    <row r="14" ht="40.5" hidden="1" customHeight="1">
      <c r="A14" s="30"/>
      <c r="B14" s="31">
        <v>2.0</v>
      </c>
      <c r="C14" s="32" t="s">
        <v>21</v>
      </c>
      <c r="D14" s="32" t="s">
        <v>22</v>
      </c>
      <c r="E14" s="45" t="s">
        <v>10739</v>
      </c>
      <c r="F14" s="13"/>
      <c r="G14" s="46"/>
      <c r="H14" s="163"/>
      <c r="I14" s="41"/>
      <c r="J14" s="35" t="s">
        <v>10740</v>
      </c>
      <c r="K14" s="139"/>
      <c r="L14" s="45" t="s">
        <v>10741</v>
      </c>
      <c r="M14" s="139"/>
      <c r="N14" s="87" t="s">
        <v>10742</v>
      </c>
      <c r="O14" s="13"/>
      <c r="P14" s="21" t="s">
        <v>10743</v>
      </c>
      <c r="Q14" s="22"/>
      <c r="R14" s="35" t="s">
        <v>10744</v>
      </c>
      <c r="S14" s="41"/>
      <c r="T14" s="43" t="s">
        <v>10745</v>
      </c>
      <c r="U14" s="45" t="s">
        <v>10746</v>
      </c>
      <c r="V14" s="41"/>
      <c r="W14" s="26"/>
      <c r="X14" s="42" t="s">
        <v>21</v>
      </c>
      <c r="Y14" s="42" t="s">
        <v>22</v>
      </c>
      <c r="Z14" s="28"/>
      <c r="AA14" s="85"/>
      <c r="AB14" s="15" t="str">
        <f>IFERROR(__xludf.DUMMYFUNCTION("join("","",filter(split($H$83,"",""),ARRAYFORMULA(ISERROR(FIND(split($H$83,"",""),CONCATENATE(E14:V14))))=TRUE))"),"СЗ,КЗ,202,206,403,406,408,410,АЗ")</f>
        <v>СЗ,КЗ,202,206,403,406,408,410,АЗ</v>
      </c>
      <c r="AC14" s="14"/>
      <c r="AD14" s="14"/>
      <c r="AE14" s="14"/>
      <c r="AF14" s="29"/>
      <c r="AG14" s="29"/>
      <c r="AH14" s="29"/>
    </row>
    <row r="15" ht="40.5" hidden="1" customHeight="1">
      <c r="A15" s="30"/>
      <c r="B15" s="31">
        <v>3.0</v>
      </c>
      <c r="C15" s="32" t="s">
        <v>33</v>
      </c>
      <c r="D15" s="32" t="s">
        <v>34</v>
      </c>
      <c r="E15" s="40" t="s">
        <v>10747</v>
      </c>
      <c r="F15" s="13"/>
      <c r="G15" s="52"/>
      <c r="H15" s="36"/>
      <c r="I15" s="41"/>
      <c r="J15" s="35" t="s">
        <v>10748</v>
      </c>
      <c r="K15" s="72"/>
      <c r="L15" s="45" t="s">
        <v>10749</v>
      </c>
      <c r="M15" s="72"/>
      <c r="N15" s="89" t="s">
        <v>10750</v>
      </c>
      <c r="O15" s="13"/>
      <c r="P15" s="37" t="s">
        <v>10751</v>
      </c>
      <c r="Q15" s="90" t="s">
        <v>10752</v>
      </c>
      <c r="R15" s="43" t="s">
        <v>10753</v>
      </c>
      <c r="S15" s="34" t="s">
        <v>10754</v>
      </c>
      <c r="T15" s="91" t="s">
        <v>10755</v>
      </c>
      <c r="U15" s="36"/>
      <c r="V15" s="41"/>
      <c r="W15" s="26"/>
      <c r="X15" s="42" t="s">
        <v>33</v>
      </c>
      <c r="Y15" s="42" t="s">
        <v>34</v>
      </c>
      <c r="Z15" s="48" t="s">
        <v>47</v>
      </c>
      <c r="AA15" s="85" t="str">
        <f>AA$5</f>
        <v/>
      </c>
      <c r="AB15" s="15" t="str">
        <f>IFERROR(__xludf.DUMMYFUNCTION("join("","",filter(split($H$83,"",""),ARRAYFORMULA(ISERROR(FIND(split($H$83,"",""),CONCATENATE(E15:V15))))=TRUE))"),"СЗ,КЗ,201,206,403,406,408,410,АЗ")</f>
        <v>СЗ,КЗ,201,206,403,406,408,410,АЗ</v>
      </c>
      <c r="AC15" s="14"/>
      <c r="AD15" s="14"/>
      <c r="AE15" s="14"/>
      <c r="AF15" s="29"/>
      <c r="AG15" s="29"/>
      <c r="AH15" s="29"/>
    </row>
    <row r="16" ht="40.5" hidden="1" customHeight="1">
      <c r="A16" s="30"/>
      <c r="B16" s="31">
        <v>4.0</v>
      </c>
      <c r="C16" s="32" t="s">
        <v>48</v>
      </c>
      <c r="D16" s="32" t="s">
        <v>49</v>
      </c>
      <c r="E16" s="40" t="s">
        <v>10756</v>
      </c>
      <c r="F16" s="13"/>
      <c r="G16" s="46" t="s">
        <v>10757</v>
      </c>
      <c r="H16" s="36"/>
      <c r="I16" s="36"/>
      <c r="J16" s="35" t="s">
        <v>10758</v>
      </c>
      <c r="K16" s="13"/>
      <c r="L16" s="45" t="s">
        <v>10759</v>
      </c>
      <c r="M16" s="13"/>
      <c r="N16" s="89" t="s">
        <v>10760</v>
      </c>
      <c r="O16" s="13"/>
      <c r="P16" s="37" t="s">
        <v>160</v>
      </c>
      <c r="Q16" s="90" t="s">
        <v>161</v>
      </c>
      <c r="R16" s="43" t="s">
        <v>10761</v>
      </c>
      <c r="S16" s="34" t="s">
        <v>10762</v>
      </c>
      <c r="T16" s="91" t="s">
        <v>10763</v>
      </c>
      <c r="U16" s="36"/>
      <c r="V16" s="41"/>
      <c r="W16" s="26"/>
      <c r="X16" s="42" t="s">
        <v>48</v>
      </c>
      <c r="Y16" s="42" t="s">
        <v>49</v>
      </c>
      <c r="Z16" s="48" t="s">
        <v>57</v>
      </c>
      <c r="AA16" s="85" t="str">
        <f>AA$6</f>
        <v/>
      </c>
      <c r="AB16" s="15" t="str">
        <f>IFERROR(__xludf.DUMMYFUNCTION("join("","",filter(split($H$83,"",""),ARRAYFORMULA(ISERROR(FIND(split($H$83,"",""),CONCATENATE(E16:V16))))=TRUE))"),"СЗ,КЗ,201,206,403,408,410,АЗ")</f>
        <v>СЗ,КЗ,201,206,403,408,410,АЗ</v>
      </c>
      <c r="AC16" s="14"/>
      <c r="AD16" s="14"/>
      <c r="AE16" s="14"/>
      <c r="AF16" s="29"/>
      <c r="AG16" s="29"/>
      <c r="AH16" s="29"/>
    </row>
    <row r="17" ht="40.5" hidden="1" customHeight="1">
      <c r="A17" s="30"/>
      <c r="B17" s="31">
        <v>5.0</v>
      </c>
      <c r="C17" s="32" t="s">
        <v>58</v>
      </c>
      <c r="D17" s="53">
        <v>44847.0</v>
      </c>
      <c r="E17" s="45" t="s">
        <v>10764</v>
      </c>
      <c r="F17" s="13"/>
      <c r="G17" s="33" t="s">
        <v>10765</v>
      </c>
      <c r="H17" s="45" t="s">
        <v>10766</v>
      </c>
      <c r="I17" s="41"/>
      <c r="J17" s="35" t="s">
        <v>10767</v>
      </c>
      <c r="K17" s="13"/>
      <c r="L17" s="40" t="s">
        <v>10768</v>
      </c>
      <c r="M17" s="13"/>
      <c r="N17" s="45" t="s">
        <v>10769</v>
      </c>
      <c r="O17" s="13"/>
      <c r="P17" s="33" t="s">
        <v>10770</v>
      </c>
      <c r="Q17" s="34" t="s">
        <v>10771</v>
      </c>
      <c r="R17" s="90" t="s">
        <v>10772</v>
      </c>
      <c r="S17" s="92" t="s">
        <v>10773</v>
      </c>
      <c r="T17" s="93" t="s">
        <v>10774</v>
      </c>
      <c r="U17" s="36"/>
      <c r="V17" s="41"/>
      <c r="W17" s="26"/>
      <c r="X17" s="42" t="s">
        <v>58</v>
      </c>
      <c r="Y17" s="54">
        <v>44847.0</v>
      </c>
      <c r="Z17" s="48" t="s">
        <v>70</v>
      </c>
      <c r="AA17" s="85" t="str">
        <f>AA$7</f>
        <v/>
      </c>
      <c r="AB17" s="15" t="str">
        <f>IFERROR(__xludf.DUMMYFUNCTION("join("","",filter(split($H$83,"",""),ARRAYFORMULA(ISERROR(FIND(split($H$83,"",""),CONCATENATE(E17:V17))))=TRUE))"),"СЗ,202,206,403,408,410,АЗ")</f>
        <v>СЗ,202,206,403,408,410,АЗ</v>
      </c>
      <c r="AC17" s="14"/>
      <c r="AD17" s="14"/>
      <c r="AE17" s="14"/>
      <c r="AF17" s="29"/>
      <c r="AG17" s="29"/>
      <c r="AH17" s="29"/>
    </row>
    <row r="18" ht="40.5" hidden="1" customHeight="1">
      <c r="A18" s="30"/>
      <c r="B18" s="31">
        <v>6.0</v>
      </c>
      <c r="C18" s="55" t="s">
        <v>71</v>
      </c>
      <c r="D18" s="56" t="s">
        <v>72</v>
      </c>
      <c r="E18" s="45" t="s">
        <v>10775</v>
      </c>
      <c r="F18" s="13"/>
      <c r="G18" s="33" t="s">
        <v>10776</v>
      </c>
      <c r="H18" s="45" t="s">
        <v>10777</v>
      </c>
      <c r="I18" s="41"/>
      <c r="J18" s="35" t="s">
        <v>10778</v>
      </c>
      <c r="K18" s="13"/>
      <c r="L18" s="40" t="s">
        <v>10779</v>
      </c>
      <c r="M18" s="13"/>
      <c r="N18" s="45" t="s">
        <v>10780</v>
      </c>
      <c r="O18" s="13"/>
      <c r="P18" s="33" t="s">
        <v>10781</v>
      </c>
      <c r="Q18" s="34" t="s">
        <v>10782</v>
      </c>
      <c r="R18" s="90" t="s">
        <v>10783</v>
      </c>
      <c r="S18" s="92" t="s">
        <v>10784</v>
      </c>
      <c r="T18" s="93" t="s">
        <v>10785</v>
      </c>
      <c r="U18" s="36"/>
      <c r="V18" s="41"/>
      <c r="W18" s="26"/>
      <c r="X18" s="58" t="s">
        <v>71</v>
      </c>
      <c r="Y18" s="59" t="s">
        <v>72</v>
      </c>
      <c r="Z18" s="48" t="s">
        <v>84</v>
      </c>
      <c r="AA18" s="85" t="str">
        <f>AA$8</f>
        <v/>
      </c>
      <c r="AB18" s="15" t="str">
        <f>IFERROR(__xludf.DUMMYFUNCTION("join("","",filter(split($H$83,"",""),ARRAYFORMULA(ISERROR(FIND(split($H$83,"",""),CONCATENATE(E18:V18))))=TRUE))"),"СЗ,202,206,403,408,410,АЗ")</f>
        <v>СЗ,202,206,403,408,410,АЗ</v>
      </c>
      <c r="AC18" s="14"/>
      <c r="AD18" s="14"/>
      <c r="AE18" s="14"/>
      <c r="AF18" s="29"/>
      <c r="AG18" s="29"/>
      <c r="AH18" s="29"/>
    </row>
    <row r="19" ht="40.5" hidden="1" customHeight="1">
      <c r="A19" s="30"/>
      <c r="B19" s="31">
        <v>7.0</v>
      </c>
      <c r="C19" s="32" t="s">
        <v>85</v>
      </c>
      <c r="D19" s="32" t="s">
        <v>86</v>
      </c>
      <c r="E19" s="166"/>
      <c r="F19" s="13"/>
      <c r="G19" s="33" t="s">
        <v>10786</v>
      </c>
      <c r="H19" s="45" t="s">
        <v>10787</v>
      </c>
      <c r="I19" s="41"/>
      <c r="J19" s="95" t="s">
        <v>10788</v>
      </c>
      <c r="K19" s="13"/>
      <c r="L19" s="45" t="s">
        <v>10789</v>
      </c>
      <c r="M19" s="13"/>
      <c r="N19" s="45" t="s">
        <v>10790</v>
      </c>
      <c r="O19" s="13"/>
      <c r="P19" s="37" t="s">
        <v>10791</v>
      </c>
      <c r="Q19" s="41"/>
      <c r="R19" s="96" t="s">
        <v>10792</v>
      </c>
      <c r="S19" s="97" t="s">
        <v>10793</v>
      </c>
      <c r="T19" s="93" t="s">
        <v>10794</v>
      </c>
      <c r="U19" s="36"/>
      <c r="V19" s="41"/>
      <c r="W19" s="26"/>
      <c r="X19" s="42" t="s">
        <v>85</v>
      </c>
      <c r="Y19" s="42" t="s">
        <v>86</v>
      </c>
      <c r="Z19" s="48" t="s">
        <v>97</v>
      </c>
      <c r="AA19" s="85" t="str">
        <f>AA$9</f>
        <v/>
      </c>
      <c r="AB19" s="15" t="str">
        <f>IFERROR(__xludf.DUMMYFUNCTION("join("","",filter(split($H$83,"",""),ARRAYFORMULA(ISERROR(FIND(split($H$83,"",""),CONCATENATE(E19:V19))))=TRUE))"),"СЗ,КЗ,206,403,404,405,408,410")</f>
        <v>СЗ,КЗ,206,403,404,405,408,410</v>
      </c>
      <c r="AC19" s="14"/>
      <c r="AD19" s="14"/>
      <c r="AE19" s="14"/>
      <c r="AF19" s="29"/>
      <c r="AG19" s="29"/>
      <c r="AH19" s="29"/>
    </row>
    <row r="20" ht="40.5" hidden="1" customHeight="1">
      <c r="A20" s="30"/>
      <c r="B20" s="31">
        <v>8.0</v>
      </c>
      <c r="C20" s="32" t="s">
        <v>98</v>
      </c>
      <c r="D20" s="32" t="s">
        <v>99</v>
      </c>
      <c r="E20" s="166"/>
      <c r="F20" s="13"/>
      <c r="G20" s="33" t="s">
        <v>10795</v>
      </c>
      <c r="H20" s="45" t="s">
        <v>10796</v>
      </c>
      <c r="I20" s="41"/>
      <c r="J20" s="95" t="s">
        <v>10797</v>
      </c>
      <c r="K20" s="13"/>
      <c r="L20" s="45" t="s">
        <v>10798</v>
      </c>
      <c r="M20" s="13"/>
      <c r="N20" s="45" t="s">
        <v>10799</v>
      </c>
      <c r="O20" s="13"/>
      <c r="P20" s="37" t="s">
        <v>10800</v>
      </c>
      <c r="Q20" s="41"/>
      <c r="R20" s="96" t="s">
        <v>10801</v>
      </c>
      <c r="S20" s="97" t="s">
        <v>10802</v>
      </c>
      <c r="T20" s="93" t="s">
        <v>10803</v>
      </c>
      <c r="U20" s="36"/>
      <c r="V20" s="41"/>
      <c r="W20" s="26"/>
      <c r="X20" s="42" t="s">
        <v>98</v>
      </c>
      <c r="Y20" s="42" t="s">
        <v>99</v>
      </c>
      <c r="Z20" s="11"/>
      <c r="AA20" s="98"/>
      <c r="AB20" s="15" t="str">
        <f>IFERROR(__xludf.DUMMYFUNCTION("join("","",filter(split($H$83,"",""),ARRAYFORMULA(ISERROR(FIND(split($H$83,"",""),CONCATENATE(E20:V20))))=TRUE))"),"СЗ,206,403,404,405,408,410,АЗ")</f>
        <v>СЗ,206,403,404,405,408,410,АЗ</v>
      </c>
      <c r="AC20" s="14"/>
      <c r="AD20" s="14"/>
      <c r="AE20" s="14"/>
      <c r="AF20" s="29"/>
      <c r="AG20" s="29"/>
      <c r="AH20" s="29"/>
    </row>
    <row r="21" ht="40.5" hidden="1" customHeight="1">
      <c r="A21" s="30"/>
      <c r="B21" s="31">
        <v>9.0</v>
      </c>
      <c r="C21" s="65">
        <v>44697.0</v>
      </c>
      <c r="D21" s="44" t="s">
        <v>109</v>
      </c>
      <c r="E21" s="99"/>
      <c r="F21" s="4"/>
      <c r="G21" s="100" t="s">
        <v>207</v>
      </c>
      <c r="H21" s="101" t="s">
        <v>208</v>
      </c>
      <c r="I21" s="36"/>
      <c r="J21" s="36"/>
      <c r="K21" s="36"/>
      <c r="L21" s="36"/>
      <c r="M21" s="13"/>
      <c r="N21" s="45" t="s">
        <v>10804</v>
      </c>
      <c r="O21" s="13"/>
      <c r="P21" s="102" t="s">
        <v>10805</v>
      </c>
      <c r="Q21" s="41"/>
      <c r="R21" s="35"/>
      <c r="S21" s="41"/>
      <c r="T21" s="103" t="s">
        <v>10806</v>
      </c>
      <c r="U21" s="36"/>
      <c r="V21" s="41"/>
      <c r="W21" s="26"/>
      <c r="X21" s="69">
        <v>44697.0</v>
      </c>
      <c r="Y21" s="70" t="s">
        <v>109</v>
      </c>
      <c r="Z21" s="28"/>
      <c r="AA21" s="98"/>
      <c r="AB21" s="15" t="str">
        <f>IFERROR(__xludf.DUMMYFUNCTION("join("","",filter(split($H$83,"",""),ARRAYFORMULA(ISERROR(FIND(split($H$83,"",""),CONCATENATE(E21:V21))))=TRUE))"),"СЗ,201,206,210,401,403,404,405,406,408,АЗ")</f>
        <v>СЗ,201,206,210,401,403,404,405,406,408,АЗ</v>
      </c>
      <c r="AC21" s="14"/>
      <c r="AD21" s="14"/>
      <c r="AE21" s="14"/>
      <c r="AF21" s="29"/>
      <c r="AG21" s="29"/>
      <c r="AH21" s="29"/>
    </row>
    <row r="22" ht="40.5" hidden="1" customHeight="1">
      <c r="A22" s="30"/>
      <c r="B22" s="31">
        <v>10.0</v>
      </c>
      <c r="C22" s="44" t="s">
        <v>120</v>
      </c>
      <c r="D22" s="44" t="s">
        <v>121</v>
      </c>
      <c r="E22" s="104"/>
      <c r="F22" s="72"/>
      <c r="G22" s="105"/>
      <c r="H22" s="106" t="s">
        <v>213</v>
      </c>
      <c r="I22" s="36"/>
      <c r="J22" s="36"/>
      <c r="K22" s="36"/>
      <c r="L22" s="36"/>
      <c r="M22" s="13"/>
      <c r="N22" s="45" t="s">
        <v>10807</v>
      </c>
      <c r="O22" s="13"/>
      <c r="P22" s="101" t="s">
        <v>215</v>
      </c>
      <c r="Q22" s="36"/>
      <c r="R22" s="36"/>
      <c r="S22" s="13"/>
      <c r="T22" s="107"/>
      <c r="U22" s="36"/>
      <c r="V22" s="41"/>
      <c r="W22" s="26"/>
      <c r="X22" s="70" t="s">
        <v>120</v>
      </c>
      <c r="Y22" s="70" t="s">
        <v>121</v>
      </c>
      <c r="Z22" s="28"/>
      <c r="AA22" s="98"/>
      <c r="AB22" s="15" t="str">
        <f>IFERROR(__xludf.DUMMYFUNCTION("join("","",filter(split($H$83,"",""),ARRAYFORMULA(ISERROR(FIND(split($H$83,"",""),CONCATENATE(E22:V22))))=TRUE))"),"СЗ,201,202,206,209,210,401,403,404,405,406,408,409,АЗ")</f>
        <v>СЗ,201,202,206,209,210,401,403,404,405,406,408,409,АЗ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c r="S23" s="115"/>
      <c r="T23" s="115"/>
      <c r="U23" s="115"/>
      <c r="V23" s="67"/>
      <c r="W23" s="26"/>
      <c r="X23" s="79" t="s">
        <v>124</v>
      </c>
      <c r="Y23" s="79" t="s">
        <v>125</v>
      </c>
      <c r="Z23" s="28" t="str">
        <f/>
        <v>#ERROR!</v>
      </c>
      <c r="AA23" s="98"/>
      <c r="AB23" s="15" t="str">
        <f>IFERROR(__xludf.DUMMYFUNCTION("join("","",filter(split($H$83,"",""),ARRAYFORMULA(ISERROR(FIND(split($H$83,"",""),CONCATENATE(E23:V23))))=TRUE))"),"СЗ,КЗ,201,202,206,209,210,401,402,403,404,405,406,408,409,410,АЗ")</f>
        <v>СЗ,КЗ,201,202,206,209,210,401,402,403,404,405,406,408,409,410,АЗ</v>
      </c>
      <c r="AC23" s="14"/>
      <c r="AD23" s="14"/>
      <c r="AE23" s="14"/>
      <c r="AF23" s="29"/>
      <c r="AG23" s="29"/>
      <c r="AH23" s="29"/>
    </row>
    <row r="24" ht="40.5" hidden="1" customHeight="1">
      <c r="A24" s="689">
        <v>45042.0</v>
      </c>
      <c r="B24" s="435">
        <v>1.0</v>
      </c>
      <c r="C24" s="20" t="s">
        <v>12</v>
      </c>
      <c r="D24" s="20" t="s">
        <v>13</v>
      </c>
      <c r="E24" s="21" t="s">
        <v>10808</v>
      </c>
      <c r="F24" s="22"/>
      <c r="G24" s="116" t="s">
        <v>10809</v>
      </c>
      <c r="H24" s="117" t="s">
        <v>10810</v>
      </c>
      <c r="I24" s="22"/>
      <c r="J24" s="118" t="s">
        <v>221</v>
      </c>
      <c r="K24" s="24"/>
      <c r="L24" s="24"/>
      <c r="M24" s="25"/>
      <c r="N24" s="80" t="s">
        <v>10811</v>
      </c>
      <c r="O24" s="25"/>
      <c r="P24" s="585" t="s">
        <v>10812</v>
      </c>
      <c r="Q24" s="24"/>
      <c r="R24" s="24"/>
      <c r="S24" s="22"/>
      <c r="T24" s="877" t="s">
        <v>10813</v>
      </c>
      <c r="U24" s="247"/>
      <c r="V24" s="6"/>
      <c r="W24" s="26"/>
      <c r="X24" s="27" t="s">
        <v>12</v>
      </c>
      <c r="Y24" s="27" t="s">
        <v>13</v>
      </c>
      <c r="Z24" s="28"/>
      <c r="AA24" s="14"/>
      <c r="AB24" s="15" t="str">
        <f>IFERROR(__xludf.DUMMYFUNCTION("join("","",filter(split($H$83,"",""),ARRAYFORMULA(ISERROR(FIND(split($H$83,"",""),CONCATENATE(E24:V24))))=TRUE))"),"СЗ,206,210,401,402,403,404,405,406,409,410,АЗ")</f>
        <v>СЗ,206,210,401,402,403,404,405,406,409,410,АЗ</v>
      </c>
      <c r="AC24" s="14"/>
      <c r="AD24" s="14"/>
      <c r="AE24" s="14"/>
      <c r="AF24" s="29"/>
      <c r="AG24" s="29"/>
      <c r="AH24" s="29"/>
    </row>
    <row r="25" ht="40.5" hidden="1" customHeight="1">
      <c r="A25" s="30"/>
      <c r="B25" s="436">
        <v>2.0</v>
      </c>
      <c r="C25" s="32" t="s">
        <v>21</v>
      </c>
      <c r="D25" s="32" t="s">
        <v>22</v>
      </c>
      <c r="E25" s="51" t="s">
        <v>10814</v>
      </c>
      <c r="F25" s="41"/>
      <c r="G25" s="39" t="s">
        <v>10815</v>
      </c>
      <c r="H25" s="89" t="s">
        <v>10816</v>
      </c>
      <c r="I25" s="41"/>
      <c r="J25" s="35" t="s">
        <v>10817</v>
      </c>
      <c r="K25" s="13"/>
      <c r="L25" s="40" t="s">
        <v>10818</v>
      </c>
      <c r="M25" s="13"/>
      <c r="N25" s="40" t="s">
        <v>231</v>
      </c>
      <c r="O25" s="13"/>
      <c r="P25" s="37" t="s">
        <v>10819</v>
      </c>
      <c r="Q25" s="13"/>
      <c r="R25" s="122" t="s">
        <v>10820</v>
      </c>
      <c r="S25" s="41"/>
      <c r="V25" s="134"/>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hidden="1" customHeight="1">
      <c r="A26" s="30"/>
      <c r="B26" s="436">
        <v>3.0</v>
      </c>
      <c r="C26" s="32" t="s">
        <v>33</v>
      </c>
      <c r="D26" s="32" t="s">
        <v>34</v>
      </c>
      <c r="E26" s="37" t="s">
        <v>10821</v>
      </c>
      <c r="F26" s="41"/>
      <c r="G26" s="51" t="s">
        <v>10822</v>
      </c>
      <c r="H26" s="36"/>
      <c r="I26" s="41"/>
      <c r="J26" s="95" t="s">
        <v>10823</v>
      </c>
      <c r="K26" s="13"/>
      <c r="L26" s="123" t="s">
        <v>10824</v>
      </c>
      <c r="M26" s="41"/>
      <c r="N26" s="40" t="s">
        <v>231</v>
      </c>
      <c r="O26" s="13"/>
      <c r="P26" s="39" t="s">
        <v>10825</v>
      </c>
      <c r="Q26" s="124" t="s">
        <v>10826</v>
      </c>
      <c r="R26" s="89" t="s">
        <v>10827</v>
      </c>
      <c r="S26" s="41"/>
      <c r="V26" s="134"/>
      <c r="W26" s="26"/>
      <c r="X26" s="42" t="s">
        <v>33</v>
      </c>
      <c r="Y26" s="42" t="s">
        <v>34</v>
      </c>
      <c r="Z26" s="48" t="s">
        <v>47</v>
      </c>
      <c r="AA26" s="85" t="str">
        <f>AA$5</f>
        <v/>
      </c>
      <c r="AB26" s="15" t="str">
        <f>IFERROR(__xludf.DUMMYFUNCTION("join("","",filter(split($H$83,"",""),ARRAYFORMULA(ISERROR(FIND(split($H$83,"",""),CONCATENATE(E26:V26))))=TRUE))"),"СЗ,КЗ,206,209,210,403,404,405,408,410,АЗ")</f>
        <v>СЗ,КЗ,206,209,210,403,404,405,408,410,АЗ</v>
      </c>
      <c r="AC26" s="14"/>
      <c r="AD26" s="14"/>
      <c r="AE26" s="14"/>
      <c r="AF26" s="29"/>
      <c r="AG26" s="29"/>
      <c r="AH26" s="29"/>
    </row>
    <row r="27" ht="54.0" hidden="1" customHeight="1">
      <c r="A27" s="30"/>
      <c r="B27" s="436">
        <v>4.0</v>
      </c>
      <c r="C27" s="32" t="s">
        <v>48</v>
      </c>
      <c r="D27" s="32" t="s">
        <v>49</v>
      </c>
      <c r="E27" s="33" t="s">
        <v>10828</v>
      </c>
      <c r="F27" s="126" t="s">
        <v>10829</v>
      </c>
      <c r="G27" s="878" t="s">
        <v>10830</v>
      </c>
      <c r="H27" s="36"/>
      <c r="I27" s="41"/>
      <c r="J27" s="107" t="s">
        <v>10831</v>
      </c>
      <c r="K27" s="13"/>
      <c r="L27" s="45" t="s">
        <v>10832</v>
      </c>
      <c r="M27" s="13"/>
      <c r="N27" s="127" t="s">
        <v>10833</v>
      </c>
      <c r="O27" s="13"/>
      <c r="P27" s="37" t="s">
        <v>10834</v>
      </c>
      <c r="Q27" s="13"/>
      <c r="R27" s="132" t="s">
        <v>10835</v>
      </c>
      <c r="S27" s="34" t="s">
        <v>10836</v>
      </c>
      <c r="V27" s="134"/>
      <c r="W27" s="26"/>
      <c r="X27" s="42" t="s">
        <v>48</v>
      </c>
      <c r="Y27" s="42" t="s">
        <v>49</v>
      </c>
      <c r="Z27" s="48" t="s">
        <v>57</v>
      </c>
      <c r="AA27" s="85" t="str">
        <f>AA$6</f>
        <v/>
      </c>
      <c r="AB27" s="15" t="str">
        <f>IFERROR(__xludf.DUMMYFUNCTION("join("","",filter(split($H$83,"",""),ARRAYFORMULA(ISERROR(FIND(split($H$83,"",""),CONCATENATE(E27:V27))))=TRUE))"),"СЗ,КЗ,202,209,403,404,408,410,АЗ")</f>
        <v>СЗ,КЗ,202,209,403,404,408,410,АЗ</v>
      </c>
      <c r="AC27" s="14"/>
      <c r="AD27" s="14"/>
      <c r="AE27" s="14"/>
      <c r="AF27" s="29"/>
      <c r="AG27" s="29"/>
      <c r="AH27" s="29"/>
    </row>
    <row r="28" ht="53.25" hidden="1" customHeight="1">
      <c r="A28" s="30"/>
      <c r="B28" s="436">
        <v>5.0</v>
      </c>
      <c r="C28" s="32" t="s">
        <v>58</v>
      </c>
      <c r="D28" s="53">
        <v>44847.0</v>
      </c>
      <c r="E28" s="33" t="s">
        <v>10837</v>
      </c>
      <c r="F28" s="126" t="s">
        <v>10838</v>
      </c>
      <c r="G28" s="37" t="s">
        <v>10839</v>
      </c>
      <c r="H28" s="13"/>
      <c r="I28" s="92" t="s">
        <v>10840</v>
      </c>
      <c r="J28" s="123" t="s">
        <v>10841</v>
      </c>
      <c r="K28" s="41"/>
      <c r="L28" s="45" t="s">
        <v>10842</v>
      </c>
      <c r="M28" s="13"/>
      <c r="N28" s="89" t="s">
        <v>10843</v>
      </c>
      <c r="O28" s="13"/>
      <c r="P28" s="39" t="s">
        <v>10844</v>
      </c>
      <c r="Q28" s="124" t="s">
        <v>10845</v>
      </c>
      <c r="R28" s="132" t="s">
        <v>10846</v>
      </c>
      <c r="S28" s="34" t="s">
        <v>10847</v>
      </c>
      <c r="V28" s="134"/>
      <c r="W28" s="26"/>
      <c r="X28" s="42" t="s">
        <v>58</v>
      </c>
      <c r="Y28" s="54">
        <v>44847.0</v>
      </c>
      <c r="Z28" s="48" t="s">
        <v>70</v>
      </c>
      <c r="AA28" s="85" t="str">
        <f>AA$7</f>
        <v/>
      </c>
      <c r="AB28" s="15" t="str">
        <f>IFERROR(__xludf.DUMMYFUNCTION("join("","",filter(split($H$83,"",""),ARRAYFORMULA(ISERROR(FIND(split($H$83,"",""),CONCATENATE(E28:V28))))=TRUE))"),"СЗ,КЗ,209,403,404,408,410,АЗ")</f>
        <v>СЗ,КЗ,209,403,404,408,410,АЗ</v>
      </c>
      <c r="AC28" s="14"/>
      <c r="AD28" s="14"/>
      <c r="AE28" s="14"/>
      <c r="AF28" s="29"/>
      <c r="AG28" s="29"/>
      <c r="AH28" s="29"/>
    </row>
    <row r="29" ht="40.5" hidden="1" customHeight="1">
      <c r="A29" s="30"/>
      <c r="B29" s="436">
        <v>6.0</v>
      </c>
      <c r="C29" s="55" t="s">
        <v>71</v>
      </c>
      <c r="D29" s="56" t="s">
        <v>72</v>
      </c>
      <c r="E29" s="126" t="s">
        <v>10848</v>
      </c>
      <c r="F29" s="34" t="s">
        <v>10849</v>
      </c>
      <c r="G29" s="40" t="s">
        <v>10850</v>
      </c>
      <c r="H29" s="41"/>
      <c r="I29" s="34" t="s">
        <v>10851</v>
      </c>
      <c r="J29" s="123" t="s">
        <v>10852</v>
      </c>
      <c r="K29" s="41"/>
      <c r="L29" s="89" t="s">
        <v>10853</v>
      </c>
      <c r="M29" s="13"/>
      <c r="N29" s="130" t="s">
        <v>10854</v>
      </c>
      <c r="O29" s="13"/>
      <c r="P29" s="131" t="s">
        <v>10855</v>
      </c>
      <c r="Q29" s="132" t="s">
        <v>10856</v>
      </c>
      <c r="R29" s="437"/>
      <c r="S29" s="92" t="s">
        <v>10857</v>
      </c>
      <c r="V29" s="134"/>
      <c r="W29" s="26"/>
      <c r="X29" s="58" t="s">
        <v>71</v>
      </c>
      <c r="Y29" s="59" t="s">
        <v>72</v>
      </c>
      <c r="Z29" s="48" t="s">
        <v>84</v>
      </c>
      <c r="AA29" s="85" t="str">
        <f>AA$8</f>
        <v/>
      </c>
      <c r="AB29" s="15" t="str">
        <f>IFERROR(__xludf.DUMMYFUNCTION("join("","",filter(split($H$83,"",""),ARRAYFORMULA(ISERROR(FIND(split($H$83,"",""),CONCATENATE(E29:V29))))=TRUE))"),"СЗ,КЗ,201,206,403,404,408,410,АЗ")</f>
        <v>СЗ,КЗ,201,206,403,404,408,410,АЗ</v>
      </c>
      <c r="AC29" s="14"/>
      <c r="AD29" s="14"/>
      <c r="AE29" s="14"/>
      <c r="AF29" s="29"/>
      <c r="AG29" s="29"/>
      <c r="AH29" s="29"/>
    </row>
    <row r="30" ht="40.5" hidden="1" customHeight="1">
      <c r="A30" s="30"/>
      <c r="B30" s="436">
        <v>7.0</v>
      </c>
      <c r="C30" s="32" t="s">
        <v>85</v>
      </c>
      <c r="D30" s="32" t="s">
        <v>86</v>
      </c>
      <c r="E30" s="126" t="s">
        <v>10858</v>
      </c>
      <c r="F30" s="34" t="s">
        <v>10859</v>
      </c>
      <c r="G30" s="40" t="s">
        <v>10860</v>
      </c>
      <c r="H30" s="41"/>
      <c r="I30" s="34" t="s">
        <v>10861</v>
      </c>
      <c r="J30" s="35" t="s">
        <v>10862</v>
      </c>
      <c r="K30" s="13"/>
      <c r="L30" s="123" t="s">
        <v>10863</v>
      </c>
      <c r="M30" s="41"/>
      <c r="N30" s="130" t="s">
        <v>10864</v>
      </c>
      <c r="O30" s="13"/>
      <c r="P30" s="131" t="s">
        <v>10865</v>
      </c>
      <c r="Q30" s="132" t="s">
        <v>10866</v>
      </c>
      <c r="R30" s="173"/>
      <c r="S30" s="92" t="s">
        <v>10867</v>
      </c>
      <c r="V30" s="134"/>
      <c r="W30" s="26"/>
      <c r="X30" s="42" t="s">
        <v>85</v>
      </c>
      <c r="Y30" s="42" t="s">
        <v>86</v>
      </c>
      <c r="Z30" s="48" t="s">
        <v>97</v>
      </c>
      <c r="AA30" s="85" t="str">
        <f>AA$9</f>
        <v/>
      </c>
      <c r="AB30" s="15" t="str">
        <f>IFERROR(__xludf.DUMMYFUNCTION("join("","",filter(split($H$83,"",""),ARRAYFORMULA(ISERROR(FIND(split($H$83,"",""),CONCATENATE(E30:V30))))=TRUE))"),"СЗ,КЗ,206,403,404,408,409,410,АЗ")</f>
        <v>СЗ,КЗ,206,403,404,408,409,410,АЗ</v>
      </c>
      <c r="AC30" s="14"/>
      <c r="AD30" s="14"/>
      <c r="AE30" s="14"/>
      <c r="AF30" s="29"/>
      <c r="AG30" s="29"/>
      <c r="AH30" s="29"/>
    </row>
    <row r="31" ht="52.5" hidden="1" customHeight="1">
      <c r="A31" s="30"/>
      <c r="B31" s="436">
        <v>8.0</v>
      </c>
      <c r="C31" s="32" t="s">
        <v>98</v>
      </c>
      <c r="D31" s="32" t="s">
        <v>99</v>
      </c>
      <c r="E31" s="46" t="s">
        <v>10868</v>
      </c>
      <c r="F31" s="41"/>
      <c r="G31" s="137" t="s">
        <v>10869</v>
      </c>
      <c r="H31" s="8"/>
      <c r="I31" s="129"/>
      <c r="J31" s="840" t="s">
        <v>10870</v>
      </c>
      <c r="K31" s="36"/>
      <c r="L31" s="36"/>
      <c r="M31" s="13"/>
      <c r="N31" s="45" t="s">
        <v>10871</v>
      </c>
      <c r="O31" s="13"/>
      <c r="P31" s="140"/>
      <c r="Q31" s="4"/>
      <c r="R31" s="144"/>
      <c r="S31" s="133" t="s">
        <v>276</v>
      </c>
      <c r="V31" s="134"/>
      <c r="W31" s="26"/>
      <c r="X31" s="42" t="s">
        <v>98</v>
      </c>
      <c r="Y31" s="42" t="s">
        <v>99</v>
      </c>
      <c r="Z31" s="11"/>
      <c r="AA31" s="14"/>
      <c r="AB31" s="15" t="str">
        <f>IFERROR(__xludf.DUMMYFUNCTION("join("","",filter(split($H$83,"",""),ARRAYFORMULA(ISERROR(FIND(split($H$83,"",""),CONCATENATE(E31:V31))))=TRUE))"),"СЗ,КЗ,201,206,210,401,403,404,405,406,408,409,АЗ")</f>
        <v>СЗ,КЗ,201,206,210,401,403,404,405,406,408,409,АЗ</v>
      </c>
      <c r="AC31" s="14"/>
      <c r="AD31" s="14"/>
      <c r="AE31" s="14"/>
      <c r="AF31" s="29"/>
      <c r="AG31" s="29"/>
      <c r="AH31" s="29"/>
    </row>
    <row r="32" ht="57.0" hidden="1" customHeight="1">
      <c r="A32" s="30"/>
      <c r="B32" s="436">
        <v>9.0</v>
      </c>
      <c r="C32" s="65">
        <v>44697.0</v>
      </c>
      <c r="D32" s="44" t="s">
        <v>109</v>
      </c>
      <c r="E32" s="141" t="s">
        <v>10872</v>
      </c>
      <c r="F32" s="13"/>
      <c r="G32" s="142"/>
      <c r="H32" s="64"/>
      <c r="I32" s="88"/>
      <c r="J32" s="840" t="s">
        <v>10873</v>
      </c>
      <c r="K32" s="36"/>
      <c r="L32" s="36"/>
      <c r="M32" s="13"/>
      <c r="N32" s="45" t="s">
        <v>10874</v>
      </c>
      <c r="O32" s="13"/>
      <c r="P32" s="142"/>
      <c r="Q32" s="72"/>
      <c r="R32" s="144"/>
      <c r="S32" s="92"/>
      <c r="T32" s="64"/>
      <c r="U32" s="64"/>
      <c r="V32" s="88"/>
      <c r="W32" s="26"/>
      <c r="X32" s="69">
        <v>44697.0</v>
      </c>
      <c r="Y32" s="70" t="s">
        <v>109</v>
      </c>
      <c r="Z32" s="28"/>
      <c r="AA32" s="14"/>
      <c r="AB32" s="15" t="str">
        <f>IFERROR(__xludf.DUMMYFUNCTION("join("","",filter(split($H$83,"",""),ARRAYFORMULA(ISERROR(FIND(split($H$83,"",""),CONCATENATE(E32:V32))))=TRUE))"),"СЗ,КЗ,201,206,210,401,402,403,404,405,406,408,409,АЗ")</f>
        <v>СЗ,КЗ,201,206,210,401,402,403,404,405,406,408,409,АЗ</v>
      </c>
      <c r="AC32" s="14"/>
      <c r="AD32" s="14"/>
      <c r="AE32" s="14"/>
      <c r="AF32" s="29"/>
      <c r="AG32" s="29"/>
      <c r="AH32" s="29"/>
    </row>
    <row r="33" ht="40.5" hidden="1" customHeight="1">
      <c r="A33" s="30"/>
      <c r="B33" s="436">
        <v>10.0</v>
      </c>
      <c r="C33" s="44" t="s">
        <v>120</v>
      </c>
      <c r="D33" s="44" t="s">
        <v>121</v>
      </c>
      <c r="E33" s="141" t="s">
        <v>10875</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10876</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129.75" hidden="1" customHeight="1">
      <c r="A35" s="689">
        <v>45043.0</v>
      </c>
      <c r="B35" s="19">
        <v>1.0</v>
      </c>
      <c r="C35" s="20" t="s">
        <v>12</v>
      </c>
      <c r="D35" s="20" t="s">
        <v>13</v>
      </c>
      <c r="E35" s="80"/>
      <c r="F35" s="25"/>
      <c r="G35" s="246" t="s">
        <v>10877</v>
      </c>
      <c r="H35" s="247"/>
      <c r="I35" s="245"/>
      <c r="J35" s="157" t="s">
        <v>10878</v>
      </c>
      <c r="K35" s="13"/>
      <c r="L35" s="156" t="s">
        <v>10879</v>
      </c>
      <c r="M35" s="156" t="s">
        <v>10880</v>
      </c>
      <c r="N35" s="80" t="s">
        <v>10881</v>
      </c>
      <c r="O35" s="873" t="s">
        <v>10406</v>
      </c>
      <c r="P35" s="156" t="s">
        <v>10882</v>
      </c>
      <c r="Q35" s="156" t="s">
        <v>10883</v>
      </c>
      <c r="R35" s="159" t="s">
        <v>10884</v>
      </c>
      <c r="S35" s="160" t="s">
        <v>10885</v>
      </c>
      <c r="T35" s="161" t="s">
        <v>10886</v>
      </c>
      <c r="U35" s="24"/>
      <c r="V35" s="22"/>
      <c r="W35" s="26"/>
      <c r="X35" s="27" t="s">
        <v>12</v>
      </c>
      <c r="Y35" s="27" t="s">
        <v>13</v>
      </c>
      <c r="Z35" s="28"/>
      <c r="AA35" s="14"/>
      <c r="AB35" s="15" t="str">
        <f>IFERROR(__xludf.DUMMYFUNCTION("join("","",filter(split($H$83,"",""),ARRAYFORMULA(ISERROR(FIND(split($H$83,"",""),CONCATENATE(E35:V35))))=TRUE))"),"СЗ,201,206,210,403,410")</f>
        <v>СЗ,201,206,210,403,410</v>
      </c>
      <c r="AC35" s="14"/>
      <c r="AD35" s="14"/>
      <c r="AE35" s="14"/>
      <c r="AF35" s="29"/>
      <c r="AG35" s="29"/>
      <c r="AH35" s="29"/>
    </row>
    <row r="36" ht="54.0" hidden="1" customHeight="1">
      <c r="A36" s="30"/>
      <c r="B36" s="31">
        <v>2.0</v>
      </c>
      <c r="C36" s="32" t="s">
        <v>21</v>
      </c>
      <c r="D36" s="32" t="s">
        <v>22</v>
      </c>
      <c r="E36" s="45"/>
      <c r="F36" s="13"/>
      <c r="G36" s="224"/>
      <c r="I36" s="139"/>
      <c r="J36" s="157" t="s">
        <v>313</v>
      </c>
      <c r="K36" s="13"/>
      <c r="L36" s="44" t="s">
        <v>10887</v>
      </c>
      <c r="M36" s="44" t="s">
        <v>10888</v>
      </c>
      <c r="N36" s="45" t="s">
        <v>316</v>
      </c>
      <c r="O36" s="13"/>
      <c r="P36" s="44" t="s">
        <v>10889</v>
      </c>
      <c r="Q36" s="44" t="s">
        <v>10890</v>
      </c>
      <c r="R36" s="162" t="s">
        <v>10891</v>
      </c>
      <c r="S36" s="90" t="s">
        <v>320</v>
      </c>
      <c r="T36" s="163" t="s">
        <v>10892</v>
      </c>
      <c r="U36" s="36"/>
      <c r="V36" s="41"/>
      <c r="W36" s="26"/>
      <c r="X36" s="42" t="s">
        <v>21</v>
      </c>
      <c r="Y36" s="42" t="s">
        <v>22</v>
      </c>
      <c r="Z36" s="28"/>
      <c r="AA36" s="14"/>
      <c r="AB36" s="15" t="str">
        <f>IFERROR(__xludf.DUMMYFUNCTION("join("","",filter(split($H$83,"",""),ARRAYFORMULA(ISERROR(FIND(split($H$83,"",""),CONCATENATE(E36:V36))))=TRUE))"),"СЗ,201,206,210,403,406,410,АЗ")</f>
        <v>СЗ,201,206,210,403,406,410,АЗ</v>
      </c>
      <c r="AC36" s="14"/>
      <c r="AD36" s="14"/>
      <c r="AE36" s="14"/>
      <c r="AF36" s="29"/>
      <c r="AG36" s="29"/>
      <c r="AH36" s="29"/>
    </row>
    <row r="37" ht="56.25" hidden="1" customHeight="1">
      <c r="A37" s="30"/>
      <c r="B37" s="31">
        <v>3.0</v>
      </c>
      <c r="C37" s="32" t="s">
        <v>33</v>
      </c>
      <c r="D37" s="32" t="s">
        <v>34</v>
      </c>
      <c r="E37" s="80" t="s">
        <v>10893</v>
      </c>
      <c r="F37" s="25"/>
      <c r="G37" s="224"/>
      <c r="I37" s="139"/>
      <c r="J37" s="45" t="s">
        <v>10894</v>
      </c>
      <c r="K37" s="13"/>
      <c r="L37" s="44" t="s">
        <v>10895</v>
      </c>
      <c r="M37" s="44" t="s">
        <v>10896</v>
      </c>
      <c r="N37" s="164" t="s">
        <v>10897</v>
      </c>
      <c r="O37" s="36"/>
      <c r="P37" s="36"/>
      <c r="Q37" s="13"/>
      <c r="R37" s="44" t="s">
        <v>10898</v>
      </c>
      <c r="S37" s="44" t="s">
        <v>10899</v>
      </c>
      <c r="T37" s="87" t="s">
        <v>10900</v>
      </c>
      <c r="U37" s="36"/>
      <c r="V37" s="41"/>
      <c r="W37" s="26"/>
      <c r="X37" s="42" t="s">
        <v>33</v>
      </c>
      <c r="Y37" s="42" t="s">
        <v>34</v>
      </c>
      <c r="Z37" s="48" t="s">
        <v>47</v>
      </c>
      <c r="AA37" s="85" t="str">
        <f>AA$5</f>
        <v/>
      </c>
      <c r="AB37" s="15" t="str">
        <f>IFERROR(__xludf.DUMMYFUNCTION("join("","",filter(split($H$83,"",""),ARRAYFORMULA(ISERROR(FIND(split($H$83,"",""),CONCATENATE(E37:V37))))=TRUE))"),"СЗ,КЗ,206,210,406,408,410,АЗ")</f>
        <v>СЗ,КЗ,206,210,406,408,410,АЗ</v>
      </c>
      <c r="AC37" s="14"/>
      <c r="AD37" s="14"/>
      <c r="AE37" s="14"/>
      <c r="AF37" s="29"/>
      <c r="AG37" s="29"/>
      <c r="AH37" s="29"/>
    </row>
    <row r="38" ht="51.75" hidden="1" customHeight="1">
      <c r="A38" s="30"/>
      <c r="B38" s="31">
        <v>4.0</v>
      </c>
      <c r="C38" s="32" t="s">
        <v>48</v>
      </c>
      <c r="D38" s="32" t="s">
        <v>49</v>
      </c>
      <c r="E38" s="45" t="s">
        <v>10901</v>
      </c>
      <c r="F38" s="13"/>
      <c r="G38" s="33" t="s">
        <v>10902</v>
      </c>
      <c r="H38" s="45" t="s">
        <v>10903</v>
      </c>
      <c r="I38" s="41"/>
      <c r="J38" s="45" t="s">
        <v>10904</v>
      </c>
      <c r="K38" s="13"/>
      <c r="L38" s="44" t="s">
        <v>10905</v>
      </c>
      <c r="M38" s="44" t="s">
        <v>10906</v>
      </c>
      <c r="N38" s="164" t="s">
        <v>10907</v>
      </c>
      <c r="O38" s="36"/>
      <c r="P38" s="36"/>
      <c r="Q38" s="13"/>
      <c r="R38" s="44" t="s">
        <v>10908</v>
      </c>
      <c r="S38" s="44" t="s">
        <v>10909</v>
      </c>
      <c r="T38" s="87" t="s">
        <v>10910</v>
      </c>
      <c r="U38" s="36"/>
      <c r="V38" s="41"/>
      <c r="W38" s="26"/>
      <c r="X38" s="42" t="s">
        <v>48</v>
      </c>
      <c r="Y38" s="42" t="s">
        <v>49</v>
      </c>
      <c r="Z38" s="48" t="s">
        <v>57</v>
      </c>
      <c r="AA38" s="85" t="str">
        <f>AA$6</f>
        <v/>
      </c>
      <c r="AB38" s="15" t="str">
        <f>IFERROR(__xludf.DUMMYFUNCTION("join("","",filter(split($H$83,"",""),ARRAYFORMULA(ISERROR(FIND(split($H$83,"",""),CONCATENATE(E38:V38))))=TRUE))"),"СЗ,КЗ,206,210,406,408,АЗ")</f>
        <v>СЗ,КЗ,206,210,406,408,АЗ</v>
      </c>
      <c r="AC38" s="14"/>
      <c r="AD38" s="14"/>
      <c r="AE38" s="14"/>
      <c r="AF38" s="29"/>
      <c r="AG38" s="29"/>
      <c r="AH38" s="29"/>
    </row>
    <row r="39" ht="58.5" hidden="1" customHeight="1">
      <c r="A39" s="30"/>
      <c r="B39" s="31">
        <v>5.0</v>
      </c>
      <c r="C39" s="32" t="s">
        <v>58</v>
      </c>
      <c r="D39" s="53">
        <v>44847.0</v>
      </c>
      <c r="E39" s="45" t="s">
        <v>10911</v>
      </c>
      <c r="F39" s="13"/>
      <c r="G39" s="33" t="s">
        <v>355</v>
      </c>
      <c r="H39" s="45" t="s">
        <v>10912</v>
      </c>
      <c r="I39" s="41"/>
      <c r="J39" s="44" t="s">
        <v>10913</v>
      </c>
      <c r="K39" s="44" t="s">
        <v>10914</v>
      </c>
      <c r="L39" s="45" t="s">
        <v>10915</v>
      </c>
      <c r="M39" s="13"/>
      <c r="N39" s="44" t="s">
        <v>10916</v>
      </c>
      <c r="O39" s="44" t="s">
        <v>10917</v>
      </c>
      <c r="P39" s="45" t="s">
        <v>10918</v>
      </c>
      <c r="Q39" s="13"/>
      <c r="R39" s="44" t="s">
        <v>10919</v>
      </c>
      <c r="S39" s="132" t="s">
        <v>10920</v>
      </c>
      <c r="T39" s="45" t="s">
        <v>10921</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hidden="1" customHeight="1">
      <c r="A40" s="30"/>
      <c r="B40" s="31">
        <v>6.0</v>
      </c>
      <c r="C40" s="55" t="s">
        <v>71</v>
      </c>
      <c r="D40" s="56" t="s">
        <v>72</v>
      </c>
      <c r="E40" s="45" t="s">
        <v>10922</v>
      </c>
      <c r="F40" s="13"/>
      <c r="G40" s="33" t="s">
        <v>10923</v>
      </c>
      <c r="H40" s="45" t="s">
        <v>10924</v>
      </c>
      <c r="I40" s="41"/>
      <c r="J40" s="44" t="s">
        <v>10925</v>
      </c>
      <c r="K40" s="44" t="s">
        <v>10926</v>
      </c>
      <c r="L40" s="45" t="s">
        <v>10927</v>
      </c>
      <c r="M40" s="13"/>
      <c r="N40" s="44" t="s">
        <v>10928</v>
      </c>
      <c r="O40" s="44" t="s">
        <v>10929</v>
      </c>
      <c r="P40" s="45" t="s">
        <v>10930</v>
      </c>
      <c r="Q40" s="13"/>
      <c r="R40" s="44" t="s">
        <v>10931</v>
      </c>
      <c r="S40" s="132" t="s">
        <v>10932</v>
      </c>
      <c r="T40" s="45" t="s">
        <v>10933</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hidden="1" customHeight="1">
      <c r="A41" s="30"/>
      <c r="B41" s="31">
        <v>7.0</v>
      </c>
      <c r="C41" s="32" t="s">
        <v>85</v>
      </c>
      <c r="D41" s="32" t="s">
        <v>86</v>
      </c>
      <c r="E41" s="45" t="s">
        <v>10934</v>
      </c>
      <c r="F41" s="13"/>
      <c r="G41" s="33" t="s">
        <v>10935</v>
      </c>
      <c r="H41" s="45" t="s">
        <v>379</v>
      </c>
      <c r="I41" s="41"/>
      <c r="J41" s="44" t="s">
        <v>10936</v>
      </c>
      <c r="K41" s="44" t="s">
        <v>10937</v>
      </c>
      <c r="L41" s="45" t="s">
        <v>10938</v>
      </c>
      <c r="M41" s="13"/>
      <c r="N41" s="87" t="s">
        <v>10939</v>
      </c>
      <c r="O41" s="13"/>
      <c r="P41" s="45" t="s">
        <v>10940</v>
      </c>
      <c r="Q41" s="13"/>
      <c r="R41" s="44" t="s">
        <v>10941</v>
      </c>
      <c r="S41" s="44" t="s">
        <v>10942</v>
      </c>
      <c r="T41" s="165" t="s">
        <v>10943</v>
      </c>
      <c r="U41" s="36"/>
      <c r="V41" s="41"/>
      <c r="W41" s="26"/>
      <c r="X41" s="42" t="s">
        <v>85</v>
      </c>
      <c r="Y41" s="42" t="s">
        <v>86</v>
      </c>
      <c r="Z41" s="48" t="s">
        <v>97</v>
      </c>
      <c r="AA41" s="85" t="str">
        <f>AA$9</f>
        <v/>
      </c>
      <c r="AB41" s="15" t="str">
        <f>IFERROR(__xludf.DUMMYFUNCTION("join("","",filter(split($H$83,"",""),ARRAYFORMULA(ISERROR(FIND(split($H$83,"",""),CONCATENATE(E41:V41))))=TRUE))"),"СЗ,КЗ,206,210,403,406,АЗ")</f>
        <v>СЗ,КЗ,206,210,403,406,АЗ</v>
      </c>
      <c r="AC41" s="14"/>
      <c r="AD41" s="14"/>
      <c r="AE41" s="14"/>
      <c r="AF41" s="29"/>
      <c r="AG41" s="29"/>
      <c r="AH41" s="29"/>
    </row>
    <row r="42" ht="52.5" hidden="1" customHeight="1">
      <c r="A42" s="30"/>
      <c r="B42" s="31">
        <v>8.0</v>
      </c>
      <c r="C42" s="32" t="s">
        <v>98</v>
      </c>
      <c r="D42" s="32" t="s">
        <v>99</v>
      </c>
      <c r="E42" s="45" t="s">
        <v>10944</v>
      </c>
      <c r="F42" s="13"/>
      <c r="G42" s="195"/>
      <c r="H42" s="189"/>
      <c r="I42" s="190"/>
      <c r="J42" s="44" t="s">
        <v>10945</v>
      </c>
      <c r="K42" s="44" t="s">
        <v>10946</v>
      </c>
      <c r="L42" s="45" t="s">
        <v>10947</v>
      </c>
      <c r="M42" s="13"/>
      <c r="N42" s="87" t="s">
        <v>10948</v>
      </c>
      <c r="O42" s="13"/>
      <c r="P42" s="45" t="s">
        <v>10949</v>
      </c>
      <c r="Q42" s="13"/>
      <c r="R42" s="166"/>
      <c r="S42" s="13"/>
      <c r="T42" s="165" t="s">
        <v>10950</v>
      </c>
      <c r="U42" s="36"/>
      <c r="V42" s="41"/>
      <c r="W42" s="26"/>
      <c r="X42" s="42" t="s">
        <v>98</v>
      </c>
      <c r="Y42" s="42" t="s">
        <v>99</v>
      </c>
      <c r="Z42" s="11"/>
      <c r="AA42" s="14"/>
      <c r="AB42" s="15" t="str">
        <f>IFERROR(__xludf.DUMMYFUNCTION("join("","",filter(split($H$83,"",""),ARRAYFORMULA(ISERROR(FIND(split($H$83,"",""),CONCATENATE(E42:V42))))=TRUE))"),"СЗ,КЗ,206,210,402,403,404,405,406,410,АЗ")</f>
        <v>СЗ,КЗ,206,210,402,403,404,405,406,410,АЗ</v>
      </c>
      <c r="AC42" s="14"/>
      <c r="AD42" s="14"/>
      <c r="AE42" s="14"/>
      <c r="AF42" s="29"/>
      <c r="AG42" s="29"/>
      <c r="AH42" s="29"/>
    </row>
    <row r="43" ht="40.5" hidden="1" customHeight="1">
      <c r="A43" s="30"/>
      <c r="B43" s="31">
        <v>9.0</v>
      </c>
      <c r="C43" s="65">
        <v>44697.0</v>
      </c>
      <c r="D43" s="44" t="s">
        <v>109</v>
      </c>
      <c r="E43" s="167" t="s">
        <v>10951</v>
      </c>
      <c r="F43" s="4"/>
      <c r="G43" s="168"/>
      <c r="H43" s="169" t="s">
        <v>10952</v>
      </c>
      <c r="I43" s="36"/>
      <c r="J43" s="13"/>
      <c r="K43" s="170"/>
      <c r="L43" s="4"/>
      <c r="M43" s="171"/>
      <c r="N43" s="45"/>
      <c r="O43" s="13"/>
      <c r="P43" s="33"/>
      <c r="Q43" s="172" t="s">
        <v>390</v>
      </c>
      <c r="R43" s="8"/>
      <c r="S43" s="8"/>
      <c r="T43" s="8"/>
      <c r="U43" s="8"/>
      <c r="V43" s="129"/>
      <c r="W43" s="26"/>
      <c r="X43" s="69">
        <v>44697.0</v>
      </c>
      <c r="Y43" s="70" t="s">
        <v>109</v>
      </c>
      <c r="Z43" s="28"/>
      <c r="AA43" s="14"/>
      <c r="AB43" s="15" t="str">
        <f>IFERROR(__xludf.DUMMYFUNCTION("join("","",filter(split($H$83,"",""),ARRAYFORMULA(ISERROR(FIND(split($H$83,"",""),CONCATENATE(E43:V43))))=TRUE))"),"СЗ,КЗ,202,206,209,210,401,403,404,405,406,408,409,АЗ")</f>
        <v>СЗ,КЗ,202,206,209,210,401,403,404,405,406,408,409,АЗ</v>
      </c>
      <c r="AC43" s="14"/>
      <c r="AD43" s="14"/>
      <c r="AE43" s="14"/>
      <c r="AF43" s="29"/>
      <c r="AG43" s="29"/>
      <c r="AH43" s="29"/>
    </row>
    <row r="44" ht="40.5" hidden="1" customHeight="1">
      <c r="A44" s="30"/>
      <c r="B44" s="31">
        <v>10.0</v>
      </c>
      <c r="C44" s="44" t="s">
        <v>120</v>
      </c>
      <c r="D44" s="44" t="s">
        <v>121</v>
      </c>
      <c r="E44" s="104"/>
      <c r="F44" s="72"/>
      <c r="G44" s="173"/>
      <c r="H44" s="169" t="s">
        <v>10953</v>
      </c>
      <c r="I44" s="36"/>
      <c r="J44" s="13"/>
      <c r="K44" s="104"/>
      <c r="L44" s="72"/>
      <c r="M44" s="171"/>
      <c r="N44" s="45"/>
      <c r="O44" s="13"/>
      <c r="P44" s="33"/>
      <c r="Q44" s="104"/>
      <c r="R44" s="64"/>
      <c r="S44" s="64"/>
      <c r="T44" s="64"/>
      <c r="U44" s="64"/>
      <c r="V44" s="88"/>
      <c r="W44" s="26"/>
      <c r="X44" s="70" t="s">
        <v>120</v>
      </c>
      <c r="Y44" s="70" t="s">
        <v>121</v>
      </c>
      <c r="Z44" s="28"/>
      <c r="AA44" s="14"/>
      <c r="AB44" s="15" t="str">
        <f>IFERROR(__xludf.DUMMYFUNCTION("join("","",filter(split($H$83,"",""),ARRAYFORMULA(ISERROR(FIND(split($H$83,"",""),CONCATENATE(E44:V44))))=TRUE))"),"СЗ,КЗ,201,202,206,209,210,401,403,404,405,406,408,409,410,АЗ")</f>
        <v>СЗ,КЗ,201,202,206,209,210,401,403,404,405,406,408,409,410,АЗ</v>
      </c>
      <c r="AC44" s="14"/>
      <c r="AD44" s="14"/>
      <c r="AE44" s="14"/>
      <c r="AF44" s="29"/>
      <c r="AG44" s="29"/>
      <c r="AH44" s="29"/>
    </row>
    <row r="45" ht="40.5" hidden="1" customHeight="1">
      <c r="A45" s="74"/>
      <c r="B45" s="75">
        <v>11.0</v>
      </c>
      <c r="C45" s="76" t="s">
        <v>124</v>
      </c>
      <c r="D45" s="76" t="s">
        <v>125</v>
      </c>
      <c r="E45" s="111"/>
      <c r="F45" s="111"/>
      <c r="G45" s="111"/>
      <c r="H45" s="111"/>
      <c r="I45" s="225"/>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7.25" customHeight="1">
      <c r="A46" s="689">
        <v>45044.0</v>
      </c>
      <c r="B46" s="19">
        <v>1.0</v>
      </c>
      <c r="C46" s="20" t="s">
        <v>12</v>
      </c>
      <c r="D46" s="20" t="s">
        <v>13</v>
      </c>
      <c r="E46" s="156" t="s">
        <v>10954</v>
      </c>
      <c r="F46" s="156" t="s">
        <v>10955</v>
      </c>
      <c r="G46" s="80" t="s">
        <v>10956</v>
      </c>
      <c r="H46" s="25"/>
      <c r="I46" s="174" t="s">
        <v>10957</v>
      </c>
      <c r="J46" s="175" t="s">
        <v>10958</v>
      </c>
      <c r="K46" s="25"/>
      <c r="L46" s="80" t="s">
        <v>10959</v>
      </c>
      <c r="M46" s="25"/>
      <c r="N46" s="156" t="s">
        <v>10960</v>
      </c>
      <c r="O46" s="156" t="s">
        <v>10961</v>
      </c>
      <c r="P46" s="80" t="s">
        <v>10962</v>
      </c>
      <c r="Q46" s="25"/>
      <c r="R46" s="879" t="s">
        <v>10963</v>
      </c>
      <c r="S46" s="245"/>
      <c r="T46" s="80" t="s">
        <v>10964</v>
      </c>
      <c r="U46" s="24"/>
      <c r="V46" s="22"/>
      <c r="W46" s="26"/>
      <c r="X46" s="27" t="s">
        <v>12</v>
      </c>
      <c r="Y46" s="27" t="s">
        <v>13</v>
      </c>
      <c r="Z46" s="28"/>
      <c r="AA46" s="14"/>
      <c r="AB46" s="15" t="str">
        <f>IFERROR(__xludf.DUMMYFUNCTION("join("","",filter(split($H$83,"",""),ARRAYFORMULA(ISERROR(FIND(split($H$83,"",""),CONCATENATE(E46:V46))))=TRUE))"),"СЗ,206,402,409,410")</f>
        <v>СЗ,206,402,409,410</v>
      </c>
      <c r="AC46" s="14"/>
      <c r="AD46" s="14"/>
      <c r="AE46" s="14"/>
      <c r="AF46" s="29"/>
      <c r="AG46" s="29"/>
      <c r="AH46" s="29"/>
    </row>
    <row r="47" ht="40.5" customHeight="1">
      <c r="A47" s="30"/>
      <c r="B47" s="31">
        <v>2.0</v>
      </c>
      <c r="C47" s="32" t="s">
        <v>21</v>
      </c>
      <c r="D47" s="32" t="s">
        <v>22</v>
      </c>
      <c r="E47" s="44" t="s">
        <v>10965</v>
      </c>
      <c r="F47" s="44" t="s">
        <v>10966</v>
      </c>
      <c r="G47" s="45" t="s">
        <v>10967</v>
      </c>
      <c r="H47" s="13"/>
      <c r="I47" s="173"/>
      <c r="J47" s="157" t="s">
        <v>10968</v>
      </c>
      <c r="K47" s="13"/>
      <c r="L47" s="80" t="s">
        <v>10969</v>
      </c>
      <c r="M47" s="25"/>
      <c r="N47" s="44" t="s">
        <v>10970</v>
      </c>
      <c r="O47" s="44" t="s">
        <v>10971</v>
      </c>
      <c r="P47" s="45" t="s">
        <v>10972</v>
      </c>
      <c r="Q47" s="13"/>
      <c r="R47" s="104"/>
      <c r="S47" s="72"/>
      <c r="T47" s="80" t="s">
        <v>10973</v>
      </c>
      <c r="U47" s="24"/>
      <c r="V47" s="22"/>
      <c r="W47" s="26"/>
      <c r="X47" s="42" t="s">
        <v>21</v>
      </c>
      <c r="Y47" s="42" t="s">
        <v>22</v>
      </c>
      <c r="Z47" s="28"/>
      <c r="AA47" s="14"/>
      <c r="AB47" s="15" t="str">
        <f>IFERROR(__xludf.DUMMYFUNCTION("join("","",filter(split($H$83,"",""),ARRAYFORMULA(ISERROR(FIND(split($H$83,"",""),CONCATENATE(E47:V47))))=TRUE))"),"СЗ,206,402,406,408,409,410,АЗ")</f>
        <v>СЗ,206,402,406,408,409,410,АЗ</v>
      </c>
      <c r="AC47" s="14"/>
      <c r="AD47" s="14"/>
      <c r="AE47" s="14"/>
      <c r="AF47" s="29"/>
      <c r="AG47" s="29"/>
      <c r="AH47" s="29"/>
    </row>
    <row r="48" ht="40.5" customHeight="1">
      <c r="A48" s="30"/>
      <c r="B48" s="31">
        <v>3.0</v>
      </c>
      <c r="C48" s="32" t="s">
        <v>33</v>
      </c>
      <c r="D48" s="32" t="s">
        <v>34</v>
      </c>
      <c r="E48" s="40" t="s">
        <v>10974</v>
      </c>
      <c r="F48" s="13"/>
      <c r="G48" s="880" t="s">
        <v>10975</v>
      </c>
      <c r="H48" s="8"/>
      <c r="I48" s="4"/>
      <c r="J48" s="44" t="s">
        <v>10976</v>
      </c>
      <c r="K48" s="44" t="s">
        <v>10977</v>
      </c>
      <c r="L48" s="44" t="s">
        <v>10978</v>
      </c>
      <c r="M48" s="44" t="s">
        <v>10979</v>
      </c>
      <c r="N48" s="426" t="s">
        <v>10980</v>
      </c>
      <c r="O48" s="8"/>
      <c r="P48" s="8"/>
      <c r="Q48" s="8"/>
      <c r="R48" s="8"/>
      <c r="S48" s="4"/>
      <c r="T48" s="45" t="s">
        <v>10981</v>
      </c>
      <c r="U48" s="36"/>
      <c r="V48" s="41"/>
      <c r="W48" s="26"/>
      <c r="X48" s="42" t="s">
        <v>33</v>
      </c>
      <c r="Y48" s="42" t="s">
        <v>34</v>
      </c>
      <c r="Z48" s="48" t="s">
        <v>47</v>
      </c>
      <c r="AA48" s="85" t="str">
        <f>AA$5</f>
        <v/>
      </c>
      <c r="AB48" s="15" t="str">
        <f>IFERROR(__xludf.DUMMYFUNCTION("join("","",filter(split($H$83,"",""),ARRAYFORMULA(ISERROR(FIND(split($H$83,"",""),CONCATENATE(E48:V48))))=TRUE))"),"СЗ,КЗ,202,206,209,401,402,406,409,410")</f>
        <v>СЗ,КЗ,202,206,209,401,402,406,409,410</v>
      </c>
      <c r="AC48" s="14"/>
      <c r="AD48" s="14"/>
      <c r="AE48" s="14"/>
      <c r="AF48" s="29"/>
      <c r="AG48" s="29"/>
      <c r="AH48" s="29"/>
    </row>
    <row r="49" ht="40.5" customHeight="1">
      <c r="A49" s="30"/>
      <c r="B49" s="31">
        <v>4.0</v>
      </c>
      <c r="C49" s="32" t="s">
        <v>48</v>
      </c>
      <c r="D49" s="32" t="s">
        <v>49</v>
      </c>
      <c r="E49" s="40" t="s">
        <v>10982</v>
      </c>
      <c r="F49" s="13"/>
      <c r="G49" s="104"/>
      <c r="H49" s="64"/>
      <c r="I49" s="72"/>
      <c r="J49" s="44" t="s">
        <v>10983</v>
      </c>
      <c r="K49" s="44" t="s">
        <v>10984</v>
      </c>
      <c r="L49" s="44" t="s">
        <v>10985</v>
      </c>
      <c r="M49" s="44" t="s">
        <v>10986</v>
      </c>
      <c r="N49" s="104"/>
      <c r="O49" s="64"/>
      <c r="P49" s="64"/>
      <c r="Q49" s="64"/>
      <c r="R49" s="64"/>
      <c r="S49" s="72"/>
      <c r="T49" s="45" t="s">
        <v>10987</v>
      </c>
      <c r="U49" s="36"/>
      <c r="V49" s="41"/>
      <c r="W49" s="26"/>
      <c r="X49" s="42" t="s">
        <v>48</v>
      </c>
      <c r="Y49" s="42" t="s">
        <v>49</v>
      </c>
      <c r="Z49" s="48" t="s">
        <v>57</v>
      </c>
      <c r="AA49" s="85" t="str">
        <f>AA$6</f>
        <v/>
      </c>
      <c r="AB49" s="15" t="str">
        <f>IFERROR(__xludf.DUMMYFUNCTION("join("","",filter(split($H$83,"",""),ARRAYFORMULA(ISERROR(FIND(split($H$83,"",""),CONCATENATE(E49:V49))))=TRUE))"),"СЗ,КЗ,201,202,206,209,401,406,409,410,АЗ")</f>
        <v>СЗ,КЗ,201,202,206,209,401,406,409,410,АЗ</v>
      </c>
      <c r="AC49" s="14"/>
      <c r="AD49" s="14"/>
      <c r="AE49" s="14"/>
      <c r="AF49" s="29"/>
      <c r="AG49" s="29"/>
      <c r="AH49" s="29"/>
    </row>
    <row r="50" ht="40.5" customHeight="1">
      <c r="A50" s="30"/>
      <c r="B50" s="31">
        <v>5.0</v>
      </c>
      <c r="C50" s="32" t="s">
        <v>58</v>
      </c>
      <c r="D50" s="53">
        <v>44847.0</v>
      </c>
      <c r="E50" s="45" t="s">
        <v>10988</v>
      </c>
      <c r="F50" s="13"/>
      <c r="G50" s="44" t="s">
        <v>10989</v>
      </c>
      <c r="H50" s="44" t="s">
        <v>10990</v>
      </c>
      <c r="I50" s="44" t="s">
        <v>10991</v>
      </c>
      <c r="J50" s="45" t="s">
        <v>10992</v>
      </c>
      <c r="K50" s="13"/>
      <c r="L50" s="45" t="s">
        <v>10993</v>
      </c>
      <c r="M50" s="13"/>
      <c r="N50" s="177" t="s">
        <v>10994</v>
      </c>
      <c r="O50" s="124" t="s">
        <v>10995</v>
      </c>
      <c r="P50" s="45" t="s">
        <v>10996</v>
      </c>
      <c r="Q50" s="13"/>
      <c r="R50" s="97" t="s">
        <v>10997</v>
      </c>
      <c r="S50" s="133" t="s">
        <v>10998</v>
      </c>
      <c r="T50" s="45" t="s">
        <v>10999</v>
      </c>
      <c r="U50" s="36"/>
      <c r="V50" s="41"/>
      <c r="W50" s="26"/>
      <c r="X50" s="42" t="s">
        <v>58</v>
      </c>
      <c r="Y50" s="54">
        <v>44847.0</v>
      </c>
      <c r="Z50" s="48" t="s">
        <v>70</v>
      </c>
      <c r="AA50" s="85" t="str">
        <f>AA$7</f>
        <v/>
      </c>
      <c r="AB50" s="15" t="str">
        <f>IFERROR(__xludf.DUMMYFUNCTION("join("","",filter(split($H$83,"",""),ARRAYFORMULA(ISERROR(FIND(split($H$83,"",""),CONCATENATE(E50:V50))))=TRUE))"),"СЗ,КЗ,206,401,404,406,408,410")</f>
        <v>СЗ,КЗ,206,401,404,406,408,410</v>
      </c>
      <c r="AC50" s="14"/>
      <c r="AD50" s="14"/>
      <c r="AE50" s="14"/>
      <c r="AF50" s="29"/>
      <c r="AG50" s="29"/>
      <c r="AH50" s="29"/>
    </row>
    <row r="51" ht="48.75" customHeight="1">
      <c r="A51" s="30"/>
      <c r="B51" s="31">
        <v>6.0</v>
      </c>
      <c r="C51" s="55" t="s">
        <v>71</v>
      </c>
      <c r="D51" s="56" t="s">
        <v>72</v>
      </c>
      <c r="E51" s="45" t="s">
        <v>11000</v>
      </c>
      <c r="F51" s="13"/>
      <c r="G51" s="44" t="s">
        <v>11001</v>
      </c>
      <c r="H51" s="44" t="s">
        <v>11002</v>
      </c>
      <c r="I51" s="44" t="s">
        <v>11003</v>
      </c>
      <c r="J51" s="45" t="s">
        <v>11004</v>
      </c>
      <c r="K51" s="13"/>
      <c r="L51" s="45" t="s">
        <v>11005</v>
      </c>
      <c r="M51" s="13"/>
      <c r="N51" s="177" t="s">
        <v>11006</v>
      </c>
      <c r="O51" s="124" t="s">
        <v>11007</v>
      </c>
      <c r="P51" s="45" t="s">
        <v>11008</v>
      </c>
      <c r="Q51" s="13"/>
      <c r="R51" s="162" t="s">
        <v>11009</v>
      </c>
      <c r="S51" s="178" t="s">
        <v>11010</v>
      </c>
      <c r="T51" s="44" t="s">
        <v>11011</v>
      </c>
      <c r="U51" s="44" t="s">
        <v>11012</v>
      </c>
      <c r="V51" s="34"/>
      <c r="W51" s="179"/>
      <c r="X51" s="58" t="s">
        <v>71</v>
      </c>
      <c r="Y51" s="59" t="s">
        <v>72</v>
      </c>
      <c r="Z51" s="48" t="s">
        <v>84</v>
      </c>
      <c r="AA51" s="85"/>
      <c r="AB51" s="15" t="str">
        <f>IFERROR(__xludf.DUMMYFUNCTION("join("","",filter(split($H$83,"",""),ARRAYFORMULA(ISERROR(FIND(split($H$83,"",""),CONCATENATE(E51:V51))))=TRUE))"),"СЗ,206,404,406,410")</f>
        <v>СЗ,206,404,406,410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11013</v>
      </c>
      <c r="F52" s="13"/>
      <c r="G52" s="44" t="s">
        <v>11014</v>
      </c>
      <c r="H52" s="44" t="s">
        <v>11015</v>
      </c>
      <c r="I52" s="44" t="s">
        <v>11016</v>
      </c>
      <c r="J52" s="45" t="s">
        <v>11017</v>
      </c>
      <c r="K52" s="13"/>
      <c r="L52" s="45" t="s">
        <v>11018</v>
      </c>
      <c r="M52" s="13"/>
      <c r="N52" s="86" t="s">
        <v>11019</v>
      </c>
      <c r="O52" s="13"/>
      <c r="P52" s="124" t="s">
        <v>11020</v>
      </c>
      <c r="Q52" s="37" t="s">
        <v>11021</v>
      </c>
      <c r="R52" s="180" t="s">
        <v>11022</v>
      </c>
      <c r="S52" s="181" t="s">
        <v>11023</v>
      </c>
      <c r="T52" s="44" t="s">
        <v>472</v>
      </c>
      <c r="U52" s="44"/>
      <c r="V52" s="34"/>
      <c r="W52" s="26"/>
      <c r="X52" s="42" t="s">
        <v>85</v>
      </c>
      <c r="Y52" s="42" t="s">
        <v>86</v>
      </c>
      <c r="Z52" s="48" t="s">
        <v>97</v>
      </c>
      <c r="AA52" s="85" t="str">
        <f>AA$9</f>
        <v/>
      </c>
      <c r="AB52" s="15" t="str">
        <f>IFERROR(__xludf.DUMMYFUNCTION("join("","",filter(split($H$83,"",""),ARRAYFORMULA(ISERROR(FIND(split($H$83,"",""),CONCATENATE(E52:V52))))=TRUE))"),"СЗ,206,404,410")</f>
        <v>СЗ,206,404,410</v>
      </c>
      <c r="AC52" s="14"/>
      <c r="AD52" s="14"/>
      <c r="AE52" s="14"/>
      <c r="AF52" s="29"/>
      <c r="AG52" s="29"/>
      <c r="AH52" s="29"/>
    </row>
    <row r="53" ht="51.75" customHeight="1">
      <c r="A53" s="30"/>
      <c r="B53" s="31">
        <v>8.0</v>
      </c>
      <c r="C53" s="32" t="s">
        <v>98</v>
      </c>
      <c r="D53" s="32" t="s">
        <v>99</v>
      </c>
      <c r="E53" s="44" t="s">
        <v>11024</v>
      </c>
      <c r="F53" s="44" t="s">
        <v>11025</v>
      </c>
      <c r="G53" s="416" t="s">
        <v>1913</v>
      </c>
      <c r="H53" s="86" t="s">
        <v>11026</v>
      </c>
      <c r="I53" s="13"/>
      <c r="J53" s="45" t="s">
        <v>11027</v>
      </c>
      <c r="K53" s="13"/>
      <c r="L53" s="45" t="s">
        <v>11028</v>
      </c>
      <c r="M53" s="13"/>
      <c r="N53" s="182"/>
      <c r="O53" s="177" t="s">
        <v>11029</v>
      </c>
      <c r="P53" s="124" t="s">
        <v>11030</v>
      </c>
      <c r="Q53" s="37" t="s">
        <v>160</v>
      </c>
      <c r="R53" s="183" t="s">
        <v>11031</v>
      </c>
      <c r="S53" s="181" t="s">
        <v>11032</v>
      </c>
      <c r="T53" s="144"/>
      <c r="U53" s="144"/>
      <c r="V53" s="184"/>
      <c r="W53" s="26"/>
      <c r="X53" s="42" t="s">
        <v>98</v>
      </c>
      <c r="Y53" s="42" t="s">
        <v>99</v>
      </c>
      <c r="Z53" s="11"/>
      <c r="AA53" s="14"/>
      <c r="AB53" s="15" t="str">
        <f>IFERROR(__xludf.DUMMYFUNCTION("join("","",filter(split($H$83,"",""),ARRAYFORMULA(ISERROR(FIND(split($H$83,"",""),CONCATENATE(E53:V53))))=TRUE))"),"СЗ,201,206,404,405,408,410")</f>
        <v>СЗ,201,206,404,405,408,410</v>
      </c>
      <c r="AC53" s="14"/>
      <c r="AD53" s="14"/>
      <c r="AE53" s="14"/>
      <c r="AF53" s="29"/>
      <c r="AG53" s="29"/>
      <c r="AH53" s="29"/>
    </row>
    <row r="54" ht="71.25" customHeight="1">
      <c r="A54" s="30"/>
      <c r="B54" s="31">
        <v>9.0</v>
      </c>
      <c r="C54" s="65">
        <v>44697.0</v>
      </c>
      <c r="D54" s="44" t="s">
        <v>109</v>
      </c>
      <c r="E54" s="187" t="s">
        <v>480</v>
      </c>
      <c r="F54" s="8"/>
      <c r="G54" s="8"/>
      <c r="H54" s="8"/>
      <c r="I54" s="8"/>
      <c r="J54" s="8"/>
      <c r="K54" s="8"/>
      <c r="L54" s="8"/>
      <c r="M54" s="8"/>
      <c r="N54" s="163"/>
      <c r="O54" s="177" t="s">
        <v>9846</v>
      </c>
      <c r="P54" s="187" t="s">
        <v>480</v>
      </c>
      <c r="Q54" s="8"/>
      <c r="R54" s="8"/>
      <c r="S54" s="8"/>
      <c r="T54" s="8"/>
      <c r="U54" s="8"/>
      <c r="V54" s="8"/>
      <c r="W54" s="186"/>
      <c r="X54" s="69">
        <v>44697.0</v>
      </c>
      <c r="Y54" s="70" t="s">
        <v>109</v>
      </c>
      <c r="Z54" s="28"/>
      <c r="AA54" s="14"/>
      <c r="AB54" s="15" t="str">
        <f>IFERROR(__xludf.DUMMYFUNCTION("join("","",filter(split($H$83,"",""),ARRAYFORMULA(ISERROR(FIND(split($H$83,"",""),CONCATENATE(E54:V54))))=TRUE))"),"206,209,403,404,405,408,409,410,АЗ")</f>
        <v>206,209,403,404,405,408,409,410,АЗ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689">
        <v>45045.0</v>
      </c>
      <c r="B57" s="191">
        <v>1.0</v>
      </c>
      <c r="C57" s="192" t="str">
        <f>D$1</f>
        <v/>
      </c>
      <c r="D57" s="72"/>
      <c r="E57" s="193"/>
      <c r="F57" s="193"/>
      <c r="J57" s="195"/>
      <c r="K57" s="64"/>
      <c r="L57" s="64"/>
      <c r="M57" s="72"/>
      <c r="N57" s="193"/>
      <c r="O57" s="177"/>
      <c r="P57" s="187"/>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208" t="s">
        <v>11033</v>
      </c>
      <c r="F58" s="36"/>
      <c r="G58" s="36"/>
      <c r="H58" s="36"/>
      <c r="I58" s="13"/>
      <c r="J58" s="15"/>
      <c r="K58" s="15"/>
      <c r="L58" s="15"/>
      <c r="M58" s="15"/>
      <c r="N58" s="15"/>
      <c r="O58" s="177"/>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94" t="s">
        <v>11034</v>
      </c>
      <c r="H59" s="64"/>
      <c r="I59" s="72"/>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67">
    <mergeCell ref="E32:F32"/>
    <mergeCell ref="E33:F33"/>
    <mergeCell ref="A24:A34"/>
    <mergeCell ref="A35:A45"/>
    <mergeCell ref="A46:A56"/>
    <mergeCell ref="A57:A67"/>
    <mergeCell ref="E21:F22"/>
    <mergeCell ref="G21:G22"/>
    <mergeCell ref="E24:F24"/>
    <mergeCell ref="E25:F25"/>
    <mergeCell ref="E26:F26"/>
    <mergeCell ref="E31:F31"/>
    <mergeCell ref="E34:F34"/>
    <mergeCell ref="E35:F35"/>
    <mergeCell ref="E36:F36"/>
    <mergeCell ref="E37:F37"/>
    <mergeCell ref="E38:F38"/>
    <mergeCell ref="E39:F39"/>
    <mergeCell ref="E40:F40"/>
    <mergeCell ref="E41:F41"/>
    <mergeCell ref="E48:F48"/>
    <mergeCell ref="E49:F49"/>
    <mergeCell ref="E50:F50"/>
    <mergeCell ref="E51:F51"/>
    <mergeCell ref="E52:F52"/>
    <mergeCell ref="C57:D57"/>
    <mergeCell ref="H53:I53"/>
    <mergeCell ref="E58:I58"/>
    <mergeCell ref="G59:I59"/>
    <mergeCell ref="E42:F42"/>
    <mergeCell ref="E43:F44"/>
    <mergeCell ref="G43:G44"/>
    <mergeCell ref="G46:H46"/>
    <mergeCell ref="I46:I47"/>
    <mergeCell ref="G47:H47"/>
    <mergeCell ref="G48:I49"/>
    <mergeCell ref="E16:F16"/>
    <mergeCell ref="G16:I16"/>
    <mergeCell ref="E17:F17"/>
    <mergeCell ref="H17:I17"/>
    <mergeCell ref="E18:F18"/>
    <mergeCell ref="H18:I18"/>
    <mergeCell ref="E19:F19"/>
    <mergeCell ref="H19:I19"/>
    <mergeCell ref="E20:F20"/>
    <mergeCell ref="H20:I20"/>
    <mergeCell ref="E10:F10"/>
    <mergeCell ref="H10:I10"/>
    <mergeCell ref="A13:A23"/>
    <mergeCell ref="E13:F13"/>
    <mergeCell ref="H13:I13"/>
    <mergeCell ref="E14:F14"/>
    <mergeCell ref="H14:I14"/>
    <mergeCell ref="G31:I32"/>
    <mergeCell ref="G35:I37"/>
    <mergeCell ref="H38:I38"/>
    <mergeCell ref="H39:I39"/>
    <mergeCell ref="H40:I40"/>
    <mergeCell ref="H41:I41"/>
    <mergeCell ref="H24:I24"/>
    <mergeCell ref="H25:I25"/>
    <mergeCell ref="G26:I26"/>
    <mergeCell ref="G27:I27"/>
    <mergeCell ref="G28:H28"/>
    <mergeCell ref="G29:H29"/>
    <mergeCell ref="G30:H30"/>
    <mergeCell ref="T38:V38"/>
    <mergeCell ref="T39:V39"/>
    <mergeCell ref="T41:V41"/>
    <mergeCell ref="T42:V42"/>
    <mergeCell ref="P39:Q39"/>
    <mergeCell ref="P40:Q40"/>
    <mergeCell ref="P41:Q41"/>
    <mergeCell ref="P42:Q42"/>
    <mergeCell ref="R42:S42"/>
    <mergeCell ref="Q43:V44"/>
    <mergeCell ref="R46:S47"/>
    <mergeCell ref="J53:K53"/>
    <mergeCell ref="L53:M53"/>
    <mergeCell ref="E54:M55"/>
    <mergeCell ref="P54:V55"/>
    <mergeCell ref="J57:M57"/>
    <mergeCell ref="P57:S58"/>
    <mergeCell ref="X57:Y57"/>
    <mergeCell ref="K66:L66"/>
    <mergeCell ref="K67:L67"/>
    <mergeCell ref="K68:L68"/>
    <mergeCell ref="J50:K50"/>
    <mergeCell ref="J51:K51"/>
    <mergeCell ref="L51:M51"/>
    <mergeCell ref="P51:Q51"/>
    <mergeCell ref="J52:K52"/>
    <mergeCell ref="L52:M52"/>
    <mergeCell ref="N52:O52"/>
    <mergeCell ref="J30:K30"/>
    <mergeCell ref="L30:M30"/>
    <mergeCell ref="N30:O30"/>
    <mergeCell ref="J31:M31"/>
    <mergeCell ref="N31:O31"/>
    <mergeCell ref="P31:Q32"/>
    <mergeCell ref="N32:O32"/>
    <mergeCell ref="J32:M32"/>
    <mergeCell ref="G33:Q34"/>
    <mergeCell ref="J35:K35"/>
    <mergeCell ref="T35:V35"/>
    <mergeCell ref="J36:K36"/>
    <mergeCell ref="N36:O36"/>
    <mergeCell ref="T36:V36"/>
    <mergeCell ref="J37:K37"/>
    <mergeCell ref="N37:Q37"/>
    <mergeCell ref="T37:V37"/>
    <mergeCell ref="J38:K38"/>
    <mergeCell ref="N38:Q38"/>
    <mergeCell ref="L39:M39"/>
    <mergeCell ref="T40:V40"/>
    <mergeCell ref="L40:M40"/>
    <mergeCell ref="L41:M41"/>
    <mergeCell ref="N41:O41"/>
    <mergeCell ref="L42:M42"/>
    <mergeCell ref="N42:O42"/>
    <mergeCell ref="K43:L44"/>
    <mergeCell ref="N43:O43"/>
    <mergeCell ref="N44:O44"/>
    <mergeCell ref="P46:Q46"/>
    <mergeCell ref="T46:V46"/>
    <mergeCell ref="P47:Q47"/>
    <mergeCell ref="T47:V47"/>
    <mergeCell ref="N48:S49"/>
    <mergeCell ref="T48:V48"/>
    <mergeCell ref="T49:V49"/>
    <mergeCell ref="P50:Q50"/>
    <mergeCell ref="T50:V50"/>
    <mergeCell ref="H43:J43"/>
    <mergeCell ref="H44:J44"/>
    <mergeCell ref="J46:K46"/>
    <mergeCell ref="L46:M46"/>
    <mergeCell ref="J47:K47"/>
    <mergeCell ref="L47:M47"/>
    <mergeCell ref="L50:M50"/>
    <mergeCell ref="T1:V1"/>
    <mergeCell ref="X1:Y1"/>
    <mergeCell ref="E1:F1"/>
    <mergeCell ref="E2:F2"/>
    <mergeCell ref="G2:I2"/>
    <mergeCell ref="J2:M2"/>
    <mergeCell ref="N2:O2"/>
    <mergeCell ref="P2:Q2"/>
    <mergeCell ref="T2:V2"/>
    <mergeCell ref="J3:K3"/>
    <mergeCell ref="L3:M3"/>
    <mergeCell ref="N3:O3"/>
    <mergeCell ref="P3:Q3"/>
    <mergeCell ref="T3:V3"/>
    <mergeCell ref="R9:V9"/>
    <mergeCell ref="S10:V10"/>
    <mergeCell ref="T11:V11"/>
    <mergeCell ref="U13:V13"/>
    <mergeCell ref="J4:K4"/>
    <mergeCell ref="L4:M4"/>
    <mergeCell ref="T4:V4"/>
    <mergeCell ref="T5:V5"/>
    <mergeCell ref="T6:V6"/>
    <mergeCell ref="U7:V7"/>
    <mergeCell ref="U8:V8"/>
    <mergeCell ref="G1:I1"/>
    <mergeCell ref="G3:I3"/>
    <mergeCell ref="N4:O4"/>
    <mergeCell ref="P4:Q4"/>
    <mergeCell ref="N1:O1"/>
    <mergeCell ref="N5:O5"/>
    <mergeCell ref="P5:Q5"/>
    <mergeCell ref="R5:S5"/>
    <mergeCell ref="N6:O6"/>
    <mergeCell ref="P6:Q6"/>
    <mergeCell ref="N7:O7"/>
    <mergeCell ref="P7:Q7"/>
    <mergeCell ref="R7:S7"/>
    <mergeCell ref="N8:O8"/>
    <mergeCell ref="G5:I8"/>
    <mergeCell ref="J7:M7"/>
    <mergeCell ref="J8:M8"/>
    <mergeCell ref="P8:Q8"/>
    <mergeCell ref="R8:S8"/>
    <mergeCell ref="H9:I9"/>
    <mergeCell ref="J9:K9"/>
    <mergeCell ref="L9:M9"/>
    <mergeCell ref="N9:O9"/>
    <mergeCell ref="N10:O10"/>
    <mergeCell ref="E11:S11"/>
    <mergeCell ref="C1:D1"/>
    <mergeCell ref="J1:M1"/>
    <mergeCell ref="P1:Q1"/>
    <mergeCell ref="R1:S1"/>
    <mergeCell ref="A2:A12"/>
    <mergeCell ref="R2:S2"/>
    <mergeCell ref="R6:S6"/>
    <mergeCell ref="E15:F15"/>
    <mergeCell ref="G15:I15"/>
    <mergeCell ref="J17:K17"/>
    <mergeCell ref="J18:K18"/>
    <mergeCell ref="L18:M18"/>
    <mergeCell ref="N18:O18"/>
    <mergeCell ref="L19:M19"/>
    <mergeCell ref="N19:O19"/>
    <mergeCell ref="P19:Q19"/>
    <mergeCell ref="J19:K19"/>
    <mergeCell ref="J20:K20"/>
    <mergeCell ref="L20:M20"/>
    <mergeCell ref="N20:O20"/>
    <mergeCell ref="P20:Q20"/>
    <mergeCell ref="H21:M21"/>
    <mergeCell ref="N21:O21"/>
    <mergeCell ref="R25:S25"/>
    <mergeCell ref="R26:S26"/>
    <mergeCell ref="J25:K25"/>
    <mergeCell ref="L25:M25"/>
    <mergeCell ref="N25:O25"/>
    <mergeCell ref="P25:Q25"/>
    <mergeCell ref="J26:K26"/>
    <mergeCell ref="L26:M26"/>
    <mergeCell ref="N26:O26"/>
    <mergeCell ref="J29:K29"/>
    <mergeCell ref="L29:M29"/>
    <mergeCell ref="N29:O29"/>
    <mergeCell ref="J27:K27"/>
    <mergeCell ref="L27:M27"/>
    <mergeCell ref="N27:O27"/>
    <mergeCell ref="P27:Q27"/>
    <mergeCell ref="J28:K28"/>
    <mergeCell ref="L28:M28"/>
    <mergeCell ref="N28:O28"/>
    <mergeCell ref="N14:O14"/>
    <mergeCell ref="P14:Q14"/>
    <mergeCell ref="U14:V14"/>
    <mergeCell ref="T15:V15"/>
    <mergeCell ref="N13:O13"/>
    <mergeCell ref="N15:O15"/>
    <mergeCell ref="J10:K10"/>
    <mergeCell ref="L10:M10"/>
    <mergeCell ref="K13:K15"/>
    <mergeCell ref="M13:M15"/>
    <mergeCell ref="P13:Q13"/>
    <mergeCell ref="R13:S13"/>
    <mergeCell ref="R14:S14"/>
    <mergeCell ref="T18:V18"/>
    <mergeCell ref="T19:V19"/>
    <mergeCell ref="T20:V20"/>
    <mergeCell ref="T24:V32"/>
    <mergeCell ref="R29:R30"/>
    <mergeCell ref="J16:K16"/>
    <mergeCell ref="L16:M16"/>
    <mergeCell ref="N16:O16"/>
    <mergeCell ref="T16:V16"/>
    <mergeCell ref="L17:M17"/>
    <mergeCell ref="N17:O17"/>
    <mergeCell ref="T17:V17"/>
    <mergeCell ref="P21:Q21"/>
    <mergeCell ref="R21:S21"/>
    <mergeCell ref="T21:V21"/>
    <mergeCell ref="R23:V23"/>
    <mergeCell ref="H22:M22"/>
    <mergeCell ref="N22:O22"/>
    <mergeCell ref="P22:S22"/>
    <mergeCell ref="T22:V22"/>
    <mergeCell ref="J24:M24"/>
    <mergeCell ref="N24:O24"/>
    <mergeCell ref="P24:S24"/>
  </mergeCells>
  <conditionalFormatting sqref="E1:T86 U1:U31 V32:V34 U35:U86 V50:V52 W51">
    <cfRule type="containsText" dxfId="0" priority="1" operator="containsText" text="Физика">
      <formula>NOT(ISERROR(SEARCH(("Физика"),(E1))))</formula>
    </cfRule>
  </conditionalFormatting>
  <conditionalFormatting sqref="N52:O52 E54:W55">
    <cfRule type="containsText" dxfId="1" priority="2" operator="containsText" text="Шерашова">
      <formula>NOT(ISERROR(SEARCH(("Шерашова"),(N52))))</formula>
    </cfRule>
  </conditionalFormatting>
  <conditionalFormatting sqref="E2:N53 O2:O54 P2:T53 U2:U31 V32:V34 U35:U53 V50:V52 W51 O57:O58 P57 K61:L68">
    <cfRule type="containsText" dxfId="2" priority="3" operator="containsText" text="Шерашова">
      <formula>NOT(ISERROR(SEARCH(("Шерашова"),(E2))))</formula>
    </cfRule>
  </conditionalFormatting>
  <conditionalFormatting sqref="E2:N53 O2:O54 P2:T53 U2:U31 V32:V34 U35:U53 V50:V52 W51 O57:O58 P57 K61:L68">
    <cfRule type="containsText" dxfId="3" priority="4" operator="containsText" text="Англ">
      <formula>NOT(ISERROR(SEARCH(("Англ"),(E2))))</formula>
    </cfRule>
  </conditionalFormatting>
  <conditionalFormatting sqref="E2:N53 O2:O54 P2:T53 U2:U31 V32:V34 U35:U53 V50:V52 W51 O57:O58 P57 K61:L68">
    <cfRule type="containsText" dxfId="4" priority="5" operator="containsText" text="Театр">
      <formula>NOT(ISERROR(SEARCH(("Театр"),(E2))))</formula>
    </cfRule>
  </conditionalFormatting>
  <conditionalFormatting sqref="E2:N53 O2:O54 P2:T53 U2:U31 V32:V34 U35:U53 V50:V52 W51 O57:O58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8 S10:S32 T10:V45 R11:R46 F15:F17 F19:F20 E24:F30 E32:E53 F32:F45 S35:S41 S43:S45 S47 T47:T50 F48:F49 N48:N49 G50:H53 I50:I52 P50:P53 R50:S53 F52: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T24 N25:N26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K13 M13 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E32:E34">
      <formula1>IF(COUNTA(filter($E31:$W31,ARRAYFORMULA(ISERROR(FIND(join(",",filter(split($H$82,","),ARRAYFORMULA(ISERROR(FIND(split($H$82,","),#REF!)))=FALSE)),$E31:$W31))=FALSE)))&gt;1,FALSE,TRUE)</formula1>
    </dataValidation>
    <dataValidation type="custom" allowBlank="1" showDropDown="1" sqref="N3:N4 P5:P6 J7:J8 L9:L10 H38:H39 T49:T5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J31:J32 E54 P54">
      <formula1>IF(COUNTA(filter($E31:$W31,ARRAYFORMULA(ISERROR(FIND(join(",",filter(split($H$84,","),ARRAYFORMULA(ISERROR(FIND(split($H$84,","),E31)))=FALSE)),$E31:$W31))=FALSE)))&gt;1,FALSE,TRUE)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9:N30 O35 J52:J53 L52:L53 G59">
      <formula1>IF(COUNTA(filter($E7:$W7,ARRAYFORMULA(ISERROR(FIND(join(",",filter(split($H$83,","),ARRAYFORMULA(ISERROR(FIND(split($H$83,","),G9)))=FALSE)),$E7:$W7))=FALSE)))&gt;1,FALSE,TRUE)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F29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F4:F5 E6:E7 F8 E9 E24 G24:H24 G25 E26 R27:S28 E48:E49 N52:N54">
      <formula1>IF(COUNTA(filter($E5:$W5,ARRAYFORMULA(ISERROR(FIND(join(",",filter(split($H$83,","),ARRAYFORMULA(ISERROR(FIND(split($H$83,","),E4)))=FALSE)),$E5:$W5))=FALSE)))&gt;1,FALSE,TRUE)</formula1>
    </dataValidation>
    <dataValidation type="custom" allowBlank="1" showDropDown="1" sqref="N2 R2 T2 G2:G3 J2:J3 L4 P2:P4 G5 K5:M6 T5:T6 P7:P8 T7:U8 G9 H10 J9:J10 N9:N10 Q9:Q10 S10 W2:W10 E12:W12 E13:E14 H13:H14 L13:L14 G15 E17:E18 G17:G18 S17:S18 H19:H20 J15:J20 L17:L20 G21 R19:R21 T21 H22 G23:R23 J24 P25 R25 Q26 P27 E27:E28 I28 Q28 G29 F30:G30 P29:Q30 W13:W32 R33:R34 T33:W34 G35 L35:M36 P35:Q36 J37:J38 L37:N38 G38:G39 E39:E40 J39:K40 N39:P40 R37:S40 G40:H41 J41:L41 R41:T41 G42:L42 T42 E43 G43:H43 K43 Q43 H44 M43:N44 W35:W44 E45:W45 I46 F46:G47 L46:L47 N46:P47 G48 L48:M49 L51 N50:O51 I50:I52 P52 G53:H53 O53:P53 O54 N55:O55 W46:W55 E56:W56 E57:F57 J57 N57:O57 E58 E59:F59 J58:O59 E60: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 P43:P44">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E5 F6:F7 L25 F27:F28 E29:E30">
      <formula1>IF(COUNTA(filter($E7:$W7,ARRAYFORMULA(ISERROR(FIND(join(",",filter(split($H$83,","),ARRAYFORMULA(ISERROR(FIND(split($H$83,","),E4)))=FALSE)),$E7:$W7))=FALSE)))&gt;1,FALSE,TRUE)</formula1>
    </dataValidation>
    <dataValidation type="custom" allowBlank="1" showDropDown="1" sqref="P26 P28 S29:S30 S32 N48 T51:V52 P57">
      <formula1>IF(COUNTA(filter($E25:$W25,ARRAYFORMULA(ISERROR(FIND(join(",",filter(split($H$83,","),ARRAYFORMULA(ISERROR(FIND(split($H$83,","),N26)))=FALSE)),$E25:$W25))=FALSE)))&gt;1,FALSE,TRUE)</formula1>
    </dataValidation>
    <dataValidation type="custom" allowBlank="1" showDropDown="1" sqref="P13:P16 G27:G28 L27:L28 J30 N31:N32 J35:J36 N35:N36 E35:E38 T39:T40 E41:E42 P41:P42 R46 T48 K48:K49 P50:P51 E50:E52 Q52:Q53">
      <formula1>IF(COUNTA(filter(#REF!,ARRAYFORMULA(ISERROR(FIND(join(",",filter(split($H$83,","),ARRAYFORMULA(ISERROR(FIND(split($H$83,","),E13)))=FALSE)),#REF!))=FALSE)))&gt;1,FALSE,TRUE)</formula1>
    </dataValidation>
    <dataValidation type="custom" allowBlank="1" showDropDown="1" sqref="T19:T20 T46:T47">
      <formula1>IF(COUNTA(filter($E25:$W25,ARRAYFORMULA(ISERROR(FIND(join(",",filter(split($H$83,","),ARRAYFORMULA(ISERROR(FIND(split($H$83,","),T19)))=FALSE)),$E25:$W25))=FALSE)))&gt;1,FALSE,TRUE)</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18">
        <v>45047.0</v>
      </c>
      <c r="B2" s="19">
        <v>1.0</v>
      </c>
      <c r="C2" s="20" t="s">
        <v>12</v>
      </c>
      <c r="D2" s="20" t="s">
        <v>13</v>
      </c>
      <c r="E2" s="21"/>
      <c r="F2" s="22"/>
      <c r="G2" s="23"/>
      <c r="H2" s="24"/>
      <c r="I2" s="25"/>
      <c r="J2" s="21"/>
      <c r="K2" s="24"/>
      <c r="L2" s="24"/>
      <c r="M2" s="25"/>
      <c r="N2" s="21"/>
      <c r="O2" s="25"/>
      <c r="P2" s="21"/>
      <c r="Q2" s="25"/>
      <c r="R2" s="21"/>
      <c r="S2" s="25"/>
      <c r="T2" s="21"/>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c r="F3" s="34"/>
      <c r="G3" s="35"/>
      <c r="H3" s="36"/>
      <c r="I3" s="13"/>
      <c r="J3" s="37"/>
      <c r="K3" s="13"/>
      <c r="L3" s="38"/>
      <c r="M3" s="13"/>
      <c r="N3" s="37"/>
      <c r="O3" s="13"/>
      <c r="P3" s="37"/>
      <c r="Q3" s="13"/>
      <c r="R3" s="39"/>
      <c r="S3" s="40"/>
      <c r="T3" s="37"/>
      <c r="U3" s="36"/>
      <c r="V3" s="41"/>
      <c r="W3" s="26"/>
      <c r="X3" s="42" t="s">
        <v>21</v>
      </c>
      <c r="Y3" s="42" t="s">
        <v>22</v>
      </c>
      <c r="Z3" s="28"/>
      <c r="AA3" s="14"/>
      <c r="AB3" s="15" t="str">
        <f>IFERROR(__xludf.DUMMYFUNCTION("join("","",filter(split($H$83,"",""),ARRAYFORMULA(ISERROR(FIND(split($H$83,"",""),CONCATENATE(E3:V3))))=TRUE))"),"СЗ,КЗ,201,202,206,209,210,401,402,403,404,405,406,408,409,410,АЗ")</f>
        <v>СЗ,КЗ,201,202,206,209,210,401,402,403,404,405,406,408,409,410,АЗ</v>
      </c>
      <c r="AC3" s="14"/>
      <c r="AD3" s="14"/>
      <c r="AE3" s="14"/>
      <c r="AF3" s="29"/>
      <c r="AG3" s="29"/>
      <c r="AH3" s="29"/>
    </row>
    <row r="4" ht="40.5" hidden="1" customHeight="1">
      <c r="A4" s="30"/>
      <c r="B4" s="31">
        <v>3.0</v>
      </c>
      <c r="C4" s="32" t="s">
        <v>33</v>
      </c>
      <c r="D4" s="32" t="s">
        <v>34</v>
      </c>
      <c r="E4" s="33"/>
      <c r="F4" s="39"/>
      <c r="G4" s="43"/>
      <c r="H4" s="44"/>
      <c r="I4" s="45"/>
      <c r="J4" s="46"/>
      <c r="K4" s="13"/>
      <c r="L4" s="45"/>
      <c r="M4" s="13"/>
      <c r="N4" s="37"/>
      <c r="O4" s="13"/>
      <c r="P4" s="37"/>
      <c r="Q4" s="13"/>
      <c r="R4" s="39"/>
      <c r="S4" s="40"/>
      <c r="T4" s="37"/>
      <c r="U4" s="36"/>
      <c r="V4" s="41"/>
      <c r="W4" s="26"/>
      <c r="X4" s="42" t="s">
        <v>33</v>
      </c>
      <c r="Y4" s="42" t="s">
        <v>34</v>
      </c>
      <c r="Z4" s="48" t="s">
        <v>47</v>
      </c>
      <c r="AA4" s="14"/>
      <c r="AB4" s="15" t="str">
        <f>IFERROR(__xludf.DUMMYFUNCTION("join("","",filter(split($H$83,"",""),ARRAYFORMULA(ISERROR(FIND(split($H$83,"",""),CONCATENATE(E4:V4))))=TRUE))"),"СЗ,КЗ,201,202,206,209,210,401,402,403,404,405,406,408,409,410,АЗ")</f>
        <v>СЗ,КЗ,201,202,206,209,210,401,402,403,404,405,406,408,409,410,АЗ</v>
      </c>
      <c r="AC4" s="14"/>
      <c r="AD4" s="14"/>
      <c r="AE4" s="14"/>
      <c r="AF4" s="29"/>
      <c r="AG4" s="29"/>
      <c r="AH4" s="29"/>
    </row>
    <row r="5" ht="40.5" hidden="1" customHeight="1">
      <c r="A5" s="30"/>
      <c r="B5" s="31">
        <v>4.0</v>
      </c>
      <c r="C5" s="32" t="s">
        <v>48</v>
      </c>
      <c r="D5" s="32" t="s">
        <v>49</v>
      </c>
      <c r="E5" s="33"/>
      <c r="F5" s="39"/>
      <c r="G5" s="43"/>
      <c r="H5" s="45"/>
      <c r="I5" s="13"/>
      <c r="J5" s="33"/>
      <c r="K5" s="44"/>
      <c r="L5" s="44"/>
      <c r="M5" s="45"/>
      <c r="N5" s="37"/>
      <c r="O5" s="13"/>
      <c r="P5" s="37"/>
      <c r="Q5" s="13"/>
      <c r="R5" s="51"/>
      <c r="S5" s="13"/>
      <c r="T5" s="52"/>
      <c r="U5" s="36"/>
      <c r="V5" s="41"/>
      <c r="W5" s="26"/>
      <c r="X5" s="42" t="s">
        <v>48</v>
      </c>
      <c r="Y5" s="42" t="s">
        <v>49</v>
      </c>
      <c r="Z5" s="48" t="s">
        <v>57</v>
      </c>
      <c r="AA5" s="14"/>
      <c r="AB5" s="15" t="str">
        <f>IFERROR(__xludf.DUMMYFUNCTION("join("","",filter(split($H$83,"",""),ARRAYFORMULA(ISERROR(FIND(split($H$83,"",""),CONCATENATE(E5:V5))))=TRUE))"),"СЗ,КЗ,201,202,206,209,210,401,402,403,404,405,406,408,409,410,АЗ")</f>
        <v>СЗ,КЗ,201,202,206,209,210,401,402,403,404,405,406,408,409,410,АЗ</v>
      </c>
      <c r="AC5" s="14"/>
      <c r="AD5" s="14"/>
      <c r="AE5" s="14"/>
      <c r="AF5" s="29"/>
      <c r="AG5" s="29"/>
      <c r="AH5" s="29"/>
    </row>
    <row r="6" ht="40.5" hidden="1" customHeight="1">
      <c r="A6" s="30"/>
      <c r="B6" s="31">
        <v>5.0</v>
      </c>
      <c r="C6" s="32" t="s">
        <v>58</v>
      </c>
      <c r="D6" s="53">
        <v>44847.0</v>
      </c>
      <c r="E6" s="39"/>
      <c r="F6" s="34"/>
      <c r="G6" s="43"/>
      <c r="H6" s="45"/>
      <c r="I6" s="13"/>
      <c r="J6" s="33"/>
      <c r="K6" s="44"/>
      <c r="L6" s="44"/>
      <c r="M6" s="45"/>
      <c r="N6" s="37"/>
      <c r="O6" s="13"/>
      <c r="P6" s="37"/>
      <c r="Q6" s="13"/>
      <c r="R6" s="51"/>
      <c r="S6" s="13"/>
      <c r="T6" s="52"/>
      <c r="U6" s="36"/>
      <c r="V6" s="41"/>
      <c r="W6" s="26"/>
      <c r="X6" s="42" t="s">
        <v>58</v>
      </c>
      <c r="Y6" s="54">
        <v>44847.0</v>
      </c>
      <c r="Z6" s="48" t="s">
        <v>70</v>
      </c>
      <c r="AA6" s="14"/>
      <c r="AB6" s="15" t="str">
        <f>IFERROR(__xludf.DUMMYFUNCTION("join("","",filter(split($H$83,"",""),ARRAYFORMULA(ISERROR(FIND(split($H$83,"",""),CONCATENATE(E6:V6))))=TRUE))"),"СЗ,КЗ,201,202,206,209,210,401,402,403,404,405,406,408,409,410,АЗ")</f>
        <v>СЗ,КЗ,201,202,206,209,210,401,402,403,404,405,406,408,409,410,АЗ</v>
      </c>
      <c r="AC6" s="14"/>
      <c r="AD6" s="14"/>
      <c r="AE6" s="14"/>
      <c r="AF6" s="29"/>
      <c r="AG6" s="29"/>
      <c r="AH6" s="29"/>
    </row>
    <row r="7" ht="42.0" hidden="1" customHeight="1">
      <c r="A7" s="30"/>
      <c r="B7" s="31">
        <v>6.0</v>
      </c>
      <c r="C7" s="55" t="s">
        <v>71</v>
      </c>
      <c r="D7" s="56" t="s">
        <v>72</v>
      </c>
      <c r="E7" s="39"/>
      <c r="F7" s="34"/>
      <c r="G7" s="43"/>
      <c r="H7" s="45"/>
      <c r="I7" s="13"/>
      <c r="J7" s="37"/>
      <c r="K7" s="13"/>
      <c r="L7" s="45"/>
      <c r="M7" s="13"/>
      <c r="N7" s="37"/>
      <c r="O7" s="13"/>
      <c r="P7" s="37"/>
      <c r="Q7" s="13"/>
      <c r="R7" s="57"/>
      <c r="T7" s="33"/>
      <c r="U7" s="45"/>
      <c r="V7" s="41"/>
      <c r="W7" s="26"/>
      <c r="X7" s="58" t="s">
        <v>71</v>
      </c>
      <c r="Y7" s="59" t="s">
        <v>72</v>
      </c>
      <c r="Z7" s="48" t="s">
        <v>84</v>
      </c>
      <c r="AA7" s="14"/>
      <c r="AB7" s="15" t="str">
        <f>IFERROR(__xludf.DUMMYFUNCTION("join("","",filter(split($H$83,"",""),ARRAYFORMULA(ISERROR(FIND(split($H$83,"",""),CONCATENATE(E7:V7))))=TRUE))"),"СЗ,КЗ,201,202,206,209,210,401,402,403,404,405,406,408,409,410,АЗ")</f>
        <v>СЗ,КЗ,201,202,206,209,210,401,402,403,404,405,406,408,409,410,АЗ</v>
      </c>
      <c r="AC7" s="14"/>
      <c r="AD7" s="14"/>
      <c r="AE7" s="14"/>
      <c r="AF7" s="29"/>
      <c r="AG7" s="29"/>
      <c r="AH7" s="29"/>
    </row>
    <row r="8" ht="42.0" hidden="1" customHeight="1">
      <c r="A8" s="30"/>
      <c r="B8" s="31">
        <v>7.0</v>
      </c>
      <c r="C8" s="32" t="s">
        <v>85</v>
      </c>
      <c r="D8" s="32" t="s">
        <v>86</v>
      </c>
      <c r="E8" s="319"/>
      <c r="F8" s="39"/>
      <c r="G8" s="43"/>
      <c r="H8" s="45"/>
      <c r="I8" s="13"/>
      <c r="J8" s="37"/>
      <c r="K8" s="13"/>
      <c r="L8" s="45"/>
      <c r="M8" s="13"/>
      <c r="N8" s="37"/>
      <c r="O8" s="13"/>
      <c r="P8" s="37"/>
      <c r="Q8" s="13"/>
      <c r="R8" s="37"/>
      <c r="S8" s="13"/>
      <c r="T8" s="43"/>
      <c r="U8" s="45"/>
      <c r="V8" s="41"/>
      <c r="W8" s="26"/>
      <c r="X8" s="42" t="s">
        <v>85</v>
      </c>
      <c r="Y8" s="42" t="s">
        <v>86</v>
      </c>
      <c r="Z8" s="48" t="s">
        <v>97</v>
      </c>
      <c r="AA8" s="14"/>
      <c r="AB8" s="15" t="str">
        <f>IFERROR(__xludf.DUMMYFUNCTION("join("","",filter(split($H$83,"",""),ARRAYFORMULA(ISERROR(FIND(split($H$83,"",""),CONCATENATE(E8:V8))))=TRUE))"),"СЗ,КЗ,201,202,206,209,210,401,402,403,404,405,406,408,409,410,АЗ")</f>
        <v>СЗ,КЗ,201,202,206,209,210,401,402,403,404,405,406,408,409,410,АЗ</v>
      </c>
      <c r="AC8" s="14"/>
      <c r="AD8" s="14"/>
      <c r="AE8" s="14"/>
      <c r="AF8" s="29"/>
      <c r="AG8" s="29"/>
      <c r="AH8" s="29"/>
    </row>
    <row r="9" ht="40.5" hidden="1" customHeight="1">
      <c r="A9" s="30"/>
      <c r="B9" s="31">
        <v>8.0</v>
      </c>
      <c r="C9" s="32" t="s">
        <v>98</v>
      </c>
      <c r="D9" s="32" t="s">
        <v>99</v>
      </c>
      <c r="E9" s="39"/>
      <c r="F9" s="319"/>
      <c r="G9" s="43"/>
      <c r="H9" s="45"/>
      <c r="I9" s="13"/>
      <c r="J9" s="37"/>
      <c r="K9" s="13"/>
      <c r="L9" s="45"/>
      <c r="M9" s="13"/>
      <c r="N9" s="61"/>
      <c r="O9" s="13"/>
      <c r="P9" s="62"/>
      <c r="Q9" s="45"/>
      <c r="R9" s="63"/>
      <c r="S9" s="64"/>
      <c r="T9" s="64"/>
      <c r="U9" s="64"/>
      <c r="V9" s="64"/>
      <c r="W9" s="26"/>
      <c r="X9" s="42" t="s">
        <v>98</v>
      </c>
      <c r="Y9" s="42" t="s">
        <v>99</v>
      </c>
      <c r="Z9" s="11"/>
      <c r="AA9" s="14"/>
      <c r="AB9" s="15" t="str">
        <f>IFERROR(__xludf.DUMMYFUNCTION("join("","",filter(split($H$83,"",""),ARRAYFORMULA(ISERROR(FIND(split($H$83,"",""),CONCATENATE(E9:V9))))=TRUE))"),"СЗ,КЗ,201,202,206,209,210,401,402,403,404,405,406,408,409,410,АЗ")</f>
        <v>СЗ,КЗ,201,202,206,209,210,401,402,403,404,405,406,408,409,410,АЗ</v>
      </c>
      <c r="AC9" s="14"/>
      <c r="AD9" s="14"/>
      <c r="AE9" s="14"/>
      <c r="AF9" s="29"/>
      <c r="AG9" s="29"/>
      <c r="AH9" s="29"/>
    </row>
    <row r="10" ht="75.75" hidden="1" customHeight="1">
      <c r="A10" s="30"/>
      <c r="B10" s="31">
        <v>9.0</v>
      </c>
      <c r="C10" s="65">
        <v>44697.0</v>
      </c>
      <c r="D10" s="44" t="s">
        <v>109</v>
      </c>
      <c r="E10" s="66"/>
      <c r="F10" s="67"/>
      <c r="G10" s="43"/>
      <c r="H10" s="45"/>
      <c r="I10" s="13"/>
      <c r="J10" s="37"/>
      <c r="K10" s="13"/>
      <c r="L10" s="45"/>
      <c r="M10" s="13"/>
      <c r="N10" s="61"/>
      <c r="O10" s="13"/>
      <c r="P10" s="62"/>
      <c r="Q10" s="68"/>
      <c r="R10" s="37"/>
      <c r="S10" s="68"/>
      <c r="T10" s="36"/>
      <c r="U10" s="36"/>
      <c r="V10" s="41"/>
      <c r="W10" s="26"/>
      <c r="X10" s="69">
        <v>44697.0</v>
      </c>
      <c r="Y10" s="70" t="s">
        <v>109</v>
      </c>
      <c r="Z10" s="28"/>
      <c r="AA10" s="14"/>
      <c r="AB10" s="15" t="str">
        <f>IFERROR(__xludf.DUMMYFUNCTION("join("","",filter(split($H$83,"",""),ARRAYFORMULA(ISERROR(FIND(split($H$83,"",""),CONCATENATE(E10:V10))))=TRUE))"),"СЗ,КЗ,201,202,206,209,210,401,402,403,404,405,406,408,409,410,АЗ")</f>
        <v>СЗ,КЗ,201,202,206,209,210,401,402,403,404,405,406,408,409,410,АЗ</v>
      </c>
      <c r="AC10" s="14"/>
      <c r="AD10" s="14"/>
      <c r="AE10" s="14"/>
      <c r="AF10" s="29"/>
      <c r="AG10" s="29"/>
      <c r="AH10" s="29"/>
    </row>
    <row r="11" ht="49.5" hidden="1" customHeight="1">
      <c r="A11" s="30"/>
      <c r="B11" s="31">
        <v>10.0</v>
      </c>
      <c r="C11" s="44" t="s">
        <v>120</v>
      </c>
      <c r="D11" s="44" t="s">
        <v>121</v>
      </c>
      <c r="E11" s="71"/>
      <c r="F11" s="64"/>
      <c r="G11" s="64"/>
      <c r="H11" s="64"/>
      <c r="I11" s="64"/>
      <c r="J11" s="64"/>
      <c r="K11" s="64"/>
      <c r="L11" s="64"/>
      <c r="M11" s="64"/>
      <c r="N11" s="64"/>
      <c r="O11" s="64"/>
      <c r="P11" s="64"/>
      <c r="Q11" s="64"/>
      <c r="R11" s="64"/>
      <c r="S11" s="72"/>
      <c r="T11" s="73"/>
      <c r="U11" s="36"/>
      <c r="V11" s="41"/>
      <c r="W11" s="26"/>
      <c r="X11" s="70" t="s">
        <v>120</v>
      </c>
      <c r="Y11" s="70" t="s">
        <v>121</v>
      </c>
      <c r="Z11" s="28"/>
      <c r="AA11" s="14"/>
      <c r="AB11" s="15" t="str">
        <f>IFERROR(__xludf.DUMMYFUNCTION("join("","",filter(split($H$83,"",""),ARRAYFORMULA(ISERROR(FIND(split($H$83,"",""),CONCATENATE(F11:V11))))=TRUE))"),"СЗ,КЗ,201,202,206,209,210,401,402,403,404,405,406,408,409,410,АЗ")</f>
        <v>СЗ,КЗ,201,202,206,209,210,401,402,403,404,405,406,408,409,410,АЗ</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hidden="1" customHeight="1">
      <c r="A13" s="18">
        <v>45048.0</v>
      </c>
      <c r="B13" s="19">
        <v>1.0</v>
      </c>
      <c r="C13" s="20" t="s">
        <v>12</v>
      </c>
      <c r="D13" s="20" t="s">
        <v>13</v>
      </c>
      <c r="E13" s="80" t="s">
        <v>11035</v>
      </c>
      <c r="F13" s="25"/>
      <c r="G13" s="81" t="s">
        <v>11036</v>
      </c>
      <c r="H13" s="80" t="s">
        <v>11037</v>
      </c>
      <c r="I13" s="22"/>
      <c r="J13" s="23" t="s">
        <v>11038</v>
      </c>
      <c r="K13" s="25"/>
      <c r="L13" s="80" t="s">
        <v>11039</v>
      </c>
      <c r="M13" s="25"/>
      <c r="N13" s="82" t="s">
        <v>11040</v>
      </c>
      <c r="O13" s="25"/>
      <c r="P13" s="21" t="s">
        <v>11041</v>
      </c>
      <c r="Q13" s="22"/>
      <c r="R13" s="23" t="s">
        <v>11042</v>
      </c>
      <c r="S13" s="22"/>
      <c r="T13" s="84" t="s">
        <v>11043</v>
      </c>
      <c r="U13" s="80" t="s">
        <v>11044</v>
      </c>
      <c r="V13" s="22"/>
      <c r="W13" s="26"/>
      <c r="X13" s="27" t="s">
        <v>12</v>
      </c>
      <c r="Y13" s="27" t="s">
        <v>13</v>
      </c>
      <c r="Z13" s="28"/>
      <c r="AA13" s="85"/>
      <c r="AB13" s="15" t="str">
        <f>IFERROR(__xludf.DUMMYFUNCTION("join("","",filter(split($H$83,"",""),ARRAYFORMULA(ISERROR(FIND(split($H$83,"",""),CONCATENATE(E13:V13))))=TRUE))"),"СЗ,КЗ,202,206,403,410,АЗ")</f>
        <v>СЗ,КЗ,202,206,403,410,АЗ</v>
      </c>
      <c r="AC13" s="14"/>
      <c r="AD13" s="14"/>
      <c r="AE13" s="14"/>
      <c r="AF13" s="29"/>
      <c r="AG13" s="29"/>
      <c r="AH13" s="29"/>
    </row>
    <row r="14" ht="40.5" hidden="1" customHeight="1">
      <c r="A14" s="30"/>
      <c r="B14" s="31">
        <v>2.0</v>
      </c>
      <c r="C14" s="32" t="s">
        <v>21</v>
      </c>
      <c r="D14" s="32" t="s">
        <v>22</v>
      </c>
      <c r="E14" s="45" t="s">
        <v>11045</v>
      </c>
      <c r="F14" s="13"/>
      <c r="G14" s="46" t="s">
        <v>11046</v>
      </c>
      <c r="H14" s="86" t="s">
        <v>11047</v>
      </c>
      <c r="I14" s="41"/>
      <c r="J14" s="35" t="s">
        <v>11048</v>
      </c>
      <c r="K14" s="13"/>
      <c r="L14" s="45" t="s">
        <v>11049</v>
      </c>
      <c r="M14" s="13"/>
      <c r="N14" s="87" t="s">
        <v>11050</v>
      </c>
      <c r="O14" s="13"/>
      <c r="P14" s="21" t="s">
        <v>11051</v>
      </c>
      <c r="Q14" s="22"/>
      <c r="R14" s="35" t="s">
        <v>11052</v>
      </c>
      <c r="S14" s="41"/>
      <c r="T14" s="43" t="s">
        <v>11053</v>
      </c>
      <c r="U14" s="45" t="s">
        <v>11054</v>
      </c>
      <c r="V14" s="41"/>
      <c r="W14" s="26"/>
      <c r="X14" s="42" t="s">
        <v>21</v>
      </c>
      <c r="Y14" s="42" t="s">
        <v>22</v>
      </c>
      <c r="Z14" s="28"/>
      <c r="AA14" s="85"/>
      <c r="AB14" s="15" t="str">
        <f>IFERROR(__xludf.DUMMYFUNCTION("join("","",filter(split($H$83,"",""),ARRAYFORMULA(ISERROR(FIND(split($H$83,"",""),CONCATENATE(E14:V14))))=TRUE))"),"СЗ,КЗ,202,206,403,410,АЗ")</f>
        <v>СЗ,КЗ,202,206,403,410,АЗ</v>
      </c>
      <c r="AC14" s="14"/>
      <c r="AD14" s="14"/>
      <c r="AE14" s="14"/>
      <c r="AF14" s="29"/>
      <c r="AG14" s="29"/>
      <c r="AH14" s="29"/>
    </row>
    <row r="15" ht="40.5" hidden="1" customHeight="1">
      <c r="A15" s="30"/>
      <c r="B15" s="31">
        <v>3.0</v>
      </c>
      <c r="C15" s="32" t="s">
        <v>33</v>
      </c>
      <c r="D15" s="32" t="s">
        <v>34</v>
      </c>
      <c r="E15" s="40" t="s">
        <v>11055</v>
      </c>
      <c r="F15" s="13"/>
      <c r="G15" s="37" t="s">
        <v>11056</v>
      </c>
      <c r="H15" s="36"/>
      <c r="I15" s="41"/>
      <c r="J15" s="35" t="s">
        <v>11057</v>
      </c>
      <c r="K15" s="13"/>
      <c r="L15" s="45" t="s">
        <v>11058</v>
      </c>
      <c r="M15" s="13"/>
      <c r="N15" s="89" t="s">
        <v>11059</v>
      </c>
      <c r="O15" s="13"/>
      <c r="P15" s="37" t="s">
        <v>11060</v>
      </c>
      <c r="Q15" s="90" t="s">
        <v>11061</v>
      </c>
      <c r="R15" s="43" t="s">
        <v>11062</v>
      </c>
      <c r="S15" s="34" t="s">
        <v>11063</v>
      </c>
      <c r="T15" s="91" t="s">
        <v>11064</v>
      </c>
      <c r="U15" s="36"/>
      <c r="V15" s="41"/>
      <c r="W15" s="26"/>
      <c r="X15" s="42" t="s">
        <v>33</v>
      </c>
      <c r="Y15" s="42" t="s">
        <v>34</v>
      </c>
      <c r="Z15" s="48" t="s">
        <v>47</v>
      </c>
      <c r="AA15" s="85" t="str">
        <f>AA$5</f>
        <v/>
      </c>
      <c r="AB15" s="15" t="str">
        <f>IFERROR(__xludf.DUMMYFUNCTION("join("","",filter(split($H$83,"",""),ARRAYFORMULA(ISERROR(FIND(split($H$83,"",""),CONCATENATE(E15:V15))))=TRUE))"),"КЗ,201,206,403,406,408,410,АЗ")</f>
        <v>КЗ,201,206,403,406,408,410,АЗ</v>
      </c>
      <c r="AC15" s="14"/>
      <c r="AD15" s="14"/>
      <c r="AE15" s="14"/>
      <c r="AF15" s="29"/>
      <c r="AG15" s="29"/>
      <c r="AH15" s="29"/>
    </row>
    <row r="16" ht="40.5" hidden="1" customHeight="1">
      <c r="A16" s="30"/>
      <c r="B16" s="31">
        <v>4.0</v>
      </c>
      <c r="C16" s="32" t="s">
        <v>48</v>
      </c>
      <c r="D16" s="32" t="s">
        <v>49</v>
      </c>
      <c r="E16" s="40" t="s">
        <v>11065</v>
      </c>
      <c r="F16" s="13"/>
      <c r="G16" s="37" t="s">
        <v>11066</v>
      </c>
      <c r="H16" s="36"/>
      <c r="I16" s="41"/>
      <c r="J16" s="35" t="s">
        <v>11067</v>
      </c>
      <c r="K16" s="13"/>
      <c r="L16" s="45" t="s">
        <v>11068</v>
      </c>
      <c r="M16" s="13"/>
      <c r="N16" s="89" t="s">
        <v>11069</v>
      </c>
      <c r="O16" s="13"/>
      <c r="P16" s="37" t="s">
        <v>160</v>
      </c>
      <c r="Q16" s="90" t="s">
        <v>161</v>
      </c>
      <c r="R16" s="43" t="s">
        <v>11070</v>
      </c>
      <c r="S16" s="34" t="s">
        <v>11071</v>
      </c>
      <c r="T16" s="91" t="s">
        <v>11072</v>
      </c>
      <c r="U16" s="36"/>
      <c r="V16" s="41"/>
      <c r="W16" s="26"/>
      <c r="X16" s="42" t="s">
        <v>48</v>
      </c>
      <c r="Y16" s="42" t="s">
        <v>49</v>
      </c>
      <c r="Z16" s="48" t="s">
        <v>57</v>
      </c>
      <c r="AA16" s="85" t="str">
        <f>AA$6</f>
        <v/>
      </c>
      <c r="AB16" s="15" t="str">
        <f>IFERROR(__xludf.DUMMYFUNCTION("join("","",filter(split($H$83,"",""),ARRAYFORMULA(ISERROR(FIND(split($H$83,"",""),CONCATENATE(E16:V16))))=TRUE))"),"КЗ,201,206,403,406,408,410,АЗ")</f>
        <v>КЗ,201,206,403,406,408,410,АЗ</v>
      </c>
      <c r="AC16" s="14"/>
      <c r="AD16" s="14"/>
      <c r="AE16" s="14"/>
      <c r="AF16" s="29"/>
      <c r="AG16" s="29"/>
      <c r="AH16" s="29"/>
    </row>
    <row r="17" ht="40.5" hidden="1" customHeight="1">
      <c r="A17" s="30"/>
      <c r="B17" s="31">
        <v>5.0</v>
      </c>
      <c r="C17" s="32" t="s">
        <v>58</v>
      </c>
      <c r="D17" s="53">
        <v>44847.0</v>
      </c>
      <c r="E17" s="45" t="s">
        <v>11073</v>
      </c>
      <c r="F17" s="13"/>
      <c r="G17" s="33" t="s">
        <v>11074</v>
      </c>
      <c r="H17" s="45" t="s">
        <v>11075</v>
      </c>
      <c r="I17" s="41"/>
      <c r="J17" s="35" t="s">
        <v>11076</v>
      </c>
      <c r="K17" s="13"/>
      <c r="L17" s="40" t="s">
        <v>11077</v>
      </c>
      <c r="M17" s="13"/>
      <c r="N17" s="45" t="s">
        <v>11078</v>
      </c>
      <c r="O17" s="13"/>
      <c r="P17" s="33" t="s">
        <v>11079</v>
      </c>
      <c r="Q17" s="34" t="s">
        <v>11080</v>
      </c>
      <c r="R17" s="90" t="s">
        <v>11081</v>
      </c>
      <c r="S17" s="92" t="s">
        <v>11082</v>
      </c>
      <c r="T17" s="93" t="s">
        <v>11083</v>
      </c>
      <c r="U17" s="36"/>
      <c r="V17" s="41"/>
      <c r="W17" s="26"/>
      <c r="X17" s="42" t="s">
        <v>58</v>
      </c>
      <c r="Y17" s="54">
        <v>44847.0</v>
      </c>
      <c r="Z17" s="48" t="s">
        <v>70</v>
      </c>
      <c r="AA17" s="85" t="str">
        <f>AA$7</f>
        <v/>
      </c>
      <c r="AB17" s="15" t="str">
        <f>IFERROR(__xludf.DUMMYFUNCTION("join("","",filter(split($H$83,"",""),ARRAYFORMULA(ISERROR(FIND(split($H$83,"",""),CONCATENATE(E17:V17))))=TRUE))"),"СЗ,202,206,403,408,410,АЗ")</f>
        <v>СЗ,202,206,403,408,410,АЗ</v>
      </c>
      <c r="AC17" s="14"/>
      <c r="AD17" s="14"/>
      <c r="AE17" s="14"/>
      <c r="AF17" s="29"/>
      <c r="AG17" s="29"/>
      <c r="AH17" s="29"/>
    </row>
    <row r="18" ht="40.5" hidden="1" customHeight="1">
      <c r="A18" s="30"/>
      <c r="B18" s="31">
        <v>6.0</v>
      </c>
      <c r="C18" s="55" t="s">
        <v>71</v>
      </c>
      <c r="D18" s="56" t="s">
        <v>72</v>
      </c>
      <c r="E18" s="45" t="s">
        <v>11084</v>
      </c>
      <c r="F18" s="13"/>
      <c r="G18" s="33" t="s">
        <v>11085</v>
      </c>
      <c r="H18" s="45" t="s">
        <v>11086</v>
      </c>
      <c r="I18" s="41"/>
      <c r="J18" s="35" t="s">
        <v>11087</v>
      </c>
      <c r="K18" s="13"/>
      <c r="L18" s="40" t="s">
        <v>11088</v>
      </c>
      <c r="M18" s="13"/>
      <c r="N18" s="45" t="s">
        <v>11089</v>
      </c>
      <c r="O18" s="13"/>
      <c r="P18" s="33" t="s">
        <v>11090</v>
      </c>
      <c r="Q18" s="34" t="s">
        <v>11091</v>
      </c>
      <c r="R18" s="90" t="s">
        <v>161</v>
      </c>
      <c r="S18" s="92" t="s">
        <v>11092</v>
      </c>
      <c r="T18" s="93" t="s">
        <v>11093</v>
      </c>
      <c r="U18" s="36"/>
      <c r="V18" s="41"/>
      <c r="W18" s="26"/>
      <c r="X18" s="58" t="s">
        <v>71</v>
      </c>
      <c r="Y18" s="59" t="s">
        <v>72</v>
      </c>
      <c r="Z18" s="48" t="s">
        <v>84</v>
      </c>
      <c r="AA18" s="85" t="str">
        <f>AA$8</f>
        <v/>
      </c>
      <c r="AB18" s="15" t="str">
        <f>IFERROR(__xludf.DUMMYFUNCTION("join("","",filter(split($H$83,"",""),ARRAYFORMULA(ISERROR(FIND(split($H$83,"",""),CONCATENATE(E18:V18))))=TRUE))"),"СЗ,202,206,403,408,410,АЗ")</f>
        <v>СЗ,202,206,403,408,410,АЗ</v>
      </c>
      <c r="AC18" s="14"/>
      <c r="AD18" s="14"/>
      <c r="AE18" s="14"/>
      <c r="AF18" s="29"/>
      <c r="AG18" s="29"/>
      <c r="AH18" s="29"/>
    </row>
    <row r="19" ht="40.5" hidden="1" customHeight="1">
      <c r="A19" s="30"/>
      <c r="B19" s="31">
        <v>7.0</v>
      </c>
      <c r="C19" s="32" t="s">
        <v>85</v>
      </c>
      <c r="D19" s="32" t="s">
        <v>86</v>
      </c>
      <c r="E19" s="94" t="s">
        <v>11094</v>
      </c>
      <c r="F19" s="13"/>
      <c r="G19" s="33" t="s">
        <v>11095</v>
      </c>
      <c r="H19" s="45" t="s">
        <v>11096</v>
      </c>
      <c r="I19" s="41"/>
      <c r="J19" s="95" t="s">
        <v>11097</v>
      </c>
      <c r="K19" s="13"/>
      <c r="L19" s="45" t="s">
        <v>11098</v>
      </c>
      <c r="M19" s="13"/>
      <c r="N19" s="45" t="s">
        <v>11099</v>
      </c>
      <c r="O19" s="13"/>
      <c r="P19" s="37" t="s">
        <v>11100</v>
      </c>
      <c r="Q19" s="41"/>
      <c r="R19" s="96" t="s">
        <v>11101</v>
      </c>
      <c r="S19" s="97" t="s">
        <v>11102</v>
      </c>
      <c r="T19" s="93" t="s">
        <v>11103</v>
      </c>
      <c r="U19" s="36"/>
      <c r="V19" s="41"/>
      <c r="W19" s="26"/>
      <c r="X19" s="42" t="s">
        <v>85</v>
      </c>
      <c r="Y19" s="42" t="s">
        <v>86</v>
      </c>
      <c r="Z19" s="48" t="s">
        <v>97</v>
      </c>
      <c r="AA19" s="85" t="str">
        <f>AA$9</f>
        <v/>
      </c>
      <c r="AB19" s="15" t="str">
        <f>IFERROR(__xludf.DUMMYFUNCTION("join("","",filter(split($H$83,"",""),ARRAYFORMULA(ISERROR(FIND(split($H$83,"",""),CONCATENATE(E19:V19))))=TRUE))"),"СЗ,206,403,404,405,410,АЗ")</f>
        <v>СЗ,206,403,404,405,410,АЗ</v>
      </c>
      <c r="AC19" s="14"/>
      <c r="AD19" s="14"/>
      <c r="AE19" s="14"/>
      <c r="AF19" s="29"/>
      <c r="AG19" s="29"/>
      <c r="AH19" s="29"/>
    </row>
    <row r="20" ht="40.5" hidden="1" customHeight="1">
      <c r="A20" s="30"/>
      <c r="B20" s="31">
        <v>8.0</v>
      </c>
      <c r="C20" s="32" t="s">
        <v>98</v>
      </c>
      <c r="D20" s="32" t="s">
        <v>99</v>
      </c>
      <c r="E20" s="94" t="s">
        <v>11104</v>
      </c>
      <c r="F20" s="13"/>
      <c r="G20" s="33" t="s">
        <v>11105</v>
      </c>
      <c r="H20" s="45" t="s">
        <v>11106</v>
      </c>
      <c r="I20" s="41"/>
      <c r="J20" s="95" t="s">
        <v>11107</v>
      </c>
      <c r="K20" s="13"/>
      <c r="L20" s="45" t="s">
        <v>11108</v>
      </c>
      <c r="M20" s="13"/>
      <c r="N20" s="45" t="s">
        <v>11109</v>
      </c>
      <c r="O20" s="13"/>
      <c r="P20" s="37" t="s">
        <v>11110</v>
      </c>
      <c r="Q20" s="41"/>
      <c r="R20" s="96" t="s">
        <v>11111</v>
      </c>
      <c r="S20" s="97" t="s">
        <v>11112</v>
      </c>
      <c r="T20" s="93" t="s">
        <v>11113</v>
      </c>
      <c r="U20" s="36"/>
      <c r="V20" s="41"/>
      <c r="W20" s="26"/>
      <c r="X20" s="42" t="s">
        <v>98</v>
      </c>
      <c r="Y20" s="42" t="s">
        <v>99</v>
      </c>
      <c r="Z20" s="11"/>
      <c r="AA20" s="98"/>
      <c r="AB20" s="15" t="str">
        <f>IFERROR(__xludf.DUMMYFUNCTION("join("","",filter(split($H$83,"",""),ARRAYFORMULA(ISERROR(FIND(split($H$83,"",""),CONCATENATE(E20:V20))))=TRUE))"),"СЗ,206,403,404,405,410,АЗ")</f>
        <v>СЗ,206,403,404,405,410,АЗ</v>
      </c>
      <c r="AC20" s="14"/>
      <c r="AD20" s="14"/>
      <c r="AE20" s="14"/>
      <c r="AF20" s="29"/>
      <c r="AG20" s="29"/>
      <c r="AH20" s="29"/>
    </row>
    <row r="21" ht="40.5" hidden="1" customHeight="1">
      <c r="A21" s="30"/>
      <c r="B21" s="31">
        <v>9.0</v>
      </c>
      <c r="C21" s="65">
        <v>44697.0</v>
      </c>
      <c r="D21" s="44" t="s">
        <v>109</v>
      </c>
      <c r="E21" s="99" t="s">
        <v>206</v>
      </c>
      <c r="F21" s="4"/>
      <c r="G21" s="100"/>
      <c r="H21" s="101" t="s">
        <v>208</v>
      </c>
      <c r="I21" s="36"/>
      <c r="J21" s="36"/>
      <c r="K21" s="36"/>
      <c r="L21" s="36"/>
      <c r="M21" s="13"/>
      <c r="N21" s="45" t="s">
        <v>11114</v>
      </c>
      <c r="O21" s="13"/>
      <c r="P21" s="102" t="s">
        <v>11115</v>
      </c>
      <c r="Q21" s="41"/>
      <c r="R21" s="35" t="s">
        <v>211</v>
      </c>
      <c r="S21" s="41"/>
      <c r="T21" s="103" t="s">
        <v>11116</v>
      </c>
      <c r="U21" s="36"/>
      <c r="V21" s="41"/>
      <c r="W21" s="26"/>
      <c r="X21" s="69">
        <v>44697.0</v>
      </c>
      <c r="Y21" s="70" t="s">
        <v>109</v>
      </c>
      <c r="Z21" s="28"/>
      <c r="AA21" s="98"/>
      <c r="AB21" s="15" t="str">
        <f>IFERROR(__xludf.DUMMYFUNCTION("join("","",filter(split($H$83,"",""),ARRAYFORMULA(ISERROR(FIND(split($H$83,"",""),CONCATENATE(E21:V21))))=TRUE))"),"201,206,209,210,401,403,404,405,406,408,АЗ")</f>
        <v>201,206,209,210,401,403,404,405,406,408,АЗ</v>
      </c>
      <c r="AC21" s="14"/>
      <c r="AD21" s="14"/>
      <c r="AE21" s="14"/>
      <c r="AF21" s="29"/>
      <c r="AG21" s="29"/>
      <c r="AH21" s="29"/>
    </row>
    <row r="22" ht="40.5" hidden="1" customHeight="1">
      <c r="A22" s="30"/>
      <c r="B22" s="31">
        <v>10.0</v>
      </c>
      <c r="C22" s="44" t="s">
        <v>120</v>
      </c>
      <c r="D22" s="44" t="s">
        <v>121</v>
      </c>
      <c r="E22" s="104"/>
      <c r="F22" s="72"/>
      <c r="G22" s="105"/>
      <c r="H22" s="106" t="s">
        <v>213</v>
      </c>
      <c r="I22" s="36"/>
      <c r="J22" s="36"/>
      <c r="K22" s="36"/>
      <c r="L22" s="36"/>
      <c r="M22" s="13"/>
      <c r="N22" s="45" t="s">
        <v>11117</v>
      </c>
      <c r="O22" s="13"/>
      <c r="P22" s="101" t="s">
        <v>215</v>
      </c>
      <c r="Q22" s="36"/>
      <c r="R22" s="36"/>
      <c r="S22" s="13"/>
      <c r="T22" s="107" t="s">
        <v>11118</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11119</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55.5" hidden="1" customHeight="1">
      <c r="A24" s="18">
        <v>45049.0</v>
      </c>
      <c r="B24" s="435">
        <v>1.0</v>
      </c>
      <c r="C24" s="20" t="s">
        <v>12</v>
      </c>
      <c r="D24" s="20" t="s">
        <v>13</v>
      </c>
      <c r="E24" s="21" t="s">
        <v>11120</v>
      </c>
      <c r="F24" s="22"/>
      <c r="G24" s="116" t="s">
        <v>11121</v>
      </c>
      <c r="H24" s="117" t="s">
        <v>11122</v>
      </c>
      <c r="I24" s="22"/>
      <c r="J24" s="118" t="s">
        <v>221</v>
      </c>
      <c r="K24" s="24"/>
      <c r="L24" s="24"/>
      <c r="M24" s="25"/>
      <c r="N24" s="80" t="s">
        <v>11123</v>
      </c>
      <c r="O24" s="25"/>
      <c r="P24" s="881" t="s">
        <v>11124</v>
      </c>
      <c r="Q24" s="585" t="s">
        <v>11125</v>
      </c>
      <c r="R24" s="24"/>
      <c r="S24" s="22"/>
      <c r="T24" s="121" t="s">
        <v>11126</v>
      </c>
      <c r="U24" s="24"/>
      <c r="V24" s="22"/>
      <c r="W24" s="26"/>
      <c r="X24" s="27" t="s">
        <v>12</v>
      </c>
      <c r="Y24" s="27" t="s">
        <v>13</v>
      </c>
      <c r="Z24" s="28"/>
      <c r="AA24" s="14"/>
      <c r="AB24" s="15" t="str">
        <f>IFERROR(__xludf.DUMMYFUNCTION("join("","",filter(split($H$83,"",""),ARRAYFORMULA(ISERROR(FIND(split($H$83,"",""),CONCATENATE(E24:V24))))=TRUE))"),"СЗ,206,210,401,402,403,404,405,409,410,АЗ")</f>
        <v>СЗ,206,210,401,402,403,404,405,409,410,АЗ</v>
      </c>
      <c r="AC24" s="14"/>
      <c r="AD24" s="14"/>
      <c r="AE24" s="14"/>
      <c r="AF24" s="29"/>
      <c r="AG24" s="29"/>
      <c r="AH24" s="29"/>
    </row>
    <row r="25" ht="40.5" hidden="1" customHeight="1">
      <c r="A25" s="30"/>
      <c r="B25" s="436">
        <v>2.0</v>
      </c>
      <c r="C25" s="32" t="s">
        <v>21</v>
      </c>
      <c r="D25" s="32" t="s">
        <v>22</v>
      </c>
      <c r="E25" s="51" t="s">
        <v>11127</v>
      </c>
      <c r="F25" s="41"/>
      <c r="G25" s="39" t="s">
        <v>11128</v>
      </c>
      <c r="H25" s="89" t="s">
        <v>11129</v>
      </c>
      <c r="I25" s="41"/>
      <c r="J25" s="35" t="s">
        <v>11130</v>
      </c>
      <c r="K25" s="13"/>
      <c r="L25" s="40" t="s">
        <v>11131</v>
      </c>
      <c r="M25" s="13"/>
      <c r="N25" s="40" t="s">
        <v>11132</v>
      </c>
      <c r="O25" s="13"/>
      <c r="P25" s="37" t="s">
        <v>11133</v>
      </c>
      <c r="Q25" s="13"/>
      <c r="R25" s="122" t="s">
        <v>11134</v>
      </c>
      <c r="S25" s="41"/>
      <c r="T25" s="103" t="s">
        <v>11135</v>
      </c>
      <c r="U25" s="36"/>
      <c r="V25" s="41"/>
      <c r="W25" s="26"/>
      <c r="X25" s="42" t="s">
        <v>21</v>
      </c>
      <c r="Y25" s="42" t="s">
        <v>22</v>
      </c>
      <c r="Z25" s="28"/>
      <c r="AA25" s="14"/>
      <c r="AB25" s="15" t="str">
        <f>IFERROR(__xludf.DUMMYFUNCTION("join("","",filter(split($H$83,"",""),ARRAYFORMULA(ISERROR(FIND(split($H$83,"",""),CONCATENATE(E25:V25))))=TRUE))"),"СЗ,206,209,210,403,404,405,406,410,АЗ")</f>
        <v>СЗ,206,209,210,403,404,405,406,410,АЗ</v>
      </c>
      <c r="AC25" s="14"/>
      <c r="AD25" s="14"/>
      <c r="AE25" s="14"/>
      <c r="AF25" s="29"/>
      <c r="AG25" s="29"/>
      <c r="AH25" s="29"/>
    </row>
    <row r="26" ht="40.5" hidden="1" customHeight="1">
      <c r="A26" s="30"/>
      <c r="B26" s="436">
        <v>3.0</v>
      </c>
      <c r="C26" s="32" t="s">
        <v>33</v>
      </c>
      <c r="D26" s="32" t="s">
        <v>34</v>
      </c>
      <c r="E26" s="37" t="s">
        <v>11136</v>
      </c>
      <c r="F26" s="41"/>
      <c r="G26" s="51" t="s">
        <v>11137</v>
      </c>
      <c r="H26" s="36"/>
      <c r="I26" s="41"/>
      <c r="J26" s="95" t="s">
        <v>11138</v>
      </c>
      <c r="K26" s="13"/>
      <c r="L26" s="123" t="s">
        <v>11139</v>
      </c>
      <c r="M26" s="41"/>
      <c r="N26" s="40" t="s">
        <v>11132</v>
      </c>
      <c r="O26" s="13"/>
      <c r="P26" s="39" t="s">
        <v>11140</v>
      </c>
      <c r="Q26" s="124" t="s">
        <v>11141</v>
      </c>
      <c r="R26" s="89" t="s">
        <v>11142</v>
      </c>
      <c r="S26" s="41"/>
      <c r="T26" s="125" t="s">
        <v>11143</v>
      </c>
      <c r="U26" s="36"/>
      <c r="V26" s="41"/>
      <c r="W26" s="26"/>
      <c r="X26" s="42" t="s">
        <v>33</v>
      </c>
      <c r="Y26" s="42" t="s">
        <v>34</v>
      </c>
      <c r="Z26" s="48" t="s">
        <v>47</v>
      </c>
      <c r="AA26" s="85" t="str">
        <f>AA$5</f>
        <v/>
      </c>
      <c r="AB26" s="15" t="str">
        <f>IFERROR(__xludf.DUMMYFUNCTION("join("","",filter(split($H$83,"",""),ARRAYFORMULA(ISERROR(FIND(split($H$83,"",""),CONCATENATE(E26:V26))))=TRUE))"),"СЗ,206,210,403,404,405,406,408,410,АЗ")</f>
        <v>СЗ,206,210,403,404,405,406,408,410,АЗ</v>
      </c>
      <c r="AC26" s="14"/>
      <c r="AD26" s="14"/>
      <c r="AE26" s="14"/>
      <c r="AF26" s="29"/>
      <c r="AG26" s="29"/>
      <c r="AH26" s="29"/>
    </row>
    <row r="27" ht="54.0" hidden="1" customHeight="1">
      <c r="A27" s="30"/>
      <c r="B27" s="436">
        <v>4.0</v>
      </c>
      <c r="C27" s="32" t="s">
        <v>48</v>
      </c>
      <c r="D27" s="32" t="s">
        <v>49</v>
      </c>
      <c r="E27" s="33" t="s">
        <v>11144</v>
      </c>
      <c r="F27" s="126" t="s">
        <v>11145</v>
      </c>
      <c r="G27" s="37" t="s">
        <v>11146</v>
      </c>
      <c r="H27" s="13"/>
      <c r="I27" s="92" t="s">
        <v>11147</v>
      </c>
      <c r="J27" s="107" t="s">
        <v>11148</v>
      </c>
      <c r="K27" s="13"/>
      <c r="L27" s="45" t="s">
        <v>11149</v>
      </c>
      <c r="M27" s="13"/>
      <c r="N27" s="127" t="s">
        <v>11150</v>
      </c>
      <c r="O27" s="13"/>
      <c r="P27" s="37" t="s">
        <v>11151</v>
      </c>
      <c r="Q27" s="13"/>
      <c r="R27" s="132" t="s">
        <v>11152</v>
      </c>
      <c r="S27" s="34" t="s">
        <v>11153</v>
      </c>
      <c r="T27" s="125" t="s">
        <v>11154</v>
      </c>
      <c r="U27" s="36"/>
      <c r="V27" s="41"/>
      <c r="W27" s="26"/>
      <c r="X27" s="42" t="s">
        <v>48</v>
      </c>
      <c r="Y27" s="42" t="s">
        <v>49</v>
      </c>
      <c r="Z27" s="48" t="s">
        <v>57</v>
      </c>
      <c r="AA27" s="85" t="str">
        <f>AA$6</f>
        <v/>
      </c>
      <c r="AB27" s="15" t="str">
        <f>IFERROR(__xludf.DUMMYFUNCTION("join("","",filter(split($H$83,"",""),ARRAYFORMULA(ISERROR(FIND(split($H$83,"",""),CONCATENATE(E27:V27))))=TRUE))"),"СЗ,202,206,403,404,408,410,АЗ")</f>
        <v>СЗ,202,206,403,404,408,410,АЗ</v>
      </c>
      <c r="AC27" s="14"/>
      <c r="AD27" s="14"/>
      <c r="AE27" s="14"/>
      <c r="AF27" s="29"/>
      <c r="AG27" s="29"/>
      <c r="AH27" s="29"/>
    </row>
    <row r="28" ht="53.25" hidden="1" customHeight="1">
      <c r="A28" s="30"/>
      <c r="B28" s="436">
        <v>5.0</v>
      </c>
      <c r="C28" s="32" t="s">
        <v>58</v>
      </c>
      <c r="D28" s="53">
        <v>44847.0</v>
      </c>
      <c r="E28" s="33" t="s">
        <v>11155</v>
      </c>
      <c r="F28" s="126" t="s">
        <v>11156</v>
      </c>
      <c r="G28" s="37" t="s">
        <v>11157</v>
      </c>
      <c r="H28" s="13"/>
      <c r="I28" s="92" t="s">
        <v>11158</v>
      </c>
      <c r="J28" s="123" t="s">
        <v>11159</v>
      </c>
      <c r="K28" s="41"/>
      <c r="L28" s="45" t="s">
        <v>11160</v>
      </c>
      <c r="M28" s="13"/>
      <c r="N28" s="89" t="s">
        <v>11161</v>
      </c>
      <c r="O28" s="13"/>
      <c r="P28" s="39" t="s">
        <v>11162</v>
      </c>
      <c r="Q28" s="124" t="s">
        <v>11163</v>
      </c>
      <c r="R28" s="132" t="s">
        <v>11164</v>
      </c>
      <c r="S28" s="34" t="s">
        <v>11165</v>
      </c>
      <c r="T28" s="128" t="s">
        <v>11166</v>
      </c>
      <c r="U28" s="8"/>
      <c r="V28" s="129"/>
      <c r="W28" s="26"/>
      <c r="X28" s="42" t="s">
        <v>58</v>
      </c>
      <c r="Y28" s="54">
        <v>44847.0</v>
      </c>
      <c r="Z28" s="48" t="s">
        <v>70</v>
      </c>
      <c r="AA28" s="85" t="str">
        <f>AA$7</f>
        <v/>
      </c>
      <c r="AB28" s="15" t="str">
        <f>IFERROR(__xludf.DUMMYFUNCTION("join("","",filter(split($H$83,"",""),ARRAYFORMULA(ISERROR(FIND(split($H$83,"",""),CONCATENATE(E28:V28))))=TRUE))"),"СЗ,206,209,403,404,408,410")</f>
        <v>СЗ,206,209,403,404,408,410</v>
      </c>
      <c r="AC28" s="14"/>
      <c r="AD28" s="14"/>
      <c r="AE28" s="14"/>
      <c r="AF28" s="29"/>
      <c r="AG28" s="29"/>
      <c r="AH28" s="29"/>
    </row>
    <row r="29" ht="40.5" hidden="1" customHeight="1">
      <c r="A29" s="30"/>
      <c r="B29" s="436">
        <v>6.0</v>
      </c>
      <c r="C29" s="55" t="s">
        <v>71</v>
      </c>
      <c r="D29" s="56" t="s">
        <v>72</v>
      </c>
      <c r="E29" s="882" t="s">
        <v>11167</v>
      </c>
      <c r="F29" s="34" t="s">
        <v>11168</v>
      </c>
      <c r="G29" s="95" t="s">
        <v>11169</v>
      </c>
      <c r="H29" s="41"/>
      <c r="I29" s="34" t="s">
        <v>11170</v>
      </c>
      <c r="J29" s="123" t="s">
        <v>11171</v>
      </c>
      <c r="K29" s="41"/>
      <c r="L29" s="89" t="s">
        <v>11172</v>
      </c>
      <c r="M29" s="13"/>
      <c r="N29" s="130" t="s">
        <v>11173</v>
      </c>
      <c r="O29" s="13"/>
      <c r="P29" s="131" t="s">
        <v>11174</v>
      </c>
      <c r="Q29" s="132" t="s">
        <v>11175</v>
      </c>
      <c r="R29" s="437"/>
      <c r="S29" s="92" t="s">
        <v>11176</v>
      </c>
      <c r="V29" s="134"/>
      <c r="W29" s="26"/>
      <c r="X29" s="58" t="s">
        <v>71</v>
      </c>
      <c r="Y29" s="59" t="s">
        <v>72</v>
      </c>
      <c r="Z29" s="48" t="s">
        <v>84</v>
      </c>
      <c r="AA29" s="85" t="str">
        <f>AA$8</f>
        <v/>
      </c>
      <c r="AB29" s="15" t="str">
        <f>IFERROR(__xludf.DUMMYFUNCTION("join("","",filter(split($H$83,"",""),ARRAYFORMULA(ISERROR(FIND(split($H$83,"",""),CONCATENATE(E29:V29))))=TRUE))"),"СЗ,201,206,403,404,405,408,410,АЗ")</f>
        <v>СЗ,201,206,403,404,405,408,410,АЗ</v>
      </c>
      <c r="AC29" s="14"/>
      <c r="AD29" s="14"/>
      <c r="AE29" s="14"/>
      <c r="AF29" s="29"/>
      <c r="AG29" s="29"/>
      <c r="AH29" s="29"/>
    </row>
    <row r="30" ht="40.5" hidden="1" customHeight="1">
      <c r="A30" s="30"/>
      <c r="B30" s="436">
        <v>7.0</v>
      </c>
      <c r="C30" s="32" t="s">
        <v>85</v>
      </c>
      <c r="D30" s="32" t="s">
        <v>86</v>
      </c>
      <c r="E30" s="882" t="s">
        <v>11177</v>
      </c>
      <c r="F30" s="34" t="s">
        <v>11178</v>
      </c>
      <c r="G30" s="40" t="s">
        <v>11179</v>
      </c>
      <c r="H30" s="41"/>
      <c r="I30" s="34" t="s">
        <v>11180</v>
      </c>
      <c r="J30" s="35" t="s">
        <v>11181</v>
      </c>
      <c r="K30" s="13"/>
      <c r="L30" s="123" t="s">
        <v>11182</v>
      </c>
      <c r="M30" s="41"/>
      <c r="N30" s="130" t="s">
        <v>11183</v>
      </c>
      <c r="O30" s="13"/>
      <c r="P30" s="131" t="s">
        <v>11184</v>
      </c>
      <c r="Q30" s="132" t="s">
        <v>11185</v>
      </c>
      <c r="R30" s="173"/>
      <c r="S30" s="92" t="s">
        <v>11186</v>
      </c>
      <c r="V30" s="134"/>
      <c r="W30" s="26"/>
      <c r="X30" s="42" t="s">
        <v>85</v>
      </c>
      <c r="Y30" s="42" t="s">
        <v>86</v>
      </c>
      <c r="Z30" s="48" t="s">
        <v>97</v>
      </c>
      <c r="AA30" s="85" t="str">
        <f>AA$9</f>
        <v/>
      </c>
      <c r="AB30" s="15" t="str">
        <f>IFERROR(__xludf.DUMMYFUNCTION("join("","",filter(split($H$83,"",""),ARRAYFORMULA(ISERROR(FIND(split($H$83,"",""),CONCATENATE(E30:V30))))=TRUE))"),"СЗ,206,403,404,405,408,409,410,АЗ")</f>
        <v>СЗ,206,403,404,405,408,409,410,АЗ</v>
      </c>
      <c r="AC30" s="14"/>
      <c r="AD30" s="14"/>
      <c r="AE30" s="14"/>
      <c r="AF30" s="29"/>
      <c r="AG30" s="29"/>
      <c r="AH30" s="29"/>
    </row>
    <row r="31" ht="52.5" hidden="1" customHeight="1">
      <c r="A31" s="30"/>
      <c r="B31" s="436">
        <v>8.0</v>
      </c>
      <c r="C31" s="32" t="s">
        <v>98</v>
      </c>
      <c r="D31" s="32" t="s">
        <v>99</v>
      </c>
      <c r="E31" s="46" t="s">
        <v>11187</v>
      </c>
      <c r="F31" s="41"/>
      <c r="G31" s="137" t="s">
        <v>11188</v>
      </c>
      <c r="H31" s="8"/>
      <c r="I31" s="129"/>
      <c r="J31" s="883"/>
      <c r="K31" s="36"/>
      <c r="L31" s="36"/>
      <c r="M31" s="13"/>
      <c r="N31" s="45" t="s">
        <v>11189</v>
      </c>
      <c r="O31" s="13"/>
      <c r="P31" s="140"/>
      <c r="Q31" s="4"/>
      <c r="R31" s="144"/>
      <c r="S31" s="133" t="s">
        <v>276</v>
      </c>
      <c r="V31" s="134"/>
      <c r="W31" s="26"/>
      <c r="X31" s="42" t="s">
        <v>98</v>
      </c>
      <c r="Y31" s="42" t="s">
        <v>99</v>
      </c>
      <c r="Z31" s="11"/>
      <c r="AA31" s="14"/>
      <c r="AB31" s="15" t="str">
        <f>IFERROR(__xludf.DUMMYFUNCTION("join("","",filter(split($H$83,"",""),ARRAYFORMULA(ISERROR(FIND(split($H$83,"",""),CONCATENATE(E31:V31))))=TRUE))"),"СЗ,КЗ,201,202,206,210,401,403,404,405,406,408,409,АЗ")</f>
        <v>СЗ,КЗ,201,202,206,210,401,403,404,405,406,408,409,АЗ</v>
      </c>
      <c r="AC31" s="14"/>
      <c r="AD31" s="14"/>
      <c r="AE31" s="14"/>
      <c r="AF31" s="29"/>
      <c r="AG31" s="29"/>
      <c r="AH31" s="29"/>
    </row>
    <row r="32" ht="57.0" hidden="1" customHeight="1">
      <c r="A32" s="30"/>
      <c r="B32" s="436">
        <v>9.0</v>
      </c>
      <c r="C32" s="65">
        <v>44697.0</v>
      </c>
      <c r="D32" s="44" t="s">
        <v>109</v>
      </c>
      <c r="E32" s="141" t="s">
        <v>11190</v>
      </c>
      <c r="F32" s="13"/>
      <c r="G32" s="142"/>
      <c r="H32" s="64"/>
      <c r="I32" s="88"/>
      <c r="J32" s="883"/>
      <c r="K32" s="36"/>
      <c r="L32" s="36"/>
      <c r="M32" s="13"/>
      <c r="N32" s="45" t="s">
        <v>11191</v>
      </c>
      <c r="O32" s="13"/>
      <c r="P32" s="142"/>
      <c r="Q32" s="72"/>
      <c r="R32" s="144"/>
      <c r="S32" s="92"/>
      <c r="T32" s="64"/>
      <c r="U32" s="64"/>
      <c r="V32" s="88"/>
      <c r="W32" s="26"/>
      <c r="X32" s="69">
        <v>44697.0</v>
      </c>
      <c r="Y32" s="70" t="s">
        <v>109</v>
      </c>
      <c r="Z32" s="28"/>
      <c r="AA32" s="14"/>
      <c r="AB32" s="15" t="str">
        <f>IFERROR(__xludf.DUMMYFUNCTION("join("","",filter(split($H$83,"",""),ARRAYFORMULA(ISERROR(FIND(split($H$83,"",""),CONCATENATE(E32:V32))))=TRUE))"),"СЗ,КЗ,201,202,206,210,401,402,403,404,405,406,408,409,АЗ")</f>
        <v>СЗ,КЗ,201,202,206,210,401,402,403,404,405,406,408,409,АЗ</v>
      </c>
      <c r="AC32" s="14"/>
      <c r="AD32" s="14"/>
      <c r="AE32" s="14"/>
      <c r="AF32" s="29"/>
      <c r="AG32" s="29"/>
      <c r="AH32" s="29"/>
    </row>
    <row r="33" ht="40.5" hidden="1" customHeight="1">
      <c r="A33" s="30"/>
      <c r="B33" s="436">
        <v>10.0</v>
      </c>
      <c r="C33" s="44" t="s">
        <v>120</v>
      </c>
      <c r="D33" s="44" t="s">
        <v>121</v>
      </c>
      <c r="E33" s="141" t="s">
        <v>11192</v>
      </c>
      <c r="F33" s="13"/>
      <c r="G33" s="884"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74"/>
      <c r="B34" s="438">
        <v>11.0</v>
      </c>
      <c r="C34" s="76" t="s">
        <v>124</v>
      </c>
      <c r="D34" s="76" t="s">
        <v>125</v>
      </c>
      <c r="E34" s="141" t="s">
        <v>11193</v>
      </c>
      <c r="F34" s="13"/>
      <c r="G34" s="620"/>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hidden="1" customHeight="1">
      <c r="A35" s="18">
        <v>45050.0</v>
      </c>
      <c r="B35" s="19">
        <v>1.0</v>
      </c>
      <c r="C35" s="20" t="s">
        <v>12</v>
      </c>
      <c r="D35" s="20" t="s">
        <v>13</v>
      </c>
      <c r="E35" s="885" t="s">
        <v>11194</v>
      </c>
      <c r="F35" s="24"/>
      <c r="G35" s="24"/>
      <c r="H35" s="24"/>
      <c r="I35" s="24"/>
      <c r="J35" s="24"/>
      <c r="K35" s="24"/>
      <c r="L35" s="24"/>
      <c r="M35" s="24"/>
      <c r="N35" s="24"/>
      <c r="O35" s="24"/>
      <c r="P35" s="24"/>
      <c r="Q35" s="24"/>
      <c r="R35" s="24"/>
      <c r="S35" s="24"/>
      <c r="T35" s="24"/>
      <c r="U35" s="24"/>
      <c r="V35" s="25"/>
      <c r="W35" s="26"/>
      <c r="X35" s="27" t="s">
        <v>12</v>
      </c>
      <c r="Y35" s="27" t="s">
        <v>13</v>
      </c>
      <c r="Z35" s="28"/>
      <c r="AA35" s="14"/>
      <c r="AB35" s="15" t="str">
        <f>IFERROR(__xludf.DUMMYFUNCTION("join("","",filter(split($H$83,"",""),ARRAYFORMULA(ISERROR(FIND(split($H$83,"",""),CONCATENATE(E35:V35))))=TRUE))"),"СЗ,КЗ,201,202,206,209,210,401,402,403,404,405,406,408,409,410")</f>
        <v>СЗ,КЗ,201,202,206,209,210,401,402,403,404,405,406,408,409,410</v>
      </c>
      <c r="AC35" s="14"/>
      <c r="AD35" s="14"/>
      <c r="AE35" s="14"/>
      <c r="AF35" s="29"/>
      <c r="AG35" s="29"/>
      <c r="AH35" s="29"/>
    </row>
    <row r="36" ht="54.0" hidden="1" customHeight="1">
      <c r="A36" s="30"/>
      <c r="B36" s="31">
        <v>2.0</v>
      </c>
      <c r="C36" s="32" t="s">
        <v>21</v>
      </c>
      <c r="D36" s="32" t="s">
        <v>22</v>
      </c>
      <c r="E36" s="45" t="s">
        <v>11195</v>
      </c>
      <c r="F36" s="13"/>
      <c r="G36" s="33" t="s">
        <v>11196</v>
      </c>
      <c r="H36" s="40" t="s">
        <v>312</v>
      </c>
      <c r="I36" s="41"/>
      <c r="J36" s="93" t="s">
        <v>313</v>
      </c>
      <c r="K36" s="13"/>
      <c r="L36" s="44" t="s">
        <v>11197</v>
      </c>
      <c r="M36" s="156" t="s">
        <v>11198</v>
      </c>
      <c r="N36" s="45" t="s">
        <v>316</v>
      </c>
      <c r="O36" s="13"/>
      <c r="P36" s="44" t="s">
        <v>11199</v>
      </c>
      <c r="Q36" s="44" t="s">
        <v>11200</v>
      </c>
      <c r="R36" s="162" t="s">
        <v>11201</v>
      </c>
      <c r="S36" s="90"/>
      <c r="T36" s="163" t="s">
        <v>11202</v>
      </c>
      <c r="U36" s="36"/>
      <c r="V36" s="41"/>
      <c r="W36" s="26"/>
      <c r="X36" s="42" t="s">
        <v>21</v>
      </c>
      <c r="Y36" s="42" t="s">
        <v>22</v>
      </c>
      <c r="Z36" s="28"/>
      <c r="AA36" s="14"/>
      <c r="AB36" s="15" t="str">
        <f>IFERROR(__xludf.DUMMYFUNCTION("join("","",filter(split($H$83,"",""),ARRAYFORMULA(ISERROR(FIND(split($H$83,"",""),CONCATENATE(E36:V36))))=TRUE))"),"СЗ,КЗ,206,406,410,АЗ")</f>
        <v>СЗ,КЗ,206,406,410,АЗ</v>
      </c>
      <c r="AC36" s="14"/>
      <c r="AD36" s="14"/>
      <c r="AE36" s="14"/>
      <c r="AF36" s="29"/>
      <c r="AG36" s="29"/>
      <c r="AH36" s="29"/>
    </row>
    <row r="37" ht="56.25" hidden="1" customHeight="1">
      <c r="A37" s="30"/>
      <c r="B37" s="31">
        <v>3.0</v>
      </c>
      <c r="C37" s="32" t="s">
        <v>33</v>
      </c>
      <c r="D37" s="32" t="s">
        <v>34</v>
      </c>
      <c r="E37" s="45" t="s">
        <v>11203</v>
      </c>
      <c r="F37" s="13"/>
      <c r="G37" s="322" t="s">
        <v>11204</v>
      </c>
      <c r="H37" s="45" t="s">
        <v>11205</v>
      </c>
      <c r="I37" s="41"/>
      <c r="J37" s="35" t="s">
        <v>11206</v>
      </c>
      <c r="K37" s="13"/>
      <c r="L37" s="156" t="s">
        <v>11207</v>
      </c>
      <c r="M37" s="44" t="s">
        <v>11208</v>
      </c>
      <c r="N37" s="164" t="s">
        <v>11209</v>
      </c>
      <c r="O37" s="36"/>
      <c r="P37" s="36"/>
      <c r="Q37" s="13"/>
      <c r="R37" s="44" t="s">
        <v>11210</v>
      </c>
      <c r="S37" s="44" t="s">
        <v>11211</v>
      </c>
      <c r="T37" s="87" t="s">
        <v>11212</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hidden="1" customHeight="1">
      <c r="A38" s="30"/>
      <c r="B38" s="31">
        <v>4.0</v>
      </c>
      <c r="C38" s="32" t="s">
        <v>48</v>
      </c>
      <c r="D38" s="32" t="s">
        <v>49</v>
      </c>
      <c r="E38" s="45" t="s">
        <v>11213</v>
      </c>
      <c r="F38" s="13"/>
      <c r="G38" s="322" t="s">
        <v>11214</v>
      </c>
      <c r="H38" s="45" t="s">
        <v>11215</v>
      </c>
      <c r="I38" s="41"/>
      <c r="J38" s="35" t="s">
        <v>11216</v>
      </c>
      <c r="K38" s="13"/>
      <c r="L38" s="156" t="s">
        <v>11217</v>
      </c>
      <c r="M38" s="44" t="s">
        <v>11218</v>
      </c>
      <c r="N38" s="164" t="s">
        <v>11219</v>
      </c>
      <c r="O38" s="36"/>
      <c r="P38" s="36"/>
      <c r="Q38" s="13"/>
      <c r="R38" s="44" t="s">
        <v>11220</v>
      </c>
      <c r="S38" s="44" t="s">
        <v>11221</v>
      </c>
      <c r="T38" s="87" t="s">
        <v>11222</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hidden="1" customHeight="1">
      <c r="A39" s="30"/>
      <c r="B39" s="31">
        <v>5.0</v>
      </c>
      <c r="C39" s="32" t="s">
        <v>58</v>
      </c>
      <c r="D39" s="458">
        <v>44847.0</v>
      </c>
      <c r="E39" s="90" t="s">
        <v>937</v>
      </c>
      <c r="F39" s="34" t="s">
        <v>11223</v>
      </c>
      <c r="G39" s="43" t="s">
        <v>11224</v>
      </c>
      <c r="H39" s="45" t="s">
        <v>11225</v>
      </c>
      <c r="I39" s="41"/>
      <c r="J39" s="156" t="s">
        <v>11226</v>
      </c>
      <c r="K39" s="44" t="s">
        <v>11227</v>
      </c>
      <c r="L39" s="45" t="s">
        <v>11228</v>
      </c>
      <c r="M39" s="13"/>
      <c r="N39" s="44" t="s">
        <v>11229</v>
      </c>
      <c r="O39" s="44" t="s">
        <v>11230</v>
      </c>
      <c r="P39" s="45" t="s">
        <v>11231</v>
      </c>
      <c r="Q39" s="13"/>
      <c r="R39" s="44" t="s">
        <v>11232</v>
      </c>
      <c r="S39" s="886" t="s">
        <v>11233</v>
      </c>
      <c r="T39" s="45" t="s">
        <v>11234</v>
      </c>
      <c r="U39" s="36"/>
      <c r="V39" s="41"/>
      <c r="W39" s="26"/>
      <c r="X39" s="42" t="s">
        <v>58</v>
      </c>
      <c r="Y39" s="54">
        <v>44847.0</v>
      </c>
      <c r="Z39" s="48" t="s">
        <v>70</v>
      </c>
      <c r="AA39" s="85" t="str">
        <f>AA$7</f>
        <v/>
      </c>
      <c r="AB39" s="15" t="str">
        <f>IFERROR(__xludf.DUMMYFUNCTION("join("","",filter(split($H$83,"",""),ARRAYFORMULA(ISERROR(FIND(split($H$83,"",""),CONCATENATE(F39:V39))))=TRUE))"),"СЗ,КЗ,206,210,406,АЗ")</f>
        <v>СЗ,КЗ,206,210,406,АЗ</v>
      </c>
      <c r="AC39" s="14"/>
      <c r="AD39" s="14"/>
      <c r="AE39" s="14"/>
      <c r="AF39" s="29"/>
      <c r="AG39" s="29"/>
      <c r="AH39" s="29"/>
    </row>
    <row r="40" ht="54.0" hidden="1" customHeight="1">
      <c r="A40" s="30"/>
      <c r="B40" s="31">
        <v>6.0</v>
      </c>
      <c r="C40" s="55" t="s">
        <v>71</v>
      </c>
      <c r="D40" s="736" t="s">
        <v>72</v>
      </c>
      <c r="E40" s="90" t="s">
        <v>937</v>
      </c>
      <c r="F40" s="34" t="s">
        <v>11235</v>
      </c>
      <c r="G40" s="43" t="s">
        <v>355</v>
      </c>
      <c r="H40" s="45" t="s">
        <v>11236</v>
      </c>
      <c r="I40" s="41"/>
      <c r="J40" s="156" t="s">
        <v>11237</v>
      </c>
      <c r="K40" s="44" t="s">
        <v>11238</v>
      </c>
      <c r="L40" s="45" t="s">
        <v>11239</v>
      </c>
      <c r="M40" s="13"/>
      <c r="N40" s="44" t="s">
        <v>11240</v>
      </c>
      <c r="O40" s="44" t="s">
        <v>11241</v>
      </c>
      <c r="P40" s="45" t="s">
        <v>11242</v>
      </c>
      <c r="Q40" s="13"/>
      <c r="R40" s="44" t="s">
        <v>11243</v>
      </c>
      <c r="S40" s="132" t="s">
        <v>11244</v>
      </c>
      <c r="T40" s="45" t="s">
        <v>11245</v>
      </c>
      <c r="U40" s="36"/>
      <c r="V40" s="41"/>
      <c r="W40" s="26"/>
      <c r="X40" s="58" t="s">
        <v>71</v>
      </c>
      <c r="Y40" s="59" t="s">
        <v>72</v>
      </c>
      <c r="Z40" s="48" t="s">
        <v>84</v>
      </c>
      <c r="AA40" s="85" t="str">
        <f>AA$8</f>
        <v/>
      </c>
      <c r="AB40" s="15" t="str">
        <f>IFERROR(__xludf.DUMMYFUNCTION("join("","",filter(split($H$83,"",""),ARRAYFORMULA(ISERROR(FIND(split($H$83,"",""),CONCATENATE(F40:V40))))=TRUE))"),"СЗ,КЗ,206,210,406,АЗ")</f>
        <v>СЗ,КЗ,206,210,406,АЗ</v>
      </c>
      <c r="AC40" s="14"/>
      <c r="AD40" s="14"/>
      <c r="AE40" s="14"/>
      <c r="AF40" s="29"/>
      <c r="AG40" s="29"/>
      <c r="AH40" s="29"/>
    </row>
    <row r="41" ht="48.75" hidden="1" customHeight="1">
      <c r="A41" s="30"/>
      <c r="B41" s="31">
        <v>7.0</v>
      </c>
      <c r="C41" s="32" t="s">
        <v>85</v>
      </c>
      <c r="D41" s="32" t="s">
        <v>86</v>
      </c>
      <c r="E41" s="45" t="s">
        <v>11246</v>
      </c>
      <c r="F41" s="13"/>
      <c r="G41" s="33" t="s">
        <v>11247</v>
      </c>
      <c r="H41" s="45" t="s">
        <v>11248</v>
      </c>
      <c r="I41" s="41"/>
      <c r="J41" s="43" t="s">
        <v>11249</v>
      </c>
      <c r="K41" s="156" t="s">
        <v>11250</v>
      </c>
      <c r="L41" s="45" t="s">
        <v>11251</v>
      </c>
      <c r="M41" s="13"/>
      <c r="N41" s="87" t="s">
        <v>11252</v>
      </c>
      <c r="O41" s="13"/>
      <c r="P41" s="45" t="s">
        <v>11253</v>
      </c>
      <c r="Q41" s="13"/>
      <c r="R41" s="44" t="s">
        <v>11254</v>
      </c>
      <c r="S41" s="44" t="s">
        <v>11255</v>
      </c>
      <c r="T41" s="165"/>
      <c r="U41" s="36"/>
      <c r="V41" s="41"/>
      <c r="W41" s="26"/>
      <c r="X41" s="42" t="s">
        <v>85</v>
      </c>
      <c r="Y41" s="42" t="s">
        <v>86</v>
      </c>
      <c r="Z41" s="48" t="s">
        <v>97</v>
      </c>
      <c r="AA41" s="85" t="str">
        <f>AA$9</f>
        <v/>
      </c>
      <c r="AB41" s="15" t="str">
        <f>IFERROR(__xludf.DUMMYFUNCTION("join("","",filter(split($H$83,"",""),ARRAYFORMULA(ISERROR(FIND(split($H$83,"",""),CONCATENATE(E41:V41))))=TRUE))"),"СЗ,КЗ,206,210,403,406,АЗ")</f>
        <v>СЗ,КЗ,206,210,403,406,АЗ</v>
      </c>
      <c r="AC41" s="14"/>
      <c r="AD41" s="14"/>
      <c r="AE41" s="14"/>
      <c r="AF41" s="29"/>
      <c r="AG41" s="29"/>
      <c r="AH41" s="29"/>
    </row>
    <row r="42" ht="52.5" hidden="1" customHeight="1">
      <c r="A42" s="30"/>
      <c r="B42" s="31">
        <v>8.0</v>
      </c>
      <c r="C42" s="32" t="s">
        <v>98</v>
      </c>
      <c r="D42" s="32" t="s">
        <v>99</v>
      </c>
      <c r="E42" s="45" t="s">
        <v>11256</v>
      </c>
      <c r="F42" s="13"/>
      <c r="G42" s="33" t="s">
        <v>11257</v>
      </c>
      <c r="H42" s="45" t="s">
        <v>379</v>
      </c>
      <c r="I42" s="41"/>
      <c r="J42" s="43" t="s">
        <v>11258</v>
      </c>
      <c r="K42" s="156" t="s">
        <v>11259</v>
      </c>
      <c r="L42" s="45" t="s">
        <v>11260</v>
      </c>
      <c r="M42" s="13"/>
      <c r="N42" s="87" t="s">
        <v>11261</v>
      </c>
      <c r="O42" s="13"/>
      <c r="P42" s="45" t="s">
        <v>11262</v>
      </c>
      <c r="Q42" s="13"/>
      <c r="R42" s="166"/>
      <c r="S42" s="13"/>
      <c r="T42" s="165"/>
      <c r="U42" s="36"/>
      <c r="V42" s="41"/>
      <c r="W42" s="26"/>
      <c r="X42" s="42" t="s">
        <v>98</v>
      </c>
      <c r="Y42" s="42" t="s">
        <v>99</v>
      </c>
      <c r="Z42" s="11"/>
      <c r="AA42" s="14"/>
      <c r="AB42" s="15" t="str">
        <f>IFERROR(__xludf.DUMMYFUNCTION("join("","",filter(split($H$83,"",""),ARRAYFORMULA(ISERROR(FIND(split($H$83,"",""),CONCATENATE(E42:V42))))=TRUE))"),"СЗ,КЗ,206,210,403,404,405,406,АЗ")</f>
        <v>СЗ,КЗ,206,210,403,404,405,406,АЗ</v>
      </c>
      <c r="AC42" s="14"/>
      <c r="AD42" s="14"/>
      <c r="AE42" s="14"/>
      <c r="AF42" s="29"/>
      <c r="AG42" s="29"/>
      <c r="AH42" s="29"/>
    </row>
    <row r="43" ht="40.5" hidden="1" customHeight="1">
      <c r="A43" s="30"/>
      <c r="B43" s="31">
        <v>9.0</v>
      </c>
      <c r="C43" s="65">
        <v>44697.0</v>
      </c>
      <c r="D43" s="44" t="s">
        <v>109</v>
      </c>
      <c r="E43" s="167" t="s">
        <v>11263</v>
      </c>
      <c r="F43" s="4"/>
      <c r="G43" s="168"/>
      <c r="H43" s="169" t="s">
        <v>11264</v>
      </c>
      <c r="I43" s="36"/>
      <c r="J43" s="13"/>
      <c r="K43" s="170"/>
      <c r="L43" s="4"/>
      <c r="M43" s="171"/>
      <c r="N43" s="45"/>
      <c r="O43" s="13"/>
      <c r="P43" s="43" t="s">
        <v>11265</v>
      </c>
      <c r="Q43" s="172" t="s">
        <v>11266</v>
      </c>
      <c r="R43" s="8"/>
      <c r="S43" s="8"/>
      <c r="T43" s="8"/>
      <c r="U43" s="8"/>
      <c r="V43" s="129"/>
      <c r="W43" s="26"/>
      <c r="X43" s="69">
        <v>44697.0</v>
      </c>
      <c r="Y43" s="70" t="s">
        <v>109</v>
      </c>
      <c r="Z43" s="28"/>
      <c r="AA43" s="14"/>
      <c r="AB43" s="15" t="str">
        <f>IFERROR(__xludf.DUMMYFUNCTION("join("","",filter(split($H$83,"",""),ARRAYFORMULA(ISERROR(FIND(split($H$83,"",""),CONCATENATE(E43:V43))))=TRUE))"),"СЗ,КЗ,201,202,206,209,401,403,404,405,406,408,409,АЗ")</f>
        <v>СЗ,КЗ,201,202,206,209,401,403,404,405,406,408,409,АЗ</v>
      </c>
      <c r="AC43" s="14"/>
      <c r="AD43" s="14"/>
      <c r="AE43" s="14"/>
      <c r="AF43" s="29"/>
      <c r="AG43" s="29"/>
      <c r="AH43" s="29"/>
    </row>
    <row r="44" ht="40.5" hidden="1" customHeight="1">
      <c r="A44" s="30"/>
      <c r="B44" s="31">
        <v>10.0</v>
      </c>
      <c r="C44" s="44" t="s">
        <v>120</v>
      </c>
      <c r="D44" s="44" t="s">
        <v>121</v>
      </c>
      <c r="E44" s="104"/>
      <c r="F44" s="72"/>
      <c r="G44" s="173"/>
      <c r="H44" s="169" t="s">
        <v>11267</v>
      </c>
      <c r="I44" s="36"/>
      <c r="J44" s="13"/>
      <c r="K44" s="104"/>
      <c r="L44" s="72"/>
      <c r="M44" s="171"/>
      <c r="N44" s="45"/>
      <c r="O44" s="13"/>
      <c r="P44" s="43" t="s">
        <v>11268</v>
      </c>
      <c r="Q44" s="104"/>
      <c r="R44" s="64"/>
      <c r="S44" s="64"/>
      <c r="T44" s="64"/>
      <c r="U44" s="64"/>
      <c r="V44" s="88"/>
      <c r="W44" s="26"/>
      <c r="X44" s="70" t="s">
        <v>120</v>
      </c>
      <c r="Y44" s="70" t="s">
        <v>121</v>
      </c>
      <c r="Z44" s="28"/>
      <c r="AA44" s="14"/>
      <c r="AB44" s="15" t="str">
        <f>IFERROR(__xludf.DUMMYFUNCTION("join("","",filter(split($H$83,"",""),ARRAYFORMULA(ISERROR(FIND(split($H$83,"",""),CONCATENATE(E44:V44))))=TRUE))"),"СЗ,КЗ,201,202,206,209,401,403,404,405,406,408,409,410,АЗ")</f>
        <v>СЗ,КЗ,201,202,206,209,401,403,404,405,406,408,409,410,АЗ</v>
      </c>
      <c r="AC44" s="14"/>
      <c r="AD44" s="14"/>
      <c r="AE44" s="14"/>
      <c r="AF44" s="29"/>
      <c r="AG44" s="29"/>
      <c r="AH44" s="29"/>
    </row>
    <row r="45" ht="40.5" hidden="1"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18">
        <v>45051.0</v>
      </c>
      <c r="B46" s="19">
        <v>1.0</v>
      </c>
      <c r="C46" s="20" t="s">
        <v>12</v>
      </c>
      <c r="D46" s="20" t="s">
        <v>13</v>
      </c>
      <c r="E46" s="156" t="s">
        <v>11269</v>
      </c>
      <c r="F46" s="156" t="s">
        <v>11270</v>
      </c>
      <c r="G46" s="80" t="s">
        <v>11271</v>
      </c>
      <c r="H46" s="25"/>
      <c r="I46" s="174" t="s">
        <v>11272</v>
      </c>
      <c r="J46" s="175" t="s">
        <v>11273</v>
      </c>
      <c r="K46" s="25"/>
      <c r="L46" s="80" t="s">
        <v>11274</v>
      </c>
      <c r="M46" s="25"/>
      <c r="N46" s="156" t="s">
        <v>11275</v>
      </c>
      <c r="O46" s="156" t="s">
        <v>11276</v>
      </c>
      <c r="P46" s="80" t="s">
        <v>11277</v>
      </c>
      <c r="Q46" s="25"/>
      <c r="R46" s="80" t="s">
        <v>11278</v>
      </c>
      <c r="S46" s="25"/>
      <c r="T46" s="80" t="s">
        <v>11279</v>
      </c>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11280</v>
      </c>
      <c r="F47" s="44" t="s">
        <v>11281</v>
      </c>
      <c r="G47" s="45" t="s">
        <v>11282</v>
      </c>
      <c r="H47" s="13"/>
      <c r="I47" s="173"/>
      <c r="J47" s="157" t="s">
        <v>11283</v>
      </c>
      <c r="K47" s="13"/>
      <c r="L47" s="80" t="s">
        <v>11284</v>
      </c>
      <c r="M47" s="25"/>
      <c r="N47" s="44" t="s">
        <v>11285</v>
      </c>
      <c r="O47" s="44" t="s">
        <v>11286</v>
      </c>
      <c r="P47" s="45" t="s">
        <v>11287</v>
      </c>
      <c r="Q47" s="13"/>
      <c r="R47" s="44" t="s">
        <v>11288</v>
      </c>
      <c r="S47" s="90" t="s">
        <v>11289</v>
      </c>
      <c r="T47" s="45" t="s">
        <v>11290</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40" t="s">
        <v>11291</v>
      </c>
      <c r="F48" s="13"/>
      <c r="G48" s="176" t="s">
        <v>11292</v>
      </c>
      <c r="H48" s="4"/>
      <c r="I48" s="90" t="s">
        <v>11293</v>
      </c>
      <c r="J48" s="44" t="s">
        <v>11294</v>
      </c>
      <c r="K48" s="44" t="s">
        <v>11295</v>
      </c>
      <c r="L48" s="44" t="s">
        <v>11296</v>
      </c>
      <c r="M48" s="44" t="s">
        <v>11297</v>
      </c>
      <c r="N48" s="164" t="s">
        <v>11298</v>
      </c>
      <c r="O48" s="36"/>
      <c r="P48" s="36"/>
      <c r="Q48" s="13"/>
      <c r="R48" s="44" t="s">
        <v>11299</v>
      </c>
      <c r="S48" s="90" t="s">
        <v>11300</v>
      </c>
      <c r="T48" s="45" t="s">
        <v>11301</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11302</v>
      </c>
      <c r="F49" s="13"/>
      <c r="G49" s="104"/>
      <c r="H49" s="72"/>
      <c r="I49" s="90" t="s">
        <v>11303</v>
      </c>
      <c r="J49" s="44" t="s">
        <v>11304</v>
      </c>
      <c r="K49" s="44" t="s">
        <v>11305</v>
      </c>
      <c r="L49" s="44" t="s">
        <v>11306</v>
      </c>
      <c r="M49" s="44" t="s">
        <v>11307</v>
      </c>
      <c r="N49" s="164" t="s">
        <v>11308</v>
      </c>
      <c r="O49" s="36"/>
      <c r="P49" s="36"/>
      <c r="Q49" s="13"/>
      <c r="R49" s="97" t="s">
        <v>11309</v>
      </c>
      <c r="S49" s="133" t="s">
        <v>11310</v>
      </c>
      <c r="T49" s="45" t="s">
        <v>11311</v>
      </c>
      <c r="U49" s="36"/>
      <c r="V49" s="41"/>
      <c r="W49" s="26"/>
      <c r="X49" s="42" t="s">
        <v>48</v>
      </c>
      <c r="Y49" s="42" t="s">
        <v>49</v>
      </c>
      <c r="Z49" s="48" t="s">
        <v>57</v>
      </c>
      <c r="AA49" s="85" t="str">
        <f>AA$6</f>
        <v/>
      </c>
      <c r="AB49" s="15" t="str">
        <f>IFERROR(__xludf.DUMMYFUNCTION("join("","",filter(split($H$83,"",""),ARRAYFORMULA(ISERROR(FIND(split($H$83,"",""),CONCATENATE(E49:V49))))=TRUE))"),"СЗ,КЗ,201,206,409,410,АЗ")</f>
        <v>СЗ,КЗ,201,206,409,410,АЗ</v>
      </c>
      <c r="AC49" s="14"/>
      <c r="AD49" s="14"/>
      <c r="AE49" s="14"/>
      <c r="AF49" s="29"/>
      <c r="AG49" s="29"/>
      <c r="AH49" s="29"/>
    </row>
    <row r="50" ht="40.5" customHeight="1">
      <c r="A50" s="30"/>
      <c r="B50" s="31">
        <v>5.0</v>
      </c>
      <c r="C50" s="32" t="s">
        <v>58</v>
      </c>
      <c r="D50" s="53">
        <v>44847.0</v>
      </c>
      <c r="E50" s="45" t="s">
        <v>11312</v>
      </c>
      <c r="F50" s="13"/>
      <c r="G50" s="44" t="s">
        <v>11313</v>
      </c>
      <c r="H50" s="44" t="s">
        <v>11314</v>
      </c>
      <c r="I50" s="44" t="s">
        <v>11315</v>
      </c>
      <c r="J50" s="45" t="s">
        <v>11316</v>
      </c>
      <c r="K50" s="13"/>
      <c r="L50" s="45" t="s">
        <v>11317</v>
      </c>
      <c r="M50" s="13"/>
      <c r="N50" s="86" t="s">
        <v>11318</v>
      </c>
      <c r="O50" s="13"/>
      <c r="P50" s="45" t="s">
        <v>11319</v>
      </c>
      <c r="Q50" s="13"/>
      <c r="R50" s="97" t="s">
        <v>11320</v>
      </c>
      <c r="S50" s="133" t="s">
        <v>11321</v>
      </c>
      <c r="T50" s="45" t="s">
        <v>11322</v>
      </c>
      <c r="U50" s="36"/>
      <c r="V50" s="41"/>
      <c r="W50" s="26"/>
      <c r="X50" s="42" t="s">
        <v>58</v>
      </c>
      <c r="Y50" s="54">
        <v>44847.0</v>
      </c>
      <c r="Z50" s="48" t="s">
        <v>70</v>
      </c>
      <c r="AA50" s="85" t="str">
        <f>AA$7</f>
        <v/>
      </c>
      <c r="AB50" s="15" t="str">
        <f>IFERROR(__xludf.DUMMYFUNCTION("join("","",filter(split($H$83,"",""),ARRAYFORMULA(ISERROR(FIND(split($H$83,"",""),CONCATENATE(E50:V50))))=TRUE))"),"СЗ,КЗ,202,206,401,404,408,410")</f>
        <v>СЗ,КЗ,202,206,401,404,408,410</v>
      </c>
      <c r="AC50" s="14"/>
      <c r="AD50" s="14"/>
      <c r="AE50" s="14"/>
      <c r="AF50" s="29"/>
      <c r="AG50" s="29"/>
      <c r="AH50" s="29"/>
    </row>
    <row r="51" ht="48.75" customHeight="1">
      <c r="A51" s="30"/>
      <c r="B51" s="31">
        <v>6.0</v>
      </c>
      <c r="C51" s="55" t="s">
        <v>71</v>
      </c>
      <c r="D51" s="56" t="s">
        <v>72</v>
      </c>
      <c r="E51" s="45" t="s">
        <v>11323</v>
      </c>
      <c r="F51" s="13"/>
      <c r="G51" s="44" t="s">
        <v>11324</v>
      </c>
      <c r="H51" s="44" t="s">
        <v>11325</v>
      </c>
      <c r="I51" s="44" t="s">
        <v>11326</v>
      </c>
      <c r="J51" s="45" t="s">
        <v>11327</v>
      </c>
      <c r="K51" s="13"/>
      <c r="L51" s="45" t="s">
        <v>11328</v>
      </c>
      <c r="M51" s="13"/>
      <c r="N51" s="177"/>
      <c r="O51" s="124"/>
      <c r="P51" s="45" t="s">
        <v>11329</v>
      </c>
      <c r="Q51" s="13"/>
      <c r="R51" s="162" t="s">
        <v>11330</v>
      </c>
      <c r="S51" s="178" t="s">
        <v>11331</v>
      </c>
      <c r="T51" s="44" t="s">
        <v>11332</v>
      </c>
      <c r="U51" s="44" t="s">
        <v>11333</v>
      </c>
      <c r="V51" s="34"/>
      <c r="W51" s="179"/>
      <c r="X51" s="58" t="s">
        <v>71</v>
      </c>
      <c r="Y51" s="59" t="s">
        <v>72</v>
      </c>
      <c r="Z51" s="48" t="s">
        <v>84</v>
      </c>
      <c r="AA51" s="85"/>
      <c r="AB51" s="15" t="str">
        <f>IFERROR(__xludf.DUMMYFUNCTION("join("","",filter(split($H$83,"",""),ARRAYFORMULA(ISERROR(FIND(split($H$83,"",""),CONCATENATE(E51:V51))))=TRUE))"),"СЗ,202,206,404,406,410")</f>
        <v>СЗ,202,206,404,406,410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11334</v>
      </c>
      <c r="F52" s="13"/>
      <c r="G52" s="44" t="s">
        <v>11335</v>
      </c>
      <c r="H52" s="44" t="s">
        <v>11336</v>
      </c>
      <c r="I52" s="44" t="s">
        <v>11337</v>
      </c>
      <c r="J52" s="45" t="s">
        <v>11338</v>
      </c>
      <c r="K52" s="13"/>
      <c r="L52" s="45" t="s">
        <v>11339</v>
      </c>
      <c r="M52" s="13"/>
      <c r="N52" s="163"/>
      <c r="O52" s="13"/>
      <c r="P52" s="124"/>
      <c r="Q52" s="37" t="s">
        <v>11340</v>
      </c>
      <c r="R52" s="180" t="s">
        <v>11341</v>
      </c>
      <c r="S52" s="181" t="s">
        <v>11342</v>
      </c>
      <c r="T52" s="44" t="s">
        <v>472</v>
      </c>
      <c r="U52" s="44"/>
      <c r="V52" s="34"/>
      <c r="W52" s="26"/>
      <c r="X52" s="42" t="s">
        <v>85</v>
      </c>
      <c r="Y52" s="42" t="s">
        <v>86</v>
      </c>
      <c r="Z52" s="48" t="s">
        <v>97</v>
      </c>
      <c r="AA52" s="85" t="str">
        <f>AA$9</f>
        <v/>
      </c>
      <c r="AB52" s="15" t="str">
        <f>IFERROR(__xludf.DUMMYFUNCTION("join("","",filter(split($H$83,"",""),ARRAYFORMULA(ISERROR(FIND(split($H$83,"",""),CONCATENATE(E52:V52))))=TRUE))"),"СЗ,202,206,404,406,410")</f>
        <v>СЗ,202,206,404,406,410</v>
      </c>
      <c r="AC52" s="14"/>
      <c r="AD52" s="14"/>
      <c r="AE52" s="14"/>
      <c r="AF52" s="29"/>
      <c r="AG52" s="29"/>
      <c r="AH52" s="29"/>
    </row>
    <row r="53" ht="51.75" customHeight="1">
      <c r="A53" s="30"/>
      <c r="B53" s="31">
        <v>8.0</v>
      </c>
      <c r="C53" s="32" t="s">
        <v>98</v>
      </c>
      <c r="D53" s="32" t="s">
        <v>99</v>
      </c>
      <c r="E53" s="44" t="s">
        <v>11343</v>
      </c>
      <c r="F53" s="44" t="s">
        <v>11344</v>
      </c>
      <c r="G53" s="416" t="s">
        <v>1913</v>
      </c>
      <c r="H53" s="45"/>
      <c r="I53" s="13"/>
      <c r="J53" s="45" t="s">
        <v>11345</v>
      </c>
      <c r="K53" s="13"/>
      <c r="L53" s="45" t="s">
        <v>11346</v>
      </c>
      <c r="M53" s="13"/>
      <c r="N53" s="182"/>
      <c r="O53" s="177"/>
      <c r="P53" s="124"/>
      <c r="Q53" s="37" t="s">
        <v>160</v>
      </c>
      <c r="R53" s="183" t="s">
        <v>11347</v>
      </c>
      <c r="S53" s="181" t="s">
        <v>11348</v>
      </c>
      <c r="T53" s="144"/>
      <c r="U53" s="144"/>
      <c r="V53" s="184"/>
      <c r="W53" s="26"/>
      <c r="X53" s="42" t="s">
        <v>98</v>
      </c>
      <c r="Y53" s="42" t="s">
        <v>99</v>
      </c>
      <c r="Z53" s="11"/>
      <c r="AA53" s="14"/>
      <c r="AB53" s="15" t="str">
        <f>IFERROR(__xludf.DUMMYFUNCTION("join("","",filter(split($H$83,"",""),ARRAYFORMULA(ISERROR(FIND(split($H$83,"",""),CONCATENATE(E53:V53))))=TRUE))"),"СЗ,201,202,206,401,404,405,406,408,410")</f>
        <v>СЗ,201,202,206,401,404,405,406,408,410</v>
      </c>
      <c r="AC53" s="14"/>
      <c r="AD53" s="14"/>
      <c r="AE53" s="14"/>
      <c r="AF53" s="29"/>
      <c r="AG53" s="29"/>
      <c r="AH53" s="29"/>
    </row>
    <row r="54" ht="71.25" customHeight="1">
      <c r="A54" s="30"/>
      <c r="B54" s="31">
        <v>9.0</v>
      </c>
      <c r="C54" s="65">
        <v>44697.0</v>
      </c>
      <c r="D54" s="44" t="s">
        <v>109</v>
      </c>
      <c r="E54" s="187" t="s">
        <v>11349</v>
      </c>
      <c r="F54" s="8"/>
      <c r="G54" s="8"/>
      <c r="H54" s="8"/>
      <c r="I54" s="8"/>
      <c r="J54" s="8"/>
      <c r="K54" s="8"/>
      <c r="L54" s="8"/>
      <c r="M54" s="8"/>
      <c r="N54" s="163"/>
      <c r="O54" s="177"/>
      <c r="P54" s="187" t="s">
        <v>11349</v>
      </c>
      <c r="Q54" s="8"/>
      <c r="R54" s="8"/>
      <c r="S54" s="8"/>
      <c r="T54" s="8"/>
      <c r="U54" s="8"/>
      <c r="V54" s="8"/>
      <c r="W54" s="186"/>
      <c r="X54" s="69">
        <v>44697.0</v>
      </c>
      <c r="Y54" s="70" t="s">
        <v>109</v>
      </c>
      <c r="Z54" s="28"/>
      <c r="AA54" s="14"/>
      <c r="AB54" s="15" t="str">
        <f>IFERROR(__xludf.DUMMYFUNCTION("join("","",filter(split($H$83,"",""),ARRAYFORMULA(ISERROR(FIND(split($H$83,"",""),CONCATENATE(E54:V54))))=TRUE))"),"202,206,209,401,403,404,405,408,409,410,АЗ")</f>
        <v>202,206,209,401,403,404,405,408,409,410,АЗ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18">
        <v>45052.0</v>
      </c>
      <c r="B57" s="191">
        <v>1.0</v>
      </c>
      <c r="C57" s="192" t="str">
        <f>D$1</f>
        <v/>
      </c>
      <c r="D57" s="72"/>
      <c r="E57" s="193"/>
      <c r="F57" s="193"/>
      <c r="G57" s="194" t="s">
        <v>481</v>
      </c>
      <c r="H57" s="64"/>
      <c r="I57" s="72"/>
      <c r="J57" s="195"/>
      <c r="K57" s="64"/>
      <c r="L57" s="64"/>
      <c r="M57" s="72"/>
      <c r="N57" s="193"/>
      <c r="O57" s="177"/>
      <c r="P57" s="187"/>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77"/>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30"/>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30"/>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74"/>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79">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E19:F19"/>
    <mergeCell ref="H19:I19"/>
    <mergeCell ref="J19:K19"/>
    <mergeCell ref="L19:M19"/>
    <mergeCell ref="E20:F20"/>
    <mergeCell ref="H20:I20"/>
    <mergeCell ref="J20:K20"/>
    <mergeCell ref="L20:M20"/>
    <mergeCell ref="J10:K10"/>
    <mergeCell ref="L10:M10"/>
    <mergeCell ref="A13:A23"/>
    <mergeCell ref="E13:F13"/>
    <mergeCell ref="J13:K13"/>
    <mergeCell ref="L13:M13"/>
    <mergeCell ref="E14:F14"/>
    <mergeCell ref="J29:K29"/>
    <mergeCell ref="L29:M29"/>
    <mergeCell ref="J30:K30"/>
    <mergeCell ref="L30:M30"/>
    <mergeCell ref="J31:M31"/>
    <mergeCell ref="J32:M32"/>
    <mergeCell ref="H21:M21"/>
    <mergeCell ref="H22:M22"/>
    <mergeCell ref="H24:I24"/>
    <mergeCell ref="J24:M24"/>
    <mergeCell ref="H25:I25"/>
    <mergeCell ref="J25:K25"/>
    <mergeCell ref="L25:M25"/>
    <mergeCell ref="H42:I42"/>
    <mergeCell ref="L42:M42"/>
    <mergeCell ref="H43:J43"/>
    <mergeCell ref="K43:L44"/>
    <mergeCell ref="H44:J44"/>
    <mergeCell ref="E42:F42"/>
    <mergeCell ref="E43:F44"/>
    <mergeCell ref="G43:G44"/>
    <mergeCell ref="G46:H46"/>
    <mergeCell ref="I46:I47"/>
    <mergeCell ref="J46:K46"/>
    <mergeCell ref="J47:K47"/>
    <mergeCell ref="E41:F41"/>
    <mergeCell ref="E48:F48"/>
    <mergeCell ref="A57:A67"/>
    <mergeCell ref="C57:D57"/>
    <mergeCell ref="E33:F33"/>
    <mergeCell ref="E34:F34"/>
    <mergeCell ref="A35:A45"/>
    <mergeCell ref="E36:F36"/>
    <mergeCell ref="E37:F37"/>
    <mergeCell ref="E38:F38"/>
    <mergeCell ref="A46:A56"/>
    <mergeCell ref="E21:F22"/>
    <mergeCell ref="G21:G22"/>
    <mergeCell ref="A24:A34"/>
    <mergeCell ref="E24:F24"/>
    <mergeCell ref="E25:F25"/>
    <mergeCell ref="E26:F26"/>
    <mergeCell ref="G29:H29"/>
    <mergeCell ref="G30:H30"/>
    <mergeCell ref="E31:F31"/>
    <mergeCell ref="G31:I32"/>
    <mergeCell ref="E32:F32"/>
    <mergeCell ref="H36:I36"/>
    <mergeCell ref="J36:K36"/>
    <mergeCell ref="J37:K37"/>
    <mergeCell ref="L40:M40"/>
    <mergeCell ref="L41:M41"/>
    <mergeCell ref="L46:M46"/>
    <mergeCell ref="L47:M47"/>
    <mergeCell ref="K66:L66"/>
    <mergeCell ref="K67:L67"/>
    <mergeCell ref="K68:L68"/>
    <mergeCell ref="H37:I37"/>
    <mergeCell ref="H38:I38"/>
    <mergeCell ref="J38:K38"/>
    <mergeCell ref="H39:I39"/>
    <mergeCell ref="L39:M39"/>
    <mergeCell ref="H40:I40"/>
    <mergeCell ref="H41:I41"/>
    <mergeCell ref="G47:H47"/>
    <mergeCell ref="G48:H49"/>
    <mergeCell ref="E51:F51"/>
    <mergeCell ref="E52:F52"/>
    <mergeCell ref="J52:K52"/>
    <mergeCell ref="H53:I53"/>
    <mergeCell ref="J53:K53"/>
    <mergeCell ref="L53:M53"/>
    <mergeCell ref="E54:M55"/>
    <mergeCell ref="G57:I57"/>
    <mergeCell ref="J57:M57"/>
    <mergeCell ref="E49:F49"/>
    <mergeCell ref="E50:F50"/>
    <mergeCell ref="J50:K50"/>
    <mergeCell ref="L50:M50"/>
    <mergeCell ref="J51:K51"/>
    <mergeCell ref="L51:M51"/>
    <mergeCell ref="L52:M52"/>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T15:V15"/>
    <mergeCell ref="T16:V16"/>
    <mergeCell ref="E10:F10"/>
    <mergeCell ref="H10:I10"/>
    <mergeCell ref="S10:V10"/>
    <mergeCell ref="T11:V11"/>
    <mergeCell ref="U13:V13"/>
    <mergeCell ref="U14:V14"/>
    <mergeCell ref="N16:O16"/>
    <mergeCell ref="N17:O17"/>
    <mergeCell ref="T17:V17"/>
    <mergeCell ref="N18:O18"/>
    <mergeCell ref="T18:V18"/>
    <mergeCell ref="N19:O19"/>
    <mergeCell ref="P19:Q19"/>
    <mergeCell ref="T19:V19"/>
    <mergeCell ref="N20:O20"/>
    <mergeCell ref="P20:Q20"/>
    <mergeCell ref="T20:V20"/>
    <mergeCell ref="N21:O21"/>
    <mergeCell ref="P21:Q21"/>
    <mergeCell ref="R21:S21"/>
    <mergeCell ref="T21:V21"/>
    <mergeCell ref="R25:S25"/>
    <mergeCell ref="T25:V25"/>
    <mergeCell ref="T28:V32"/>
    <mergeCell ref="R29:R30"/>
    <mergeCell ref="T22:V22"/>
    <mergeCell ref="R23:V23"/>
    <mergeCell ref="N24:O24"/>
    <mergeCell ref="Q24:S24"/>
    <mergeCell ref="T24:V24"/>
    <mergeCell ref="N25:O25"/>
    <mergeCell ref="P25:Q25"/>
    <mergeCell ref="N30:O30"/>
    <mergeCell ref="N31:O31"/>
    <mergeCell ref="P31:Q32"/>
    <mergeCell ref="N32:O32"/>
    <mergeCell ref="N26:O26"/>
    <mergeCell ref="R26:S26"/>
    <mergeCell ref="T26:V26"/>
    <mergeCell ref="N27:O27"/>
    <mergeCell ref="P27:Q27"/>
    <mergeCell ref="T27:V27"/>
    <mergeCell ref="N29:O29"/>
    <mergeCell ref="P7:Q7"/>
    <mergeCell ref="R7:S7"/>
    <mergeCell ref="H8:I8"/>
    <mergeCell ref="J8:K8"/>
    <mergeCell ref="L8:M8"/>
    <mergeCell ref="N8:O8"/>
    <mergeCell ref="P8:Q8"/>
    <mergeCell ref="R8:S8"/>
    <mergeCell ref="H9:I9"/>
    <mergeCell ref="J9:K9"/>
    <mergeCell ref="L9:M9"/>
    <mergeCell ref="N9:O9"/>
    <mergeCell ref="N22:O22"/>
    <mergeCell ref="P22:S22"/>
    <mergeCell ref="T48:V48"/>
    <mergeCell ref="T49:V49"/>
    <mergeCell ref="P46:Q46"/>
    <mergeCell ref="R46:S46"/>
    <mergeCell ref="T46:V46"/>
    <mergeCell ref="P47:Q47"/>
    <mergeCell ref="T47:V47"/>
    <mergeCell ref="N48:Q48"/>
    <mergeCell ref="N49:Q49"/>
    <mergeCell ref="G26:I26"/>
    <mergeCell ref="J26:K26"/>
    <mergeCell ref="L26:M26"/>
    <mergeCell ref="G27:H27"/>
    <mergeCell ref="J27:K27"/>
    <mergeCell ref="L27:M27"/>
    <mergeCell ref="G28:H28"/>
    <mergeCell ref="T36:V36"/>
    <mergeCell ref="T37:V37"/>
    <mergeCell ref="J28:K28"/>
    <mergeCell ref="L28:M28"/>
    <mergeCell ref="N28:O28"/>
    <mergeCell ref="G33:Q34"/>
    <mergeCell ref="E35:V35"/>
    <mergeCell ref="N36:O36"/>
    <mergeCell ref="N37:Q37"/>
    <mergeCell ref="T40:V40"/>
    <mergeCell ref="T41:V41"/>
    <mergeCell ref="N38:Q38"/>
    <mergeCell ref="T38:V38"/>
    <mergeCell ref="P39:Q39"/>
    <mergeCell ref="T39:V39"/>
    <mergeCell ref="P40:Q40"/>
    <mergeCell ref="N41:O41"/>
    <mergeCell ref="P41:Q41"/>
    <mergeCell ref="N42:O42"/>
    <mergeCell ref="P42:Q42"/>
    <mergeCell ref="R42:S42"/>
    <mergeCell ref="T42:V42"/>
    <mergeCell ref="N43:O43"/>
    <mergeCell ref="Q43:V44"/>
    <mergeCell ref="N44:O44"/>
    <mergeCell ref="N50:O50"/>
    <mergeCell ref="P50:Q50"/>
    <mergeCell ref="T50:V50"/>
    <mergeCell ref="P51:Q51"/>
    <mergeCell ref="N52:O52"/>
    <mergeCell ref="P54:V55"/>
    <mergeCell ref="P57:S58"/>
    <mergeCell ref="X57:Y57"/>
  </mergeCells>
  <conditionalFormatting sqref="E1:T86 U1:U31 V32:V34 U35:U86 V50:V52 W51">
    <cfRule type="containsText" dxfId="0" priority="1" operator="containsText" text="Физика">
      <formula>NOT(ISERROR(SEARCH(("Физика"),(E1))))</formula>
    </cfRule>
  </conditionalFormatting>
  <conditionalFormatting sqref="N50:O50 N52:O52 E54:W55">
    <cfRule type="containsText" dxfId="1" priority="2" operator="containsText" text="Шерашова">
      <formula>NOT(ISERROR(SEARCH(("Шерашова"),(N50))))</formula>
    </cfRule>
  </conditionalFormatting>
  <conditionalFormatting sqref="E2:N53 O2:O54 P2:T53 U2:U31 V32:V34 U35:U53 V50:V52 W51 O57:O58 P57 K61:L68">
    <cfRule type="containsText" dxfId="2" priority="3" operator="containsText" text="Шерашова">
      <formula>NOT(ISERROR(SEARCH(("Шерашова"),(E2))))</formula>
    </cfRule>
  </conditionalFormatting>
  <conditionalFormatting sqref="E2:N53 O2:O54 P2:T53 U2:U31 V32:V34 U35:U53 V50:V52 W51 O57:O58 P57 K61:L68">
    <cfRule type="containsText" dxfId="3" priority="4" operator="containsText" text="Англ">
      <formula>NOT(ISERROR(SEARCH(("Англ"),(E2))))</formula>
    </cfRule>
  </conditionalFormatting>
  <conditionalFormatting sqref="E2:N53 O2:O54 P2:T53 U2:U31 V32:V34 U35:U53 V50:V52 W51 O57:O58 P57 K61:L68">
    <cfRule type="containsText" dxfId="4" priority="5" operator="containsText" text="Театр">
      <formula>NOT(ISERROR(SEARCH(("Театр"),(E2))))</formula>
    </cfRule>
  </conditionalFormatting>
  <conditionalFormatting sqref="E2:N53 O2:O54 P2:T53 U2:U31 V32:V34 U35:U53 V50:V52 W51 O57:O58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8 S10:S32 T10:V45 R11:R46 F15:F17 F19:F20 E24:F30 E32:E53 F32:F45 S35:S41 S43:S45 S47:S53 T47:T50 F48:F49 N48:N50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G38">
      <formula1>IF(COUNTA(filter($F39:$W39,ARRAYFORMULA(ISERROR(FIND(join(",",filter(split($H$83,","),ARRAYFORMULA(ISERROR(FIND(split($H$83,","),G38)))=FALSE)),$F39:$W39))=FALSE)))&gt;1,FALSE,TRUE)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E32:E34">
      <formula1>IF(COUNTA(filter($E31:$W31,ARRAYFORMULA(ISERROR(FIND(join(",",filter(split($H$82,","),ARRAYFORMULA(ISERROR(FIND(split($H$82,","),#REF!)))=FALSE)),$E31:$W31))=FALSE)))&gt;1,FALSE,TRUE)</formula1>
    </dataValidation>
    <dataValidation type="custom" allowBlank="1" showDropDown="1" sqref="N3:N4 P5:P6 L9:L10 H39:H40 T49:T5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J31:J32 E54 P54">
      <formula1>IF(COUNTA(filter($E31:$W31,ARRAYFORMULA(ISERROR(FIND(join(",",filter(split($H$84,","),ARRAYFORMULA(ISERROR(FIND(split($H$84,","),E31)))=FALSE)),$E31:$W31))=FALSE)))&gt;1,FALSE,TRUE)</formula1>
    </dataValidation>
    <dataValidation type="custom" allowBlank="1" showDropDown="1" sqref="P31">
      <formula1>IF(COUNTA(filter($F40:$W40,ARRAYFORMULA(ISERROR(FIND(join(",",filter(split($H$83,","),ARRAYFORMULA(ISERROR(FIND(split($H$83,","),P31)))=FALSE)),$F40:$W40))=FALSE)))&gt;1,FALSE,TRUE)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9:N30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Q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39:G40 J39:K40 N39:P40 R39:S40 W39:W40">
      <formula1>IF(COUNTA(filter($F11:$W11,ARRAYFORMULA(ISERROR(FIND(join(",",filter(split($H$83,","),ARRAYFORMULA(ISERROR(FIND(split($H$83,","),F11)))=FALSE)),$F11:$W11))=FALSE)))&gt;1,FALSE,TRUE)</formula1>
    </dataValidation>
    <dataValidation type="custom" allowBlank="1" showDropDown="1" sqref="F4:F5 E6:E7 F8 H7:H8 E9 E24 G24:H24 G25 E26 R27:S28 H36 G37 E48:E49 N50 N52:N54">
      <formula1>IF(COUNTA(filter($E5:$W5,ARRAYFORMULA(ISERROR(FIND(join(",",filter(split($H$83,","),ARRAYFORMULA(ISERROR(FIND(split($H$83,","),E4)))=FALSE)),$E5:$W5))=FALSE)))&gt;1,FALSE,TRUE)</formula1>
    </dataValidation>
    <dataValidation type="custom" allowBlank="1" showDropDown="1" sqref="N2 R2 T2 G2:G3 J2:J3 L4 P2:P4 G5:H6 K5:M6 T5:T6 L7:L8 P7:P8 T7:U8 G7:G9 H10 J9:J10 N9:N10 Q9:Q10 S10 W2:W10 E12:W12 E13:E14 H13:H14 L13:L14 E17:E18 G15:G18 S17:S18 H19:H20 J15:J20 L17:L20 G21 R19:R21 T21 H22 G23:R23 J24 P25 R25 Q26 P27 E27:E28 I27:I28 Q28 T28 F29:G30 P29:Q30 W13:W32 R33:R34 T33:W34 G36 L36:M36 P36:Q36 E37:E38 H37:H38 J37:J38 L37:N38 R37:S38 W35:W38 R41:T41 J41:L42 T42 E43 G41:H43 K43 Q43 H44 M43:N44 W41:W44 E45:W45 I46 F46:G47 L46:L47 N46:P47 G48 L48:M49 L51 N51:O51 I50:I52 P52 G53:H53 O53:P53 O54 N55:O55 W46:W55 E56:W56 E57:G57 J57 N57:O57 E58: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T36">
      <formula1>IF(COUNTA(filter($E14:$W14,ARRAYFORMULA(ISERROR(FIND(join(",",filter(split($H$83,","),ARRAYFORMULA(ISERROR(FIND(split($H$83,","),T36)))=FALSE)),$E14:$W14))=FALSE)))&gt;1,FALSE,TRUE)</formula1>
    </dataValidation>
    <dataValidation type="custom" allowBlank="1" showDropDown="1" sqref="P43:P44">
      <formula1>IF(COUNTA(filter($E52:$W52,ARRAYFORMULA(ISERROR(FIND(join(",",filter(split($H$83,","),ARRAYFORMULA(ISERROR(FIND(split($H$83,","),P43)))=FALSE)),$E52:$W52))=FALSE)))&gt;1,FALSE,TRUE)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T37:T38">
      <formula1>IF(COUNTA(filter($F39:$W39,ARRAYFORMULA(ISERROR(FIND(join(",",filter(split($H$83,","),ARRAYFORMULA(ISERROR(FIND(split($H$83,","),T37)))=FALSE)),$F39:$W39))=FALSE)))&gt;1,FALSE,TRUE)</formula1>
    </dataValidation>
    <dataValidation type="custom" allowBlank="1" showDropDown="1" sqref="E4:E5 F6:F7 L25 F27:F28 E29:E30">
      <formula1>IF(COUNTA(filter($E7:$W7,ARRAYFORMULA(ISERROR(FIND(join(",",filter(split($H$83,","),ARRAYFORMULA(ISERROR(FIND(split($H$83,","),E4)))=FALSE)),$E7:$W7))=FALSE)))&gt;1,FALSE,TRUE)</formula1>
    </dataValidation>
    <dataValidation type="custom" allowBlank="1" showDropDown="1" sqref="J7:J8">
      <formula1>IF(COUNTA(filter($F39:$W39,ARRAYFORMULA(ISERROR(FIND(join(",",filter(split($H$83,","),ARRAYFORMULA(ISERROR(FIND(split($H$83,","),J7)))=FALSE)),$F39:$W39))=FALSE)))&gt;1,FALSE,TRUE)</formula1>
    </dataValidation>
    <dataValidation type="custom" allowBlank="1" showDropDown="1" sqref="P26 P28 S29:S30 S32 R47:R48 T51:V52 P57">
      <formula1>IF(COUNTA(filter($E25:$W25,ARRAYFORMULA(ISERROR(FIND(join(",",filter(split($H$83,","),ARRAYFORMULA(ISERROR(FIND(split($H$83,","),P26)))=FALSE)),$E25:$W25))=FALSE)))&gt;1,FALSE,TRUE)</formula1>
    </dataValidation>
    <dataValidation type="custom" allowBlank="1" showDropDown="1" sqref="P13:P16 G27:G28 L27:L28 J30 N31:N32 E35:E36 J36 N36 T39:T40 E41:E42 P41:P42 R46 T47:T48 K48:K49 P50:P51 E50:E52 Q52:Q53">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887"/>
      <c r="B2" s="19"/>
      <c r="C2" s="20"/>
      <c r="D2" s="20"/>
      <c r="E2" s="21"/>
      <c r="F2" s="22"/>
      <c r="G2" s="23"/>
      <c r="H2" s="24"/>
      <c r="I2" s="25"/>
      <c r="J2" s="21"/>
      <c r="K2" s="24"/>
      <c r="L2" s="24"/>
      <c r="M2" s="25"/>
      <c r="N2" s="21"/>
      <c r="O2" s="25"/>
      <c r="P2" s="21"/>
      <c r="Q2" s="25"/>
      <c r="R2" s="21"/>
      <c r="S2" s="25"/>
      <c r="T2" s="21"/>
      <c r="U2" s="24"/>
      <c r="V2" s="22"/>
      <c r="W2" s="26"/>
      <c r="X2" s="27"/>
      <c r="Y2" s="27"/>
      <c r="Z2" s="28"/>
      <c r="AA2" s="14"/>
      <c r="AB2" s="15"/>
      <c r="AC2" s="14"/>
      <c r="AD2" s="14"/>
      <c r="AE2" s="14"/>
      <c r="AF2" s="29"/>
      <c r="AG2" s="29"/>
      <c r="AH2" s="29"/>
    </row>
    <row r="3" ht="40.5" hidden="1" customHeight="1">
      <c r="A3" s="30"/>
      <c r="B3" s="31"/>
      <c r="C3" s="32"/>
      <c r="D3" s="32"/>
      <c r="E3" s="33"/>
      <c r="F3" s="34"/>
      <c r="G3" s="35"/>
      <c r="H3" s="36"/>
      <c r="I3" s="13"/>
      <c r="J3" s="37"/>
      <c r="K3" s="13"/>
      <c r="L3" s="38"/>
      <c r="M3" s="13"/>
      <c r="N3" s="37"/>
      <c r="O3" s="13"/>
      <c r="P3" s="37"/>
      <c r="Q3" s="13"/>
      <c r="R3" s="39"/>
      <c r="S3" s="40"/>
      <c r="T3" s="37"/>
      <c r="U3" s="36"/>
      <c r="V3" s="41"/>
      <c r="W3" s="26"/>
      <c r="X3" s="42"/>
      <c r="Y3" s="42"/>
      <c r="Z3" s="28"/>
      <c r="AA3" s="14"/>
      <c r="AB3" s="15"/>
      <c r="AC3" s="14"/>
      <c r="AD3" s="14"/>
      <c r="AE3" s="14"/>
      <c r="AF3" s="29"/>
      <c r="AG3" s="29"/>
      <c r="AH3" s="29"/>
    </row>
    <row r="4" ht="40.5" hidden="1" customHeight="1">
      <c r="A4" s="30"/>
      <c r="B4" s="31"/>
      <c r="C4" s="32"/>
      <c r="D4" s="32"/>
      <c r="E4" s="33"/>
      <c r="F4" s="39"/>
      <c r="G4" s="43"/>
      <c r="H4" s="44"/>
      <c r="I4" s="45"/>
      <c r="J4" s="46"/>
      <c r="K4" s="13"/>
      <c r="L4" s="45"/>
      <c r="M4" s="13"/>
      <c r="N4" s="37"/>
      <c r="O4" s="13"/>
      <c r="P4" s="37"/>
      <c r="Q4" s="13"/>
      <c r="R4" s="39"/>
      <c r="S4" s="40"/>
      <c r="T4" s="37"/>
      <c r="U4" s="36"/>
      <c r="V4" s="41"/>
      <c r="W4" s="26"/>
      <c r="X4" s="42"/>
      <c r="Y4" s="42"/>
      <c r="Z4" s="48"/>
      <c r="AA4" s="14"/>
      <c r="AB4" s="15"/>
      <c r="AC4" s="14"/>
      <c r="AD4" s="14"/>
      <c r="AE4" s="14"/>
      <c r="AF4" s="29"/>
      <c r="AG4" s="29"/>
      <c r="AH4" s="29"/>
    </row>
    <row r="5" ht="40.5" hidden="1" customHeight="1">
      <c r="A5" s="30"/>
      <c r="B5" s="31"/>
      <c r="C5" s="32"/>
      <c r="D5" s="32"/>
      <c r="E5" s="33"/>
      <c r="F5" s="39"/>
      <c r="G5" s="43"/>
      <c r="H5" s="45"/>
      <c r="I5" s="13"/>
      <c r="J5" s="33"/>
      <c r="K5" s="44"/>
      <c r="L5" s="44"/>
      <c r="M5" s="45"/>
      <c r="N5" s="37"/>
      <c r="O5" s="13"/>
      <c r="P5" s="37"/>
      <c r="Q5" s="13"/>
      <c r="R5" s="51"/>
      <c r="S5" s="13"/>
      <c r="T5" s="52"/>
      <c r="U5" s="36"/>
      <c r="V5" s="41"/>
      <c r="W5" s="26"/>
      <c r="X5" s="42"/>
      <c r="Y5" s="42"/>
      <c r="Z5" s="48"/>
      <c r="AA5" s="14"/>
      <c r="AB5" s="15"/>
      <c r="AC5" s="14"/>
      <c r="AD5" s="14"/>
      <c r="AE5" s="14"/>
      <c r="AF5" s="29"/>
      <c r="AG5" s="29"/>
      <c r="AH5" s="29"/>
    </row>
    <row r="6" ht="40.5" hidden="1" customHeight="1">
      <c r="A6" s="30"/>
      <c r="B6" s="31"/>
      <c r="C6" s="32"/>
      <c r="D6" s="53"/>
      <c r="E6" s="39"/>
      <c r="F6" s="34"/>
      <c r="G6" s="43"/>
      <c r="H6" s="45"/>
      <c r="I6" s="13"/>
      <c r="J6" s="33"/>
      <c r="K6" s="44"/>
      <c r="L6" s="44"/>
      <c r="M6" s="45"/>
      <c r="N6" s="37"/>
      <c r="O6" s="13"/>
      <c r="P6" s="37"/>
      <c r="Q6" s="13"/>
      <c r="R6" s="51"/>
      <c r="S6" s="13"/>
      <c r="T6" s="52"/>
      <c r="U6" s="36"/>
      <c r="V6" s="41"/>
      <c r="W6" s="26"/>
      <c r="X6" s="42"/>
      <c r="Y6" s="54"/>
      <c r="Z6" s="48"/>
      <c r="AA6" s="14"/>
      <c r="AB6" s="15"/>
      <c r="AC6" s="14"/>
      <c r="AD6" s="14"/>
      <c r="AE6" s="14"/>
      <c r="AF6" s="29"/>
      <c r="AG6" s="29"/>
      <c r="AH6" s="29"/>
    </row>
    <row r="7" ht="42.0" hidden="1" customHeight="1">
      <c r="A7" s="30"/>
      <c r="B7" s="31"/>
      <c r="C7" s="55"/>
      <c r="D7" s="56"/>
      <c r="E7" s="39"/>
      <c r="F7" s="34"/>
      <c r="G7" s="43"/>
      <c r="H7" s="45"/>
      <c r="I7" s="13"/>
      <c r="J7" s="37"/>
      <c r="K7" s="13"/>
      <c r="L7" s="45"/>
      <c r="M7" s="13"/>
      <c r="N7" s="37"/>
      <c r="O7" s="13"/>
      <c r="P7" s="37"/>
      <c r="Q7" s="13"/>
      <c r="R7" s="57"/>
      <c r="T7" s="33"/>
      <c r="U7" s="45"/>
      <c r="V7" s="41"/>
      <c r="W7" s="26"/>
      <c r="X7" s="58"/>
      <c r="Y7" s="59"/>
      <c r="Z7" s="48"/>
      <c r="AA7" s="14"/>
      <c r="AB7" s="15"/>
      <c r="AC7" s="14"/>
      <c r="AD7" s="14"/>
      <c r="AE7" s="14"/>
      <c r="AF7" s="29"/>
      <c r="AG7" s="29"/>
      <c r="AH7" s="29"/>
    </row>
    <row r="8" ht="42.0" hidden="1" customHeight="1">
      <c r="A8" s="30"/>
      <c r="B8" s="31"/>
      <c r="C8" s="32"/>
      <c r="D8" s="32"/>
      <c r="E8" s="319"/>
      <c r="F8" s="39"/>
      <c r="G8" s="43"/>
      <c r="H8" s="45"/>
      <c r="I8" s="13"/>
      <c r="J8" s="37"/>
      <c r="K8" s="13"/>
      <c r="L8" s="45"/>
      <c r="M8" s="13"/>
      <c r="N8" s="37"/>
      <c r="O8" s="13"/>
      <c r="P8" s="37"/>
      <c r="Q8" s="13"/>
      <c r="R8" s="37"/>
      <c r="S8" s="13"/>
      <c r="T8" s="43"/>
      <c r="U8" s="45"/>
      <c r="V8" s="41"/>
      <c r="W8" s="26"/>
      <c r="X8" s="42"/>
      <c r="Y8" s="42"/>
      <c r="Z8" s="48"/>
      <c r="AA8" s="14"/>
      <c r="AB8" s="15"/>
      <c r="AC8" s="14"/>
      <c r="AD8" s="14"/>
      <c r="AE8" s="14"/>
      <c r="AF8" s="29"/>
      <c r="AG8" s="29"/>
      <c r="AH8" s="29"/>
    </row>
    <row r="9" ht="40.5" hidden="1" customHeight="1">
      <c r="A9" s="30"/>
      <c r="B9" s="31"/>
      <c r="C9" s="32"/>
      <c r="D9" s="32"/>
      <c r="E9" s="39"/>
      <c r="F9" s="319"/>
      <c r="G9" s="43"/>
      <c r="H9" s="45"/>
      <c r="I9" s="13"/>
      <c r="J9" s="37"/>
      <c r="K9" s="13"/>
      <c r="L9" s="45"/>
      <c r="M9" s="13"/>
      <c r="N9" s="61"/>
      <c r="O9" s="13"/>
      <c r="P9" s="62"/>
      <c r="Q9" s="45"/>
      <c r="R9" s="63"/>
      <c r="S9" s="64"/>
      <c r="T9" s="64"/>
      <c r="U9" s="64"/>
      <c r="V9" s="64"/>
      <c r="W9" s="26"/>
      <c r="X9" s="42"/>
      <c r="Y9" s="42"/>
      <c r="Z9" s="11"/>
      <c r="AA9" s="14"/>
      <c r="AB9" s="15"/>
      <c r="AC9" s="14"/>
      <c r="AD9" s="14"/>
      <c r="AE9" s="14"/>
      <c r="AF9" s="29"/>
      <c r="AG9" s="29"/>
      <c r="AH9" s="29"/>
    </row>
    <row r="10" ht="75.75" hidden="1" customHeight="1">
      <c r="A10" s="30"/>
      <c r="B10" s="31"/>
      <c r="C10" s="65"/>
      <c r="D10" s="44"/>
      <c r="E10" s="66"/>
      <c r="F10" s="67"/>
      <c r="G10" s="43"/>
      <c r="H10" s="45"/>
      <c r="I10" s="13"/>
      <c r="J10" s="37"/>
      <c r="K10" s="13"/>
      <c r="L10" s="45"/>
      <c r="M10" s="13"/>
      <c r="N10" s="61"/>
      <c r="O10" s="13"/>
      <c r="P10" s="62"/>
      <c r="Q10" s="68"/>
      <c r="R10" s="37"/>
      <c r="S10" s="68"/>
      <c r="T10" s="36"/>
      <c r="U10" s="36"/>
      <c r="V10" s="41"/>
      <c r="W10" s="26"/>
      <c r="X10" s="69"/>
      <c r="Y10" s="70"/>
      <c r="Z10" s="28"/>
      <c r="AA10" s="14"/>
      <c r="AB10" s="15"/>
      <c r="AC10" s="14"/>
      <c r="AD10" s="14"/>
      <c r="AE10" s="14"/>
      <c r="AF10" s="29"/>
      <c r="AG10" s="29"/>
      <c r="AH10" s="29"/>
    </row>
    <row r="11" ht="49.5" hidden="1" customHeight="1">
      <c r="A11" s="30"/>
      <c r="B11" s="31"/>
      <c r="C11" s="44"/>
      <c r="D11" s="44"/>
      <c r="E11" s="71"/>
      <c r="F11" s="64"/>
      <c r="G11" s="64"/>
      <c r="H11" s="64"/>
      <c r="I11" s="64"/>
      <c r="J11" s="64"/>
      <c r="K11" s="64"/>
      <c r="L11" s="64"/>
      <c r="M11" s="64"/>
      <c r="N11" s="64"/>
      <c r="O11" s="64"/>
      <c r="P11" s="64"/>
      <c r="Q11" s="64"/>
      <c r="R11" s="64"/>
      <c r="S11" s="72"/>
      <c r="T11" s="73"/>
      <c r="U11" s="36"/>
      <c r="V11" s="41"/>
      <c r="W11" s="26"/>
      <c r="X11" s="70"/>
      <c r="Y11" s="70"/>
      <c r="Z11" s="28"/>
      <c r="AA11" s="14"/>
      <c r="AB11" s="15"/>
      <c r="AC11" s="14"/>
      <c r="AD11" s="14"/>
      <c r="AE11" s="14"/>
      <c r="AF11" s="29"/>
      <c r="AG11" s="29"/>
      <c r="AH11" s="29"/>
    </row>
    <row r="12" ht="40.5" hidden="1" customHeight="1">
      <c r="A12" s="74"/>
      <c r="B12" s="75"/>
      <c r="C12" s="76"/>
      <c r="D12" s="76"/>
      <c r="E12" s="76"/>
      <c r="F12" s="76"/>
      <c r="G12" s="76"/>
      <c r="H12" s="76"/>
      <c r="I12" s="76"/>
      <c r="J12" s="76"/>
      <c r="K12" s="76"/>
      <c r="L12" s="76"/>
      <c r="M12" s="76"/>
      <c r="N12" s="76"/>
      <c r="O12" s="76"/>
      <c r="P12" s="76"/>
      <c r="Q12" s="76"/>
      <c r="R12" s="76"/>
      <c r="S12" s="76"/>
      <c r="T12" s="77"/>
      <c r="U12" s="77"/>
      <c r="V12" s="78"/>
      <c r="W12" s="26"/>
      <c r="X12" s="79"/>
      <c r="Y12" s="79"/>
      <c r="Z12" s="28"/>
      <c r="AA12" s="14"/>
      <c r="AB12" s="15"/>
      <c r="AC12" s="14"/>
      <c r="AD12" s="14"/>
      <c r="AE12" s="14"/>
      <c r="AF12" s="29"/>
      <c r="AG12" s="29"/>
      <c r="AH12" s="29"/>
    </row>
    <row r="13" ht="40.5" hidden="1" customHeight="1">
      <c r="A13" s="887"/>
      <c r="B13" s="19"/>
      <c r="C13" s="20"/>
      <c r="D13" s="20"/>
      <c r="E13" s="80"/>
      <c r="F13" s="25"/>
      <c r="G13" s="81"/>
      <c r="H13" s="80"/>
      <c r="I13" s="22"/>
      <c r="J13" s="23"/>
      <c r="K13" s="25"/>
      <c r="L13" s="80"/>
      <c r="M13" s="25"/>
      <c r="N13" s="82"/>
      <c r="O13" s="25"/>
      <c r="P13" s="21"/>
      <c r="Q13" s="22"/>
      <c r="R13" s="23"/>
      <c r="S13" s="22"/>
      <c r="T13" s="84"/>
      <c r="U13" s="80"/>
      <c r="V13" s="22"/>
      <c r="W13" s="26"/>
      <c r="X13" s="27"/>
      <c r="Y13" s="27"/>
      <c r="Z13" s="28"/>
      <c r="AA13" s="85"/>
      <c r="AB13" s="15"/>
      <c r="AC13" s="14"/>
      <c r="AD13" s="14"/>
      <c r="AE13" s="14"/>
      <c r="AF13" s="29"/>
      <c r="AG13" s="29"/>
      <c r="AH13" s="29"/>
    </row>
    <row r="14" ht="40.5" hidden="1" customHeight="1">
      <c r="A14" s="30"/>
      <c r="B14" s="31"/>
      <c r="C14" s="32"/>
      <c r="D14" s="32"/>
      <c r="E14" s="45"/>
      <c r="F14" s="13"/>
      <c r="G14" s="46"/>
      <c r="H14" s="86"/>
      <c r="I14" s="41"/>
      <c r="J14" s="35"/>
      <c r="K14" s="13"/>
      <c r="L14" s="45"/>
      <c r="M14" s="13"/>
      <c r="N14" s="87"/>
      <c r="O14" s="13"/>
      <c r="P14" s="21"/>
      <c r="Q14" s="22"/>
      <c r="R14" s="35"/>
      <c r="S14" s="41"/>
      <c r="T14" s="43"/>
      <c r="U14" s="45"/>
      <c r="V14" s="41"/>
      <c r="W14" s="26"/>
      <c r="X14" s="42"/>
      <c r="Y14" s="42"/>
      <c r="Z14" s="28"/>
      <c r="AA14" s="85"/>
      <c r="AB14" s="15"/>
      <c r="AC14" s="14"/>
      <c r="AD14" s="14"/>
      <c r="AE14" s="14"/>
      <c r="AF14" s="29"/>
      <c r="AG14" s="29"/>
      <c r="AH14" s="29"/>
    </row>
    <row r="15" ht="40.5" hidden="1" customHeight="1">
      <c r="A15" s="30"/>
      <c r="B15" s="31"/>
      <c r="C15" s="32"/>
      <c r="D15" s="32"/>
      <c r="E15" s="40"/>
      <c r="F15" s="13"/>
      <c r="G15" s="37"/>
      <c r="H15" s="36"/>
      <c r="I15" s="41"/>
      <c r="J15" s="35"/>
      <c r="K15" s="13"/>
      <c r="L15" s="45"/>
      <c r="M15" s="13"/>
      <c r="N15" s="89"/>
      <c r="O15" s="13"/>
      <c r="P15" s="37"/>
      <c r="Q15" s="90"/>
      <c r="R15" s="43"/>
      <c r="S15" s="34"/>
      <c r="T15" s="91"/>
      <c r="U15" s="36"/>
      <c r="V15" s="41"/>
      <c r="W15" s="26"/>
      <c r="X15" s="42"/>
      <c r="Y15" s="42"/>
      <c r="Z15" s="48"/>
      <c r="AA15" s="85"/>
      <c r="AB15" s="15"/>
      <c r="AC15" s="14"/>
      <c r="AD15" s="14"/>
      <c r="AE15" s="14"/>
      <c r="AF15" s="29"/>
      <c r="AG15" s="29"/>
      <c r="AH15" s="29"/>
    </row>
    <row r="16" ht="40.5" hidden="1" customHeight="1">
      <c r="A16" s="30"/>
      <c r="B16" s="31"/>
      <c r="C16" s="32"/>
      <c r="D16" s="32"/>
      <c r="E16" s="40"/>
      <c r="F16" s="13"/>
      <c r="G16" s="37"/>
      <c r="H16" s="36"/>
      <c r="I16" s="41"/>
      <c r="J16" s="35"/>
      <c r="K16" s="13"/>
      <c r="L16" s="45"/>
      <c r="M16" s="13"/>
      <c r="N16" s="89"/>
      <c r="O16" s="13"/>
      <c r="P16" s="37"/>
      <c r="Q16" s="90"/>
      <c r="R16" s="43"/>
      <c r="S16" s="34"/>
      <c r="T16" s="91"/>
      <c r="U16" s="36"/>
      <c r="V16" s="41"/>
      <c r="W16" s="26"/>
      <c r="X16" s="42"/>
      <c r="Y16" s="42"/>
      <c r="Z16" s="48"/>
      <c r="AA16" s="85"/>
      <c r="AB16" s="15"/>
      <c r="AC16" s="14"/>
      <c r="AD16" s="14"/>
      <c r="AE16" s="14"/>
      <c r="AF16" s="29"/>
      <c r="AG16" s="29"/>
      <c r="AH16" s="29"/>
    </row>
    <row r="17" ht="40.5" hidden="1" customHeight="1">
      <c r="A17" s="30"/>
      <c r="B17" s="31"/>
      <c r="C17" s="32"/>
      <c r="D17" s="53"/>
      <c r="E17" s="45"/>
      <c r="F17" s="13"/>
      <c r="G17" s="33"/>
      <c r="H17" s="45"/>
      <c r="I17" s="41"/>
      <c r="J17" s="35"/>
      <c r="K17" s="13"/>
      <c r="L17" s="40"/>
      <c r="M17" s="13"/>
      <c r="N17" s="45"/>
      <c r="O17" s="13"/>
      <c r="P17" s="33"/>
      <c r="Q17" s="34"/>
      <c r="R17" s="90"/>
      <c r="S17" s="92"/>
      <c r="T17" s="93"/>
      <c r="U17" s="36"/>
      <c r="V17" s="41"/>
      <c r="W17" s="26"/>
      <c r="X17" s="42"/>
      <c r="Y17" s="54"/>
      <c r="Z17" s="48"/>
      <c r="AA17" s="85"/>
      <c r="AB17" s="15"/>
      <c r="AC17" s="14"/>
      <c r="AD17" s="14"/>
      <c r="AE17" s="14"/>
      <c r="AF17" s="29"/>
      <c r="AG17" s="29"/>
      <c r="AH17" s="29"/>
    </row>
    <row r="18" ht="40.5" hidden="1" customHeight="1">
      <c r="A18" s="30"/>
      <c r="B18" s="31"/>
      <c r="C18" s="55"/>
      <c r="D18" s="56"/>
      <c r="E18" s="45"/>
      <c r="F18" s="13"/>
      <c r="G18" s="33"/>
      <c r="H18" s="45"/>
      <c r="I18" s="41"/>
      <c r="J18" s="35"/>
      <c r="K18" s="13"/>
      <c r="L18" s="40"/>
      <c r="M18" s="13"/>
      <c r="N18" s="45"/>
      <c r="O18" s="13"/>
      <c r="P18" s="33"/>
      <c r="Q18" s="34"/>
      <c r="R18" s="90"/>
      <c r="S18" s="92"/>
      <c r="T18" s="93"/>
      <c r="U18" s="36"/>
      <c r="V18" s="41"/>
      <c r="W18" s="26"/>
      <c r="X18" s="58"/>
      <c r="Y18" s="59"/>
      <c r="Z18" s="48"/>
      <c r="AA18" s="85"/>
      <c r="AB18" s="15"/>
      <c r="AC18" s="14"/>
      <c r="AD18" s="14"/>
      <c r="AE18" s="14"/>
      <c r="AF18" s="29"/>
      <c r="AG18" s="29"/>
      <c r="AH18" s="29"/>
    </row>
    <row r="19" ht="40.5" hidden="1" customHeight="1">
      <c r="A19" s="30"/>
      <c r="B19" s="31"/>
      <c r="C19" s="32"/>
      <c r="D19" s="32"/>
      <c r="E19" s="94"/>
      <c r="F19" s="13"/>
      <c r="G19" s="33"/>
      <c r="H19" s="45"/>
      <c r="I19" s="41"/>
      <c r="J19" s="95"/>
      <c r="K19" s="13"/>
      <c r="L19" s="45"/>
      <c r="M19" s="13"/>
      <c r="N19" s="45"/>
      <c r="O19" s="13"/>
      <c r="P19" s="37"/>
      <c r="Q19" s="41"/>
      <c r="R19" s="96"/>
      <c r="S19" s="97"/>
      <c r="T19" s="93"/>
      <c r="U19" s="36"/>
      <c r="V19" s="41"/>
      <c r="W19" s="26"/>
      <c r="X19" s="42"/>
      <c r="Y19" s="42"/>
      <c r="Z19" s="48"/>
      <c r="AA19" s="85"/>
      <c r="AB19" s="15"/>
      <c r="AC19" s="14"/>
      <c r="AD19" s="14"/>
      <c r="AE19" s="14"/>
      <c r="AF19" s="29"/>
      <c r="AG19" s="29"/>
      <c r="AH19" s="29"/>
    </row>
    <row r="20" ht="40.5" hidden="1" customHeight="1">
      <c r="A20" s="30"/>
      <c r="B20" s="31"/>
      <c r="C20" s="32"/>
      <c r="D20" s="32"/>
      <c r="E20" s="94"/>
      <c r="F20" s="13"/>
      <c r="G20" s="33"/>
      <c r="H20" s="45"/>
      <c r="I20" s="41"/>
      <c r="J20" s="95"/>
      <c r="K20" s="13"/>
      <c r="L20" s="45"/>
      <c r="M20" s="13"/>
      <c r="N20" s="45"/>
      <c r="O20" s="13"/>
      <c r="P20" s="37"/>
      <c r="Q20" s="41"/>
      <c r="R20" s="96"/>
      <c r="S20" s="97"/>
      <c r="T20" s="93"/>
      <c r="U20" s="36"/>
      <c r="V20" s="41"/>
      <c r="W20" s="26"/>
      <c r="X20" s="42"/>
      <c r="Y20" s="42"/>
      <c r="Z20" s="11"/>
      <c r="AA20" s="98"/>
      <c r="AB20" s="15"/>
      <c r="AC20" s="14"/>
      <c r="AD20" s="14"/>
      <c r="AE20" s="14"/>
      <c r="AF20" s="29"/>
      <c r="AG20" s="29"/>
      <c r="AH20" s="29"/>
    </row>
    <row r="21" ht="40.5" hidden="1" customHeight="1">
      <c r="A21" s="30"/>
      <c r="B21" s="31"/>
      <c r="C21" s="65"/>
      <c r="D21" s="44"/>
      <c r="E21" s="99"/>
      <c r="F21" s="4"/>
      <c r="G21" s="100"/>
      <c r="H21" s="101"/>
      <c r="I21" s="36"/>
      <c r="J21" s="36"/>
      <c r="K21" s="36"/>
      <c r="L21" s="36"/>
      <c r="M21" s="13"/>
      <c r="N21" s="45"/>
      <c r="O21" s="13"/>
      <c r="P21" s="102"/>
      <c r="Q21" s="41"/>
      <c r="R21" s="35"/>
      <c r="S21" s="41"/>
      <c r="T21" s="103"/>
      <c r="U21" s="36"/>
      <c r="V21" s="41"/>
      <c r="W21" s="26"/>
      <c r="X21" s="69"/>
      <c r="Y21" s="70"/>
      <c r="Z21" s="28"/>
      <c r="AA21" s="98"/>
      <c r="AB21" s="15"/>
      <c r="AC21" s="14"/>
      <c r="AD21" s="14"/>
      <c r="AE21" s="14"/>
      <c r="AF21" s="29"/>
      <c r="AG21" s="29"/>
      <c r="AH21" s="29"/>
    </row>
    <row r="22" ht="40.5" hidden="1" customHeight="1">
      <c r="A22" s="30"/>
      <c r="B22" s="31"/>
      <c r="C22" s="44"/>
      <c r="D22" s="44"/>
      <c r="E22" s="104"/>
      <c r="F22" s="72"/>
      <c r="G22" s="105"/>
      <c r="H22" s="106"/>
      <c r="I22" s="36"/>
      <c r="J22" s="36"/>
      <c r="K22" s="36"/>
      <c r="L22" s="36"/>
      <c r="M22" s="13"/>
      <c r="N22" s="45"/>
      <c r="O22" s="13"/>
      <c r="P22" s="101"/>
      <c r="Q22" s="36"/>
      <c r="R22" s="36"/>
      <c r="S22" s="13"/>
      <c r="T22" s="107"/>
      <c r="U22" s="36"/>
      <c r="V22" s="41"/>
      <c r="W22" s="26"/>
      <c r="X22" s="70"/>
      <c r="Y22" s="70"/>
      <c r="Z22" s="28"/>
      <c r="AA22" s="98"/>
      <c r="AB22" s="15"/>
      <c r="AC22" s="14"/>
      <c r="AD22" s="14"/>
      <c r="AE22" s="14"/>
      <c r="AF22" s="29"/>
      <c r="AG22" s="29"/>
      <c r="AH22" s="29"/>
    </row>
    <row r="23" ht="40.5" hidden="1" customHeight="1">
      <c r="A23" s="74"/>
      <c r="B23" s="75"/>
      <c r="C23" s="76"/>
      <c r="D23" s="76"/>
      <c r="E23" s="108"/>
      <c r="F23" s="109"/>
      <c r="G23" s="110"/>
      <c r="H23" s="111"/>
      <c r="I23" s="112"/>
      <c r="J23" s="113"/>
      <c r="K23" s="111"/>
      <c r="L23" s="111"/>
      <c r="M23" s="111"/>
      <c r="N23" s="111"/>
      <c r="O23" s="111"/>
      <c r="P23" s="111"/>
      <c r="Q23" s="111"/>
      <c r="R23" s="114"/>
      <c r="S23" s="115"/>
      <c r="T23" s="115"/>
      <c r="U23" s="115"/>
      <c r="V23" s="67"/>
      <c r="W23" s="26"/>
      <c r="X23" s="79"/>
      <c r="Y23" s="79"/>
      <c r="Z23" s="28"/>
      <c r="AA23" s="98"/>
      <c r="AB23" s="15"/>
      <c r="AC23" s="14"/>
      <c r="AD23" s="14"/>
      <c r="AE23" s="14"/>
      <c r="AF23" s="29"/>
      <c r="AG23" s="29"/>
      <c r="AH23" s="29"/>
    </row>
    <row r="24" ht="40.5" hidden="1" customHeight="1">
      <c r="A24" s="271">
        <v>45056.0</v>
      </c>
      <c r="B24" s="19">
        <v>1.0</v>
      </c>
      <c r="C24" s="20" t="s">
        <v>12</v>
      </c>
      <c r="D24" s="20" t="s">
        <v>13</v>
      </c>
      <c r="E24" s="21" t="s">
        <v>11350</v>
      </c>
      <c r="F24" s="22"/>
      <c r="G24" s="116" t="s">
        <v>11351</v>
      </c>
      <c r="H24" s="117" t="s">
        <v>11352</v>
      </c>
      <c r="I24" s="22"/>
      <c r="J24" s="118" t="s">
        <v>221</v>
      </c>
      <c r="K24" s="24"/>
      <c r="L24" s="24"/>
      <c r="M24" s="25"/>
      <c r="N24" s="80" t="s">
        <v>11353</v>
      </c>
      <c r="O24" s="25"/>
      <c r="P24" s="585"/>
      <c r="Q24" s="24"/>
      <c r="R24" s="24"/>
      <c r="S24" s="22"/>
      <c r="T24" s="121" t="s">
        <v>11354</v>
      </c>
      <c r="U24" s="24"/>
      <c r="V24" s="22"/>
      <c r="W24" s="26"/>
      <c r="X24" s="27" t="s">
        <v>12</v>
      </c>
      <c r="Y24" s="27" t="s">
        <v>13</v>
      </c>
      <c r="Z24" s="28"/>
      <c r="AA24" s="14"/>
      <c r="AB24" s="15" t="str">
        <f>IFERROR(__xludf.DUMMYFUNCTION("join("","",filter(split($H$84,"",""),ARRAYFORMULA(ISERROR(FIND(split($H$84,"",""),CONCATENATE(E24:V24))))=TRUE))"),"СЗ,КЗ,206,210,401,402,403,404,405,406,409,410,АЗ")</f>
        <v>СЗ,КЗ,206,210,401,402,403,404,405,406,409,410,АЗ</v>
      </c>
      <c r="AC24" s="14"/>
      <c r="AD24" s="14"/>
      <c r="AE24" s="14"/>
      <c r="AF24" s="29"/>
      <c r="AG24" s="29"/>
      <c r="AH24" s="29"/>
    </row>
    <row r="25" ht="40.5" hidden="1" customHeight="1">
      <c r="A25" s="274"/>
      <c r="B25" s="31">
        <v>2.0</v>
      </c>
      <c r="C25" s="32" t="s">
        <v>21</v>
      </c>
      <c r="D25" s="32" t="s">
        <v>22</v>
      </c>
      <c r="E25" s="37" t="s">
        <v>11355</v>
      </c>
      <c r="F25" s="41"/>
      <c r="G25" s="39" t="s">
        <v>11356</v>
      </c>
      <c r="H25" s="89" t="s">
        <v>11357</v>
      </c>
      <c r="I25" s="41"/>
      <c r="J25" s="35"/>
      <c r="K25" s="13"/>
      <c r="L25" s="40" t="s">
        <v>11358</v>
      </c>
      <c r="M25" s="13"/>
      <c r="N25" s="40" t="s">
        <v>231</v>
      </c>
      <c r="O25" s="13"/>
      <c r="P25" s="37" t="s">
        <v>11359</v>
      </c>
      <c r="Q25" s="13"/>
      <c r="R25" s="122" t="s">
        <v>11360</v>
      </c>
      <c r="S25" s="41"/>
      <c r="T25" s="103" t="s">
        <v>11361</v>
      </c>
      <c r="U25" s="36"/>
      <c r="V25" s="41"/>
      <c r="W25" s="26"/>
      <c r="X25" s="42" t="s">
        <v>21</v>
      </c>
      <c r="Y25" s="42" t="s">
        <v>22</v>
      </c>
      <c r="Z25" s="28"/>
      <c r="AA25" s="14"/>
      <c r="AB25" s="15" t="str">
        <f>IFERROR(__xludf.DUMMYFUNCTION("join("","",filter(split($H$84,"",""),ARRAYFORMULA(ISERROR(FIND(split($H$84,"",""),CONCATENATE(E25:V25))))=TRUE))"),"СЗ,КЗ,206,209,210,403,404,405,409,410,АЗ")</f>
        <v>СЗ,КЗ,206,209,210,403,404,405,409,410,АЗ</v>
      </c>
      <c r="AC25" s="14"/>
      <c r="AD25" s="14"/>
      <c r="AE25" s="14"/>
      <c r="AF25" s="29"/>
      <c r="AG25" s="29"/>
      <c r="AH25" s="29"/>
    </row>
    <row r="26" ht="40.5" hidden="1" customHeight="1">
      <c r="A26" s="274"/>
      <c r="B26" s="31">
        <v>3.0</v>
      </c>
      <c r="C26" s="32" t="s">
        <v>33</v>
      </c>
      <c r="D26" s="32" t="s">
        <v>34</v>
      </c>
      <c r="E26" s="37" t="s">
        <v>11362</v>
      </c>
      <c r="F26" s="41"/>
      <c r="G26" s="322" t="s">
        <v>11363</v>
      </c>
      <c r="H26" s="36"/>
      <c r="I26" s="13"/>
      <c r="J26" s="95" t="s">
        <v>11364</v>
      </c>
      <c r="K26" s="13"/>
      <c r="L26" s="123" t="s">
        <v>11365</v>
      </c>
      <c r="M26" s="41"/>
      <c r="N26" s="40" t="s">
        <v>231</v>
      </c>
      <c r="O26" s="13"/>
      <c r="P26" s="39" t="s">
        <v>11366</v>
      </c>
      <c r="Q26" s="124" t="s">
        <v>11367</v>
      </c>
      <c r="R26" s="89" t="s">
        <v>11368</v>
      </c>
      <c r="S26" s="41"/>
      <c r="T26" s="125" t="s">
        <v>11369</v>
      </c>
      <c r="U26" s="36"/>
      <c r="V26" s="41"/>
      <c r="W26" s="26"/>
      <c r="X26" s="42" t="s">
        <v>33</v>
      </c>
      <c r="Y26" s="42" t="s">
        <v>34</v>
      </c>
      <c r="Z26" s="48" t="s">
        <v>47</v>
      </c>
      <c r="AA26" s="85" t="str">
        <f>AA$5</f>
        <v/>
      </c>
      <c r="AB26" s="15" t="str">
        <f>IFERROR(__xludf.DUMMYFUNCTION("join("","",filter(split($H$84,"",""),ARRAYFORMULA(ISERROR(FIND(split($H$84,"",""),CONCATENATE(E26:V26))))=TRUE))"),"СЗ,КЗ,206,210,403,404,405,409,410,АЗ")</f>
        <v>СЗ,КЗ,206,210,403,404,405,409,410,АЗ</v>
      </c>
      <c r="AC26" s="14"/>
      <c r="AD26" s="14"/>
      <c r="AE26" s="14"/>
      <c r="AF26" s="29"/>
      <c r="AG26" s="29"/>
      <c r="AH26" s="29"/>
    </row>
    <row r="27" ht="68.25" hidden="1" customHeight="1">
      <c r="A27" s="274"/>
      <c r="B27" s="31">
        <v>4.0</v>
      </c>
      <c r="C27" s="32" t="s">
        <v>48</v>
      </c>
      <c r="D27" s="32" t="s">
        <v>49</v>
      </c>
      <c r="E27" s="33" t="s">
        <v>11370</v>
      </c>
      <c r="F27" s="126" t="s">
        <v>11371</v>
      </c>
      <c r="G27" s="37" t="s">
        <v>11372</v>
      </c>
      <c r="H27" s="13"/>
      <c r="I27" s="92" t="s">
        <v>11373</v>
      </c>
      <c r="J27" s="123" t="s">
        <v>11374</v>
      </c>
      <c r="K27" s="888" t="s">
        <v>11375</v>
      </c>
      <c r="L27" s="4"/>
      <c r="M27" s="45" t="s">
        <v>11376</v>
      </c>
      <c r="N27" s="127" t="s">
        <v>11377</v>
      </c>
      <c r="O27" s="13"/>
      <c r="P27" s="37" t="s">
        <v>11378</v>
      </c>
      <c r="Q27" s="13"/>
      <c r="R27" s="132" t="s">
        <v>11379</v>
      </c>
      <c r="S27" s="34" t="s">
        <v>11380</v>
      </c>
      <c r="T27" s="125" t="s">
        <v>11381</v>
      </c>
      <c r="U27" s="36"/>
      <c r="V27" s="41"/>
      <c r="W27" s="26"/>
      <c r="X27" s="42" t="s">
        <v>48</v>
      </c>
      <c r="Y27" s="42" t="s">
        <v>49</v>
      </c>
      <c r="Z27" s="48" t="s">
        <v>57</v>
      </c>
      <c r="AA27" s="85" t="str">
        <f>AA$6</f>
        <v/>
      </c>
      <c r="AB27" s="15" t="str">
        <f>IFERROR(__xludf.DUMMYFUNCTION("join("","",filter(split($H$84,"",""),ARRAYFORMULA(ISERROR(FIND(split($H$84,"",""),CONCATENATE(E27:V27))))=TRUE))"),"СЗ,206,403,404,409,410,АЗ")</f>
        <v>СЗ,206,403,404,409,410,АЗ</v>
      </c>
      <c r="AC27" s="14"/>
      <c r="AD27" s="14"/>
      <c r="AE27" s="14"/>
      <c r="AF27" s="29"/>
      <c r="AG27" s="29"/>
      <c r="AH27" s="29"/>
    </row>
    <row r="28" ht="53.25" hidden="1" customHeight="1">
      <c r="A28" s="274"/>
      <c r="B28" s="31">
        <v>5.0</v>
      </c>
      <c r="C28" s="32" t="s">
        <v>58</v>
      </c>
      <c r="D28" s="53">
        <v>44847.0</v>
      </c>
      <c r="E28" s="33" t="s">
        <v>11382</v>
      </c>
      <c r="F28" s="126" t="s">
        <v>11383</v>
      </c>
      <c r="G28" s="37" t="s">
        <v>11384</v>
      </c>
      <c r="H28" s="13"/>
      <c r="I28" s="40" t="s">
        <v>11385</v>
      </c>
      <c r="J28" s="123" t="s">
        <v>11386</v>
      </c>
      <c r="K28" s="64"/>
      <c r="L28" s="72"/>
      <c r="M28" s="35" t="s">
        <v>11387</v>
      </c>
      <c r="N28" s="322" t="s">
        <v>11388</v>
      </c>
      <c r="O28" s="13"/>
      <c r="P28" s="39" t="s">
        <v>11389</v>
      </c>
      <c r="Q28" s="124" t="s">
        <v>11390</v>
      </c>
      <c r="R28" s="132" t="s">
        <v>11391</v>
      </c>
      <c r="S28" s="34" t="s">
        <v>11392</v>
      </c>
      <c r="T28" s="128" t="s">
        <v>11393</v>
      </c>
      <c r="U28" s="8"/>
      <c r="V28" s="129"/>
      <c r="W28" s="26"/>
      <c r="X28" s="42" t="s">
        <v>58</v>
      </c>
      <c r="Y28" s="54">
        <v>44847.0</v>
      </c>
      <c r="Z28" s="48" t="s">
        <v>70</v>
      </c>
      <c r="AA28" s="85" t="str">
        <f>AA$7</f>
        <v/>
      </c>
      <c r="AB28" s="15" t="str">
        <f>IFERROR(__xludf.DUMMYFUNCTION("join("","",filter(split($H$84,"",""),ARRAYFORMULA(ISERROR(FIND(split($H$84,"",""),CONCATENATE(E28:V28))))=TRUE))"),"СЗ,206,209,403,404,406,409,410")</f>
        <v>СЗ,206,209,403,404,406,409,410</v>
      </c>
      <c r="AC28" s="14"/>
      <c r="AD28" s="14"/>
      <c r="AE28" s="14"/>
      <c r="AF28" s="29"/>
      <c r="AG28" s="29"/>
      <c r="AH28" s="29"/>
    </row>
    <row r="29" ht="40.5" hidden="1" customHeight="1">
      <c r="A29" s="274"/>
      <c r="B29" s="31">
        <v>6.0</v>
      </c>
      <c r="C29" s="55" t="s">
        <v>71</v>
      </c>
      <c r="D29" s="736" t="s">
        <v>72</v>
      </c>
      <c r="E29" s="316" t="s">
        <v>11394</v>
      </c>
      <c r="F29" s="34" t="s">
        <v>11395</v>
      </c>
      <c r="G29" s="40" t="s">
        <v>11396</v>
      </c>
      <c r="H29" s="41"/>
      <c r="I29" s="34" t="s">
        <v>11397</v>
      </c>
      <c r="J29" s="35" t="s">
        <v>11398</v>
      </c>
      <c r="K29" s="13"/>
      <c r="L29" s="123" t="s">
        <v>11399</v>
      </c>
      <c r="M29" s="41"/>
      <c r="N29" s="130" t="s">
        <v>11400</v>
      </c>
      <c r="O29" s="13"/>
      <c r="P29" s="131" t="s">
        <v>11401</v>
      </c>
      <c r="Q29" s="132" t="s">
        <v>11402</v>
      </c>
      <c r="R29" s="437"/>
      <c r="S29" s="92" t="s">
        <v>11403</v>
      </c>
      <c r="V29" s="134"/>
      <c r="W29" s="26"/>
      <c r="X29" s="58" t="s">
        <v>71</v>
      </c>
      <c r="Y29" s="59" t="s">
        <v>72</v>
      </c>
      <c r="Z29" s="48" t="s">
        <v>84</v>
      </c>
      <c r="AA29" s="85" t="str">
        <f>AA$8</f>
        <v/>
      </c>
      <c r="AB29" s="15" t="str">
        <f>IFERROR(__xludf.DUMMYFUNCTION("join("","",filter(split($H$84,"",""),ARRAYFORMULA(ISERROR(FIND(split($H$84,"",""),CONCATENATE(E29:V29))))=TRUE))"),"СЗ,206,403,404,405,408,409,410,АЗ")</f>
        <v>СЗ,206,403,404,405,408,409,410,АЗ</v>
      </c>
      <c r="AC29" s="14"/>
      <c r="AD29" s="14"/>
      <c r="AE29" s="14"/>
      <c r="AF29" s="29"/>
      <c r="AG29" s="29"/>
      <c r="AH29" s="29"/>
    </row>
    <row r="30" ht="40.5" hidden="1" customHeight="1">
      <c r="A30" s="274"/>
      <c r="B30" s="31">
        <v>7.0</v>
      </c>
      <c r="C30" s="32" t="s">
        <v>85</v>
      </c>
      <c r="D30" s="734" t="s">
        <v>86</v>
      </c>
      <c r="E30" s="316" t="s">
        <v>11404</v>
      </c>
      <c r="F30" s="34" t="s">
        <v>11405</v>
      </c>
      <c r="G30" s="40" t="s">
        <v>11406</v>
      </c>
      <c r="H30" s="41"/>
      <c r="I30" s="34" t="s">
        <v>11407</v>
      </c>
      <c r="J30" s="123" t="s">
        <v>11408</v>
      </c>
      <c r="K30" s="41"/>
      <c r="N30" s="130" t="s">
        <v>11409</v>
      </c>
      <c r="O30" s="13"/>
      <c r="P30" s="131" t="s">
        <v>11410</v>
      </c>
      <c r="Q30" s="132" t="s">
        <v>11411</v>
      </c>
      <c r="R30" s="173"/>
      <c r="S30" s="92" t="s">
        <v>11412</v>
      </c>
      <c r="V30" s="134"/>
      <c r="W30" s="26"/>
      <c r="X30" s="42" t="s">
        <v>85</v>
      </c>
      <c r="Y30" s="42" t="s">
        <v>86</v>
      </c>
      <c r="Z30" s="48" t="s">
        <v>97</v>
      </c>
      <c r="AA30" s="85" t="str">
        <f>AA$9</f>
        <v/>
      </c>
      <c r="AB30" s="15" t="str">
        <f>IFERROR(__xludf.DUMMYFUNCTION("join("","",filter(split($H$84,"",""),ARRAYFORMULA(ISERROR(FIND(split($H$84,"",""),CONCATENATE(E30:V30))))=TRUE))"),"СЗ,201,206,403,404,405,408,409,410,АЗ")</f>
        <v>СЗ,201,206,403,404,405,408,409,410,АЗ</v>
      </c>
      <c r="AC30" s="14"/>
      <c r="AD30" s="14"/>
      <c r="AE30" s="14"/>
      <c r="AF30" s="29"/>
      <c r="AG30" s="29"/>
      <c r="AH30" s="29"/>
    </row>
    <row r="31" ht="52.5" hidden="1" customHeight="1">
      <c r="A31" s="274"/>
      <c r="B31" s="31">
        <v>8.0</v>
      </c>
      <c r="C31" s="32" t="s">
        <v>98</v>
      </c>
      <c r="D31" s="32" t="s">
        <v>99</v>
      </c>
      <c r="E31" s="46" t="s">
        <v>11413</v>
      </c>
      <c r="F31" s="41"/>
      <c r="G31" s="137" t="s">
        <v>11414</v>
      </c>
      <c r="H31" s="8"/>
      <c r="I31" s="129"/>
      <c r="J31" s="883"/>
      <c r="K31" s="36"/>
      <c r="L31" s="36"/>
      <c r="M31" s="13"/>
      <c r="N31" s="45" t="s">
        <v>11415</v>
      </c>
      <c r="O31" s="13"/>
      <c r="P31" s="140" t="s">
        <v>11416</v>
      </c>
      <c r="Q31" s="4"/>
      <c r="R31" s="144"/>
      <c r="S31" s="133" t="s">
        <v>276</v>
      </c>
      <c r="V31" s="134"/>
      <c r="W31" s="26"/>
      <c r="X31" s="42" t="s">
        <v>98</v>
      </c>
      <c r="Y31" s="42" t="s">
        <v>99</v>
      </c>
      <c r="Z31" s="11"/>
      <c r="AA31" s="14"/>
      <c r="AB31" s="15" t="str">
        <f>IFERROR(__xludf.DUMMYFUNCTION("join("","",filter(split($H$84,"",""),ARRAYFORMULA(ISERROR(FIND(split($H$84,"",""),CONCATENATE(E31:V31))))=TRUE))"),"СЗ,КЗ,201,202,206,401,403,404,405,406,408,409,АЗ")</f>
        <v>СЗ,КЗ,201,202,206,401,403,404,405,406,408,409,АЗ</v>
      </c>
      <c r="AC31" s="14"/>
      <c r="AD31" s="14"/>
      <c r="AE31" s="14"/>
      <c r="AF31" s="29"/>
      <c r="AG31" s="29"/>
      <c r="AH31" s="29"/>
    </row>
    <row r="32" ht="57.0" hidden="1" customHeight="1">
      <c r="A32" s="274"/>
      <c r="B32" s="31">
        <v>9.0</v>
      </c>
      <c r="C32" s="65">
        <v>44697.0</v>
      </c>
      <c r="D32" s="44" t="s">
        <v>109</v>
      </c>
      <c r="E32" s="141" t="s">
        <v>11417</v>
      </c>
      <c r="F32" s="13"/>
      <c r="G32" s="142"/>
      <c r="H32" s="64"/>
      <c r="I32" s="88"/>
      <c r="J32" s="883"/>
      <c r="K32" s="36"/>
      <c r="L32" s="36"/>
      <c r="M32" s="13"/>
      <c r="N32" s="45" t="s">
        <v>11418</v>
      </c>
      <c r="O32" s="13"/>
      <c r="P32" s="142"/>
      <c r="Q32" s="72"/>
      <c r="R32" s="144"/>
      <c r="S32" s="92"/>
      <c r="T32" s="64"/>
      <c r="U32" s="64"/>
      <c r="V32" s="88"/>
      <c r="W32" s="26"/>
      <c r="X32" s="69">
        <v>44697.0</v>
      </c>
      <c r="Y32" s="70" t="s">
        <v>109</v>
      </c>
      <c r="Z32" s="28"/>
      <c r="AA32" s="14"/>
      <c r="AB32" s="15" t="str">
        <f>IFERROR(__xludf.DUMMYFUNCTION("join("","",filter(split($H$84,"",""),ARRAYFORMULA(ISERROR(FIND(split($H$84,"",""),CONCATENATE(E32:V32))))=TRUE))"),"СЗ,КЗ,201,202,206,210,401,402,403,404,405,406,408,409,АЗ")</f>
        <v>СЗ,КЗ,201,202,206,210,401,402,403,404,405,406,408,409,АЗ</v>
      </c>
      <c r="AC32" s="14"/>
      <c r="AD32" s="14"/>
      <c r="AE32" s="14"/>
      <c r="AF32" s="29"/>
      <c r="AG32" s="29"/>
      <c r="AH32" s="29"/>
    </row>
    <row r="33" ht="40.5" hidden="1" customHeight="1">
      <c r="A33" s="274"/>
      <c r="B33" s="31">
        <v>10.0</v>
      </c>
      <c r="C33" s="44" t="s">
        <v>120</v>
      </c>
      <c r="D33" s="44" t="s">
        <v>121</v>
      </c>
      <c r="E33" s="141" t="s">
        <v>11419</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hidden="1" customHeight="1">
      <c r="A34" s="289"/>
      <c r="B34" s="75">
        <v>11.0</v>
      </c>
      <c r="C34" s="76" t="s">
        <v>124</v>
      </c>
      <c r="D34" s="76" t="s">
        <v>125</v>
      </c>
      <c r="E34" s="141" t="s">
        <v>11420</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IFERROR(__xludf.DUMMYFUNCTION("join("","",filter(split($H$84,"",""),ARRAYFORMULA(ISERROR(FIND(split($H$84,"",""),CONCATENATE(E34:V34))))=TRUE))"),"СЗ,КЗ,201,202,206,209,210,401,402,403,404,405,406,408,409,АЗ")</f>
        <v>СЗ,КЗ,201,202,206,209,210,401,402,403,404,405,406,408,409,АЗ</v>
      </c>
      <c r="AC34" s="14"/>
      <c r="AD34" s="14"/>
      <c r="AE34" s="14"/>
      <c r="AF34" s="29"/>
      <c r="AG34" s="29"/>
      <c r="AH34" s="29"/>
    </row>
    <row r="35" ht="60.0" hidden="1" customHeight="1">
      <c r="A35" s="271">
        <v>45057.0</v>
      </c>
      <c r="B35" s="19">
        <v>1.0</v>
      </c>
      <c r="C35" s="20" t="s">
        <v>12</v>
      </c>
      <c r="D35" s="20" t="s">
        <v>13</v>
      </c>
      <c r="E35" s="80" t="s">
        <v>11421</v>
      </c>
      <c r="F35" s="25"/>
      <c r="G35" s="889" t="s">
        <v>11422</v>
      </c>
      <c r="H35" s="24"/>
      <c r="I35" s="25"/>
      <c r="J35" s="157" t="s">
        <v>11423</v>
      </c>
      <c r="K35" s="13"/>
      <c r="L35" s="156" t="s">
        <v>11424</v>
      </c>
      <c r="M35" s="156" t="s">
        <v>11425</v>
      </c>
      <c r="N35" s="80" t="s">
        <v>11426</v>
      </c>
      <c r="O35" s="25"/>
      <c r="P35" s="156" t="s">
        <v>11427</v>
      </c>
      <c r="Q35" s="156" t="s">
        <v>11428</v>
      </c>
      <c r="R35" s="159" t="s">
        <v>11429</v>
      </c>
      <c r="S35" s="160" t="s">
        <v>11430</v>
      </c>
      <c r="T35" s="161" t="s">
        <v>11431</v>
      </c>
      <c r="U35" s="24"/>
      <c r="V35" s="22"/>
      <c r="W35" s="26"/>
      <c r="X35" s="27" t="s">
        <v>12</v>
      </c>
      <c r="Y35" s="27" t="s">
        <v>13</v>
      </c>
      <c r="Z35" s="28"/>
      <c r="AA35" s="14"/>
      <c r="AB35" s="15" t="str">
        <f>IFERROR(__xludf.DUMMYFUNCTION("join("","",filter(split($H$84,"",""),ARRAYFORMULA(ISERROR(FIND(split($H$84,"",""),CONCATENATE(E35:V35))))=TRUE))"),"СЗ,206,210,403,410,АЗ")</f>
        <v>СЗ,206,210,403,410,АЗ</v>
      </c>
      <c r="AC35" s="14"/>
      <c r="AD35" s="14"/>
      <c r="AE35" s="14"/>
      <c r="AF35" s="29"/>
      <c r="AG35" s="29"/>
      <c r="AH35" s="29"/>
    </row>
    <row r="36" ht="54.0" hidden="1" customHeight="1">
      <c r="A36" s="274"/>
      <c r="B36" s="31">
        <v>2.0</v>
      </c>
      <c r="C36" s="32" t="s">
        <v>21</v>
      </c>
      <c r="D36" s="32" t="s">
        <v>22</v>
      </c>
      <c r="E36" s="45" t="s">
        <v>11432</v>
      </c>
      <c r="F36" s="13"/>
      <c r="G36" s="44" t="s">
        <v>11433</v>
      </c>
      <c r="H36" s="40" t="s">
        <v>312</v>
      </c>
      <c r="I36" s="13"/>
      <c r="J36" s="157" t="s">
        <v>11434</v>
      </c>
      <c r="K36" s="13"/>
      <c r="L36" s="44" t="s">
        <v>11435</v>
      </c>
      <c r="M36" s="44" t="s">
        <v>11436</v>
      </c>
      <c r="N36" s="45" t="s">
        <v>316</v>
      </c>
      <c r="O36" s="13"/>
      <c r="P36" s="44" t="s">
        <v>11437</v>
      </c>
      <c r="Q36" s="44" t="s">
        <v>11438</v>
      </c>
      <c r="R36" s="162" t="s">
        <v>11439</v>
      </c>
      <c r="S36" s="90" t="s">
        <v>320</v>
      </c>
      <c r="T36" s="163" t="s">
        <v>11440</v>
      </c>
      <c r="U36" s="36"/>
      <c r="V36" s="41"/>
      <c r="W36" s="26"/>
      <c r="X36" s="42" t="s">
        <v>21</v>
      </c>
      <c r="Y36" s="42" t="s">
        <v>22</v>
      </c>
      <c r="Z36" s="28"/>
      <c r="AA36" s="14"/>
      <c r="AB36" s="15" t="str">
        <f>IFERROR(__xludf.DUMMYFUNCTION("join("","",filter(split($H$84,"",""),ARRAYFORMULA(ISERROR(FIND(split($H$84,"",""),CONCATENATE(E36:V36))))=TRUE))"),"СЗ,206,406,408,410,АЗ")</f>
        <v>СЗ,206,406,408,410,АЗ</v>
      </c>
      <c r="AC36" s="14"/>
      <c r="AD36" s="14"/>
      <c r="AE36" s="14"/>
      <c r="AF36" s="29"/>
      <c r="AG36" s="29"/>
      <c r="AH36" s="29"/>
    </row>
    <row r="37" ht="56.25" hidden="1" customHeight="1">
      <c r="A37" s="274"/>
      <c r="B37" s="31">
        <v>3.0</v>
      </c>
      <c r="C37" s="32" t="s">
        <v>33</v>
      </c>
      <c r="D37" s="32" t="s">
        <v>34</v>
      </c>
      <c r="E37" s="45" t="s">
        <v>11441</v>
      </c>
      <c r="F37" s="13"/>
      <c r="G37" s="132" t="s">
        <v>11442</v>
      </c>
      <c r="H37" s="45" t="s">
        <v>11443</v>
      </c>
      <c r="I37" s="13"/>
      <c r="J37" s="45" t="s">
        <v>11444</v>
      </c>
      <c r="K37" s="13"/>
      <c r="L37" s="44" t="s">
        <v>11445</v>
      </c>
      <c r="M37" s="44" t="s">
        <v>11446</v>
      </c>
      <c r="N37" s="164" t="s">
        <v>11447</v>
      </c>
      <c r="O37" s="36"/>
      <c r="P37" s="36"/>
      <c r="Q37" s="13"/>
      <c r="R37" s="44" t="s">
        <v>11448</v>
      </c>
      <c r="S37" s="44" t="s">
        <v>11449</v>
      </c>
      <c r="T37" s="87" t="s">
        <v>11450</v>
      </c>
      <c r="U37" s="36"/>
      <c r="V37" s="41"/>
      <c r="W37" s="26"/>
      <c r="X37" s="42" t="s">
        <v>33</v>
      </c>
      <c r="Y37" s="42" t="s">
        <v>34</v>
      </c>
      <c r="Z37" s="48" t="s">
        <v>47</v>
      </c>
      <c r="AA37" s="85" t="str">
        <f>AA$5</f>
        <v/>
      </c>
      <c r="AB37" s="15" t="str">
        <f>IFERROR(__xludf.DUMMYFUNCTION("join("","",filter(split($H$84,"",""),ARRAYFORMULA(ISERROR(FIND(split($H$84,"",""),CONCATENATE(E37:V37))))=TRUE))"),"КЗ,206,403,406,410,АЗ")</f>
        <v>КЗ,206,403,406,410,АЗ</v>
      </c>
      <c r="AC37" s="14"/>
      <c r="AD37" s="14"/>
      <c r="AE37" s="14"/>
      <c r="AF37" s="29"/>
      <c r="AG37" s="29"/>
      <c r="AH37" s="29"/>
    </row>
    <row r="38" ht="51.75" hidden="1" customHeight="1">
      <c r="A38" s="274"/>
      <c r="B38" s="31">
        <v>4.0</v>
      </c>
      <c r="C38" s="32" t="s">
        <v>48</v>
      </c>
      <c r="D38" s="32" t="s">
        <v>49</v>
      </c>
      <c r="E38" s="45" t="s">
        <v>11451</v>
      </c>
      <c r="F38" s="13"/>
      <c r="G38" s="132" t="s">
        <v>11452</v>
      </c>
      <c r="H38" s="45" t="s">
        <v>11453</v>
      </c>
      <c r="I38" s="13"/>
      <c r="J38" s="45" t="s">
        <v>11454</v>
      </c>
      <c r="K38" s="13"/>
      <c r="L38" s="44" t="s">
        <v>11455</v>
      </c>
      <c r="M38" s="44" t="s">
        <v>11456</v>
      </c>
      <c r="N38" s="164" t="s">
        <v>11457</v>
      </c>
      <c r="O38" s="36"/>
      <c r="P38" s="36"/>
      <c r="Q38" s="13"/>
      <c r="R38" s="44" t="s">
        <v>11458</v>
      </c>
      <c r="S38" s="44" t="s">
        <v>11459</v>
      </c>
      <c r="T38" s="87" t="s">
        <v>11460</v>
      </c>
      <c r="U38" s="36"/>
      <c r="V38" s="41"/>
      <c r="W38" s="26"/>
      <c r="X38" s="42" t="s">
        <v>48</v>
      </c>
      <c r="Y38" s="42" t="s">
        <v>49</v>
      </c>
      <c r="Z38" s="48" t="s">
        <v>57</v>
      </c>
      <c r="AA38" s="85" t="str">
        <f>AA$6</f>
        <v/>
      </c>
      <c r="AB38" s="15" t="str">
        <f>IFERROR(__xludf.DUMMYFUNCTION("join("","",filter(split($H$84,"",""),ARRAYFORMULA(ISERROR(FIND(split($H$84,"",""),CONCATENATE(E38:V38))))=TRUE))"),"КЗ,206,403,406,410,АЗ")</f>
        <v>КЗ,206,403,406,410,АЗ</v>
      </c>
      <c r="AC38" s="14"/>
      <c r="AD38" s="14"/>
      <c r="AE38" s="14"/>
      <c r="AF38" s="29"/>
      <c r="AG38" s="29"/>
      <c r="AH38" s="29"/>
    </row>
    <row r="39" ht="58.5" hidden="1" customHeight="1">
      <c r="A39" s="274"/>
      <c r="B39" s="31">
        <v>5.0</v>
      </c>
      <c r="C39" s="32" t="s">
        <v>58</v>
      </c>
      <c r="D39" s="53">
        <v>44847.0</v>
      </c>
      <c r="E39" s="45" t="s">
        <v>11461</v>
      </c>
      <c r="F39" s="13"/>
      <c r="G39" s="44" t="s">
        <v>11462</v>
      </c>
      <c r="H39" s="45" t="s">
        <v>11463</v>
      </c>
      <c r="I39" s="13"/>
      <c r="J39" s="44" t="s">
        <v>11464</v>
      </c>
      <c r="K39" s="44" t="s">
        <v>11465</v>
      </c>
      <c r="L39" s="45" t="s">
        <v>11466</v>
      </c>
      <c r="M39" s="13"/>
      <c r="N39" s="44" t="s">
        <v>11467</v>
      </c>
      <c r="O39" s="44" t="s">
        <v>11468</v>
      </c>
      <c r="P39" s="45" t="s">
        <v>11469</v>
      </c>
      <c r="Q39" s="13"/>
      <c r="R39" s="44" t="s">
        <v>11470</v>
      </c>
      <c r="S39" s="132" t="s">
        <v>11471</v>
      </c>
      <c r="T39" s="890" t="s">
        <v>11472</v>
      </c>
      <c r="U39" s="36"/>
      <c r="V39" s="41"/>
      <c r="W39" s="26"/>
      <c r="X39" s="42" t="s">
        <v>58</v>
      </c>
      <c r="Y39" s="54">
        <v>44847.0</v>
      </c>
      <c r="Z39" s="48" t="s">
        <v>70</v>
      </c>
      <c r="AA39" s="85" t="str">
        <f>AA$7</f>
        <v/>
      </c>
      <c r="AB39" s="15" t="str">
        <f>IFERROR(__xludf.DUMMYFUNCTION("join("","",filter(split($H$84,"",""),ARRAYFORMULA(ISERROR(FIND(split($H$84,"",""),CONCATENATE(E39:V39))))=TRUE))"),"СЗ,КЗ,201,206,403,406")</f>
        <v>СЗ,КЗ,201,206,403,406</v>
      </c>
      <c r="AC39" s="14"/>
      <c r="AD39" s="14"/>
      <c r="AE39" s="14"/>
      <c r="AF39" s="29"/>
      <c r="AG39" s="29"/>
      <c r="AH39" s="29"/>
    </row>
    <row r="40" ht="54.0" hidden="1" customHeight="1">
      <c r="A40" s="274"/>
      <c r="B40" s="31">
        <v>6.0</v>
      </c>
      <c r="C40" s="55" t="s">
        <v>71</v>
      </c>
      <c r="D40" s="56" t="s">
        <v>72</v>
      </c>
      <c r="E40" s="45" t="s">
        <v>11473</v>
      </c>
      <c r="F40" s="13"/>
      <c r="G40" s="44" t="s">
        <v>355</v>
      </c>
      <c r="H40" s="45" t="s">
        <v>11474</v>
      </c>
      <c r="I40" s="13"/>
      <c r="J40" s="44" t="s">
        <v>11475</v>
      </c>
      <c r="K40" s="44" t="s">
        <v>11476</v>
      </c>
      <c r="L40" s="45" t="s">
        <v>11477</v>
      </c>
      <c r="M40" s="13"/>
      <c r="N40" s="44" t="s">
        <v>11478</v>
      </c>
      <c r="O40" s="44" t="s">
        <v>11479</v>
      </c>
      <c r="P40" s="45" t="s">
        <v>11480</v>
      </c>
      <c r="Q40" s="13"/>
      <c r="R40" s="44" t="s">
        <v>11481</v>
      </c>
      <c r="S40" s="132" t="s">
        <v>11482</v>
      </c>
      <c r="T40" s="890" t="s">
        <v>11472</v>
      </c>
      <c r="U40" s="36"/>
      <c r="V40" s="41"/>
      <c r="W40" s="26"/>
      <c r="X40" s="58" t="s">
        <v>71</v>
      </c>
      <c r="Y40" s="59" t="s">
        <v>72</v>
      </c>
      <c r="Z40" s="48" t="s">
        <v>84</v>
      </c>
      <c r="AA40" s="85" t="str">
        <f>AA$8</f>
        <v/>
      </c>
      <c r="AB40" s="15" t="str">
        <f>IFERROR(__xludf.DUMMYFUNCTION("join("","",filter(split($H$84,"",""),ARRAYFORMULA(ISERROR(FIND(split($H$84,"",""),CONCATENATE(E40:V40))))=TRUE))"),"СЗ,КЗ,201,206,403,406")</f>
        <v>СЗ,КЗ,201,206,403,406</v>
      </c>
      <c r="AC40" s="14"/>
      <c r="AD40" s="14"/>
      <c r="AE40" s="14"/>
      <c r="AF40" s="29"/>
      <c r="AG40" s="29"/>
      <c r="AH40" s="29"/>
    </row>
    <row r="41" ht="48.75" hidden="1" customHeight="1">
      <c r="A41" s="274"/>
      <c r="B41" s="31">
        <v>7.0</v>
      </c>
      <c r="C41" s="32" t="s">
        <v>85</v>
      </c>
      <c r="D41" s="32" t="s">
        <v>86</v>
      </c>
      <c r="E41" s="45" t="s">
        <v>11483</v>
      </c>
      <c r="F41" s="13"/>
      <c r="G41" s="44" t="s">
        <v>11484</v>
      </c>
      <c r="H41" s="45" t="s">
        <v>11485</v>
      </c>
      <c r="I41" s="13"/>
      <c r="J41" s="44" t="s">
        <v>11486</v>
      </c>
      <c r="K41" s="44" t="s">
        <v>11487</v>
      </c>
      <c r="L41" s="45" t="s">
        <v>11488</v>
      </c>
      <c r="M41" s="13"/>
      <c r="N41" s="87" t="s">
        <v>11489</v>
      </c>
      <c r="O41" s="13"/>
      <c r="P41" s="45" t="s">
        <v>11490</v>
      </c>
      <c r="Q41" s="13"/>
      <c r="R41" s="44" t="s">
        <v>11491</v>
      </c>
      <c r="S41" s="44" t="s">
        <v>11492</v>
      </c>
      <c r="T41" s="890" t="s">
        <v>11472</v>
      </c>
      <c r="U41" s="36"/>
      <c r="V41" s="41"/>
      <c r="W41" s="26"/>
      <c r="X41" s="42" t="s">
        <v>85</v>
      </c>
      <c r="Y41" s="42" t="s">
        <v>86</v>
      </c>
      <c r="Z41" s="48" t="s">
        <v>97</v>
      </c>
      <c r="AA41" s="85" t="str">
        <f>AA$9</f>
        <v/>
      </c>
      <c r="AB41" s="15" t="str">
        <f>IFERROR(__xludf.DUMMYFUNCTION("join("","",filter(split($H$84,"",""),ARRAYFORMULA(ISERROR(FIND(split($H$84,"",""),CONCATENATE(E41:V41))))=TRUE))"),"СЗ,КЗ,206,210,403,406")</f>
        <v>СЗ,КЗ,206,210,403,406</v>
      </c>
      <c r="AC41" s="14"/>
      <c r="AD41" s="14"/>
      <c r="AE41" s="14"/>
      <c r="AF41" s="29"/>
      <c r="AG41" s="29"/>
      <c r="AH41" s="29"/>
    </row>
    <row r="42" ht="52.5" hidden="1" customHeight="1">
      <c r="A42" s="274"/>
      <c r="B42" s="31">
        <v>8.0</v>
      </c>
      <c r="C42" s="32" t="s">
        <v>98</v>
      </c>
      <c r="D42" s="32" t="s">
        <v>99</v>
      </c>
      <c r="E42" s="45" t="s">
        <v>11493</v>
      </c>
      <c r="F42" s="13"/>
      <c r="G42" s="44" t="s">
        <v>11494</v>
      </c>
      <c r="H42" s="45" t="s">
        <v>379</v>
      </c>
      <c r="I42" s="13"/>
      <c r="J42" s="44" t="s">
        <v>11495</v>
      </c>
      <c r="K42" s="44" t="s">
        <v>11496</v>
      </c>
      <c r="L42" s="45" t="s">
        <v>11497</v>
      </c>
      <c r="M42" s="13"/>
      <c r="N42" s="87" t="s">
        <v>11498</v>
      </c>
      <c r="O42" s="13"/>
      <c r="P42" s="45" t="s">
        <v>11499</v>
      </c>
      <c r="Q42" s="13"/>
      <c r="R42" s="166"/>
      <c r="S42" s="13"/>
      <c r="T42" s="890" t="s">
        <v>11472</v>
      </c>
      <c r="U42" s="36"/>
      <c r="V42" s="41"/>
      <c r="W42" s="26"/>
      <c r="X42" s="42" t="s">
        <v>98</v>
      </c>
      <c r="Y42" s="42" t="s">
        <v>99</v>
      </c>
      <c r="Z42" s="11"/>
      <c r="AA42" s="14"/>
      <c r="AB42" s="15" t="str">
        <f>IFERROR(__xludf.DUMMYFUNCTION("join("","",filter(split($H$84,"",""),ARRAYFORMULA(ISERROR(FIND(split($H$84,"",""),CONCATENATE(E42:V42))))=TRUE))"),"СЗ,КЗ,206,210,403,404,405,406")</f>
        <v>СЗ,КЗ,206,210,403,404,405,406</v>
      </c>
      <c r="AC42" s="14"/>
      <c r="AD42" s="14"/>
      <c r="AE42" s="14"/>
      <c r="AF42" s="29"/>
      <c r="AG42" s="29"/>
      <c r="AH42" s="29"/>
    </row>
    <row r="43" ht="40.5" hidden="1" customHeight="1">
      <c r="A43" s="274"/>
      <c r="B43" s="31">
        <v>9.0</v>
      </c>
      <c r="C43" s="65">
        <v>44697.0</v>
      </c>
      <c r="D43" s="44" t="s">
        <v>109</v>
      </c>
      <c r="E43" s="167" t="s">
        <v>11500</v>
      </c>
      <c r="F43" s="4"/>
      <c r="G43" s="168"/>
      <c r="H43" s="169" t="s">
        <v>11501</v>
      </c>
      <c r="I43" s="36"/>
      <c r="J43" s="13"/>
      <c r="K43" s="170"/>
      <c r="L43" s="4"/>
      <c r="M43" s="171"/>
      <c r="N43" s="45" t="s">
        <v>11502</v>
      </c>
      <c r="O43" s="13"/>
      <c r="P43" s="33" t="s">
        <v>11503</v>
      </c>
      <c r="Q43" s="172" t="s">
        <v>390</v>
      </c>
      <c r="R43" s="8"/>
      <c r="S43" s="8"/>
      <c r="T43" s="8"/>
      <c r="U43" s="8"/>
      <c r="V43" s="129"/>
      <c r="W43" s="26"/>
      <c r="X43" s="69">
        <v>44697.0</v>
      </c>
      <c r="Y43" s="70" t="s">
        <v>109</v>
      </c>
      <c r="Z43" s="28"/>
      <c r="AA43" s="14"/>
      <c r="AB43" s="15" t="str">
        <f>IFERROR(__xludf.DUMMYFUNCTION("join("","",filter(split($H$84,"",""),ARRAYFORMULA(ISERROR(FIND(split($H$84,"",""),CONCATENATE(E43:V43))))=TRUE))"),"КЗ,202,206,209,401,403,404,405,406,408,409,АЗ")</f>
        <v>КЗ,202,206,209,401,403,404,405,406,408,409,АЗ</v>
      </c>
      <c r="AC43" s="14"/>
      <c r="AD43" s="14"/>
      <c r="AE43" s="14"/>
      <c r="AF43" s="29"/>
      <c r="AG43" s="29"/>
      <c r="AH43" s="29"/>
    </row>
    <row r="44" ht="40.5" hidden="1" customHeight="1">
      <c r="A44" s="274"/>
      <c r="B44" s="31">
        <v>10.0</v>
      </c>
      <c r="C44" s="44" t="s">
        <v>120</v>
      </c>
      <c r="D44" s="44" t="s">
        <v>121</v>
      </c>
      <c r="E44" s="104"/>
      <c r="F44" s="72"/>
      <c r="G44" s="173"/>
      <c r="H44" s="169" t="s">
        <v>11504</v>
      </c>
      <c r="I44" s="36"/>
      <c r="J44" s="13"/>
      <c r="K44" s="104"/>
      <c r="L44" s="72"/>
      <c r="M44" s="171"/>
      <c r="N44" s="45" t="s">
        <v>11505</v>
      </c>
      <c r="O44" s="13"/>
      <c r="P44" s="33" t="s">
        <v>11506</v>
      </c>
      <c r="Q44" s="104"/>
      <c r="R44" s="64"/>
      <c r="S44" s="64"/>
      <c r="T44" s="64"/>
      <c r="U44" s="64"/>
      <c r="V44" s="88"/>
      <c r="W44" s="26"/>
      <c r="X44" s="70" t="s">
        <v>120</v>
      </c>
      <c r="Y44" s="70" t="s">
        <v>121</v>
      </c>
      <c r="Z44" s="28"/>
      <c r="AA44" s="14"/>
      <c r="AB44" s="15" t="str">
        <f>IFERROR(__xludf.DUMMYFUNCTION("join("","",filter(split($H$84,"",""),ARRAYFORMULA(ISERROR(FIND(split($H$84,"",""),CONCATENATE(E44:V44))))=TRUE))"),"КЗ,201,202,206,209,401,403,404,405,406,408,409,410,АЗ")</f>
        <v>КЗ,201,202,206,209,401,403,404,405,406,408,409,410,АЗ</v>
      </c>
      <c r="AC44" s="14"/>
      <c r="AD44" s="14"/>
      <c r="AE44" s="14"/>
      <c r="AF44" s="29"/>
      <c r="AG44" s="29"/>
      <c r="AH44" s="29"/>
    </row>
    <row r="45" ht="40.5" hidden="1" customHeight="1">
      <c r="A45" s="289"/>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IFERROR(__xludf.DUMMYFUNCTION("join("","",filter(split($H$84,"",""),ARRAYFORMULA(ISERROR(FIND(split($H$84,"",""),CONCATENATE(E45:V45))))=TRUE))"),"СЗ,КЗ,201,202,206,209,210,401,402,403,404,405,406,408,409,410,АЗ")</f>
        <v>СЗ,КЗ,201,202,206,209,210,401,402,403,404,405,406,408,409,410,АЗ</v>
      </c>
      <c r="AC45" s="14"/>
      <c r="AD45" s="14"/>
      <c r="AE45" s="14"/>
      <c r="AF45" s="29"/>
      <c r="AG45" s="29"/>
      <c r="AH45" s="29"/>
    </row>
    <row r="46" ht="40.5" customHeight="1">
      <c r="A46" s="891"/>
      <c r="B46" s="892"/>
      <c r="C46" s="834" t="s">
        <v>12</v>
      </c>
      <c r="D46" s="893">
        <v>45212.0</v>
      </c>
      <c r="E46" s="415"/>
      <c r="F46" s="415"/>
      <c r="G46" s="894" t="s">
        <v>11507</v>
      </c>
      <c r="Q46" s="139"/>
      <c r="R46" s="415"/>
      <c r="S46" s="415"/>
      <c r="T46" s="576"/>
      <c r="U46" s="576"/>
      <c r="V46" s="836"/>
      <c r="W46" s="26"/>
      <c r="X46" s="455"/>
      <c r="Y46" s="455"/>
      <c r="Z46" s="28"/>
      <c r="AA46" s="14"/>
      <c r="AB46" s="15"/>
      <c r="AC46" s="14"/>
      <c r="AD46" s="14"/>
      <c r="AE46" s="14"/>
      <c r="AF46" s="29"/>
      <c r="AG46" s="29"/>
      <c r="AH46" s="29"/>
    </row>
    <row r="47" ht="40.5" customHeight="1">
      <c r="A47" s="271">
        <v>45058.0</v>
      </c>
      <c r="B47" s="19">
        <v>1.0</v>
      </c>
      <c r="C47" s="20" t="s">
        <v>12</v>
      </c>
      <c r="D47" s="20" t="s">
        <v>13</v>
      </c>
      <c r="E47" s="156" t="s">
        <v>11508</v>
      </c>
      <c r="F47" s="156" t="s">
        <v>11509</v>
      </c>
      <c r="G47" s="80" t="s">
        <v>11510</v>
      </c>
      <c r="H47" s="25"/>
      <c r="I47" s="174" t="s">
        <v>11511</v>
      </c>
      <c r="J47" s="175" t="s">
        <v>11512</v>
      </c>
      <c r="K47" s="25"/>
      <c r="L47" s="80" t="s">
        <v>11513</v>
      </c>
      <c r="M47" s="25"/>
      <c r="N47" s="156" t="s">
        <v>11514</v>
      </c>
      <c r="O47" s="156" t="s">
        <v>11515</v>
      </c>
      <c r="P47" s="80" t="s">
        <v>11516</v>
      </c>
      <c r="Q47" s="25"/>
      <c r="R47" s="80" t="s">
        <v>11517</v>
      </c>
      <c r="S47" s="25"/>
      <c r="T47" s="80"/>
      <c r="U47" s="24"/>
      <c r="V47" s="22"/>
      <c r="W47" s="26"/>
      <c r="X47" s="27" t="s">
        <v>12</v>
      </c>
      <c r="Y47" s="27" t="s">
        <v>13</v>
      </c>
      <c r="Z47" s="28"/>
      <c r="AA47" s="14"/>
      <c r="AB47" s="15" t="str">
        <f>IFERROR(__xludf.DUMMYFUNCTION("join("","",filter(split($H$84,"",""),ARRAYFORMULA(ISERROR(FIND(split($H$84,"",""),CONCATENATE(E47:V47))))=TRUE))"),"СЗ,КЗ,206,402,408,409,410")</f>
        <v>СЗ,КЗ,206,402,408,409,410</v>
      </c>
      <c r="AC47" s="14"/>
      <c r="AD47" s="14"/>
      <c r="AE47" s="14"/>
      <c r="AF47" s="29"/>
      <c r="AG47" s="29"/>
      <c r="AH47" s="29"/>
    </row>
    <row r="48" ht="40.5" customHeight="1">
      <c r="A48" s="274"/>
      <c r="B48" s="31">
        <v>2.0</v>
      </c>
      <c r="C48" s="32" t="s">
        <v>21</v>
      </c>
      <c r="D48" s="32" t="s">
        <v>22</v>
      </c>
      <c r="E48" s="44" t="s">
        <v>11518</v>
      </c>
      <c r="F48" s="44" t="s">
        <v>11519</v>
      </c>
      <c r="G48" s="45" t="s">
        <v>11520</v>
      </c>
      <c r="H48" s="13"/>
      <c r="I48" s="173"/>
      <c r="J48" s="157" t="s">
        <v>11521</v>
      </c>
      <c r="K48" s="13"/>
      <c r="L48" s="80" t="s">
        <v>11522</v>
      </c>
      <c r="M48" s="25"/>
      <c r="N48" s="44" t="s">
        <v>11523</v>
      </c>
      <c r="O48" s="44" t="s">
        <v>11524</v>
      </c>
      <c r="P48" s="45" t="s">
        <v>11525</v>
      </c>
      <c r="Q48" s="13"/>
      <c r="R48" s="45" t="s">
        <v>11526</v>
      </c>
      <c r="S48" s="13"/>
      <c r="T48" s="895" t="s">
        <v>11527</v>
      </c>
      <c r="U48" s="8"/>
      <c r="V48" s="129"/>
      <c r="W48" s="26"/>
      <c r="X48" s="42" t="s">
        <v>21</v>
      </c>
      <c r="Y48" s="42" t="s">
        <v>22</v>
      </c>
      <c r="Z48" s="28"/>
      <c r="AA48" s="14"/>
      <c r="AB48" s="15" t="str">
        <f>IFERROR(__xludf.DUMMYFUNCTION("join("","",filter(split($H$84,"",""),ARRAYFORMULA(ISERROR(FIND(split($H$84,"",""),CONCATENATE(E48:V48))))=TRUE))"),"СЗ,КЗ,201,206,408,409,410,АЗ")</f>
        <v>СЗ,КЗ,201,206,408,409,410,АЗ</v>
      </c>
      <c r="AC48" s="14"/>
      <c r="AD48" s="14"/>
      <c r="AE48" s="14"/>
      <c r="AF48" s="29"/>
      <c r="AG48" s="29"/>
      <c r="AH48" s="29"/>
    </row>
    <row r="49" ht="40.5" customHeight="1">
      <c r="A49" s="274"/>
      <c r="B49" s="31">
        <v>3.0</v>
      </c>
      <c r="C49" s="32" t="s">
        <v>33</v>
      </c>
      <c r="D49" s="32" t="s">
        <v>34</v>
      </c>
      <c r="E49" s="40" t="s">
        <v>11528</v>
      </c>
      <c r="F49" s="13"/>
      <c r="G49" s="176" t="s">
        <v>11529</v>
      </c>
      <c r="H49" s="4"/>
      <c r="I49" s="90" t="s">
        <v>11530</v>
      </c>
      <c r="J49" s="44" t="s">
        <v>11531</v>
      </c>
      <c r="K49" s="44" t="s">
        <v>11532</v>
      </c>
      <c r="L49" s="44" t="s">
        <v>11533</v>
      </c>
      <c r="M49" s="44" t="s">
        <v>11534</v>
      </c>
      <c r="N49" s="164" t="s">
        <v>11535</v>
      </c>
      <c r="O49" s="36"/>
      <c r="P49" s="36"/>
      <c r="Q49" s="13"/>
      <c r="R49" s="896" t="s">
        <v>11536</v>
      </c>
      <c r="S49" s="4"/>
      <c r="T49" s="224"/>
      <c r="V49" s="134"/>
      <c r="W49" s="26"/>
      <c r="X49" s="42" t="s">
        <v>33</v>
      </c>
      <c r="Y49" s="42" t="s">
        <v>34</v>
      </c>
      <c r="Z49" s="48" t="s">
        <v>47</v>
      </c>
      <c r="AA49" s="85" t="str">
        <f>AA$5</f>
        <v/>
      </c>
      <c r="AB49" s="15" t="str">
        <f>IFERROR(__xludf.DUMMYFUNCTION("join("","",filter(split($H$84,"",""),ARRAYFORMULA(ISERROR(FIND(split($H$84,"",""),CONCATENATE(E49:V49))))=TRUE))"),"СЗ,КЗ,201,206,209,410")</f>
        <v>СЗ,КЗ,201,206,209,410</v>
      </c>
      <c r="AC49" s="14"/>
      <c r="AD49" s="14"/>
      <c r="AE49" s="14"/>
      <c r="AF49" s="29"/>
      <c r="AG49" s="29"/>
      <c r="AH49" s="29"/>
    </row>
    <row r="50" ht="40.5" customHeight="1">
      <c r="A50" s="274"/>
      <c r="B50" s="31">
        <v>4.0</v>
      </c>
      <c r="C50" s="32" t="s">
        <v>48</v>
      </c>
      <c r="D50" s="32" t="s">
        <v>49</v>
      </c>
      <c r="E50" s="40" t="s">
        <v>11537</v>
      </c>
      <c r="F50" s="13"/>
      <c r="G50" s="104"/>
      <c r="H50" s="72"/>
      <c r="I50" s="90" t="s">
        <v>11538</v>
      </c>
      <c r="J50" s="44" t="s">
        <v>11539</v>
      </c>
      <c r="K50" s="44" t="s">
        <v>11540</v>
      </c>
      <c r="L50" s="44" t="s">
        <v>11541</v>
      </c>
      <c r="M50" s="44" t="s">
        <v>11542</v>
      </c>
      <c r="N50" s="164" t="s">
        <v>11543</v>
      </c>
      <c r="O50" s="36"/>
      <c r="P50" s="36"/>
      <c r="Q50" s="13"/>
      <c r="R50" s="224"/>
      <c r="S50" s="139"/>
      <c r="T50" s="224"/>
      <c r="V50" s="134"/>
      <c r="W50" s="26"/>
      <c r="X50" s="42" t="s">
        <v>48</v>
      </c>
      <c r="Y50" s="42" t="s">
        <v>49</v>
      </c>
      <c r="Z50" s="48" t="s">
        <v>57</v>
      </c>
      <c r="AA50" s="85" t="str">
        <f>AA$6</f>
        <v/>
      </c>
      <c r="AB50" s="15" t="str">
        <f>IFERROR(__xludf.DUMMYFUNCTION("join("","",filter(split($H$84,"",""),ARRAYFORMULA(ISERROR(FIND(split($H$84,"",""),CONCATENATE(E50:V50))))=TRUE))"),"СЗ,КЗ,201,206,209,406,408,410,АЗ")</f>
        <v>СЗ,КЗ,201,206,209,406,408,410,АЗ</v>
      </c>
      <c r="AC50" s="14"/>
      <c r="AD50" s="14"/>
      <c r="AE50" s="14"/>
      <c r="AF50" s="29"/>
      <c r="AG50" s="29"/>
      <c r="AH50" s="29"/>
    </row>
    <row r="51" ht="40.5" customHeight="1">
      <c r="A51" s="274"/>
      <c r="B51" s="31">
        <v>5.0</v>
      </c>
      <c r="C51" s="32" t="s">
        <v>58</v>
      </c>
      <c r="D51" s="53">
        <v>44847.0</v>
      </c>
      <c r="E51" s="45" t="s">
        <v>11544</v>
      </c>
      <c r="F51" s="13"/>
      <c r="G51" s="44" t="s">
        <v>11545</v>
      </c>
      <c r="H51" s="44" t="s">
        <v>11546</v>
      </c>
      <c r="I51" s="44" t="s">
        <v>11547</v>
      </c>
      <c r="J51" s="45" t="s">
        <v>11548</v>
      </c>
      <c r="K51" s="13"/>
      <c r="L51" s="45" t="s">
        <v>11549</v>
      </c>
      <c r="M51" s="13"/>
      <c r="N51" s="177" t="s">
        <v>11550</v>
      </c>
      <c r="O51" s="124" t="s">
        <v>11551</v>
      </c>
      <c r="P51" s="45" t="s">
        <v>11552</v>
      </c>
      <c r="Q51" s="13"/>
      <c r="R51" s="104"/>
      <c r="S51" s="72"/>
      <c r="T51" s="104"/>
      <c r="U51" s="64"/>
      <c r="V51" s="88"/>
      <c r="W51" s="26"/>
      <c r="X51" s="42" t="s">
        <v>58</v>
      </c>
      <c r="Y51" s="54">
        <v>44847.0</v>
      </c>
      <c r="Z51" s="48" t="s">
        <v>70</v>
      </c>
      <c r="AA51" s="85" t="str">
        <f>AA$7</f>
        <v/>
      </c>
      <c r="AB51" s="15" t="str">
        <f>IFERROR(__xludf.DUMMYFUNCTION("join("","",filter(split($H$84,"",""),ARRAYFORMULA(ISERROR(FIND(split($H$84,"",""),CONCATENATE(E51:V51))))=TRUE))"),"СЗ,КЗ,206,401,402,404,406,408,410")</f>
        <v>СЗ,КЗ,206,401,402,404,406,408,410</v>
      </c>
      <c r="AC51" s="14"/>
      <c r="AD51" s="14"/>
      <c r="AE51" s="14"/>
      <c r="AF51" s="29"/>
      <c r="AG51" s="29"/>
      <c r="AH51" s="29"/>
    </row>
    <row r="52" ht="48.75" customHeight="1">
      <c r="A52" s="274"/>
      <c r="B52" s="31">
        <v>6.0</v>
      </c>
      <c r="C52" s="55" t="s">
        <v>71</v>
      </c>
      <c r="D52" s="56" t="s">
        <v>72</v>
      </c>
      <c r="E52" s="45" t="s">
        <v>11553</v>
      </c>
      <c r="F52" s="13"/>
      <c r="G52" s="44" t="s">
        <v>11554</v>
      </c>
      <c r="H52" s="44" t="s">
        <v>11555</v>
      </c>
      <c r="I52" s="44" t="s">
        <v>11556</v>
      </c>
      <c r="J52" s="45" t="s">
        <v>11557</v>
      </c>
      <c r="K52" s="13"/>
      <c r="L52" s="45" t="s">
        <v>11558</v>
      </c>
      <c r="M52" s="13"/>
      <c r="N52" s="177" t="s">
        <v>11559</v>
      </c>
      <c r="O52" s="124" t="s">
        <v>11560</v>
      </c>
      <c r="P52" s="45" t="s">
        <v>11561</v>
      </c>
      <c r="Q52" s="13"/>
      <c r="R52" s="164" t="s">
        <v>11562</v>
      </c>
      <c r="S52" s="13"/>
      <c r="T52" s="44" t="s">
        <v>11563</v>
      </c>
      <c r="U52" s="44" t="s">
        <v>11564</v>
      </c>
      <c r="V52" s="34"/>
      <c r="W52" s="179"/>
      <c r="X52" s="58" t="s">
        <v>71</v>
      </c>
      <c r="Y52" s="59" t="s">
        <v>72</v>
      </c>
      <c r="Z52" s="48" t="s">
        <v>84</v>
      </c>
      <c r="AA52" s="85"/>
      <c r="AB52" s="15" t="str">
        <f>IFERROR(__xludf.DUMMYFUNCTION("join("","",filter(split($H$84,"",""),ARRAYFORMULA(ISERROR(FIND(split($H$84,"",""),CONCATENATE(E52:V52))))=TRUE))"),"СЗ,206,404,406,410")</f>
        <v>СЗ,206,404,406,410</v>
      </c>
      <c r="AC52" s="15" t="str">
        <f>IFERROR(__xludf.DUMMYFUNCTION("join("","",filter(split(#REF!,"",""),ARRAYFORMULA(ISERROR(FIND(split(#REF!,"",""),CONCATENATE(E52:S52))))=TRUE))"),"#REF!")</f>
        <v>#REF!</v>
      </c>
      <c r="AD52" s="14"/>
      <c r="AE52" s="14"/>
      <c r="AF52" s="29"/>
      <c r="AG52" s="29"/>
      <c r="AH52" s="29"/>
    </row>
    <row r="53" ht="55.5" customHeight="1">
      <c r="A53" s="274"/>
      <c r="B53" s="31">
        <v>7.0</v>
      </c>
      <c r="C53" s="32" t="s">
        <v>85</v>
      </c>
      <c r="D53" s="32" t="s">
        <v>86</v>
      </c>
      <c r="E53" s="45" t="s">
        <v>11565</v>
      </c>
      <c r="F53" s="13"/>
      <c r="G53" s="44" t="s">
        <v>11566</v>
      </c>
      <c r="H53" s="44" t="s">
        <v>11567</v>
      </c>
      <c r="I53" s="44" t="s">
        <v>11568</v>
      </c>
      <c r="J53" s="45" t="s">
        <v>11569</v>
      </c>
      <c r="K53" s="13"/>
      <c r="L53" s="45" t="s">
        <v>11570</v>
      </c>
      <c r="M53" s="13"/>
      <c r="N53" s="86" t="s">
        <v>11571</v>
      </c>
      <c r="O53" s="13"/>
      <c r="P53" s="124" t="s">
        <v>11572</v>
      </c>
      <c r="Q53" s="37" t="s">
        <v>11573</v>
      </c>
      <c r="R53" s="180" t="s">
        <v>11574</v>
      </c>
      <c r="S53" s="181" t="s">
        <v>11575</v>
      </c>
      <c r="T53" s="44" t="s">
        <v>472</v>
      </c>
      <c r="U53" s="44"/>
      <c r="V53" s="34"/>
      <c r="W53" s="26"/>
      <c r="X53" s="42" t="s">
        <v>85</v>
      </c>
      <c r="Y53" s="42" t="s">
        <v>86</v>
      </c>
      <c r="Z53" s="48" t="s">
        <v>97</v>
      </c>
      <c r="AA53" s="85" t="str">
        <f>AA$9</f>
        <v/>
      </c>
      <c r="AB53" s="15" t="str">
        <f>IFERROR(__xludf.DUMMYFUNCTION("join("","",filter(split($H$84,"",""),ARRAYFORMULA(ISERROR(FIND(split($H$84,"",""),CONCATENATE(E53:V53))))=TRUE))"),"СЗ,206,404,410")</f>
        <v>СЗ,206,404,410</v>
      </c>
      <c r="AC53" s="14"/>
      <c r="AD53" s="14"/>
      <c r="AE53" s="14"/>
      <c r="AF53" s="29"/>
      <c r="AG53" s="29"/>
      <c r="AH53" s="29"/>
    </row>
    <row r="54" ht="51.75" customHeight="1">
      <c r="A54" s="274"/>
      <c r="B54" s="31">
        <v>8.0</v>
      </c>
      <c r="C54" s="32" t="s">
        <v>98</v>
      </c>
      <c r="D54" s="32" t="s">
        <v>99</v>
      </c>
      <c r="E54" s="44" t="s">
        <v>11576</v>
      </c>
      <c r="F54" s="44"/>
      <c r="G54" s="416" t="s">
        <v>1913</v>
      </c>
      <c r="H54" s="86" t="s">
        <v>11577</v>
      </c>
      <c r="I54" s="13"/>
      <c r="J54" s="45" t="s">
        <v>11578</v>
      </c>
      <c r="K54" s="13"/>
      <c r="L54" s="45" t="s">
        <v>11579</v>
      </c>
      <c r="M54" s="13"/>
      <c r="N54" s="182"/>
      <c r="O54" s="177" t="s">
        <v>11580</v>
      </c>
      <c r="P54" s="124" t="s">
        <v>11581</v>
      </c>
      <c r="Q54" s="37" t="s">
        <v>160</v>
      </c>
      <c r="R54" s="183" t="s">
        <v>11582</v>
      </c>
      <c r="S54" s="181" t="s">
        <v>11583</v>
      </c>
      <c r="T54" s="144"/>
      <c r="U54" s="144"/>
      <c r="V54" s="184"/>
      <c r="W54" s="26"/>
      <c r="X54" s="42" t="s">
        <v>98</v>
      </c>
      <c r="Y54" s="42" t="s">
        <v>99</v>
      </c>
      <c r="Z54" s="11"/>
      <c r="AA54" s="14"/>
      <c r="AB54" s="15" t="str">
        <f>IFERROR(__xludf.DUMMYFUNCTION("join("","",filter(split($H$84,"",""),ARRAYFORMULA(ISERROR(FIND(split($H$84,"",""),CONCATENATE(E54:V54))))=TRUE))"),"СЗ,201,206,210,404,405,408,410")</f>
        <v>СЗ,201,206,210,404,405,408,410</v>
      </c>
      <c r="AC54" s="14"/>
      <c r="AD54" s="14"/>
      <c r="AE54" s="14"/>
      <c r="AF54" s="29"/>
      <c r="AG54" s="29"/>
      <c r="AH54" s="29"/>
    </row>
    <row r="55" ht="71.25" customHeight="1">
      <c r="A55" s="274"/>
      <c r="B55" s="31">
        <v>9.0</v>
      </c>
      <c r="C55" s="65">
        <v>44697.0</v>
      </c>
      <c r="D55" s="44" t="s">
        <v>109</v>
      </c>
      <c r="E55" s="897" t="s">
        <v>11584</v>
      </c>
      <c r="F55" s="8"/>
      <c r="G55" s="8"/>
      <c r="H55" s="8"/>
      <c r="I55" s="8"/>
      <c r="J55" s="8"/>
      <c r="K55" s="8"/>
      <c r="L55" s="8"/>
      <c r="M55" s="8"/>
      <c r="N55" s="8"/>
      <c r="O55" s="8"/>
      <c r="P55" s="8"/>
      <c r="Q55" s="8"/>
      <c r="R55" s="8"/>
      <c r="S55" s="8"/>
      <c r="T55" s="8"/>
      <c r="U55" s="8"/>
      <c r="V55" s="8"/>
      <c r="W55" s="186"/>
      <c r="X55" s="69">
        <v>44697.0</v>
      </c>
      <c r="Y55" s="70" t="s">
        <v>109</v>
      </c>
      <c r="Z55" s="28"/>
      <c r="AA55" s="14"/>
      <c r="AB55" s="15" t="str">
        <f>IFERROR(__xludf.DUMMYFUNCTION("join("","",filter(split($H$84,"",""),ARRAYFORMULA(ISERROR(FIND(split($H$84,"",""),CONCATENATE(E55:V55))))=TRUE))"),"СЗ,КЗ,201,202,206,209,210,401,402,403,404,405,406,408,409,410,АЗ")</f>
        <v>СЗ,КЗ,201,202,206,209,210,401,402,403,404,405,406,408,409,410,АЗ</v>
      </c>
      <c r="AC55" s="14"/>
      <c r="AD55" s="14"/>
      <c r="AE55" s="14"/>
      <c r="AF55" s="29"/>
      <c r="AG55" s="29"/>
      <c r="AH55" s="29"/>
    </row>
    <row r="56" ht="40.5" customHeight="1">
      <c r="A56" s="274"/>
      <c r="B56" s="31">
        <v>10.0</v>
      </c>
      <c r="C56" s="44" t="s">
        <v>120</v>
      </c>
      <c r="D56" s="44" t="s">
        <v>121</v>
      </c>
      <c r="E56" s="104"/>
      <c r="F56" s="64"/>
      <c r="G56" s="64"/>
      <c r="H56" s="64"/>
      <c r="I56" s="64"/>
      <c r="J56" s="64"/>
      <c r="K56" s="64"/>
      <c r="L56" s="64"/>
      <c r="M56" s="64"/>
      <c r="N56" s="64"/>
      <c r="O56" s="64"/>
      <c r="P56" s="64"/>
      <c r="Q56" s="64"/>
      <c r="R56" s="64"/>
      <c r="S56" s="64"/>
      <c r="T56" s="64"/>
      <c r="U56" s="64"/>
      <c r="V56" s="64"/>
      <c r="W56" s="190"/>
      <c r="X56" s="70" t="s">
        <v>120</v>
      </c>
      <c r="Y56" s="70" t="s">
        <v>121</v>
      </c>
      <c r="Z56" s="28"/>
      <c r="AA56" s="14"/>
      <c r="AB56" s="15" t="str">
        <f>IFERROR(__xludf.DUMMYFUNCTION("join("","",filter(split($H$84,"",""),ARRAYFORMULA(ISERROR(FIND(split($H$84,"",""),CONCATENATE(E56:V56))))=TRUE))"),"СЗ,КЗ,201,202,206,209,210,401,402,403,404,405,406,408,409,410,АЗ")</f>
        <v>СЗ,КЗ,201,202,206,209,210,401,402,403,404,405,406,408,409,410,АЗ</v>
      </c>
      <c r="AC56" s="14"/>
      <c r="AD56" s="14"/>
      <c r="AE56" s="14"/>
      <c r="AF56" s="29"/>
      <c r="AG56" s="29"/>
      <c r="AH56" s="29"/>
    </row>
    <row r="57" ht="40.5" customHeight="1">
      <c r="A57" s="289"/>
      <c r="B57" s="75">
        <v>11.0</v>
      </c>
      <c r="C57" s="76" t="s">
        <v>124</v>
      </c>
      <c r="D57" s="76" t="s">
        <v>125</v>
      </c>
      <c r="E57" s="111"/>
      <c r="F57" s="111"/>
      <c r="G57" s="111"/>
      <c r="H57" s="111"/>
      <c r="I57" s="111"/>
      <c r="J57" s="111"/>
      <c r="K57" s="111"/>
      <c r="L57" s="111"/>
      <c r="M57" s="111"/>
      <c r="N57" s="111"/>
      <c r="O57" s="111"/>
      <c r="P57" s="111"/>
      <c r="Q57" s="111"/>
      <c r="R57" s="111"/>
      <c r="S57" s="111"/>
      <c r="T57" s="111"/>
      <c r="U57" s="111"/>
      <c r="V57" s="112"/>
      <c r="W57" s="26"/>
      <c r="X57" s="79" t="s">
        <v>124</v>
      </c>
      <c r="Y57" s="79" t="s">
        <v>125</v>
      </c>
      <c r="Z57" s="28"/>
      <c r="AA57" s="14"/>
      <c r="AB57" s="15" t="str">
        <f>IFERROR(__xludf.DUMMYFUNCTION("join("","",filter(split($H$84,"",""),ARRAYFORMULA(ISERROR(FIND(split($H$84,"",""),CONCATENATE(E57:V57))))=TRUE))"),"СЗ,КЗ,201,202,206,209,210,401,402,403,404,405,406,408,409,410,АЗ")</f>
        <v>СЗ,КЗ,201,202,206,209,210,401,402,403,404,405,406,408,409,410,АЗ</v>
      </c>
      <c r="AC57" s="14"/>
      <c r="AD57" s="14"/>
      <c r="AE57" s="14"/>
      <c r="AF57" s="29"/>
      <c r="AG57" s="29"/>
      <c r="AH57" s="29"/>
    </row>
    <row r="58" ht="40.5" customHeight="1">
      <c r="A58" s="271">
        <v>45059.0</v>
      </c>
      <c r="B58" s="191">
        <v>1.0</v>
      </c>
      <c r="C58" s="192" t="str">
        <f>D$1</f>
        <v/>
      </c>
      <c r="D58" s="72"/>
      <c r="E58" s="193"/>
      <c r="F58" s="193"/>
      <c r="G58" s="194" t="s">
        <v>481</v>
      </c>
      <c r="H58" s="64"/>
      <c r="I58" s="72"/>
      <c r="J58" s="195"/>
      <c r="K58" s="64"/>
      <c r="L58" s="64"/>
      <c r="M58" s="72"/>
      <c r="N58" s="193"/>
      <c r="O58" s="177"/>
      <c r="P58" s="187" t="s">
        <v>482</v>
      </c>
      <c r="Q58" s="8"/>
      <c r="R58" s="8"/>
      <c r="S58" s="4"/>
      <c r="T58" s="193"/>
      <c r="U58" s="193"/>
      <c r="V58" s="193"/>
      <c r="W58" s="15"/>
      <c r="X58" s="197" t="str">
        <f>Y$1</f>
        <v/>
      </c>
      <c r="Y58" s="13"/>
      <c r="Z58" s="28"/>
      <c r="AA58" s="14"/>
      <c r="AB58" s="15"/>
      <c r="AC58" s="14"/>
      <c r="AD58" s="14"/>
      <c r="AE58" s="14"/>
      <c r="AF58" s="29"/>
      <c r="AG58" s="29"/>
      <c r="AH58" s="29"/>
    </row>
    <row r="59" ht="40.5" customHeight="1">
      <c r="A59" s="274"/>
      <c r="B59" s="31">
        <v>2.0</v>
      </c>
      <c r="C59" s="85"/>
      <c r="D59" s="85"/>
      <c r="E59" s="15"/>
      <c r="F59" s="15"/>
      <c r="G59" s="15"/>
      <c r="H59" s="15"/>
      <c r="I59" s="15"/>
      <c r="J59" s="15"/>
      <c r="K59" s="15"/>
      <c r="L59" s="15"/>
      <c r="M59" s="15"/>
      <c r="N59" s="15"/>
      <c r="O59" s="177"/>
      <c r="P59" s="104"/>
      <c r="Q59" s="64"/>
      <c r="R59" s="64"/>
      <c r="S59" s="72"/>
      <c r="T59" s="15"/>
      <c r="U59" s="15"/>
      <c r="V59" s="15"/>
      <c r="W59" s="15"/>
      <c r="X59" s="85"/>
      <c r="Y59" s="85"/>
      <c r="Z59" s="198"/>
      <c r="AA59" s="14"/>
      <c r="AB59" s="15"/>
      <c r="AC59" s="14"/>
      <c r="AD59" s="14"/>
      <c r="AE59" s="14"/>
      <c r="AF59" s="29"/>
      <c r="AG59" s="29"/>
      <c r="AH59" s="29"/>
    </row>
    <row r="60" ht="40.5" customHeight="1">
      <c r="A60" s="274"/>
      <c r="B60" s="31">
        <v>3.0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AA$5</f>
        <v/>
      </c>
      <c r="AB60" s="15"/>
      <c r="AC60" s="14"/>
      <c r="AD60" s="14"/>
      <c r="AE60" s="14"/>
      <c r="AF60" s="29"/>
      <c r="AG60" s="29"/>
      <c r="AH60" s="29"/>
    </row>
    <row r="61" ht="40.5" customHeight="1">
      <c r="A61" s="274"/>
      <c r="B61" s="31">
        <v>4.0</v>
      </c>
      <c r="C61" s="85"/>
      <c r="D61" s="85"/>
      <c r="E61" s="15"/>
      <c r="F61" s="15"/>
      <c r="G61" s="15"/>
      <c r="H61" s="15"/>
      <c r="I61" s="15"/>
      <c r="J61" s="44"/>
      <c r="K61" s="44"/>
      <c r="L61" s="44"/>
      <c r="M61" s="44"/>
      <c r="N61" s="15"/>
      <c r="O61" s="15"/>
      <c r="P61" s="199"/>
      <c r="Q61" s="199"/>
      <c r="R61" s="199"/>
      <c r="S61" s="199"/>
      <c r="T61" s="15"/>
      <c r="U61" s="15"/>
      <c r="V61" s="15"/>
      <c r="W61" s="15"/>
      <c r="X61" s="85"/>
      <c r="Y61" s="85"/>
      <c r="Z61" s="198"/>
      <c r="AA61" s="85" t="str">
        <f>AA$6</f>
        <v/>
      </c>
      <c r="AB61" s="15"/>
      <c r="AC61" s="14"/>
      <c r="AD61" s="14"/>
      <c r="AE61" s="14"/>
      <c r="AF61" s="29"/>
      <c r="AG61" s="29"/>
      <c r="AH61" s="29"/>
    </row>
    <row r="62" ht="40.5" customHeight="1">
      <c r="A62" s="274"/>
      <c r="B62" s="31">
        <v>5.0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AA$7</f>
        <v/>
      </c>
      <c r="AB62" s="15"/>
      <c r="AC62" s="14"/>
      <c r="AD62" s="14"/>
      <c r="AE62" s="14"/>
      <c r="AF62" s="29"/>
      <c r="AG62" s="29"/>
      <c r="AH62" s="29"/>
    </row>
    <row r="63" ht="40.5" customHeight="1">
      <c r="A63" s="274"/>
      <c r="B63" s="31">
        <v>6.0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t="str">
        <f>AA$8</f>
        <v/>
      </c>
      <c r="AB63" s="15"/>
      <c r="AC63" s="14"/>
      <c r="AD63" s="14"/>
      <c r="AE63" s="14"/>
      <c r="AF63" s="29"/>
      <c r="AG63" s="29"/>
      <c r="AH63" s="29"/>
    </row>
    <row r="64" ht="40.5" customHeight="1">
      <c r="A64" s="274"/>
      <c r="B64" s="31">
        <v>7.0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c r="AB64" s="14"/>
      <c r="AC64" s="14"/>
      <c r="AD64" s="14"/>
      <c r="AE64" s="14"/>
      <c r="AF64" s="29"/>
      <c r="AG64" s="29"/>
      <c r="AH64" s="29"/>
    </row>
    <row r="65" ht="40.5" customHeight="1">
      <c r="A65" s="274"/>
      <c r="B65" s="31">
        <v>8.0</v>
      </c>
      <c r="C65" s="85"/>
      <c r="D65" s="85"/>
      <c r="E65" s="15"/>
      <c r="F65" s="15"/>
      <c r="G65" s="15"/>
      <c r="H65" s="15"/>
      <c r="I65" s="15"/>
      <c r="J65" s="44"/>
      <c r="K65" s="44"/>
      <c r="L65" s="44"/>
      <c r="M65" s="44"/>
      <c r="N65" s="15"/>
      <c r="O65" s="15"/>
      <c r="P65" s="15"/>
      <c r="Q65" s="15"/>
      <c r="R65" s="15"/>
      <c r="S65" s="15"/>
      <c r="T65" s="15"/>
      <c r="U65" s="15"/>
      <c r="V65" s="15"/>
      <c r="W65" s="15"/>
      <c r="X65" s="85"/>
      <c r="Y65" s="85"/>
      <c r="Z65" s="198"/>
      <c r="AA65" s="85" t="str">
        <f>AA$9</f>
        <v/>
      </c>
      <c r="AB65" s="14"/>
      <c r="AC65" s="14"/>
      <c r="AD65" s="14"/>
      <c r="AE65" s="14"/>
      <c r="AF65" s="29"/>
      <c r="AG65" s="29"/>
      <c r="AH65" s="29"/>
    </row>
    <row r="66" ht="40.5" customHeight="1">
      <c r="A66" s="274"/>
      <c r="B66" s="31">
        <v>9.0</v>
      </c>
      <c r="C66" s="85"/>
      <c r="D66" s="85"/>
      <c r="E66" s="15"/>
      <c r="F66" s="15"/>
      <c r="G66" s="15"/>
      <c r="H66" s="15"/>
      <c r="I66" s="15"/>
      <c r="J66" s="44"/>
      <c r="K66" s="44"/>
      <c r="L66" s="44"/>
      <c r="M66" s="44"/>
      <c r="N66" s="15"/>
      <c r="O66" s="15"/>
      <c r="P66" s="15"/>
      <c r="Q66" s="15"/>
      <c r="R66" s="15"/>
      <c r="S66" s="15"/>
      <c r="T66" s="15"/>
      <c r="U66" s="15"/>
      <c r="V66" s="15"/>
      <c r="W66" s="15"/>
      <c r="X66" s="85"/>
      <c r="Y66" s="85"/>
      <c r="Z66" s="198"/>
      <c r="AA66" s="14"/>
      <c r="AB66" s="15"/>
      <c r="AC66" s="14"/>
      <c r="AD66" s="14"/>
      <c r="AE66" s="14"/>
      <c r="AF66" s="29"/>
      <c r="AG66" s="29"/>
      <c r="AH66" s="29"/>
    </row>
    <row r="67" ht="40.5" customHeight="1">
      <c r="A67" s="274"/>
      <c r="B67" s="200"/>
      <c r="C67" s="85"/>
      <c r="D67" s="85"/>
      <c r="E67" s="15"/>
      <c r="F67" s="15"/>
      <c r="G67" s="15"/>
      <c r="H67" s="15"/>
      <c r="I67" s="15"/>
      <c r="J67" s="15"/>
      <c r="K67" s="45"/>
      <c r="L67" s="13"/>
      <c r="M67" s="15"/>
      <c r="N67" s="15"/>
      <c r="O67" s="15"/>
      <c r="P67" s="15"/>
      <c r="Q67" s="15"/>
      <c r="R67" s="15"/>
      <c r="S67" s="15"/>
      <c r="T67" s="15"/>
      <c r="U67" s="15"/>
      <c r="V67" s="15"/>
      <c r="W67" s="15"/>
      <c r="X67" s="85"/>
      <c r="Y67" s="85"/>
      <c r="Z67" s="198" t="str">
        <f>Z$12</f>
        <v/>
      </c>
      <c r="AA67" s="14"/>
      <c r="AB67" s="14"/>
      <c r="AC67" s="14"/>
      <c r="AD67" s="14"/>
      <c r="AE67" s="14"/>
      <c r="AF67" s="29"/>
      <c r="AG67" s="29"/>
      <c r="AH67" s="29"/>
    </row>
    <row r="68" ht="40.5" customHeight="1">
      <c r="A68" s="289"/>
      <c r="B68" s="200"/>
      <c r="C68" s="14"/>
      <c r="D68" s="15"/>
      <c r="E68" s="15"/>
      <c r="F68" s="15"/>
      <c r="G68" s="15"/>
      <c r="H68" s="15"/>
      <c r="I68" s="15"/>
      <c r="J68" s="15"/>
      <c r="K68" s="45"/>
      <c r="L68" s="13"/>
      <c r="M68" s="15"/>
      <c r="N68" s="15"/>
      <c r="O68" s="15"/>
      <c r="P68" s="15"/>
      <c r="Q68" s="15"/>
      <c r="R68" s="15"/>
      <c r="S68" s="15"/>
      <c r="T68" s="15"/>
      <c r="U68" s="15"/>
      <c r="V68" s="15"/>
      <c r="W68" s="15"/>
      <c r="X68" s="14"/>
      <c r="Y68" s="15"/>
      <c r="Z68" s="198" t="str">
        <f>#REF!</f>
        <v>#REF!</v>
      </c>
      <c r="AA68" s="14"/>
      <c r="AB68" s="14"/>
      <c r="AC68" s="14"/>
      <c r="AD68" s="14"/>
      <c r="AE68" s="14"/>
      <c r="AF68" s="29"/>
      <c r="AG68" s="29"/>
      <c r="AH68" s="29"/>
    </row>
    <row r="69" ht="40.5" customHeight="1">
      <c r="A69" s="201"/>
      <c r="B69" s="200"/>
      <c r="C69" s="14"/>
      <c r="D69" s="14"/>
      <c r="E69" s="15"/>
      <c r="F69" s="15"/>
      <c r="G69" s="15"/>
      <c r="H69" s="15"/>
      <c r="I69" s="15"/>
      <c r="J69" s="15"/>
      <c r="K69" s="45"/>
      <c r="L69" s="13"/>
      <c r="M69" s="15"/>
      <c r="N69" s="15"/>
      <c r="O69" s="15"/>
      <c r="P69" s="15"/>
      <c r="Q69" s="15"/>
      <c r="R69" s="15"/>
      <c r="S69" s="15"/>
      <c r="T69" s="15"/>
      <c r="U69" s="15"/>
      <c r="V69" s="15"/>
      <c r="W69" s="15"/>
      <c r="X69" s="14"/>
      <c r="Y69" s="14"/>
      <c r="Z69" s="19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5"/>
      <c r="D71" s="14"/>
      <c r="E71" s="15"/>
      <c r="F71" s="15"/>
      <c r="G71" s="15"/>
      <c r="H71" s="15"/>
      <c r="I71" s="15"/>
      <c r="J71" s="15"/>
      <c r="K71" s="15"/>
      <c r="L71" s="15"/>
      <c r="M71" s="15"/>
      <c r="N71" s="15"/>
      <c r="O71" s="15"/>
      <c r="P71" s="15"/>
      <c r="Q71" s="15"/>
      <c r="R71" s="15"/>
      <c r="S71" s="15"/>
      <c r="T71" s="15"/>
      <c r="U71" s="15"/>
      <c r="V71" s="15"/>
      <c r="W71" s="15"/>
      <c r="X71" s="15"/>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15"/>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44" t="s">
        <v>484</v>
      </c>
      <c r="F83" s="15"/>
      <c r="G83" s="15"/>
      <c r="H83" s="15"/>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202" t="s">
        <v>485</v>
      </c>
      <c r="F84" s="203"/>
      <c r="G84" s="203"/>
      <c r="H84" s="204" t="s">
        <v>486</v>
      </c>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15"/>
      <c r="K85" s="15"/>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205" t="s">
        <v>487</v>
      </c>
      <c r="K86" s="205" t="b">
        <f>IFERROR(__xludf.DUMMYFUNCTION("IF(COUNTA(filter($E3:$W3,ARRAYFORMULA(ISERROR(FIND(join("","",filter(split($H$84,"",""),ARRAYFORMULA(ISERROR(FIND(split($H$84,"",""),E3)))=FALSE)),$E3:$W3))=FALSE)))&gt;1,FALSE,TRUE)"),TRUE)</f>
        <v>1</v>
      </c>
      <c r="L86" s="15"/>
      <c r="M86" s="15"/>
      <c r="N86" s="15"/>
      <c r="O86" s="15"/>
      <c r="P86" s="15"/>
      <c r="Q86" s="15"/>
      <c r="R86" s="15"/>
      <c r="S86" s="15"/>
      <c r="T86" s="15"/>
      <c r="U86" s="15"/>
      <c r="V86" s="15"/>
      <c r="W86" s="15"/>
      <c r="X86" s="14"/>
      <c r="Y86" s="14"/>
      <c r="Z86" s="28"/>
      <c r="AA86" s="14"/>
      <c r="AB86" s="14"/>
      <c r="AC86" s="14"/>
      <c r="AD86" s="14"/>
      <c r="AE86" s="14"/>
      <c r="AF86" s="29"/>
      <c r="AG86" s="29"/>
      <c r="AH86" s="29"/>
    </row>
    <row r="87" ht="40.5" customHeight="1">
      <c r="A87" s="201"/>
      <c r="B87" s="200"/>
      <c r="C87" s="14"/>
      <c r="D87" s="14"/>
      <c r="E87" s="15"/>
      <c r="F87" s="15"/>
      <c r="G87" s="15"/>
      <c r="H87" s="15"/>
      <c r="I87" s="15"/>
      <c r="J87" s="15"/>
      <c r="K87" s="15"/>
      <c r="L87" s="15"/>
      <c r="M87" s="15"/>
      <c r="N87" s="15"/>
      <c r="O87" s="15"/>
      <c r="P87" s="15"/>
      <c r="Q87" s="15"/>
      <c r="R87" s="15"/>
      <c r="S87" s="15"/>
      <c r="T87" s="15"/>
      <c r="U87" s="15"/>
      <c r="V87" s="15"/>
      <c r="W87" s="15"/>
      <c r="X87" s="14"/>
      <c r="Y87" s="14"/>
      <c r="Z87" s="28"/>
      <c r="AA87" s="14"/>
      <c r="AB87" s="14"/>
      <c r="AC87" s="14"/>
      <c r="AD87" s="14"/>
      <c r="AE87" s="14"/>
      <c r="AF87" s="29"/>
      <c r="AG87" s="29"/>
      <c r="AH87" s="29"/>
    </row>
  </sheetData>
  <mergeCells count="280">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J10:K10"/>
    <mergeCell ref="L10:M10"/>
    <mergeCell ref="A13:A23"/>
    <mergeCell ref="E13:F13"/>
    <mergeCell ref="J13:K13"/>
    <mergeCell ref="L13:M13"/>
    <mergeCell ref="E14:F14"/>
    <mergeCell ref="H21:M21"/>
    <mergeCell ref="H22:M22"/>
    <mergeCell ref="H24:I24"/>
    <mergeCell ref="J24:M24"/>
    <mergeCell ref="H25:I25"/>
    <mergeCell ref="J25:K25"/>
    <mergeCell ref="L25:M25"/>
    <mergeCell ref="E32:F32"/>
    <mergeCell ref="E33:F33"/>
    <mergeCell ref="E21:F22"/>
    <mergeCell ref="G21:G22"/>
    <mergeCell ref="E24:F24"/>
    <mergeCell ref="E25:F25"/>
    <mergeCell ref="E26:F26"/>
    <mergeCell ref="E31:F31"/>
    <mergeCell ref="E34:F34"/>
    <mergeCell ref="E37:F37"/>
    <mergeCell ref="E38:F38"/>
    <mergeCell ref="E39:F39"/>
    <mergeCell ref="G30:H30"/>
    <mergeCell ref="G31:I32"/>
    <mergeCell ref="E35:F35"/>
    <mergeCell ref="G35:I35"/>
    <mergeCell ref="E36:F36"/>
    <mergeCell ref="H36:I36"/>
    <mergeCell ref="H37:I37"/>
    <mergeCell ref="H38:I38"/>
    <mergeCell ref="H39:I39"/>
    <mergeCell ref="E40:F40"/>
    <mergeCell ref="H40:I40"/>
    <mergeCell ref="E41:F41"/>
    <mergeCell ref="H41:I41"/>
    <mergeCell ref="H42:I42"/>
    <mergeCell ref="G48:H48"/>
    <mergeCell ref="G49:H50"/>
    <mergeCell ref="E50:F50"/>
    <mergeCell ref="E51:F51"/>
    <mergeCell ref="E52:F52"/>
    <mergeCell ref="E53:F53"/>
    <mergeCell ref="A58:A68"/>
    <mergeCell ref="C58:D58"/>
    <mergeCell ref="H54:I54"/>
    <mergeCell ref="G58:I58"/>
    <mergeCell ref="E42:F42"/>
    <mergeCell ref="E43:F44"/>
    <mergeCell ref="G43:G44"/>
    <mergeCell ref="A47:A57"/>
    <mergeCell ref="G47:H47"/>
    <mergeCell ref="I47:I48"/>
    <mergeCell ref="E49:F49"/>
    <mergeCell ref="J52:K52"/>
    <mergeCell ref="J53:K53"/>
    <mergeCell ref="J54:K54"/>
    <mergeCell ref="L53:M53"/>
    <mergeCell ref="L54:M54"/>
    <mergeCell ref="J58:M58"/>
    <mergeCell ref="K67:L67"/>
    <mergeCell ref="K68:L68"/>
    <mergeCell ref="K69:L69"/>
    <mergeCell ref="J47:K47"/>
    <mergeCell ref="L47:M47"/>
    <mergeCell ref="J48:K48"/>
    <mergeCell ref="L48:M48"/>
    <mergeCell ref="J51:K51"/>
    <mergeCell ref="L51:M51"/>
    <mergeCell ref="L52:M52"/>
    <mergeCell ref="E19:F19"/>
    <mergeCell ref="H19:I19"/>
    <mergeCell ref="J19:K19"/>
    <mergeCell ref="L19:M19"/>
    <mergeCell ref="E20:F20"/>
    <mergeCell ref="H20:I20"/>
    <mergeCell ref="J20:K20"/>
    <mergeCell ref="L20:M20"/>
    <mergeCell ref="A24:A34"/>
    <mergeCell ref="A35:A45"/>
    <mergeCell ref="J30:K30"/>
    <mergeCell ref="J31:M31"/>
    <mergeCell ref="J32:M32"/>
    <mergeCell ref="J35:K35"/>
    <mergeCell ref="J36:K36"/>
    <mergeCell ref="J37:K37"/>
    <mergeCell ref="J38:K38"/>
    <mergeCell ref="L39:M39"/>
    <mergeCell ref="L40:M40"/>
    <mergeCell ref="L41:M41"/>
    <mergeCell ref="L42:M42"/>
    <mergeCell ref="H43:J43"/>
    <mergeCell ref="K43:L44"/>
    <mergeCell ref="H44:J44"/>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T15:V15"/>
    <mergeCell ref="T16:V16"/>
    <mergeCell ref="E10:F10"/>
    <mergeCell ref="H10:I10"/>
    <mergeCell ref="S10:V10"/>
    <mergeCell ref="T11:V11"/>
    <mergeCell ref="U13:V13"/>
    <mergeCell ref="U14:V14"/>
    <mergeCell ref="N16:O16"/>
    <mergeCell ref="P7:Q7"/>
    <mergeCell ref="R7:S7"/>
    <mergeCell ref="H8:I8"/>
    <mergeCell ref="J8:K8"/>
    <mergeCell ref="L8:M8"/>
    <mergeCell ref="N8:O8"/>
    <mergeCell ref="P8:Q8"/>
    <mergeCell ref="R8:S8"/>
    <mergeCell ref="H9:I9"/>
    <mergeCell ref="J9:K9"/>
    <mergeCell ref="L9:M9"/>
    <mergeCell ref="N9:O9"/>
    <mergeCell ref="N22:O22"/>
    <mergeCell ref="P22:S22"/>
    <mergeCell ref="J29:K29"/>
    <mergeCell ref="L29:M29"/>
    <mergeCell ref="G33:Q34"/>
    <mergeCell ref="N35:O35"/>
    <mergeCell ref="G26:I26"/>
    <mergeCell ref="J26:K26"/>
    <mergeCell ref="L26:M26"/>
    <mergeCell ref="G27:H27"/>
    <mergeCell ref="K27:L28"/>
    <mergeCell ref="G28:H28"/>
    <mergeCell ref="G29:H29"/>
    <mergeCell ref="T38:V38"/>
    <mergeCell ref="T39:V39"/>
    <mergeCell ref="T40:V40"/>
    <mergeCell ref="T41:V41"/>
    <mergeCell ref="T42:V42"/>
    <mergeCell ref="T47:V47"/>
    <mergeCell ref="T48:V51"/>
    <mergeCell ref="N38:Q38"/>
    <mergeCell ref="P39:Q39"/>
    <mergeCell ref="P40:Q40"/>
    <mergeCell ref="N41:O41"/>
    <mergeCell ref="P41:Q41"/>
    <mergeCell ref="R42:S42"/>
    <mergeCell ref="G46:Q46"/>
    <mergeCell ref="N50:Q50"/>
    <mergeCell ref="P51:Q51"/>
    <mergeCell ref="P52:Q52"/>
    <mergeCell ref="N53:O53"/>
    <mergeCell ref="E55:V56"/>
    <mergeCell ref="R52:S52"/>
    <mergeCell ref="P58:S59"/>
    <mergeCell ref="X58:Y58"/>
    <mergeCell ref="P42:Q42"/>
    <mergeCell ref="P47:Q47"/>
    <mergeCell ref="R47:S47"/>
    <mergeCell ref="P48:Q48"/>
    <mergeCell ref="R48:S48"/>
    <mergeCell ref="N49:Q49"/>
    <mergeCell ref="R49:S51"/>
    <mergeCell ref="N17:O17"/>
    <mergeCell ref="T17:V17"/>
    <mergeCell ref="N18:O18"/>
    <mergeCell ref="T18:V18"/>
    <mergeCell ref="N19:O19"/>
    <mergeCell ref="P19:Q19"/>
    <mergeCell ref="T19:V19"/>
    <mergeCell ref="N20:O20"/>
    <mergeCell ref="P20:Q20"/>
    <mergeCell ref="T20:V20"/>
    <mergeCell ref="N21:O21"/>
    <mergeCell ref="P21:Q21"/>
    <mergeCell ref="R21:S21"/>
    <mergeCell ref="T21:V21"/>
    <mergeCell ref="T22:V22"/>
    <mergeCell ref="R23:V23"/>
    <mergeCell ref="N24:O24"/>
    <mergeCell ref="P24:S24"/>
    <mergeCell ref="T24:V24"/>
    <mergeCell ref="N25:O25"/>
    <mergeCell ref="P25:Q25"/>
    <mergeCell ref="N26:O26"/>
    <mergeCell ref="R26:S26"/>
    <mergeCell ref="T26:V26"/>
    <mergeCell ref="N27:O27"/>
    <mergeCell ref="P27:Q27"/>
    <mergeCell ref="T27:V27"/>
    <mergeCell ref="N28:O28"/>
    <mergeCell ref="N29:O29"/>
    <mergeCell ref="N30:O30"/>
    <mergeCell ref="N31:O31"/>
    <mergeCell ref="P31:Q32"/>
    <mergeCell ref="N32:O32"/>
    <mergeCell ref="N36:O36"/>
    <mergeCell ref="N37:Q37"/>
    <mergeCell ref="R25:S25"/>
    <mergeCell ref="T25:V25"/>
    <mergeCell ref="T28:V32"/>
    <mergeCell ref="R29:R30"/>
    <mergeCell ref="T35:V35"/>
    <mergeCell ref="T36:V36"/>
    <mergeCell ref="T37:V37"/>
    <mergeCell ref="N42:O42"/>
    <mergeCell ref="N43:O43"/>
    <mergeCell ref="Q43:V44"/>
    <mergeCell ref="N44:O44"/>
  </mergeCells>
  <conditionalFormatting sqref="E1:T87 U1:U31 V32:V34 U35:U87 V51:V53 W52">
    <cfRule type="containsText" dxfId="0" priority="1" operator="containsText" text="Физика">
      <formula>NOT(ISERROR(SEARCH(("Физика"),(E1))))</formula>
    </cfRule>
  </conditionalFormatting>
  <conditionalFormatting sqref="N53:O53 E55:W56">
    <cfRule type="containsText" dxfId="1" priority="2" operator="containsText" text="Шерашова">
      <formula>NOT(ISERROR(SEARCH(("Шерашова"),(N53))))</formula>
    </cfRule>
  </conditionalFormatting>
  <conditionalFormatting sqref="E2:T54 U2:U31 V32:V34 U35:U54 V51:V53 W52 O58:O59 P58 K62:L69">
    <cfRule type="containsText" dxfId="2" priority="3" operator="containsText" text="Шерашова">
      <formula>NOT(ISERROR(SEARCH(("Шерашова"),(E2))))</formula>
    </cfRule>
  </conditionalFormatting>
  <conditionalFormatting sqref="E2:T54 U2:U31 V32:V34 U35:U54 V51:V53 W52 O58:O59 P58 K62:L69">
    <cfRule type="containsText" dxfId="3" priority="4" operator="containsText" text="Англ">
      <formula>NOT(ISERROR(SEARCH(("Англ"),(E2))))</formula>
    </cfRule>
  </conditionalFormatting>
  <conditionalFormatting sqref="E2:T54 U2:U31 V32:V34 U35:U54 V51:V53 W52 O58:O59 P58 K62:L69">
    <cfRule type="containsText" dxfId="4" priority="5" operator="containsText" text="Театр">
      <formula>NOT(ISERROR(SEARCH(("Театр"),(E2))))</formula>
    </cfRule>
  </conditionalFormatting>
  <conditionalFormatting sqref="E2:T54 U2:U31 V32:V34 U35:U54 V51:V53 W52 O58:O59 P58 K62:L69">
    <cfRule type="containsText" dxfId="5" priority="6" operator="containsText" text="Колечкин">
      <formula>NOT(ISERROR(SEARCH(("Колечкин"),(E2))))</formula>
    </cfRule>
  </conditionalFormatting>
  <conditionalFormatting sqref="E2:G73 H2:H74 I2:W73">
    <cfRule type="containsText" dxfId="0" priority="7" operator="containsText" text="Репнев">
      <formula>NOT(ISERROR(SEARCH(("Репнев"),(E2))))</formula>
    </cfRule>
  </conditionalFormatting>
  <conditionalFormatting sqref="E2:G66 H2:H74 I2:J66 K2:L69 M2:W66">
    <cfRule type="containsText" dxfId="6" priority="8" operator="containsText" text="Рогацкина">
      <formula>NOT(ISERROR(SEARCH(("Рогацкина"),(E2))))</formula>
    </cfRule>
  </conditionalFormatting>
  <conditionalFormatting sqref="E2:G68 H2:H74 I2:J68 K2:L69 M2:W68">
    <cfRule type="containsText" dxfId="7" priority="9" operator="containsText" text="Белоусова">
      <formula>NOT(ISERROR(SEARCH(("Белоусова"),(E2))))</formula>
    </cfRule>
  </conditionalFormatting>
  <conditionalFormatting sqref="E2:G61 H2:H74 I2:J66 K2:L69 M2:M66 N2:W61">
    <cfRule type="containsText" dxfId="8" priority="10" operator="containsText" text="Караванова">
      <formula>NOT(ISERROR(SEARCH(("Караванова"),(E2))))</formula>
    </cfRule>
  </conditionalFormatting>
  <conditionalFormatting sqref="E2:G64 H2:H74 I2:J66 K2:L69 M2:M66 N2:W64">
    <cfRule type="containsText" dxfId="9" priority="11" operator="containsText" text="Дронзик">
      <formula>NOT(ISERROR(SEARCH(("Дронзик"),(E2))))</formula>
    </cfRule>
  </conditionalFormatting>
  <conditionalFormatting sqref="E2:G65 H2:H74 I2:J66 K2:L69 M2:M66 N2:W65">
    <cfRule type="containsText" dxfId="10" priority="12" operator="containsText" text="Старунова">
      <formula>NOT(ISERROR(SEARCH(("Старунова"),(E2))))</formula>
    </cfRule>
  </conditionalFormatting>
  <conditionalFormatting sqref="E2:G63 H2:H74 I2:J66 K2:L69 M2:M66 N2:W63">
    <cfRule type="containsText" dxfId="11" priority="13" operator="containsText" text="Харитонов">
      <formula>NOT(ISERROR(SEARCH(("Харитонов"),(E2))))</formula>
    </cfRule>
  </conditionalFormatting>
  <conditionalFormatting sqref="E2:G68 H2:H74 I2:J68 K2:L69 M2:W68">
    <cfRule type="containsText" dxfId="12" priority="14" operator="containsText" text="Хуснутдинов">
      <formula>NOT(ISERROR(SEARCH(("Хуснутдинов"),(E2))))</formula>
    </cfRule>
  </conditionalFormatting>
  <conditionalFormatting sqref="E2:G67 H2:H74 I2:J67 K2:L69 M2:W67">
    <cfRule type="containsText" dxfId="13" priority="15" operator="containsText" text="Решетников">
      <formula>NOT(ISERROR(SEARCH(("Решетников"),(E2))))</formula>
    </cfRule>
  </conditionalFormatting>
  <conditionalFormatting sqref="E2:G70 H2:H74 I2:W70">
    <cfRule type="containsText" dxfId="14" priority="16" operator="containsText" text="Заводов">
      <formula>NOT(ISERROR(SEARCH(("Заводов"),(E2))))</formula>
    </cfRule>
  </conditionalFormatting>
  <conditionalFormatting sqref="E1:G67 H1:H74 I1:J67 K1:L69 M1:W67">
    <cfRule type="containsText" dxfId="15" priority="17" operator="containsText" text="Абрамов">
      <formula>NOT(ISERROR(SEARCH(("Абрамов"),(E1))))</formula>
    </cfRule>
  </conditionalFormatting>
  <conditionalFormatting sqref="E2:G68 H2:H74 I2:J68 K2:L69 M2:W68">
    <cfRule type="containsText" dxfId="16" priority="18" operator="containsText" text="Климов">
      <formula>NOT(ISERROR(SEARCH(("Климов"),(E2))))</formula>
    </cfRule>
  </conditionalFormatting>
  <conditionalFormatting sqref="E2:G62 H2:H74 I2:J66 K2:L69 M2:M66 N2:W62">
    <cfRule type="containsText" dxfId="17" priority="19" operator="containsText" text="Клейменов">
      <formula>NOT(ISERROR(SEARCH(("Клейменов"),(E2))))</formula>
    </cfRule>
  </conditionalFormatting>
  <conditionalFormatting sqref="E2:G69 H2:H74 I2:W69">
    <cfRule type="containsText" dxfId="18" priority="20" operator="containsText" text="Попович">
      <formula>NOT(ISERROR(SEARCH(("Попович"),(E2))))</formula>
    </cfRule>
  </conditionalFormatting>
  <conditionalFormatting sqref="E2:G69 H2:H74 I2:W69">
    <cfRule type="containsText" dxfId="19" priority="21" operator="containsText" text="Исмаилов">
      <formula>NOT(ISERROR(SEARCH(("Исмаилов"),(E2))))</formula>
    </cfRule>
  </conditionalFormatting>
  <conditionalFormatting sqref="E2:E20 F2:F12 G2:Q45 R2:S6 T2:V8 S10:S32 T10:V45 R11:R47 F15:F17 F19:F20 E24:F30 E32:E54 F32:F45 S35:S41 S43:S45 J47:K50 T48:T51 F49:F50 N49:N50 G51:H54 I51:I53 P51:P54 R52:S54 F53:F54 J53:J54 N53:N54 Q53:Q54 K54:M54 P58 K62:L69">
    <cfRule type="containsText" dxfId="20" priority="22" operator="containsText" text="Ларченко">
      <formula>NOT(ISERROR(SEARCH(("Ларченко"),(E2))))</formula>
    </cfRule>
  </conditionalFormatting>
  <conditionalFormatting sqref="E2:G66 H2:H74 I2:J66 K2:L69 M2:W66">
    <cfRule type="containsText" dxfId="21" priority="23" operator="containsText" text="Краснова">
      <formula>NOT(ISERROR(SEARCH(("Краснова"),(E2))))</formula>
    </cfRule>
  </conditionalFormatting>
  <conditionalFormatting sqref="E2:G66 H2:H74 I2:J66 K2:L69 M2:W66">
    <cfRule type="containsText" dxfId="22" priority="24" operator="containsText" text="Белоус">
      <formula>NOT(ISERROR(SEARCH(("Белоус"),(E2))))</formula>
    </cfRule>
  </conditionalFormatting>
  <conditionalFormatting sqref="E2:G66 H2:H74 I2:J66 K2:L69 M2:W66">
    <cfRule type="containsText" dxfId="23" priority="25" operator="containsText" text="Куницын">
      <formula>NOT(ISERROR(SEARCH(("Куницын"),(E2))))</formula>
    </cfRule>
  </conditionalFormatting>
  <dataValidations>
    <dataValidation type="custom" allowBlank="1" showDropDown="1" sqref="R8:R10">
      <formula1>IF(COUNTA(filter($E53:$W53,ARRAYFORMULA(ISERROR(FIND(join(",",filter(split($H$84,","),ARRAYFORMULA(ISERROR(FIND(split($H$84,","),R8)))=FALSE)),$E53:$W53))=FALSE)))&gt;1,FALSE,TRUE)</formula1>
    </dataValidation>
    <dataValidation type="custom" allowBlank="1" showDropDown="1" sqref="P13:P16 G27:G28 M27:M28 J29 N31:N32 E35:E36 J35:J36 N35:N36 E41:E42 P41:P42 T39:T42 R46:S46 R47 T48 K49:K50 P51:P52 E51:E53 Q53:Q54">
      <formula1>IF(COUNTA(filter(#REF!,ARRAYFORMULA(ISERROR(FIND(join(",",filter(split($H$84,","),ARRAYFORMULA(ISERROR(FIND(split($H$84,","),E13)))=FALSE)),#REF!))=FALSE)))&gt;1,FALSE,TRUE)</formula1>
    </dataValidation>
    <dataValidation type="custom" allowBlank="1" showDropDown="1" sqref="H4:I4">
      <formula1>IF(COUNTA(filter($E7:$W7,ARRAYFORMULA(ISERROR(FIND(join(",",filter(split($H$84,","),ARRAYFORMULA(ISERROR(FIND(split($H$84,","),#REF!)))=FALSE)),$E7:$W7))=FALSE)))&gt;1,FALSE,TRUE)</formula1>
    </dataValidation>
    <dataValidation type="custom" allowBlank="1" showDropDown="1" sqref="E3:F3 G4 J5:J6 E15:E16 E46:E48 J49:J50 G51:G53 E54">
      <formula1>IF(COUNTA(filter($E3:$W3,ARRAYFORMULA(ISERROR(FIND(join(",",filter(split($H$84,","),ARRAYFORMULA(ISERROR(FIND(split($H$84,","),#REF!)))=FALSE)),$E3:$W3))=FALSE)))&gt;1,FALSE,TRUE)</formula1>
    </dataValidation>
    <dataValidation type="custom" allowBlank="1" showDropDown="1" sqref="F4:F5 E6:E7 F8 H7:H8 E9 G24:H24 E24:E26 G25:G26 N28 R27:S28 G35 H36 G37:G38 E49:E50 N53:N54">
      <formula1>IF(COUNTA(filter($E5:$W5,ARRAYFORMULA(ISERROR(FIND(join(",",filter(split($H$84,","),ARRAYFORMULA(ISERROR(FIND(split($H$84,","),E4)))=FALSE)),$E5:$W5))=FALSE)))&gt;1,FALSE,TRUE)</formula1>
    </dataValidation>
    <dataValidation type="custom" allowBlank="1" showDropDown="1" sqref="H9 G10 H17:H18 G19:G20 I29:I30 L51 J51:J52 R54">
      <formula1>IF(COUNTA(filter($E5:$W5,ARRAYFORMULA(ISERROR(FIND(join(",",filter(split($H$84,","),ARRAYFORMULA(ISERROR(FIND(split($H$84,","),G9)))=FALSE)),$E5:$W5))=FALSE)))&gt;1,FALSE,TRUE)</formula1>
    </dataValidation>
    <dataValidation type="custom" allowBlank="1" showDropDown="1" sqref="N8">
      <formula1>IF(COUNTA(filter($E1:$W1,ARRAYFORMULA(ISERROR(FIND(join(",",filter(split($H$84,","),ARRAYFORMULA(ISERROR(FIND(split($H$84,","),#REF!)))=FALSE)),$E1:$W1))=FALSE)))&gt;1,FALSE,TRUE)</formula1>
    </dataValidation>
    <dataValidation type="custom" allowBlank="1" showDropDown="1" sqref="T11 W11">
      <formula1>IF(COUNTA(filter($F11:$W11,ARRAYFORMULA(ISERROR(FIND(join(",",filter(split($H$84,","),ARRAYFORMULA(ISERROR(FIND(split($H$84,","),T11)))=FALSE)),$F11:$W11))=FALSE)))&gt;1,FALSE,TRUE)</formula1>
    </dataValidation>
    <dataValidation type="custom" allowBlank="1" showDropDown="1" sqref="R3:R4">
      <formula1>IF(COUNTA(filter($E17:$W17,ARRAYFORMULA(ISERROR(FIND(join(",",filter(split($H$84,","),ARRAYFORMULA(ISERROR(FIND(split($H$84,","),R3)))=FALSE)),$E17:$W17))=FALSE)))&gt;1,FALSE,TRUE)</formula1>
    </dataValidation>
    <dataValidation type="custom" allowBlank="1" showDropDown="1" sqref="K67">
      <formula1>IF(COUNTA(filter($E28:$W28,ARRAYFORMULA(ISERROR(FIND(join(",",filter(split($H$84,","),ARRAYFORMULA(ISERROR(FIND(split($H$84,","),K67)))=FALSE)),$E28:$W28))=FALSE)))&gt;1,FALSE,TRUE)</formula1>
    </dataValidation>
    <dataValidation type="custom" allowBlank="1" showDropDown="1" sqref="T13:U14 T15:T16 P24 J26">
      <formula1>IF(COUNTA(filter($E17:$W17,ARRAYFORMULA(ISERROR(FIND(join(",",filter(split($H$84,","),ARRAYFORMULA(ISERROR(FIND(split($H$84,","),J13)))=FALSE)),$E17:$W17))=FALSE)))&gt;1,FALSE,TRUE)</formula1>
    </dataValidation>
    <dataValidation type="custom" allowBlank="1" showDropDown="1" sqref="E4:E5 F6:F7 L25 F27:F28 E29:E30">
      <formula1>IF(COUNTA(filter($E7:$W7,ARRAYFORMULA(ISERROR(FIND(join(",",filter(split($H$84,","),ARRAYFORMULA(ISERROR(FIND(split($H$84,","),E4)))=FALSE)),$E7:$W7))=FALSE)))&gt;1,FALSE,TRUE)</formula1>
    </dataValidation>
    <dataValidation type="custom" allowBlank="1" showDropDown="1" sqref="N2 R2 T2 G2:G3 J2:J3 L4 P2:P4 G5:H6 K5:M6 T5:T6 L7:L8 P7:P8 T7:U8 G7:G9 H10 J9:J10 N9:N10 Q9:Q10 S10 W2:W10 E12:W12 E13:E14 H13:H14 L13:L14 E17:E18 G15:G18 S17:S18 H19:H20 J15:J20 L17:L20 G21 R19:R21 T21 H22 G23:R23 J24 P25 R25 Q26 P27 E27:E28 I27:I28 Q28 T28 F29:G30 P29:Q30 W13:W32 R33:R34 T33:W34 G36 L35:M36 P35:Q36 H37:H38 J37:J38 L37:N38 E37:E40 G39:G40 J39:K40 N39:P40 R37:S41 J41:L42 E43 G41:H43 K43 Q43 H44 M43:N44 W35:W44 E45:W45 I47 F46:G48 L47:L48 N47:P48 G49 L49:M50 L52 N51:O52 I51:I53 P53 F54:H54 O54:P54 W46:W56 E57:W57 E58:G58 J58 N58:O58 E59:O61 T58:W61 E62:W66 K68:K69 H67:H74">
      <formula1>IF(COUNTA(filter($E2:$W2,ARRAYFORMULA(ISERROR(FIND(join(",",filter(split($H$84,","),ARRAYFORMULA(ISERROR(FIND(split($H$84,","),E2)))=FALSE)),$E2:$W2))=FALSE)))&gt;1,FALSE,TRUE)</formula1>
    </dataValidation>
    <dataValidation type="custom" allowBlank="1" showDropDown="1" sqref="N3:N4 P5:P6 J7:J8 L9:L10">
      <formula1>IF(COUNTA(filter($E35:$W35,ARRAYFORMULA(ISERROR(FIND(join(",",filter(split($H$84,","),ARRAYFORMULA(ISERROR(FIND(split($H$84,","),J3)))=FALSE)),$E35:$W35))=FALSE)))&gt;1,FALSE,TRUE)</formula1>
    </dataValidation>
    <dataValidation type="custom" allowBlank="1" showDropDown="1" sqref="N22">
      <formula1>IF(COUNTA(filter($E34:$W34,ARRAYFORMULA(ISERROR(FIND(join(",",filter(split($H$84,","),ARRAYFORMULA(ISERROR(FIND(split($H$84,","),N22)))=FALSE)),$E34:$W34))=FALSE)))&gt;1,FALSE,TRUE)</formula1>
    </dataValidation>
    <dataValidation type="custom" allowBlank="1" showDropDown="1" sqref="R13:R14">
      <formula1>IF(COUNTA(filter($E3:$W3,ARRAYFORMULA(ISERROR(FIND(join(",",filter(split($H$84,","),ARRAYFORMULA(ISERROR(FIND(split($H$84,","),R13)))=FALSE)),$E3:$W3))=FALSE)))&gt;1,FALSE,TRUE)</formula1>
    </dataValidation>
    <dataValidation type="custom" allowBlank="1" showDropDown="1" sqref="T19:T20 T46:V46 T47">
      <formula1>IF(COUNTA(filter($E25:$W25,ARRAYFORMULA(ISERROR(FIND(join(",",filter(split($H$84,","),ARRAYFORMULA(ISERROR(FIND(split($H$84,","),T19)))=FALSE)),$E25:$W25))=FALSE)))&gt;1,FALSE,TRUE)</formula1>
    </dataValidation>
    <dataValidation type="custom" allowBlank="1" showDropDown="1" sqref="H39:H40">
      <formula1>IF(COUNTA(filter($E72:$W72,ARRAYFORMULA(ISERROR(FIND(join(",",filter(split($H$84,","),ARRAYFORMULA(ISERROR(FIND(split($H$84,","),H39)))=FALSE)),$E72:$W72))=FALSE)))&gt;1,FALSE,TRUE)</formula1>
    </dataValidation>
    <dataValidation type="custom" allowBlank="1" showDropDown="1" sqref="H51:H53">
      <formula1>IF(COUNTA(filter($E1:$W1,ARRAYFORMULA(ISERROR(FIND(join(",",filter(split($H$84,","),ARRAYFORMULA(ISERROR(FIND(split($H$84,","),H51)))=FALSE)),$E1:$W1))=FALSE)))&gt;1,FALSE,TRUE)</formula1>
    </dataValidation>
    <dataValidation type="custom" allowBlank="1" showDropDown="1" sqref="P31">
      <formula1>IF(COUNTA(filter($E40:$W40,ARRAYFORMULA(ISERROR(FIND(join(",",filter(split($H$84,","),ARRAYFORMULA(ISERROR(FIND(split($H$84,","),P31)))=FALSE)),$E40:$W40))=FALSE)))&gt;1,FALSE,TRUE)</formula1>
    </dataValidation>
    <dataValidation type="custom" allowBlank="1" showDropDown="1" sqref="P43:P44">
      <formula1>IF(COUNTA(filter($E53:$W53,ARRAYFORMULA(ISERROR(FIND(join(",",filter(split($H$84,","),ARRAYFORMULA(ISERROR(FIND(split($H$84,","),P43)))=FALSE)),$E53:$W53))=FALSE)))&gt;1,FALSE,TRUE)</formula1>
    </dataValidation>
    <dataValidation type="custom" allowBlank="1" showDropDown="1" sqref="J13:J14 L15:L16 N17:N18 P19:P20">
      <formula1>IF(COUNTA(filter($E47:$W47,ARRAYFORMULA(ISERROR(FIND(join(",",filter(split($H$84,","),ARRAYFORMULA(ISERROR(FIND(split($H$84,","),J13)))=FALSE)),$E47:$W47))=FALSE)))&gt;1,FALSE,TRUE)</formula1>
    </dataValidation>
    <dataValidation type="custom" allowBlank="1" showDropDown="1" sqref="J25">
      <formula1>IF(COUNTA(filter($E30:$W30,ARRAYFORMULA(ISERROR(FIND(join(",",filter(split($H$84,","),ARRAYFORMULA(ISERROR(FIND(split($H$84,","),J25)))=FALSE)),$E30:$W30))=FALSE)))&gt;1,FALSE,TRUE)</formula1>
    </dataValidation>
    <dataValidation type="custom" allowBlank="1" showDropDown="1" sqref="N5:N6 N13:N14 N25:N26 T24:T27 T37:T38 N41:N42">
      <formula1>IF(COUNTA(filter($E7:$W7,ARRAYFORMULA(ISERROR(FIND(join(",",filter(split($H$84,","),ARRAYFORMULA(ISERROR(FIND(split($H$84,","),N5)))=FALSE)),$E7:$W7))=FALSE)))&gt;1,FALSE,TRUE)</formula1>
    </dataValidation>
    <dataValidation type="custom" allowBlank="1" showDropDown="1" sqref="N21">
      <formula1>IF(COUNTA(filter($E32:$W32,ARRAYFORMULA(ISERROR(FIND(join(",",filter(split($H$84,","),ARRAYFORMULA(ISERROR(FIND(split($H$84,","),N21)))=FALSE)),$E32:$W32))=FALSE)))&gt;1,FALSE,TRUE)</formula1>
    </dataValidation>
    <dataValidation type="custom" allowBlank="1" showDropDown="1" sqref="T17:T18">
      <formula1>IF(COUNTA(filter($E25:$W25,ARRAYFORMULA(ISERROR(FIND(join(",",filter(split($H$84,","),ARRAYFORMULA(ISERROR(FIND(split($H$84,","),T17)))=FALSE)),$E25:$W25))=FALSE)))&gt;1,FALSE,TRUE)</formula1>
    </dataValidation>
    <dataValidation type="custom" allowBlank="1" showDropDown="1" sqref="N7">
      <formula1>IF(COUNTA(filter(#REF!,ARRAYFORMULA(ISERROR(FIND(join(",",filter(split($H$84,","),ARRAYFORMULA(ISERROR(FIND(split($H$84,","),#REF!)))=FALSE)),#REF!))=FALSE)))&gt;1,FALSE,TRUE)</formula1>
    </dataValidation>
    <dataValidation type="custom" allowBlank="1" showDropDown="1" sqref="P26 P28 S29:S30 S32 R48:R49 T52:V53 P58">
      <formula1>IF(COUNTA(filter($E25:$W25,ARRAYFORMULA(ISERROR(FIND(join(",",filter(split($H$84,","),ARRAYFORMULA(ISERROR(FIND(split($H$84,","),P26)))=FALSE)),$E25:$W25))=FALSE)))&gt;1,FALSE,TRUE)</formula1>
    </dataValidation>
    <dataValidation type="custom" allowBlank="1" showDropDown="1" sqref="T35:T36">
      <formula1>IF(COUNTA(filter($E13:$W13,ARRAYFORMULA(ISERROR(FIND(join(",",filter(split($H$84,","),ARRAYFORMULA(ISERROR(FIND(split($H$84,","),T35)))=FALSE)),$E13:$W13))=FALSE)))&gt;1,FALSE,TRUE)</formula1>
    </dataValidation>
    <dataValidation type="custom" allowBlank="1" showDropDown="1" sqref="S53:S54">
      <formula1>IF(COUNTA(filter($E9:$W9,ARRAYFORMULA(ISERROR(FIND(join(",",filter(split($H$84,","),ARRAYFORMULA(ISERROR(FIND(split($H$84,","),S53)))=FALSE)),$E9:$W9))=FALSE)))&gt;1,FALSE,TRUE)</formula1>
    </dataValidation>
    <dataValidation type="custom" allowBlank="1" showDropDown="1" sqref="G31 E32:E34">
      <formula1>IF(COUNTA(filter($E31:$W31,ARRAYFORMULA(ISERROR(FIND(join(",",filter(split($H$83,","),ARRAYFORMULA(ISERROR(FIND(split($H$83,","),#REF!)))=FALSE)),$E31:$W31))=FALSE)))&gt;1,FALSE,TRUE)</formula1>
    </dataValidation>
    <dataValidation type="custom" allowBlank="1" showDropDown="1" sqref="E2 R29">
      <formula1>IF(COUNTA(filter($E2:$W2,ARRAYFORMULA(ISERROR(FIND(join(",",filter(split($H$83,","),ARRAYFORMULA(ISERROR(FIND(split($H$83,","),E2)))=FALSE)),$E2:$W2))=FALSE)))&gt;1,FALSE,TRUE)</formula1>
    </dataValidation>
    <dataValidation type="custom" allowBlank="1" showDropDown="1" sqref="P9:P10 R15:S16 P17:Q18 N19:N20 N24 N29:N30 J53:J54 L53:L54">
      <formula1>IF(COUNTA(filter($E7:$W7,ARRAYFORMULA(ISERROR(FIND(join(",",filter(split($H$84,","),ARRAYFORMULA(ISERROR(FIND(split($H$84,","),J9)))=FALSE)),$E7:$W7))=FALSE)))&gt;1,FALSE,TRUE)</formula1>
    </dataValidation>
    <dataValidation type="custom" allowBlank="1" showDropDown="1" sqref="J31:J32 E55">
      <formula1>IF(COUNTA(filter($E31:$W31,ARRAYFORMULA(ISERROR(FIND(join(",",filter(split($H$85,","),ARRAYFORMULA(ISERROR(FIND(split($H$85,","),E31)))=FALSE)),$E31:$W31))=FALSE)))&gt;1,FALSE,TRUE)</formula1>
    </dataValidation>
    <dataValidation type="custom" allowBlank="1" showDropDown="1" sqref="T3:T4">
      <formula1>IF(COUNTA(filter($E47:$W47,ARRAYFORMULA(ISERROR(FIND(join(",",filter(split($H$84,","),ARRAYFORMULA(ISERROR(FIND(split($H$84,","),T3)))=FALSE)),$E47:$W47))=FALSE)))&gt;1,FALSE,TRUE)</formula1>
    </dataValidation>
    <dataValidation type="custom" allowBlank="1" showDropDown="1" sqref="S3:S4">
      <formula1>IF(COUNTA(filter($E26:$W26,ARRAYFORMULA(ISERROR(FIND(join(",",filter(split($H$84,","),ARRAYFORMULA(ISERROR(FIND(split($H$84,","),S3)))=FALSE)),$E26:$W26))=FALSE)))&gt;1,FALSE,TRUE)</formula1>
    </dataValidation>
    <dataValidation type="custom" allowBlank="1" showDropDown="1" sqref="L39:L40 J47:J48">
      <formula1>IF(COUNTA(filter($E1:$W1,ARRAYFORMULA(ISERROR(FIND(join(",",filter(split($H$84,","),ARRAYFORMULA(ISERROR(FIND(split($H$84,","),J39)))=FALSE)),$E1:$W1))=FALSE)))&gt;1,FALSE,TRUE)</formula1>
    </dataValidation>
  </dataValidation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689">
        <v>45061.0</v>
      </c>
      <c r="B2" s="19">
        <v>1.0</v>
      </c>
      <c r="C2" s="20" t="s">
        <v>12</v>
      </c>
      <c r="D2" s="20" t="s">
        <v>13</v>
      </c>
      <c r="E2" s="21" t="s">
        <v>11585</v>
      </c>
      <c r="F2" s="22"/>
      <c r="G2" s="23" t="s">
        <v>11586</v>
      </c>
      <c r="H2" s="24"/>
      <c r="I2" s="25"/>
      <c r="J2" s="21" t="s">
        <v>11587</v>
      </c>
      <c r="K2" s="24"/>
      <c r="L2" s="24"/>
      <c r="M2" s="25"/>
      <c r="N2" s="21" t="s">
        <v>11588</v>
      </c>
      <c r="O2" s="25"/>
      <c r="P2" s="21" t="s">
        <v>11589</v>
      </c>
      <c r="Q2" s="25"/>
      <c r="R2" s="21" t="s">
        <v>11590</v>
      </c>
      <c r="S2" s="25"/>
      <c r="T2" s="21" t="s">
        <v>11591</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11592</v>
      </c>
      <c r="F3" s="34" t="s">
        <v>11593</v>
      </c>
      <c r="G3" s="35" t="s">
        <v>25</v>
      </c>
      <c r="H3" s="36"/>
      <c r="I3" s="13"/>
      <c r="J3" s="37" t="s">
        <v>11594</v>
      </c>
      <c r="K3" s="13"/>
      <c r="L3" s="38" t="s">
        <v>11595</v>
      </c>
      <c r="M3" s="13"/>
      <c r="N3" s="37" t="s">
        <v>11596</v>
      </c>
      <c r="O3" s="13"/>
      <c r="P3" s="37" t="s">
        <v>11597</v>
      </c>
      <c r="Q3" s="13"/>
      <c r="R3" s="39" t="s">
        <v>11598</v>
      </c>
      <c r="S3" s="40" t="s">
        <v>11599</v>
      </c>
      <c r="T3" s="37" t="s">
        <v>11600</v>
      </c>
      <c r="U3" s="36"/>
      <c r="V3" s="41"/>
      <c r="W3" s="26"/>
      <c r="X3" s="42" t="s">
        <v>21</v>
      </c>
      <c r="Y3" s="42" t="s">
        <v>22</v>
      </c>
      <c r="Z3" s="28"/>
      <c r="AA3" s="14"/>
      <c r="AB3" s="15" t="str">
        <f>IFERROR(__xludf.DUMMYFUNCTION("join("","",filter(split($H$84,"",""),ARRAYFORMULA(ISERROR(FIND(split($H$84,"",""),CONCATENATE(E3:V3))))=TRUE))"),"201,405,406,408,410,АЗ")</f>
        <v>201,405,406,408,410,АЗ</v>
      </c>
      <c r="AC3" s="14"/>
      <c r="AD3" s="14"/>
      <c r="AE3" s="14"/>
      <c r="AF3" s="29"/>
      <c r="AG3" s="29"/>
      <c r="AH3" s="29"/>
    </row>
    <row r="4" ht="40.5" hidden="1" customHeight="1">
      <c r="A4" s="30"/>
      <c r="B4" s="31">
        <v>3.0</v>
      </c>
      <c r="C4" s="32" t="s">
        <v>33</v>
      </c>
      <c r="D4" s="32" t="s">
        <v>34</v>
      </c>
      <c r="E4" s="33" t="s">
        <v>11601</v>
      </c>
      <c r="F4" s="39" t="s">
        <v>11602</v>
      </c>
      <c r="G4" s="43" t="s">
        <v>11603</v>
      </c>
      <c r="H4" s="44" t="s">
        <v>11604</v>
      </c>
      <c r="I4" s="45" t="s">
        <v>11605</v>
      </c>
      <c r="J4" s="46" t="s">
        <v>11606</v>
      </c>
      <c r="K4" s="13"/>
      <c r="L4" s="45" t="s">
        <v>11607</v>
      </c>
      <c r="M4" s="13"/>
      <c r="N4" s="37" t="s">
        <v>11608</v>
      </c>
      <c r="O4" s="13"/>
      <c r="P4" s="37" t="s">
        <v>11609</v>
      </c>
      <c r="Q4" s="13"/>
      <c r="R4" s="39" t="s">
        <v>11610</v>
      </c>
      <c r="S4" s="40" t="s">
        <v>11611</v>
      </c>
      <c r="T4" s="37" t="s">
        <v>46</v>
      </c>
      <c r="U4" s="36"/>
      <c r="V4" s="41"/>
      <c r="W4" s="26"/>
      <c r="X4" s="42" t="s">
        <v>33</v>
      </c>
      <c r="Y4" s="42" t="s">
        <v>34</v>
      </c>
      <c r="Z4" s="48" t="s">
        <v>47</v>
      </c>
      <c r="AA4" s="14"/>
      <c r="AB4" s="15" t="str">
        <f>IFERROR(__xludf.DUMMYFUNCTION("join("","",filter(split($H$84,"",""),ARRAYFORMULA(ISERROR(FIND(split($H$84,"",""),CONCATENATE(E4:V4))))=TRUE))"),"КЗ,201,202,404,406,АЗ")</f>
        <v>КЗ,201,202,404,406,АЗ</v>
      </c>
      <c r="AC4" s="14"/>
      <c r="AD4" s="14"/>
      <c r="AE4" s="14"/>
      <c r="AF4" s="29"/>
      <c r="AG4" s="29"/>
      <c r="AH4" s="29"/>
    </row>
    <row r="5" ht="40.5" hidden="1" customHeight="1">
      <c r="A5" s="30"/>
      <c r="B5" s="31">
        <v>4.0</v>
      </c>
      <c r="C5" s="32" t="s">
        <v>48</v>
      </c>
      <c r="D5" s="32" t="s">
        <v>49</v>
      </c>
      <c r="E5" s="33" t="s">
        <v>11612</v>
      </c>
      <c r="F5" s="39" t="s">
        <v>11613</v>
      </c>
      <c r="G5" s="43" t="s">
        <v>11614</v>
      </c>
      <c r="H5" s="45" t="s">
        <v>11615</v>
      </c>
      <c r="I5" s="13"/>
      <c r="J5" s="33" t="s">
        <v>11616</v>
      </c>
      <c r="K5" s="44" t="s">
        <v>11617</v>
      </c>
      <c r="L5" s="44" t="s">
        <v>11618</v>
      </c>
      <c r="M5" s="45" t="s">
        <v>11619</v>
      </c>
      <c r="N5" s="37" t="s">
        <v>10288</v>
      </c>
      <c r="O5" s="13"/>
      <c r="P5" s="37" t="s">
        <v>11620</v>
      </c>
      <c r="Q5" s="13"/>
      <c r="R5" s="51" t="s">
        <v>11621</v>
      </c>
      <c r="S5" s="13"/>
      <c r="T5" s="52" t="s">
        <v>11622</v>
      </c>
      <c r="U5" s="36"/>
      <c r="V5" s="41"/>
      <c r="W5" s="26"/>
      <c r="X5" s="42" t="s">
        <v>48</v>
      </c>
      <c r="Y5" s="42" t="s">
        <v>49</v>
      </c>
      <c r="Z5" s="48" t="s">
        <v>57</v>
      </c>
      <c r="AA5" s="14"/>
      <c r="AB5" s="15" t="str">
        <f>IFERROR(__xludf.DUMMYFUNCTION("join("","",filter(split($H$84,"",""),ARRAYFORMULA(ISERROR(FIND(split($H$84,"",""),CONCATENATE(E5:V5))))=TRUE))"),"СЗ,КЗ,202,206,406")</f>
        <v>СЗ,КЗ,202,206,406</v>
      </c>
      <c r="AC5" s="14"/>
      <c r="AD5" s="14"/>
      <c r="AE5" s="14"/>
      <c r="AF5" s="29"/>
      <c r="AG5" s="29"/>
      <c r="AH5" s="29"/>
    </row>
    <row r="6" ht="40.5" hidden="1" customHeight="1">
      <c r="A6" s="30"/>
      <c r="B6" s="31">
        <v>5.0</v>
      </c>
      <c r="C6" s="32" t="s">
        <v>58</v>
      </c>
      <c r="D6" s="53">
        <v>44847.0</v>
      </c>
      <c r="E6" s="39" t="s">
        <v>11623</v>
      </c>
      <c r="F6" s="34" t="s">
        <v>11624</v>
      </c>
      <c r="G6" s="43" t="s">
        <v>11625</v>
      </c>
      <c r="H6" s="45" t="s">
        <v>11626</v>
      </c>
      <c r="I6" s="13"/>
      <c r="J6" s="33" t="s">
        <v>11627</v>
      </c>
      <c r="K6" s="44" t="s">
        <v>64</v>
      </c>
      <c r="L6" s="44" t="s">
        <v>11628</v>
      </c>
      <c r="M6" s="45" t="s">
        <v>11629</v>
      </c>
      <c r="N6" s="37" t="s">
        <v>10277</v>
      </c>
      <c r="O6" s="13"/>
      <c r="P6" s="37" t="s">
        <v>11630</v>
      </c>
      <c r="Q6" s="13"/>
      <c r="R6" s="51" t="s">
        <v>11631</v>
      </c>
      <c r="S6" s="13"/>
      <c r="T6" s="52" t="s">
        <v>11632</v>
      </c>
      <c r="U6" s="36"/>
      <c r="V6" s="41"/>
      <c r="W6" s="26"/>
      <c r="X6" s="42" t="s">
        <v>58</v>
      </c>
      <c r="Y6" s="54">
        <v>44847.0</v>
      </c>
      <c r="Z6" s="48" t="s">
        <v>70</v>
      </c>
      <c r="AA6" s="14"/>
      <c r="AB6" s="15" t="str">
        <f>IFERROR(__xludf.DUMMYFUNCTION("join("","",filter(split($H$84,"",""),ARRAYFORMULA(ISERROR(FIND(split($H$84,"",""),CONCATENATE(E6:V6))))=TRUE))"),"СЗ,КЗ,202,206,406")</f>
        <v>СЗ,КЗ,202,206,406</v>
      </c>
      <c r="AC6" s="14"/>
      <c r="AD6" s="14"/>
      <c r="AE6" s="14"/>
      <c r="AF6" s="29"/>
      <c r="AG6" s="29"/>
      <c r="AH6" s="29"/>
    </row>
    <row r="7" ht="42.0" hidden="1" customHeight="1">
      <c r="A7" s="30"/>
      <c r="B7" s="31">
        <v>6.0</v>
      </c>
      <c r="C7" s="55" t="s">
        <v>71</v>
      </c>
      <c r="D7" s="56" t="s">
        <v>72</v>
      </c>
      <c r="E7" s="39" t="s">
        <v>11633</v>
      </c>
      <c r="F7" s="34" t="s">
        <v>11634</v>
      </c>
      <c r="G7" s="43" t="s">
        <v>11635</v>
      </c>
      <c r="H7" s="45" t="s">
        <v>11636</v>
      </c>
      <c r="I7" s="13"/>
      <c r="J7" s="37" t="s">
        <v>11637</v>
      </c>
      <c r="K7" s="13"/>
      <c r="L7" s="45" t="s">
        <v>11638</v>
      </c>
      <c r="M7" s="13"/>
      <c r="N7" s="37" t="s">
        <v>11639</v>
      </c>
      <c r="O7" s="13"/>
      <c r="P7" s="37" t="s">
        <v>11640</v>
      </c>
      <c r="Q7" s="13"/>
      <c r="R7" s="57" t="s">
        <v>11641</v>
      </c>
      <c r="T7" s="33" t="s">
        <v>11642</v>
      </c>
      <c r="U7" s="45" t="s">
        <v>11643</v>
      </c>
      <c r="V7" s="41"/>
      <c r="W7" s="26"/>
      <c r="X7" s="58" t="s">
        <v>71</v>
      </c>
      <c r="Y7" s="59" t="s">
        <v>72</v>
      </c>
      <c r="Z7" s="48" t="s">
        <v>84</v>
      </c>
      <c r="AA7" s="14"/>
      <c r="AB7" s="15" t="str">
        <f>IFERROR(__xludf.DUMMYFUNCTION("join("","",filter(split($H$84,"",""),ARRAYFORMULA(ISERROR(FIND(split($H$84,"",""),CONCATENATE(E7:V7))))=TRUE))"),"КЗ,202,206,403,406,АЗ")</f>
        <v>КЗ,202,206,403,406,АЗ</v>
      </c>
      <c r="AC7" s="14"/>
      <c r="AD7" s="14"/>
      <c r="AE7" s="14"/>
      <c r="AF7" s="29"/>
      <c r="AG7" s="29"/>
      <c r="AH7" s="29"/>
    </row>
    <row r="8" ht="42.0" hidden="1" customHeight="1">
      <c r="A8" s="30"/>
      <c r="B8" s="31">
        <v>7.0</v>
      </c>
      <c r="C8" s="32" t="s">
        <v>85</v>
      </c>
      <c r="D8" s="32" t="s">
        <v>86</v>
      </c>
      <c r="E8" s="319" t="s">
        <v>11644</v>
      </c>
      <c r="F8" s="39" t="s">
        <v>11645</v>
      </c>
      <c r="G8" s="43" t="s">
        <v>11646</v>
      </c>
      <c r="H8" s="45" t="s">
        <v>11647</v>
      </c>
      <c r="I8" s="13"/>
      <c r="J8" s="37" t="s">
        <v>11648</v>
      </c>
      <c r="K8" s="13"/>
      <c r="L8" s="45" t="s">
        <v>11649</v>
      </c>
      <c r="M8" s="13"/>
      <c r="N8" s="37" t="s">
        <v>11650</v>
      </c>
      <c r="O8" s="13"/>
      <c r="P8" s="37" t="s">
        <v>11651</v>
      </c>
      <c r="Q8" s="13"/>
      <c r="R8" s="37" t="s">
        <v>11652</v>
      </c>
      <c r="S8" s="13"/>
      <c r="T8" s="43" t="s">
        <v>11653</v>
      </c>
      <c r="U8" s="45" t="s">
        <v>11654</v>
      </c>
      <c r="V8" s="41"/>
      <c r="W8" s="26"/>
      <c r="X8" s="42" t="s">
        <v>85</v>
      </c>
      <c r="Y8" s="42" t="s">
        <v>86</v>
      </c>
      <c r="Z8" s="48" t="s">
        <v>97</v>
      </c>
      <c r="AA8" s="14"/>
      <c r="AB8" s="15" t="str">
        <f>IFERROR(__xludf.DUMMYFUNCTION("join("","",filter(split($H$84,"",""),ARRAYFORMULA(ISERROR(FIND(split($H$84,"",""),CONCATENATE(E8:V8))))=TRUE))"),"КЗ,202,206,406,409,410,АЗ")</f>
        <v>КЗ,202,206,406,409,410,АЗ</v>
      </c>
      <c r="AC8" s="14"/>
      <c r="AD8" s="14"/>
      <c r="AE8" s="14"/>
      <c r="AF8" s="29"/>
      <c r="AG8" s="29"/>
      <c r="AH8" s="29"/>
    </row>
    <row r="9" ht="40.5" hidden="1" customHeight="1">
      <c r="A9" s="30"/>
      <c r="B9" s="31">
        <v>8.0</v>
      </c>
      <c r="C9" s="32" t="s">
        <v>98</v>
      </c>
      <c r="D9" s="32" t="s">
        <v>99</v>
      </c>
      <c r="E9" s="39" t="s">
        <v>11655</v>
      </c>
      <c r="F9" s="319" t="s">
        <v>11656</v>
      </c>
      <c r="G9" s="43" t="s">
        <v>11657</v>
      </c>
      <c r="H9" s="45" t="s">
        <v>11658</v>
      </c>
      <c r="I9" s="13"/>
      <c r="J9" s="37" t="s">
        <v>11659</v>
      </c>
      <c r="K9" s="13"/>
      <c r="L9" s="45" t="s">
        <v>11660</v>
      </c>
      <c r="M9" s="13"/>
      <c r="N9" s="61" t="s">
        <v>11661</v>
      </c>
      <c r="O9" s="13"/>
      <c r="P9" s="62" t="s">
        <v>11662</v>
      </c>
      <c r="Q9" s="45" t="s">
        <v>11663</v>
      </c>
      <c r="R9" s="63" t="s">
        <v>108</v>
      </c>
      <c r="S9" s="64"/>
      <c r="T9" s="64"/>
      <c r="U9" s="64"/>
      <c r="V9" s="64"/>
      <c r="W9" s="26"/>
      <c r="X9" s="42" t="s">
        <v>98</v>
      </c>
      <c r="Y9" s="42" t="s">
        <v>99</v>
      </c>
      <c r="Z9" s="11"/>
      <c r="AA9" s="14"/>
      <c r="AB9" s="15" t="str">
        <f>IFERROR(__xludf.DUMMYFUNCTION("join("","",filter(split($H$84,"",""),ARRAYFORMULA(ISERROR(FIND(split($H$84,"",""),CONCATENATE(E9:V9))))=TRUE))"),"КЗ,206,405,406,409,410,АЗ")</f>
        <v>КЗ,206,405,406,409,410,АЗ</v>
      </c>
      <c r="AC9" s="14"/>
      <c r="AD9" s="14"/>
      <c r="AE9" s="14"/>
      <c r="AF9" s="29"/>
      <c r="AG9" s="29"/>
      <c r="AH9" s="29"/>
    </row>
    <row r="10" ht="75.75" hidden="1" customHeight="1">
      <c r="A10" s="30"/>
      <c r="B10" s="31">
        <v>9.0</v>
      </c>
      <c r="C10" s="65">
        <v>44697.0</v>
      </c>
      <c r="D10" s="44" t="s">
        <v>109</v>
      </c>
      <c r="E10" s="66" t="s">
        <v>11664</v>
      </c>
      <c r="F10" s="67"/>
      <c r="G10" s="43" t="s">
        <v>11665</v>
      </c>
      <c r="H10" s="45" t="s">
        <v>11666</v>
      </c>
      <c r="I10" s="13"/>
      <c r="J10" s="37" t="s">
        <v>11667</v>
      </c>
      <c r="K10" s="13"/>
      <c r="L10" s="45" t="s">
        <v>11668</v>
      </c>
      <c r="M10" s="13"/>
      <c r="N10" s="61" t="s">
        <v>11669</v>
      </c>
      <c r="O10" s="13"/>
      <c r="P10" s="62" t="s">
        <v>11670</v>
      </c>
      <c r="Q10" s="68" t="s">
        <v>117</v>
      </c>
      <c r="R10" s="37" t="s">
        <v>11671</v>
      </c>
      <c r="S10" s="68" t="s">
        <v>11672</v>
      </c>
      <c r="T10" s="36"/>
      <c r="U10" s="36"/>
      <c r="V10" s="41"/>
      <c r="W10" s="26"/>
      <c r="X10" s="69">
        <v>44697.0</v>
      </c>
      <c r="Y10" s="70" t="s">
        <v>109</v>
      </c>
      <c r="Z10" s="28"/>
      <c r="AA10" s="14"/>
      <c r="AB10" s="15" t="str">
        <f>IFERROR(__xludf.DUMMYFUNCTION("join("","",filter(split($H$84,"",""),ARRAYFORMULA(ISERROR(FIND(split($H$84,"",""),CONCATENATE(E10:V10))))=TRUE))"),"КЗ,206,210,403,405,406,408,409,АЗ")</f>
        <v>КЗ,206,210,403,405,406,408,409,АЗ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11673</v>
      </c>
      <c r="U11" s="36"/>
      <c r="V11" s="41"/>
      <c r="W11" s="26"/>
      <c r="X11" s="70" t="s">
        <v>120</v>
      </c>
      <c r="Y11" s="70" t="s">
        <v>121</v>
      </c>
      <c r="Z11" s="28"/>
      <c r="AA11" s="14"/>
      <c r="AB11" s="15" t="str">
        <f>IFERROR(__xludf.DUMMYFUNCTION("join("","",filter(split($H$84,"",""),ARRAYFORMULA(ISERROR(FIND(split($H$84,"",""),CONCATENATE(F11:V11))))=TRUE))"),"СЗ,КЗ,201,202,206,209,210,401,402,403,404,405,406,408,409,410")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IFERROR(__xludf.DUMMYFUNCTION("join("","",filter(split($H$84,"",""),ARRAYFORMULA(ISERROR(FIND(split($H$84,"",""),CONCATENATE(E12:V12))))=TRUE))"),"СЗ,КЗ,201,202,206,209,210,401,402,403,404,405,406,408,409,410,АЗ")</f>
        <v>СЗ,КЗ,201,202,206,209,210,401,402,403,404,405,406,408,409,410,АЗ</v>
      </c>
      <c r="AC12" s="14"/>
      <c r="AD12" s="14"/>
      <c r="AE12" s="14"/>
      <c r="AF12" s="29"/>
      <c r="AG12" s="29"/>
      <c r="AH12" s="29"/>
    </row>
    <row r="13" ht="40.5" hidden="1" customHeight="1">
      <c r="A13" s="689">
        <v>45062.0</v>
      </c>
      <c r="B13" s="19">
        <v>1.0</v>
      </c>
      <c r="C13" s="20" t="s">
        <v>12</v>
      </c>
      <c r="D13" s="20" t="s">
        <v>13</v>
      </c>
      <c r="E13" s="80" t="s">
        <v>11674</v>
      </c>
      <c r="F13" s="25"/>
      <c r="G13" s="81" t="s">
        <v>11675</v>
      </c>
      <c r="H13" s="80" t="s">
        <v>11676</v>
      </c>
      <c r="I13" s="22"/>
      <c r="J13" s="23" t="s">
        <v>11677</v>
      </c>
      <c r="K13" s="25"/>
      <c r="L13" s="80" t="s">
        <v>11678</v>
      </c>
      <c r="M13" s="25"/>
      <c r="N13" s="82" t="s">
        <v>11679</v>
      </c>
      <c r="O13" s="25"/>
      <c r="P13" s="21" t="s">
        <v>11680</v>
      </c>
      <c r="Q13" s="22"/>
      <c r="R13" s="23" t="s">
        <v>11681</v>
      </c>
      <c r="S13" s="22"/>
      <c r="T13" s="84" t="s">
        <v>11682</v>
      </c>
      <c r="U13" s="80" t="s">
        <v>11683</v>
      </c>
      <c r="V13" s="22"/>
      <c r="W13" s="26"/>
      <c r="X13" s="27" t="s">
        <v>12</v>
      </c>
      <c r="Y13" s="27" t="s">
        <v>13</v>
      </c>
      <c r="Z13" s="28"/>
      <c r="AA13" s="85"/>
      <c r="AB13" s="15" t="str">
        <f>IFERROR(__xludf.DUMMYFUNCTION("join("","",filter(split($H$84,"",""),ARRAYFORMULA(ISERROR(FIND(split($H$84,"",""),CONCATENATE(E13:V13))))=TRUE))"),"СЗ,КЗ,202,206,403,410,АЗ")</f>
        <v>СЗ,КЗ,202,206,403,410,АЗ</v>
      </c>
      <c r="AC13" s="14"/>
      <c r="AD13" s="14"/>
      <c r="AE13" s="14"/>
      <c r="AF13" s="29"/>
      <c r="AG13" s="29"/>
      <c r="AH13" s="29"/>
    </row>
    <row r="14" ht="40.5" hidden="1" customHeight="1">
      <c r="A14" s="30"/>
      <c r="B14" s="31">
        <v>2.0</v>
      </c>
      <c r="C14" s="32" t="s">
        <v>21</v>
      </c>
      <c r="D14" s="32" t="s">
        <v>22</v>
      </c>
      <c r="E14" s="45" t="s">
        <v>11684</v>
      </c>
      <c r="F14" s="13"/>
      <c r="G14" s="46" t="s">
        <v>11685</v>
      </c>
      <c r="H14" s="86" t="s">
        <v>11686</v>
      </c>
      <c r="I14" s="41"/>
      <c r="J14" s="35" t="s">
        <v>11687</v>
      </c>
      <c r="K14" s="13"/>
      <c r="L14" s="45" t="s">
        <v>11688</v>
      </c>
      <c r="M14" s="13"/>
      <c r="N14" s="87" t="s">
        <v>11689</v>
      </c>
      <c r="O14" s="13"/>
      <c r="P14" s="21" t="s">
        <v>11690</v>
      </c>
      <c r="Q14" s="22"/>
      <c r="R14" s="35" t="s">
        <v>11691</v>
      </c>
      <c r="S14" s="41"/>
      <c r="T14" s="43" t="s">
        <v>11692</v>
      </c>
      <c r="U14" s="45" t="s">
        <v>11693</v>
      </c>
      <c r="V14" s="41"/>
      <c r="W14" s="26"/>
      <c r="X14" s="42" t="s">
        <v>21</v>
      </c>
      <c r="Y14" s="42" t="s">
        <v>22</v>
      </c>
      <c r="Z14" s="28"/>
      <c r="AA14" s="85"/>
      <c r="AB14" s="15" t="str">
        <f>IFERROR(__xludf.DUMMYFUNCTION("join("","",filter(split($H$84,"",""),ARRAYFORMULA(ISERROR(FIND(split($H$84,"",""),CONCATENATE(E14:V14))))=TRUE))"),"СЗ,КЗ,202,206,403,410,АЗ")</f>
        <v>СЗ,КЗ,202,206,403,410,АЗ</v>
      </c>
      <c r="AC14" s="14"/>
      <c r="AD14" s="14"/>
      <c r="AE14" s="14"/>
      <c r="AF14" s="29"/>
      <c r="AG14" s="29"/>
      <c r="AH14" s="29"/>
    </row>
    <row r="15" ht="40.5" hidden="1" customHeight="1">
      <c r="A15" s="30"/>
      <c r="B15" s="31">
        <v>3.0</v>
      </c>
      <c r="C15" s="32" t="s">
        <v>33</v>
      </c>
      <c r="D15" s="32" t="s">
        <v>34</v>
      </c>
      <c r="E15" s="40" t="s">
        <v>11694</v>
      </c>
      <c r="F15" s="13"/>
      <c r="G15" s="37" t="s">
        <v>11695</v>
      </c>
      <c r="H15" s="36"/>
      <c r="I15" s="41"/>
      <c r="J15" s="35" t="s">
        <v>11696</v>
      </c>
      <c r="K15" s="13"/>
      <c r="L15" s="45" t="s">
        <v>11697</v>
      </c>
      <c r="M15" s="13"/>
      <c r="N15" s="89" t="s">
        <v>11698</v>
      </c>
      <c r="O15" s="13"/>
      <c r="P15" s="37" t="s">
        <v>11699</v>
      </c>
      <c r="Q15" s="90" t="s">
        <v>11700</v>
      </c>
      <c r="R15" s="43" t="s">
        <v>11701</v>
      </c>
      <c r="S15" s="34" t="s">
        <v>11702</v>
      </c>
      <c r="T15" s="91" t="s">
        <v>11703</v>
      </c>
      <c r="U15" s="36"/>
      <c r="V15" s="41"/>
      <c r="W15" s="26"/>
      <c r="X15" s="42" t="s">
        <v>33</v>
      </c>
      <c r="Y15" s="42" t="s">
        <v>34</v>
      </c>
      <c r="Z15" s="48" t="s">
        <v>47</v>
      </c>
      <c r="AA15" s="85" t="str">
        <f>AA$5</f>
        <v/>
      </c>
      <c r="AB15" s="15" t="str">
        <f>IFERROR(__xludf.DUMMYFUNCTION("join("","",filter(split($H$84,"",""),ARRAYFORMULA(ISERROR(FIND(split($H$84,"",""),CONCATENATE(E15:V15))))=TRUE))"),"КЗ,206,403,406,408,410,АЗ")</f>
        <v>КЗ,206,403,406,408,410,АЗ</v>
      </c>
      <c r="AC15" s="14"/>
      <c r="AD15" s="14"/>
      <c r="AE15" s="14"/>
      <c r="AF15" s="29"/>
      <c r="AG15" s="29"/>
      <c r="AH15" s="29"/>
    </row>
    <row r="16" ht="40.5" hidden="1" customHeight="1">
      <c r="A16" s="30"/>
      <c r="B16" s="31">
        <v>4.0</v>
      </c>
      <c r="C16" s="32" t="s">
        <v>48</v>
      </c>
      <c r="D16" s="32" t="s">
        <v>49</v>
      </c>
      <c r="E16" s="40" t="s">
        <v>11704</v>
      </c>
      <c r="F16" s="13"/>
      <c r="G16" s="37" t="s">
        <v>11705</v>
      </c>
      <c r="H16" s="36"/>
      <c r="I16" s="41"/>
      <c r="J16" s="35" t="s">
        <v>11706</v>
      </c>
      <c r="K16" s="13"/>
      <c r="L16" s="45" t="s">
        <v>11707</v>
      </c>
      <c r="M16" s="13"/>
      <c r="N16" s="123">
        <v>202.0</v>
      </c>
      <c r="O16" s="898" t="s">
        <v>11708</v>
      </c>
      <c r="P16" s="35" t="s">
        <v>160</v>
      </c>
      <c r="Q16" s="90" t="s">
        <v>11709</v>
      </c>
      <c r="R16" s="43" t="s">
        <v>11710</v>
      </c>
      <c r="S16" s="34" t="s">
        <v>11711</v>
      </c>
      <c r="T16" s="91" t="s">
        <v>11712</v>
      </c>
      <c r="U16" s="36"/>
      <c r="V16" s="41"/>
      <c r="W16" s="26"/>
      <c r="X16" s="42" t="s">
        <v>48</v>
      </c>
      <c r="Y16" s="42" t="s">
        <v>49</v>
      </c>
      <c r="Z16" s="48" t="s">
        <v>57</v>
      </c>
      <c r="AA16" s="85" t="str">
        <f>AA$6</f>
        <v/>
      </c>
      <c r="AB16" s="15" t="str">
        <f>IFERROR(__xludf.DUMMYFUNCTION("join("","",filter(split($H$84,"",""),ARRAYFORMULA(ISERROR(FIND(split($H$84,"",""),CONCATENATE(E16:V16))))=TRUE))"),"КЗ,206,403,408,410,АЗ")</f>
        <v>КЗ,206,403,408,410,АЗ</v>
      </c>
      <c r="AC16" s="14"/>
      <c r="AD16" s="14"/>
      <c r="AE16" s="14"/>
      <c r="AF16" s="29"/>
      <c r="AG16" s="29"/>
      <c r="AH16" s="29"/>
    </row>
    <row r="17" ht="40.5" hidden="1" customHeight="1">
      <c r="A17" s="30"/>
      <c r="B17" s="31">
        <v>5.0</v>
      </c>
      <c r="C17" s="32" t="s">
        <v>58</v>
      </c>
      <c r="D17" s="53">
        <v>44847.0</v>
      </c>
      <c r="E17" s="45" t="s">
        <v>11713</v>
      </c>
      <c r="F17" s="13"/>
      <c r="G17" s="33" t="s">
        <v>11714</v>
      </c>
      <c r="H17" s="45" t="s">
        <v>11715</v>
      </c>
      <c r="I17" s="41"/>
      <c r="J17" s="35" t="s">
        <v>11716</v>
      </c>
      <c r="K17" s="13"/>
      <c r="L17" s="40" t="s">
        <v>11717</v>
      </c>
      <c r="M17" s="13"/>
      <c r="N17" s="45" t="s">
        <v>11718</v>
      </c>
      <c r="O17" s="64"/>
      <c r="P17" s="43" t="s">
        <v>11719</v>
      </c>
      <c r="Q17" s="34" t="s">
        <v>11720</v>
      </c>
      <c r="R17" s="90" t="s">
        <v>11721</v>
      </c>
      <c r="S17" s="92" t="s">
        <v>11722</v>
      </c>
      <c r="T17" s="899" t="s">
        <v>11723</v>
      </c>
      <c r="U17" s="8"/>
      <c r="V17" s="129"/>
      <c r="W17" s="26"/>
      <c r="X17" s="42" t="s">
        <v>58</v>
      </c>
      <c r="Y17" s="54">
        <v>44847.0</v>
      </c>
      <c r="Z17" s="48" t="s">
        <v>70</v>
      </c>
      <c r="AA17" s="85" t="str">
        <f>AA$7</f>
        <v/>
      </c>
      <c r="AB17" s="15" t="str">
        <f>IFERROR(__xludf.DUMMYFUNCTION("join("","",filter(split($H$84,"",""),ARRAYFORMULA(ISERROR(FIND(split($H$84,"",""),CONCATENATE(E17:V17))))=TRUE))"),"СЗ,206,403,406,408,410")</f>
        <v>СЗ,206,403,406,408,410</v>
      </c>
      <c r="AC17" s="14"/>
      <c r="AD17" s="14"/>
      <c r="AE17" s="14"/>
      <c r="AF17" s="29"/>
      <c r="AG17" s="29"/>
      <c r="AH17" s="29"/>
    </row>
    <row r="18" ht="40.5" hidden="1" customHeight="1">
      <c r="A18" s="30"/>
      <c r="B18" s="31">
        <v>6.0</v>
      </c>
      <c r="C18" s="55" t="s">
        <v>71</v>
      </c>
      <c r="D18" s="56" t="s">
        <v>72</v>
      </c>
      <c r="E18" s="45" t="s">
        <v>11724</v>
      </c>
      <c r="F18" s="13"/>
      <c r="G18" s="33" t="s">
        <v>11725</v>
      </c>
      <c r="H18" s="45" t="s">
        <v>11726</v>
      </c>
      <c r="I18" s="41"/>
      <c r="J18" s="35" t="s">
        <v>11727</v>
      </c>
      <c r="K18" s="13"/>
      <c r="L18" s="40" t="s">
        <v>11728</v>
      </c>
      <c r="M18" s="13"/>
      <c r="N18" s="45" t="s">
        <v>11729</v>
      </c>
      <c r="O18" s="13"/>
      <c r="P18" s="33" t="s">
        <v>11730</v>
      </c>
      <c r="Q18" s="34" t="s">
        <v>11731</v>
      </c>
      <c r="R18" s="90" t="s">
        <v>11732</v>
      </c>
      <c r="S18" s="92" t="s">
        <v>11733</v>
      </c>
      <c r="V18" s="134"/>
      <c r="W18" s="26"/>
      <c r="X18" s="58" t="s">
        <v>71</v>
      </c>
      <c r="Y18" s="59" t="s">
        <v>72</v>
      </c>
      <c r="Z18" s="48" t="s">
        <v>84</v>
      </c>
      <c r="AA18" s="85" t="str">
        <f>AA$8</f>
        <v/>
      </c>
      <c r="AB18" s="15" t="str">
        <f>IFERROR(__xludf.DUMMYFUNCTION("join("","",filter(split($H$84,"",""),ARRAYFORMULA(ISERROR(FIND(split($H$84,"",""),CONCATENATE(E18:V18))))=TRUE))"),"СЗ,206,403,406,408,410,АЗ")</f>
        <v>СЗ,206,403,406,408,410,АЗ</v>
      </c>
      <c r="AC18" s="14"/>
      <c r="AD18" s="14"/>
      <c r="AE18" s="14"/>
      <c r="AF18" s="29"/>
      <c r="AG18" s="29"/>
      <c r="AH18" s="29"/>
    </row>
    <row r="19" ht="40.5" hidden="1" customHeight="1">
      <c r="A19" s="30"/>
      <c r="B19" s="31">
        <v>7.0</v>
      </c>
      <c r="C19" s="32" t="s">
        <v>85</v>
      </c>
      <c r="D19" s="32" t="s">
        <v>86</v>
      </c>
      <c r="E19" s="94" t="s">
        <v>11734</v>
      </c>
      <c r="F19" s="13"/>
      <c r="G19" s="33" t="s">
        <v>11735</v>
      </c>
      <c r="H19" s="45" t="s">
        <v>11736</v>
      </c>
      <c r="I19" s="41"/>
      <c r="J19" s="95" t="s">
        <v>11737</v>
      </c>
      <c r="K19" s="13"/>
      <c r="L19" s="45" t="s">
        <v>11738</v>
      </c>
      <c r="M19" s="13"/>
      <c r="N19" s="45" t="s">
        <v>11739</v>
      </c>
      <c r="O19" s="13"/>
      <c r="P19" s="37" t="s">
        <v>11740</v>
      </c>
      <c r="Q19" s="41"/>
      <c r="R19" s="96" t="s">
        <v>11741</v>
      </c>
      <c r="S19" s="97"/>
      <c r="V19" s="134"/>
      <c r="W19" s="26"/>
      <c r="X19" s="42" t="s">
        <v>85</v>
      </c>
      <c r="Y19" s="42" t="s">
        <v>86</v>
      </c>
      <c r="Z19" s="48" t="s">
        <v>97</v>
      </c>
      <c r="AA19" s="85" t="str">
        <f>AA$9</f>
        <v/>
      </c>
      <c r="AB19" s="15" t="str">
        <f>IFERROR(__xludf.DUMMYFUNCTION("join("","",filter(split($H$84,"",""),ARRAYFORMULA(ISERROR(FIND(split($H$84,"",""),CONCATENATE(E19:V19))))=TRUE))"),"СЗ,202,206,403,404,405,406,410,АЗ")</f>
        <v>СЗ,202,206,403,404,405,406,410,АЗ</v>
      </c>
      <c r="AC19" s="14"/>
      <c r="AD19" s="14"/>
      <c r="AE19" s="14"/>
      <c r="AF19" s="29"/>
      <c r="AG19" s="29"/>
      <c r="AH19" s="29"/>
    </row>
    <row r="20" ht="40.5" hidden="1" customHeight="1">
      <c r="A20" s="30"/>
      <c r="B20" s="31">
        <v>8.0</v>
      </c>
      <c r="C20" s="32" t="s">
        <v>98</v>
      </c>
      <c r="D20" s="32" t="s">
        <v>99</v>
      </c>
      <c r="E20" s="94" t="s">
        <v>11742</v>
      </c>
      <c r="F20" s="13"/>
      <c r="G20" s="33" t="s">
        <v>11743</v>
      </c>
      <c r="H20" s="45" t="s">
        <v>11744</v>
      </c>
      <c r="I20" s="41"/>
      <c r="J20" s="95" t="s">
        <v>11745</v>
      </c>
      <c r="K20" s="13"/>
      <c r="L20" s="45" t="s">
        <v>11746</v>
      </c>
      <c r="M20" s="13"/>
      <c r="N20" s="45" t="s">
        <v>11747</v>
      </c>
      <c r="O20" s="13"/>
      <c r="P20" s="37" t="s">
        <v>11748</v>
      </c>
      <c r="Q20" s="41"/>
      <c r="R20" s="96" t="s">
        <v>11749</v>
      </c>
      <c r="S20" s="97"/>
      <c r="T20" s="64"/>
      <c r="U20" s="64"/>
      <c r="V20" s="88"/>
      <c r="W20" s="26"/>
      <c r="X20" s="42" t="s">
        <v>98</v>
      </c>
      <c r="Y20" s="42" t="s">
        <v>99</v>
      </c>
      <c r="Z20" s="11"/>
      <c r="AA20" s="98"/>
      <c r="AB20" s="15" t="str">
        <f>IFERROR(__xludf.DUMMYFUNCTION("join("","",filter(split($H$84,"",""),ARRAYFORMULA(ISERROR(FIND(split($H$84,"",""),CONCATENATE(E20:V20))))=TRUE))"),"СЗ,202,206,403,404,405,406,410,АЗ")</f>
        <v>СЗ,202,206,403,404,405,406,410,АЗ</v>
      </c>
      <c r="AC20" s="14"/>
      <c r="AD20" s="14"/>
      <c r="AE20" s="14"/>
      <c r="AF20" s="29"/>
      <c r="AG20" s="29"/>
      <c r="AH20" s="29"/>
    </row>
    <row r="21" ht="40.5" hidden="1" customHeight="1">
      <c r="A21" s="30"/>
      <c r="B21" s="31">
        <v>9.0</v>
      </c>
      <c r="C21" s="65">
        <v>44697.0</v>
      </c>
      <c r="D21" s="44" t="s">
        <v>109</v>
      </c>
      <c r="E21" s="99" t="s">
        <v>206</v>
      </c>
      <c r="F21" s="4"/>
      <c r="G21" s="100"/>
      <c r="H21" s="101" t="s">
        <v>208</v>
      </c>
      <c r="I21" s="36"/>
      <c r="J21" s="36"/>
      <c r="K21" s="36"/>
      <c r="L21" s="36"/>
      <c r="M21" s="13"/>
      <c r="N21" s="45" t="s">
        <v>11750</v>
      </c>
      <c r="O21" s="13"/>
      <c r="P21" s="102"/>
      <c r="Q21" s="41"/>
      <c r="R21" s="35" t="s">
        <v>11751</v>
      </c>
      <c r="S21" s="41"/>
      <c r="T21" s="103" t="s">
        <v>11752</v>
      </c>
      <c r="U21" s="36"/>
      <c r="V21" s="41"/>
      <c r="W21" s="26"/>
      <c r="X21" s="69">
        <v>44697.0</v>
      </c>
      <c r="Y21" s="70" t="s">
        <v>109</v>
      </c>
      <c r="Z21" s="28"/>
      <c r="AA21" s="98"/>
      <c r="AB21" s="15" t="str">
        <f>IFERROR(__xludf.DUMMYFUNCTION("join("","",filter(split($H$84,"",""),ARRAYFORMULA(ISERROR(FIND(split($H$84,"",""),CONCATENATE(E21:V21))))=TRUE))"),"201,202,206,209,210,401,403,404,405,406,408,АЗ")</f>
        <v>201,202,206,209,210,401,403,404,405,406,408,АЗ</v>
      </c>
      <c r="AC21" s="14"/>
      <c r="AD21" s="14"/>
      <c r="AE21" s="14"/>
      <c r="AF21" s="29"/>
      <c r="AG21" s="29"/>
      <c r="AH21" s="29"/>
    </row>
    <row r="22" ht="40.5" hidden="1" customHeight="1">
      <c r="A22" s="30"/>
      <c r="B22" s="31">
        <v>10.0</v>
      </c>
      <c r="C22" s="44" t="s">
        <v>120</v>
      </c>
      <c r="D22" s="44" t="s">
        <v>121</v>
      </c>
      <c r="E22" s="104"/>
      <c r="F22" s="72"/>
      <c r="G22" s="105"/>
      <c r="H22" s="106" t="s">
        <v>213</v>
      </c>
      <c r="I22" s="36"/>
      <c r="J22" s="36"/>
      <c r="K22" s="36"/>
      <c r="L22" s="36"/>
      <c r="M22" s="13"/>
      <c r="N22" s="45" t="s">
        <v>11753</v>
      </c>
      <c r="O22" s="13"/>
      <c r="P22" s="101" t="s">
        <v>215</v>
      </c>
      <c r="Q22" s="36"/>
      <c r="R22" s="36"/>
      <c r="S22" s="13"/>
      <c r="T22" s="107" t="s">
        <v>11754</v>
      </c>
      <c r="U22" s="36"/>
      <c r="V22" s="41"/>
      <c r="W22" s="26"/>
      <c r="X22" s="70" t="s">
        <v>120</v>
      </c>
      <c r="Y22" s="70" t="s">
        <v>121</v>
      </c>
      <c r="Z22" s="28"/>
      <c r="AA22" s="98"/>
      <c r="AB22" s="15" t="str">
        <f>IFERROR(__xludf.DUMMYFUNCTION("join("","",filter(split($H$84,"",""),ARRAYFORMULA(ISERROR(FIND(split($H$84,"",""),CONCATENATE(E22:V22))))=TRUE))"),"201,202,206,209,210,401,403,404,405,406,408,409,АЗ")</f>
        <v>201,202,206,209,210,401,403,404,405,406,408,409,АЗ</v>
      </c>
      <c r="AC22" s="14"/>
      <c r="AD22" s="14"/>
      <c r="AE22" s="14"/>
      <c r="AF22" s="29"/>
      <c r="AG22" s="29"/>
      <c r="AH22" s="29"/>
    </row>
    <row r="23" ht="40.5" hidden="1" customHeight="1">
      <c r="A23" s="74"/>
      <c r="B23" s="75">
        <v>11.0</v>
      </c>
      <c r="C23" s="76" t="s">
        <v>124</v>
      </c>
      <c r="D23" s="76" t="s">
        <v>125</v>
      </c>
      <c r="E23" s="108"/>
      <c r="F23" s="109"/>
      <c r="G23" s="110"/>
      <c r="H23" s="111"/>
      <c r="I23" s="112"/>
      <c r="J23" s="113"/>
      <c r="K23" s="111"/>
      <c r="L23" s="111"/>
      <c r="M23" s="111"/>
      <c r="N23" s="111"/>
      <c r="O23" s="111"/>
      <c r="P23" s="111"/>
      <c r="Q23" s="111"/>
      <c r="R23" s="114" t="s">
        <v>11755</v>
      </c>
      <c r="S23" s="115"/>
      <c r="T23" s="115"/>
      <c r="U23" s="115"/>
      <c r="V23" s="67"/>
      <c r="W23" s="26"/>
      <c r="X23" s="79" t="s">
        <v>124</v>
      </c>
      <c r="Y23" s="79" t="s">
        <v>125</v>
      </c>
      <c r="Z23" s="28" t="str">
        <f/>
        <v>#ERROR!</v>
      </c>
      <c r="AA23" s="98"/>
      <c r="AB23" s="15" t="str">
        <f>IFERROR(__xludf.DUMMYFUNCTION("join("","",filter(split($H$84,"",""),ARRAYFORMULA(ISERROR(FIND(split($H$84,"",""),CONCATENATE(E23:V23))))=TRUE))"),"КЗ,201,202,206,209,210,401,402,403,404,405,406,408,409,410,АЗ")</f>
        <v>КЗ,201,202,206,209,210,401,402,403,404,405,406,408,409,410,АЗ</v>
      </c>
      <c r="AC23" s="14"/>
      <c r="AD23" s="14"/>
      <c r="AE23" s="14"/>
      <c r="AF23" s="29"/>
      <c r="AG23" s="29"/>
      <c r="AH23" s="29"/>
    </row>
    <row r="24" ht="40.5" hidden="1" customHeight="1">
      <c r="A24" s="900"/>
      <c r="B24" s="451"/>
      <c r="C24" s="452"/>
      <c r="D24" s="452"/>
      <c r="E24" s="454"/>
      <c r="F24" s="454"/>
      <c r="G24" s="894" t="s">
        <v>11756</v>
      </c>
      <c r="Q24" s="139"/>
      <c r="R24" s="901"/>
      <c r="S24" s="902"/>
      <c r="T24" s="903"/>
      <c r="U24" s="903"/>
      <c r="V24" s="903"/>
      <c r="W24" s="26"/>
      <c r="X24" s="455"/>
      <c r="Y24" s="455"/>
      <c r="Z24" s="28"/>
      <c r="AA24" s="14"/>
      <c r="AB24" s="15"/>
      <c r="AC24" s="14"/>
      <c r="AD24" s="14"/>
      <c r="AE24" s="14"/>
      <c r="AF24" s="29"/>
      <c r="AG24" s="29"/>
      <c r="AH24" s="29"/>
    </row>
    <row r="25" ht="40.5" hidden="1" customHeight="1">
      <c r="A25" s="689">
        <v>45063.0</v>
      </c>
      <c r="B25" s="435">
        <v>1.0</v>
      </c>
      <c r="C25" s="20" t="s">
        <v>12</v>
      </c>
      <c r="D25" s="20" t="s">
        <v>13</v>
      </c>
      <c r="E25" s="21" t="s">
        <v>11757</v>
      </c>
      <c r="F25" s="22"/>
      <c r="G25" s="116" t="s">
        <v>11758</v>
      </c>
      <c r="H25" s="117" t="s">
        <v>11759</v>
      </c>
      <c r="I25" s="22"/>
      <c r="J25" s="898" t="s">
        <v>11760</v>
      </c>
      <c r="K25" s="118"/>
      <c r="L25" s="118"/>
      <c r="M25" s="904"/>
      <c r="N25" s="80" t="s">
        <v>11761</v>
      </c>
      <c r="O25" s="25"/>
      <c r="P25" s="585" t="s">
        <v>11762</v>
      </c>
      <c r="Q25" s="24"/>
      <c r="R25" s="120"/>
      <c r="S25" s="594"/>
      <c r="T25" s="121" t="s">
        <v>11763</v>
      </c>
      <c r="U25" s="24"/>
      <c r="V25" s="22"/>
      <c r="W25" s="26"/>
      <c r="X25" s="27" t="s">
        <v>12</v>
      </c>
      <c r="Y25" s="27" t="s">
        <v>13</v>
      </c>
      <c r="Z25" s="28"/>
      <c r="AA25" s="14"/>
      <c r="AB25" s="15" t="str">
        <f>IFERROR(__xludf.DUMMYFUNCTION("join("","",filter(split($H$84,"",""),ARRAYFORMULA(ISERROR(FIND(split($H$84,"",""),CONCATENATE(E25:V25))))=TRUE))"),"СЗ,206,210,401,402,403,404,405,409,410,АЗ")</f>
        <v>СЗ,206,210,401,402,403,404,405,409,410,АЗ</v>
      </c>
      <c r="AC25" s="14"/>
      <c r="AD25" s="14"/>
      <c r="AE25" s="14"/>
      <c r="AF25" s="29"/>
      <c r="AG25" s="29"/>
      <c r="AH25" s="29"/>
    </row>
    <row r="26" ht="57.0" hidden="1" customHeight="1">
      <c r="A26" s="30"/>
      <c r="B26" s="436">
        <v>2.0</v>
      </c>
      <c r="C26" s="32" t="s">
        <v>21</v>
      </c>
      <c r="D26" s="32" t="s">
        <v>22</v>
      </c>
      <c r="E26" s="51" t="s">
        <v>11764</v>
      </c>
      <c r="F26" s="41"/>
      <c r="G26" s="39" t="s">
        <v>11765</v>
      </c>
      <c r="H26" s="89" t="s">
        <v>11766</v>
      </c>
      <c r="I26" s="41"/>
      <c r="J26" s="64"/>
      <c r="K26" s="35" t="s">
        <v>11767</v>
      </c>
      <c r="L26" s="40"/>
      <c r="M26" s="13"/>
      <c r="N26" s="40" t="s">
        <v>231</v>
      </c>
      <c r="O26" s="13"/>
      <c r="P26" s="37" t="s">
        <v>11768</v>
      </c>
      <c r="Q26" s="13"/>
      <c r="R26" s="122"/>
      <c r="S26" s="41"/>
      <c r="T26" s="103" t="s">
        <v>11769</v>
      </c>
      <c r="U26" s="36"/>
      <c r="V26" s="41"/>
      <c r="W26" s="26"/>
      <c r="X26" s="42" t="s">
        <v>21</v>
      </c>
      <c r="Y26" s="42" t="s">
        <v>22</v>
      </c>
      <c r="Z26" s="28"/>
      <c r="AA26" s="14"/>
      <c r="AB26" s="15" t="str">
        <f>IFERROR(__xludf.DUMMYFUNCTION("join("","",filter(split($H$84,"",""),ARRAYFORMULA(ISERROR(FIND(split($H$84,"",""),CONCATENATE(E26:V26))))=TRUE))"),"СЗ,КЗ,206,209,210,401,402,403,404,405,410,АЗ")</f>
        <v>СЗ,КЗ,206,209,210,401,402,403,404,405,410,АЗ</v>
      </c>
      <c r="AC26" s="14"/>
      <c r="AD26" s="14"/>
      <c r="AE26" s="14"/>
      <c r="AF26" s="29"/>
      <c r="AG26" s="29"/>
      <c r="AH26" s="29"/>
    </row>
    <row r="27" ht="40.5" hidden="1" customHeight="1">
      <c r="A27" s="30"/>
      <c r="B27" s="436">
        <v>3.0</v>
      </c>
      <c r="C27" s="32" t="s">
        <v>33</v>
      </c>
      <c r="D27" s="32" t="s">
        <v>34</v>
      </c>
      <c r="E27" s="37" t="s">
        <v>11770</v>
      </c>
      <c r="F27" s="41"/>
      <c r="G27" s="51" t="s">
        <v>11771</v>
      </c>
      <c r="H27" s="36"/>
      <c r="I27" s="41"/>
      <c r="J27" s="95" t="s">
        <v>11772</v>
      </c>
      <c r="K27" s="13"/>
      <c r="L27" s="123" t="s">
        <v>11773</v>
      </c>
      <c r="M27" s="41"/>
      <c r="N27" s="40" t="s">
        <v>231</v>
      </c>
      <c r="O27" s="13"/>
      <c r="P27" s="322" t="s">
        <v>11774</v>
      </c>
      <c r="Q27" s="13"/>
      <c r="R27" s="89" t="s">
        <v>11775</v>
      </c>
      <c r="S27" s="41"/>
      <c r="T27" s="125" t="s">
        <v>11776</v>
      </c>
      <c r="U27" s="36"/>
      <c r="V27" s="41"/>
      <c r="W27" s="26"/>
      <c r="X27" s="42" t="s">
        <v>33</v>
      </c>
      <c r="Y27" s="42" t="s">
        <v>34</v>
      </c>
      <c r="Z27" s="48" t="s">
        <v>47</v>
      </c>
      <c r="AA27" s="85" t="str">
        <f>AA$5</f>
        <v/>
      </c>
      <c r="AB27" s="15" t="str">
        <f>IFERROR(__xludf.DUMMYFUNCTION("join("","",filter(split($H$84,"",""),ARRAYFORMULA(ISERROR(FIND(split($H$84,"",""),CONCATENATE(E27:V27))))=TRUE))"),"СЗ,КЗ,206,210,402,403,404,405,408,410,АЗ")</f>
        <v>СЗ,КЗ,206,210,402,403,404,405,408,410,АЗ</v>
      </c>
      <c r="AC27" s="14"/>
      <c r="AD27" s="14"/>
      <c r="AE27" s="14"/>
      <c r="AF27" s="29"/>
      <c r="AG27" s="29"/>
      <c r="AH27" s="29"/>
    </row>
    <row r="28" ht="54.0" hidden="1" customHeight="1">
      <c r="A28" s="30"/>
      <c r="B28" s="436">
        <v>4.0</v>
      </c>
      <c r="C28" s="32" t="s">
        <v>48</v>
      </c>
      <c r="D28" s="32" t="s">
        <v>49</v>
      </c>
      <c r="E28" s="33" t="s">
        <v>11777</v>
      </c>
      <c r="F28" s="126" t="s">
        <v>11778</v>
      </c>
      <c r="G28" s="37" t="s">
        <v>11779</v>
      </c>
      <c r="H28" s="13"/>
      <c r="I28" s="92" t="s">
        <v>11780</v>
      </c>
      <c r="J28" s="107" t="s">
        <v>11781</v>
      </c>
      <c r="K28" s="13"/>
      <c r="L28" s="45" t="s">
        <v>11782</v>
      </c>
      <c r="M28" s="13"/>
      <c r="N28" s="127" t="s">
        <v>11783</v>
      </c>
      <c r="O28" s="13"/>
      <c r="P28" s="37" t="s">
        <v>11784</v>
      </c>
      <c r="Q28" s="13"/>
      <c r="R28" s="132" t="s">
        <v>11785</v>
      </c>
      <c r="S28" s="34" t="s">
        <v>11786</v>
      </c>
      <c r="T28" s="125" t="s">
        <v>11787</v>
      </c>
      <c r="U28" s="36"/>
      <c r="V28" s="41"/>
      <c r="W28" s="26"/>
      <c r="X28" s="42" t="s">
        <v>48</v>
      </c>
      <c r="Y28" s="42" t="s">
        <v>49</v>
      </c>
      <c r="Z28" s="48" t="s">
        <v>57</v>
      </c>
      <c r="AA28" s="85" t="str">
        <f>AA$6</f>
        <v/>
      </c>
      <c r="AB28" s="15" t="str">
        <f>IFERROR(__xludf.DUMMYFUNCTION("join("","",filter(split($H$84,"",""),ARRAYFORMULA(ISERROR(FIND(split($H$84,"",""),CONCATENATE(E28:V28))))=TRUE))"),"СЗ,206,403,404,408,410,АЗ")</f>
        <v>СЗ,206,403,404,408,410,АЗ</v>
      </c>
      <c r="AC28" s="14"/>
      <c r="AD28" s="14"/>
      <c r="AE28" s="14"/>
      <c r="AF28" s="29"/>
      <c r="AG28" s="29"/>
      <c r="AH28" s="29"/>
    </row>
    <row r="29" ht="53.25" hidden="1" customHeight="1">
      <c r="A29" s="30"/>
      <c r="B29" s="436">
        <v>5.0</v>
      </c>
      <c r="C29" s="32" t="s">
        <v>58</v>
      </c>
      <c r="D29" s="53">
        <v>44847.0</v>
      </c>
      <c r="E29" s="33" t="s">
        <v>11788</v>
      </c>
      <c r="F29" s="126" t="s">
        <v>11789</v>
      </c>
      <c r="G29" s="37" t="s">
        <v>11790</v>
      </c>
      <c r="H29" s="13"/>
      <c r="I29" s="92" t="s">
        <v>11791</v>
      </c>
      <c r="J29" s="123" t="s">
        <v>11792</v>
      </c>
      <c r="K29" s="41"/>
      <c r="L29" s="45" t="s">
        <v>11793</v>
      </c>
      <c r="M29" s="13"/>
      <c r="N29" s="89" t="s">
        <v>11794</v>
      </c>
      <c r="O29" s="13"/>
      <c r="P29" s="322" t="s">
        <v>11795</v>
      </c>
      <c r="Q29" s="13"/>
      <c r="R29" s="132" t="s">
        <v>11796</v>
      </c>
      <c r="S29" s="34" t="s">
        <v>11797</v>
      </c>
      <c r="T29" s="128" t="s">
        <v>11798</v>
      </c>
      <c r="U29" s="8"/>
      <c r="V29" s="129"/>
      <c r="W29" s="26"/>
      <c r="X29" s="42" t="s">
        <v>58</v>
      </c>
      <c r="Y29" s="54">
        <v>44847.0</v>
      </c>
      <c r="Z29" s="48" t="s">
        <v>70</v>
      </c>
      <c r="AA29" s="85" t="str">
        <f>AA$7</f>
        <v/>
      </c>
      <c r="AB29" s="15" t="str">
        <f>IFERROR(__xludf.DUMMYFUNCTION("join("","",filter(split($H$84,"",""),ARRAYFORMULA(ISERROR(FIND(split($H$84,"",""),CONCATENATE(E29:V29))))=TRUE))"),"СЗ,206,209,403,404,408,410")</f>
        <v>СЗ,206,209,403,404,408,410</v>
      </c>
      <c r="AC29" s="14"/>
      <c r="AD29" s="14"/>
      <c r="AE29" s="14"/>
      <c r="AF29" s="29"/>
      <c r="AG29" s="29"/>
      <c r="AH29" s="29"/>
    </row>
    <row r="30" ht="40.5" hidden="1" customHeight="1">
      <c r="A30" s="30"/>
      <c r="B30" s="436">
        <v>6.0</v>
      </c>
      <c r="C30" s="55" t="s">
        <v>71</v>
      </c>
      <c r="D30" s="56" t="s">
        <v>72</v>
      </c>
      <c r="E30" s="126" t="s">
        <v>11799</v>
      </c>
      <c r="F30" s="34" t="s">
        <v>11800</v>
      </c>
      <c r="G30" s="40" t="s">
        <v>11801</v>
      </c>
      <c r="H30" s="41"/>
      <c r="I30" s="34" t="s">
        <v>11802</v>
      </c>
      <c r="J30" s="123" t="s">
        <v>11803</v>
      </c>
      <c r="K30" s="41"/>
      <c r="L30" s="89" t="s">
        <v>11804</v>
      </c>
      <c r="M30" s="13"/>
      <c r="N30" s="130" t="s">
        <v>11805</v>
      </c>
      <c r="O30" s="13"/>
      <c r="P30" s="905" t="s">
        <v>11806</v>
      </c>
      <c r="Q30" s="13"/>
      <c r="R30" s="437"/>
      <c r="S30" s="92" t="s">
        <v>11807</v>
      </c>
      <c r="V30" s="134"/>
      <c r="W30" s="26"/>
      <c r="X30" s="58" t="s">
        <v>71</v>
      </c>
      <c r="Y30" s="59" t="s">
        <v>72</v>
      </c>
      <c r="Z30" s="48" t="s">
        <v>84</v>
      </c>
      <c r="AA30" s="85" t="str">
        <f>AA$8</f>
        <v/>
      </c>
      <c r="AB30" s="15" t="str">
        <f>IFERROR(__xludf.DUMMYFUNCTION("join("","",filter(split($H$84,"",""),ARRAYFORMULA(ISERROR(FIND(split($H$84,"",""),CONCATENATE(E30:V30))))=TRUE))"),"СЗ,206,403,404,405,408,410,АЗ")</f>
        <v>СЗ,206,403,404,405,408,410,АЗ</v>
      </c>
      <c r="AC30" s="14"/>
      <c r="AD30" s="14"/>
      <c r="AE30" s="14"/>
      <c r="AF30" s="29"/>
      <c r="AG30" s="29"/>
      <c r="AH30" s="29"/>
    </row>
    <row r="31" ht="40.5" hidden="1" customHeight="1">
      <c r="A31" s="30"/>
      <c r="B31" s="436">
        <v>7.0</v>
      </c>
      <c r="C31" s="32" t="s">
        <v>85</v>
      </c>
      <c r="D31" s="32" t="s">
        <v>86</v>
      </c>
      <c r="E31" s="126" t="s">
        <v>11808</v>
      </c>
      <c r="F31" s="34" t="s">
        <v>11809</v>
      </c>
      <c r="G31" s="40" t="s">
        <v>11810</v>
      </c>
      <c r="H31" s="41"/>
      <c r="I31" s="34" t="s">
        <v>11811</v>
      </c>
      <c r="J31" s="35" t="s">
        <v>11812</v>
      </c>
      <c r="K31" s="13"/>
      <c r="L31" s="123" t="s">
        <v>11813</v>
      </c>
      <c r="M31" s="41"/>
      <c r="N31" s="130" t="s">
        <v>11814</v>
      </c>
      <c r="O31" s="13"/>
      <c r="P31" s="905" t="s">
        <v>11815</v>
      </c>
      <c r="Q31" s="13"/>
      <c r="R31" s="173"/>
      <c r="S31" s="92" t="s">
        <v>11816</v>
      </c>
      <c r="V31" s="134"/>
      <c r="W31" s="26"/>
      <c r="X31" s="42" t="s">
        <v>85</v>
      </c>
      <c r="Y31" s="42" t="s">
        <v>86</v>
      </c>
      <c r="Z31" s="48" t="s">
        <v>97</v>
      </c>
      <c r="AA31" s="85" t="str">
        <f>AA$9</f>
        <v/>
      </c>
      <c r="AB31" s="15" t="str">
        <f>IFERROR(__xludf.DUMMYFUNCTION("join("","",filter(split($H$84,"",""),ARRAYFORMULA(ISERROR(FIND(split($H$84,"",""),CONCATENATE(E31:V31))))=TRUE))"),"СЗ,206,403,404,405,408,409,410,АЗ")</f>
        <v>СЗ,206,403,404,405,408,409,410,АЗ</v>
      </c>
      <c r="AC31" s="14"/>
      <c r="AD31" s="14"/>
      <c r="AE31" s="14"/>
      <c r="AF31" s="29"/>
      <c r="AG31" s="29"/>
      <c r="AH31" s="29"/>
    </row>
    <row r="32" ht="52.5" hidden="1" customHeight="1">
      <c r="A32" s="30"/>
      <c r="B32" s="436">
        <v>8.0</v>
      </c>
      <c r="C32" s="32" t="s">
        <v>98</v>
      </c>
      <c r="D32" s="32" t="s">
        <v>99</v>
      </c>
      <c r="E32" s="46" t="s">
        <v>11817</v>
      </c>
      <c r="F32" s="41"/>
      <c r="G32" s="137" t="s">
        <v>11818</v>
      </c>
      <c r="H32" s="8"/>
      <c r="I32" s="129"/>
      <c r="J32" s="840" t="s">
        <v>11819</v>
      </c>
      <c r="K32" s="36"/>
      <c r="L32" s="36"/>
      <c r="M32" s="13"/>
      <c r="N32" s="45" t="s">
        <v>11820</v>
      </c>
      <c r="O32" s="13"/>
      <c r="P32" s="140"/>
      <c r="Q32" s="4"/>
      <c r="R32" s="144"/>
      <c r="S32" s="133"/>
      <c r="V32" s="134"/>
      <c r="W32" s="26"/>
      <c r="X32" s="42" t="s">
        <v>98</v>
      </c>
      <c r="Y32" s="42" t="s">
        <v>99</v>
      </c>
      <c r="Z32" s="11"/>
      <c r="AA32" s="14"/>
      <c r="AB32" s="15" t="str">
        <f>IFERROR(__xludf.DUMMYFUNCTION("join("","",filter(split($H$84,"",""),ARRAYFORMULA(ISERROR(FIND(split($H$84,"",""),CONCATENATE(E32:V32))))=TRUE))"),"СЗ,КЗ,201,206,210,401,403,404,405,406,408,409,АЗ")</f>
        <v>СЗ,КЗ,201,206,210,401,403,404,405,406,408,409,АЗ</v>
      </c>
      <c r="AC32" s="14"/>
      <c r="AD32" s="14"/>
      <c r="AE32" s="14"/>
      <c r="AF32" s="29"/>
      <c r="AG32" s="29"/>
      <c r="AH32" s="29"/>
    </row>
    <row r="33" ht="57.0" hidden="1" customHeight="1">
      <c r="A33" s="30"/>
      <c r="B33" s="436">
        <v>9.0</v>
      </c>
      <c r="C33" s="65">
        <v>44697.0</v>
      </c>
      <c r="D33" s="44" t="s">
        <v>109</v>
      </c>
      <c r="E33" s="141" t="s">
        <v>11821</v>
      </c>
      <c r="F33" s="13"/>
      <c r="G33" s="142"/>
      <c r="H33" s="64"/>
      <c r="I33" s="88"/>
      <c r="J33" s="840" t="s">
        <v>11822</v>
      </c>
      <c r="K33" s="36"/>
      <c r="L33" s="36"/>
      <c r="M33" s="13"/>
      <c r="N33" s="45" t="s">
        <v>11823</v>
      </c>
      <c r="O33" s="13"/>
      <c r="P33" s="142"/>
      <c r="Q33" s="72"/>
      <c r="R33" s="144"/>
      <c r="S33" s="92"/>
      <c r="T33" s="64"/>
      <c r="U33" s="64"/>
      <c r="V33" s="88"/>
      <c r="W33" s="26"/>
      <c r="X33" s="69">
        <v>44697.0</v>
      </c>
      <c r="Y33" s="70" t="s">
        <v>109</v>
      </c>
      <c r="Z33" s="28"/>
      <c r="AA33" s="14"/>
      <c r="AB33" s="15" t="str">
        <f>IFERROR(__xludf.DUMMYFUNCTION("join("","",filter(split($H$84,"",""),ARRAYFORMULA(ISERROR(FIND(split($H$84,"",""),CONCATENATE(E33:V33))))=TRUE))"),"СЗ,КЗ,201,206,210,401,402,403,404,405,406,408,409,АЗ")</f>
        <v>СЗ,КЗ,201,206,210,401,402,403,404,405,406,408,409,АЗ</v>
      </c>
      <c r="AC33" s="14"/>
      <c r="AD33" s="14"/>
      <c r="AE33" s="14"/>
      <c r="AF33" s="29"/>
      <c r="AG33" s="29"/>
      <c r="AH33" s="29"/>
    </row>
    <row r="34" ht="40.5" hidden="1" customHeight="1">
      <c r="A34" s="30"/>
      <c r="B34" s="436">
        <v>10.0</v>
      </c>
      <c r="C34" s="44" t="s">
        <v>120</v>
      </c>
      <c r="D34" s="44" t="s">
        <v>121</v>
      </c>
      <c r="E34" s="141" t="s">
        <v>11824</v>
      </c>
      <c r="F34" s="13"/>
      <c r="G34" s="145" t="s">
        <v>296</v>
      </c>
      <c r="H34" s="8"/>
      <c r="I34" s="8"/>
      <c r="J34" s="8"/>
      <c r="K34" s="8"/>
      <c r="L34" s="8"/>
      <c r="M34" s="8"/>
      <c r="N34" s="8"/>
      <c r="O34" s="8"/>
      <c r="P34" s="8"/>
      <c r="Q34" s="4"/>
      <c r="R34" s="146"/>
      <c r="S34" s="147"/>
      <c r="T34" s="148"/>
      <c r="U34" s="149"/>
      <c r="V34" s="150"/>
      <c r="W34" s="26"/>
      <c r="X34" s="70" t="s">
        <v>120</v>
      </c>
      <c r="Y34" s="70" t="s">
        <v>121</v>
      </c>
      <c r="Z34" s="28"/>
      <c r="AA34" s="14"/>
      <c r="AB34" s="15"/>
      <c r="AC34" s="14"/>
      <c r="AD34" s="14"/>
      <c r="AE34" s="14"/>
      <c r="AF34" s="29"/>
      <c r="AG34" s="29"/>
      <c r="AH34" s="29"/>
    </row>
    <row r="35" ht="40.5" hidden="1" customHeight="1">
      <c r="A35" s="74"/>
      <c r="B35" s="438">
        <v>11.0</v>
      </c>
      <c r="C35" s="76" t="s">
        <v>124</v>
      </c>
      <c r="D35" s="76" t="s">
        <v>125</v>
      </c>
      <c r="E35" s="141" t="s">
        <v>11825</v>
      </c>
      <c r="F35" s="13"/>
      <c r="G35" s="151"/>
      <c r="H35" s="151"/>
      <c r="I35" s="151"/>
      <c r="J35" s="151"/>
      <c r="K35" s="151"/>
      <c r="L35" s="151"/>
      <c r="M35" s="151"/>
      <c r="N35" s="151"/>
      <c r="O35" s="151"/>
      <c r="P35" s="151"/>
      <c r="Q35" s="152"/>
      <c r="R35" s="153"/>
      <c r="S35" s="154"/>
      <c r="T35" s="113"/>
      <c r="U35" s="155"/>
      <c r="V35" s="112"/>
      <c r="W35" s="26"/>
      <c r="X35" s="79" t="s">
        <v>124</v>
      </c>
      <c r="Y35" s="79" t="s">
        <v>125</v>
      </c>
      <c r="Z35" s="28"/>
      <c r="AA35" s="14"/>
      <c r="AB35" s="15" t="str">
        <f>IFERROR(__xludf.DUMMYFUNCTION("join("","",filter(split($H$84,"",""),ARRAYFORMULA(ISERROR(FIND(split($H$84,"",""),CONCATENATE(E35:V35))))=TRUE))"),"СЗ,КЗ,201,202,206,209,210,401,402,403,404,405,406,408,409,АЗ")</f>
        <v>СЗ,КЗ,201,202,206,209,210,401,402,403,404,405,406,408,409,АЗ</v>
      </c>
      <c r="AC35" s="14"/>
      <c r="AD35" s="14"/>
      <c r="AE35" s="14"/>
      <c r="AF35" s="29"/>
      <c r="AG35" s="29"/>
      <c r="AH35" s="29"/>
    </row>
    <row r="36" ht="60.0" hidden="1" customHeight="1">
      <c r="A36" s="689">
        <v>45064.0</v>
      </c>
      <c r="B36" s="19">
        <v>1.0</v>
      </c>
      <c r="C36" s="20" t="s">
        <v>12</v>
      </c>
      <c r="D36" s="20" t="s">
        <v>13</v>
      </c>
      <c r="E36" s="80" t="s">
        <v>11826</v>
      </c>
      <c r="F36" s="25"/>
      <c r="G36" s="156" t="s">
        <v>11827</v>
      </c>
      <c r="H36" s="117" t="s">
        <v>11828</v>
      </c>
      <c r="I36" s="25"/>
      <c r="J36" s="157" t="s">
        <v>11829</v>
      </c>
      <c r="K36" s="13"/>
      <c r="L36" s="156" t="s">
        <v>11830</v>
      </c>
      <c r="M36" s="156" t="s">
        <v>11831</v>
      </c>
      <c r="N36" s="80" t="s">
        <v>11832</v>
      </c>
      <c r="O36" s="25"/>
      <c r="P36" s="156" t="s">
        <v>11833</v>
      </c>
      <c r="Q36" s="156" t="s">
        <v>11834</v>
      </c>
      <c r="R36" s="159" t="s">
        <v>11835</v>
      </c>
      <c r="S36" s="160"/>
      <c r="T36" s="161" t="s">
        <v>11836</v>
      </c>
      <c r="U36" s="24"/>
      <c r="V36" s="22"/>
      <c r="W36" s="26"/>
      <c r="X36" s="27" t="s">
        <v>12</v>
      </c>
      <c r="Y36" s="27" t="s">
        <v>13</v>
      </c>
      <c r="Z36" s="28"/>
      <c r="AA36" s="14"/>
      <c r="AB36" s="15" t="str">
        <f>IFERROR(__xludf.DUMMYFUNCTION("join("","",filter(split($H$84,"",""),ARRAYFORMULA(ISERROR(FIND(split($H$84,"",""),CONCATENATE(E36:V36))))=TRUE))"),"СЗ,КЗ,206,406,410,АЗ")</f>
        <v>СЗ,КЗ,206,406,410,АЗ</v>
      </c>
      <c r="AC36" s="14"/>
      <c r="AD36" s="14"/>
      <c r="AE36" s="14"/>
      <c r="AF36" s="29"/>
      <c r="AG36" s="29"/>
      <c r="AH36" s="29"/>
    </row>
    <row r="37" ht="54.0" hidden="1" customHeight="1">
      <c r="A37" s="30"/>
      <c r="B37" s="31">
        <v>2.0</v>
      </c>
      <c r="C37" s="32" t="s">
        <v>21</v>
      </c>
      <c r="D37" s="32" t="s">
        <v>22</v>
      </c>
      <c r="E37" s="45" t="s">
        <v>11837</v>
      </c>
      <c r="F37" s="13"/>
      <c r="G37" s="44" t="s">
        <v>11838</v>
      </c>
      <c r="H37" s="40" t="s">
        <v>312</v>
      </c>
      <c r="I37" s="13"/>
      <c r="J37" s="157" t="s">
        <v>313</v>
      </c>
      <c r="K37" s="13"/>
      <c r="L37" s="44" t="s">
        <v>11839</v>
      </c>
      <c r="M37" s="44" t="s">
        <v>11840</v>
      </c>
      <c r="N37" s="45" t="s">
        <v>316</v>
      </c>
      <c r="O37" s="13"/>
      <c r="P37" s="44" t="s">
        <v>11841</v>
      </c>
      <c r="Q37" s="44" t="s">
        <v>11842</v>
      </c>
      <c r="R37" s="162" t="s">
        <v>11843</v>
      </c>
      <c r="S37" s="90"/>
      <c r="T37" s="163" t="s">
        <v>11844</v>
      </c>
      <c r="U37" s="36"/>
      <c r="V37" s="41"/>
      <c r="W37" s="26"/>
      <c r="X37" s="42" t="s">
        <v>21</v>
      </c>
      <c r="Y37" s="42" t="s">
        <v>22</v>
      </c>
      <c r="Z37" s="28"/>
      <c r="AA37" s="14"/>
      <c r="AB37" s="15" t="str">
        <f>IFERROR(__xludf.DUMMYFUNCTION("join("","",filter(split($H$84,"",""),ARRAYFORMULA(ISERROR(FIND(split($H$84,"",""),CONCATENATE(E37:V37))))=TRUE))"),"СЗ,КЗ,206,406,410,АЗ")</f>
        <v>СЗ,КЗ,206,406,410,АЗ</v>
      </c>
      <c r="AC37" s="14"/>
      <c r="AD37" s="14"/>
      <c r="AE37" s="14"/>
      <c r="AF37" s="29"/>
      <c r="AG37" s="29"/>
      <c r="AH37" s="29"/>
    </row>
    <row r="38" ht="56.25" hidden="1" customHeight="1">
      <c r="A38" s="30"/>
      <c r="B38" s="31">
        <v>3.0</v>
      </c>
      <c r="C38" s="32" t="s">
        <v>33</v>
      </c>
      <c r="D38" s="32" t="s">
        <v>34</v>
      </c>
      <c r="E38" s="45" t="s">
        <v>11845</v>
      </c>
      <c r="F38" s="13"/>
      <c r="G38" s="132" t="s">
        <v>11846</v>
      </c>
      <c r="H38" s="45" t="s">
        <v>11847</v>
      </c>
      <c r="I38" s="13"/>
      <c r="J38" s="45" t="s">
        <v>11848</v>
      </c>
      <c r="K38" s="13"/>
      <c r="L38" s="44" t="s">
        <v>11849</v>
      </c>
      <c r="M38" s="44" t="s">
        <v>11850</v>
      </c>
      <c r="N38" s="164" t="s">
        <v>11851</v>
      </c>
      <c r="O38" s="36"/>
      <c r="P38" s="36"/>
      <c r="Q38" s="13"/>
      <c r="R38" s="44" t="s">
        <v>11852</v>
      </c>
      <c r="S38" s="44" t="s">
        <v>11853</v>
      </c>
      <c r="T38" s="87" t="s">
        <v>11854</v>
      </c>
      <c r="U38" s="36"/>
      <c r="V38" s="41"/>
      <c r="W38" s="26"/>
      <c r="X38" s="42" t="s">
        <v>33</v>
      </c>
      <c r="Y38" s="42" t="s">
        <v>34</v>
      </c>
      <c r="Z38" s="48" t="s">
        <v>47</v>
      </c>
      <c r="AA38" s="85" t="str">
        <f>AA$5</f>
        <v/>
      </c>
      <c r="AB38" s="15" t="str">
        <f>IFERROR(__xludf.DUMMYFUNCTION("join("","",filter(split($H$84,"",""),ARRAYFORMULA(ISERROR(FIND(split($H$84,"",""),CONCATENATE(E38:V38))))=TRUE))"),"КЗ,206,403,406,410,АЗ")</f>
        <v>КЗ,206,403,406,410,АЗ</v>
      </c>
      <c r="AC38" s="14"/>
      <c r="AD38" s="14"/>
      <c r="AE38" s="14"/>
      <c r="AF38" s="29"/>
      <c r="AG38" s="29"/>
      <c r="AH38" s="29"/>
    </row>
    <row r="39" ht="51.75" hidden="1" customHeight="1">
      <c r="A39" s="30"/>
      <c r="B39" s="31">
        <v>4.0</v>
      </c>
      <c r="C39" s="32" t="s">
        <v>48</v>
      </c>
      <c r="D39" s="32" t="s">
        <v>49</v>
      </c>
      <c r="E39" s="45" t="s">
        <v>11855</v>
      </c>
      <c r="F39" s="13"/>
      <c r="G39" s="132" t="s">
        <v>11856</v>
      </c>
      <c r="H39" s="45" t="s">
        <v>11857</v>
      </c>
      <c r="I39" s="13"/>
      <c r="J39" s="45" t="s">
        <v>11858</v>
      </c>
      <c r="K39" s="13"/>
      <c r="L39" s="44" t="s">
        <v>11859</v>
      </c>
      <c r="M39" s="44" t="s">
        <v>11860</v>
      </c>
      <c r="N39" s="164" t="s">
        <v>11861</v>
      </c>
      <c r="O39" s="36"/>
      <c r="P39" s="36"/>
      <c r="Q39" s="13"/>
      <c r="R39" s="44" t="s">
        <v>11862</v>
      </c>
      <c r="S39" s="44" t="s">
        <v>11863</v>
      </c>
      <c r="T39" s="87" t="s">
        <v>11864</v>
      </c>
      <c r="U39" s="36"/>
      <c r="V39" s="41"/>
      <c r="W39" s="26"/>
      <c r="X39" s="42" t="s">
        <v>48</v>
      </c>
      <c r="Y39" s="42" t="s">
        <v>49</v>
      </c>
      <c r="Z39" s="48" t="s">
        <v>57</v>
      </c>
      <c r="AA39" s="85" t="str">
        <f>AA$6</f>
        <v/>
      </c>
      <c r="AB39" s="15" t="str">
        <f>IFERROR(__xludf.DUMMYFUNCTION("join("","",filter(split($H$84,"",""),ARRAYFORMULA(ISERROR(FIND(split($H$84,"",""),CONCATENATE(E39:V39))))=TRUE))"),"КЗ,206,403,406,410,АЗ")</f>
        <v>КЗ,206,403,406,410,АЗ</v>
      </c>
      <c r="AC39" s="14"/>
      <c r="AD39" s="14"/>
      <c r="AE39" s="14"/>
      <c r="AF39" s="29"/>
      <c r="AG39" s="29"/>
      <c r="AH39" s="29"/>
    </row>
    <row r="40" ht="58.5" hidden="1" customHeight="1">
      <c r="A40" s="30"/>
      <c r="B40" s="31">
        <v>5.0</v>
      </c>
      <c r="C40" s="32" t="s">
        <v>58</v>
      </c>
      <c r="D40" s="53">
        <v>44847.0</v>
      </c>
      <c r="E40" s="45" t="s">
        <v>11865</v>
      </c>
      <c r="F40" s="13"/>
      <c r="G40" s="44" t="s">
        <v>11866</v>
      </c>
      <c r="H40" s="45" t="s">
        <v>11867</v>
      </c>
      <c r="I40" s="13"/>
      <c r="J40" s="44" t="s">
        <v>11868</v>
      </c>
      <c r="K40" s="44" t="s">
        <v>11869</v>
      </c>
      <c r="L40" s="45" t="s">
        <v>11870</v>
      </c>
      <c r="M40" s="13"/>
      <c r="N40" s="44" t="s">
        <v>11871</v>
      </c>
      <c r="O40" s="44" t="s">
        <v>11872</v>
      </c>
      <c r="P40" s="45" t="s">
        <v>11873</v>
      </c>
      <c r="Q40" s="13"/>
      <c r="R40" s="45" t="s">
        <v>11874</v>
      </c>
      <c r="S40" s="13"/>
      <c r="T40" s="906" t="s">
        <v>11472</v>
      </c>
      <c r="U40" s="36"/>
      <c r="V40" s="41"/>
      <c r="W40" s="26"/>
      <c r="X40" s="42" t="s">
        <v>58</v>
      </c>
      <c r="Y40" s="54">
        <v>44847.0</v>
      </c>
      <c r="Z40" s="48" t="s">
        <v>70</v>
      </c>
      <c r="AA40" s="85" t="str">
        <f>AA$7</f>
        <v/>
      </c>
      <c r="AB40" s="15" t="str">
        <f>IFERROR(__xludf.DUMMYFUNCTION("join("","",filter(split($H$84,"",""),ARRAYFORMULA(ISERROR(FIND(split($H$84,"",""),CONCATENATE(E40:V40))))=TRUE))"),"СЗ,КЗ,201,206,403,406")</f>
        <v>СЗ,КЗ,201,206,403,406</v>
      </c>
      <c r="AC40" s="14"/>
      <c r="AD40" s="14"/>
      <c r="AE40" s="14"/>
      <c r="AF40" s="29"/>
      <c r="AG40" s="29"/>
      <c r="AH40" s="29"/>
    </row>
    <row r="41" ht="54.0" hidden="1" customHeight="1">
      <c r="A41" s="30"/>
      <c r="B41" s="31">
        <v>6.0</v>
      </c>
      <c r="C41" s="55" t="s">
        <v>71</v>
      </c>
      <c r="D41" s="56" t="s">
        <v>72</v>
      </c>
      <c r="E41" s="45" t="s">
        <v>11875</v>
      </c>
      <c r="F41" s="13"/>
      <c r="G41" s="44" t="s">
        <v>355</v>
      </c>
      <c r="H41" s="45" t="s">
        <v>11876</v>
      </c>
      <c r="I41" s="13"/>
      <c r="J41" s="44" t="s">
        <v>11877</v>
      </c>
      <c r="K41" s="44" t="s">
        <v>11878</v>
      </c>
      <c r="L41" s="45" t="s">
        <v>11879</v>
      </c>
      <c r="M41" s="13"/>
      <c r="N41" s="44" t="s">
        <v>11880</v>
      </c>
      <c r="O41" s="44" t="s">
        <v>11881</v>
      </c>
      <c r="P41" s="45" t="s">
        <v>11882</v>
      </c>
      <c r="Q41" s="13"/>
      <c r="R41" s="45" t="s">
        <v>11883</v>
      </c>
      <c r="S41" s="13"/>
      <c r="T41" s="906" t="s">
        <v>11472</v>
      </c>
      <c r="U41" s="36"/>
      <c r="V41" s="41"/>
      <c r="W41" s="26"/>
      <c r="X41" s="58" t="s">
        <v>71</v>
      </c>
      <c r="Y41" s="59" t="s">
        <v>72</v>
      </c>
      <c r="Z41" s="48" t="s">
        <v>84</v>
      </c>
      <c r="AA41" s="85" t="str">
        <f>AA$8</f>
        <v/>
      </c>
      <c r="AB41" s="15" t="str">
        <f>IFERROR(__xludf.DUMMYFUNCTION("join("","",filter(split($H$84,"",""),ARRAYFORMULA(ISERROR(FIND(split($H$84,"",""),CONCATENATE(E41:V41))))=TRUE))"),"СЗ,КЗ,201,206,403,406")</f>
        <v>СЗ,КЗ,201,206,403,406</v>
      </c>
      <c r="AC41" s="14"/>
      <c r="AD41" s="14"/>
      <c r="AE41" s="14"/>
      <c r="AF41" s="29"/>
      <c r="AG41" s="29"/>
      <c r="AH41" s="29"/>
    </row>
    <row r="42" ht="48.75" hidden="1" customHeight="1">
      <c r="A42" s="30"/>
      <c r="B42" s="31">
        <v>7.0</v>
      </c>
      <c r="C42" s="32" t="s">
        <v>85</v>
      </c>
      <c r="D42" s="32" t="s">
        <v>86</v>
      </c>
      <c r="E42" s="45" t="s">
        <v>11884</v>
      </c>
      <c r="F42" s="13"/>
      <c r="G42" s="44" t="s">
        <v>11885</v>
      </c>
      <c r="H42" s="45" t="s">
        <v>11886</v>
      </c>
      <c r="I42" s="13"/>
      <c r="J42" s="44" t="s">
        <v>11887</v>
      </c>
      <c r="K42" s="44" t="s">
        <v>11888</v>
      </c>
      <c r="L42" s="45" t="s">
        <v>11889</v>
      </c>
      <c r="M42" s="13"/>
      <c r="N42" s="87" t="s">
        <v>11890</v>
      </c>
      <c r="O42" s="13"/>
      <c r="P42" s="45" t="s">
        <v>11891</v>
      </c>
      <c r="Q42" s="13"/>
      <c r="R42" s="44" t="s">
        <v>11892</v>
      </c>
      <c r="S42" s="44" t="s">
        <v>11893</v>
      </c>
      <c r="T42" s="906" t="s">
        <v>11472</v>
      </c>
      <c r="U42" s="36"/>
      <c r="V42" s="41"/>
      <c r="W42" s="26"/>
      <c r="X42" s="42" t="s">
        <v>85</v>
      </c>
      <c r="Y42" s="42" t="s">
        <v>86</v>
      </c>
      <c r="Z42" s="48" t="s">
        <v>97</v>
      </c>
      <c r="AA42" s="85" t="str">
        <f>AA$9</f>
        <v/>
      </c>
      <c r="AB42" s="15" t="str">
        <f>IFERROR(__xludf.DUMMYFUNCTION("join("","",filter(split($H$84,"",""),ARRAYFORMULA(ISERROR(FIND(split($H$84,"",""),CONCATENATE(E42:V42))))=TRUE))"),"СЗ,КЗ,206,210,403,406")</f>
        <v>СЗ,КЗ,206,210,403,406</v>
      </c>
      <c r="AC42" s="14"/>
      <c r="AD42" s="14"/>
      <c r="AE42" s="14"/>
      <c r="AF42" s="29"/>
      <c r="AG42" s="29"/>
      <c r="AH42" s="29"/>
    </row>
    <row r="43" ht="52.5" hidden="1" customHeight="1">
      <c r="A43" s="30"/>
      <c r="B43" s="31">
        <v>8.0</v>
      </c>
      <c r="C43" s="32" t="s">
        <v>98</v>
      </c>
      <c r="D43" s="32" t="s">
        <v>99</v>
      </c>
      <c r="E43" s="45" t="s">
        <v>11894</v>
      </c>
      <c r="F43" s="13"/>
      <c r="G43" s="44" t="s">
        <v>11895</v>
      </c>
      <c r="H43" s="45" t="s">
        <v>379</v>
      </c>
      <c r="I43" s="13"/>
      <c r="J43" s="44" t="s">
        <v>11896</v>
      </c>
      <c r="K43" s="44" t="s">
        <v>11897</v>
      </c>
      <c r="L43" s="45" t="s">
        <v>11898</v>
      </c>
      <c r="M43" s="13"/>
      <c r="N43" s="87" t="s">
        <v>11899</v>
      </c>
      <c r="O43" s="13"/>
      <c r="P43" s="45" t="s">
        <v>11900</v>
      </c>
      <c r="Q43" s="13"/>
      <c r="R43" s="166"/>
      <c r="S43" s="13"/>
      <c r="T43" s="906" t="s">
        <v>11472</v>
      </c>
      <c r="U43" s="36"/>
      <c r="V43" s="41"/>
      <c r="W43" s="26"/>
      <c r="X43" s="42" t="s">
        <v>98</v>
      </c>
      <c r="Y43" s="42" t="s">
        <v>99</v>
      </c>
      <c r="Z43" s="11"/>
      <c r="AA43" s="14"/>
      <c r="AB43" s="15" t="str">
        <f>IFERROR(__xludf.DUMMYFUNCTION("join("","",filter(split($H$84,"",""),ARRAYFORMULA(ISERROR(FIND(split($H$84,"",""),CONCATENATE(E43:V43))))=TRUE))"),"СЗ,КЗ,206,210,403,404,405,406")</f>
        <v>СЗ,КЗ,206,210,403,404,405,406</v>
      </c>
      <c r="AC43" s="14"/>
      <c r="AD43" s="14"/>
      <c r="AE43" s="14"/>
      <c r="AF43" s="29"/>
      <c r="AG43" s="29"/>
      <c r="AH43" s="29"/>
    </row>
    <row r="44" ht="40.5" hidden="1" customHeight="1">
      <c r="A44" s="30"/>
      <c r="B44" s="31">
        <v>9.0</v>
      </c>
      <c r="C44" s="65">
        <v>44697.0</v>
      </c>
      <c r="D44" s="44" t="s">
        <v>109</v>
      </c>
      <c r="E44" s="167" t="s">
        <v>11901</v>
      </c>
      <c r="F44" s="4"/>
      <c r="G44" s="168"/>
      <c r="H44" s="169"/>
      <c r="I44" s="36"/>
      <c r="J44" s="13"/>
      <c r="K44" s="170"/>
      <c r="L44" s="4"/>
      <c r="M44" s="171"/>
      <c r="N44" s="45" t="s">
        <v>11902</v>
      </c>
      <c r="O44" s="13"/>
      <c r="P44" s="33" t="s">
        <v>11903</v>
      </c>
      <c r="Q44" s="172" t="s">
        <v>390</v>
      </c>
      <c r="R44" s="8"/>
      <c r="S44" s="8"/>
      <c r="T44" s="8"/>
      <c r="U44" s="8"/>
      <c r="V44" s="129"/>
      <c r="W44" s="26"/>
      <c r="X44" s="69">
        <v>44697.0</v>
      </c>
      <c r="Y44" s="70" t="s">
        <v>109</v>
      </c>
      <c r="Z44" s="28"/>
      <c r="AA44" s="14"/>
      <c r="AB44" s="15" t="str">
        <f>IFERROR(__xludf.DUMMYFUNCTION("join("","",filter(split($H$84,"",""),ARRAYFORMULA(ISERROR(FIND(split($H$84,"",""),CONCATENATE(E44:V44))))=TRUE))"),"КЗ,202,206,209,401,402,403,404,405,406,408,409,АЗ")</f>
        <v>КЗ,202,206,209,401,402,403,404,405,406,408,409,АЗ</v>
      </c>
      <c r="AC44" s="14"/>
      <c r="AD44" s="14"/>
      <c r="AE44" s="14"/>
      <c r="AF44" s="29"/>
      <c r="AG44" s="29"/>
      <c r="AH44" s="29"/>
    </row>
    <row r="45" ht="40.5" hidden="1" customHeight="1">
      <c r="A45" s="30"/>
      <c r="B45" s="31">
        <v>10.0</v>
      </c>
      <c r="C45" s="44" t="s">
        <v>120</v>
      </c>
      <c r="D45" s="44" t="s">
        <v>121</v>
      </c>
      <c r="E45" s="104"/>
      <c r="F45" s="72"/>
      <c r="G45" s="173"/>
      <c r="H45" s="169"/>
      <c r="I45" s="36"/>
      <c r="J45" s="13"/>
      <c r="K45" s="104"/>
      <c r="L45" s="72"/>
      <c r="M45" s="171"/>
      <c r="N45" s="45" t="s">
        <v>11904</v>
      </c>
      <c r="O45" s="13"/>
      <c r="P45" s="33" t="s">
        <v>11905</v>
      </c>
      <c r="Q45" s="104"/>
      <c r="R45" s="64"/>
      <c r="S45" s="64"/>
      <c r="T45" s="64"/>
      <c r="U45" s="64"/>
      <c r="V45" s="88"/>
      <c r="W45" s="26"/>
      <c r="X45" s="70" t="s">
        <v>120</v>
      </c>
      <c r="Y45" s="70" t="s">
        <v>121</v>
      </c>
      <c r="Z45" s="28"/>
      <c r="AA45" s="14"/>
      <c r="AB45" s="15" t="str">
        <f>IFERROR(__xludf.DUMMYFUNCTION("join("","",filter(split($H$84,"",""),ARRAYFORMULA(ISERROR(FIND(split($H$84,"",""),CONCATENATE(E45:V45))))=TRUE))"),"КЗ,201,202,206,209,401,402,403,404,405,406,408,409,410,АЗ")</f>
        <v>КЗ,201,202,206,209,401,402,403,404,405,406,408,409,410,АЗ</v>
      </c>
      <c r="AC45" s="14"/>
      <c r="AD45" s="14"/>
      <c r="AE45" s="14"/>
      <c r="AF45" s="29"/>
      <c r="AG45" s="29"/>
      <c r="AH45" s="29"/>
    </row>
    <row r="46" ht="40.5" hidden="1" customHeight="1">
      <c r="A46" s="74"/>
      <c r="B46" s="75">
        <v>11.0</v>
      </c>
      <c r="C46" s="76" t="s">
        <v>124</v>
      </c>
      <c r="D46" s="76" t="s">
        <v>125</v>
      </c>
      <c r="E46" s="111"/>
      <c r="F46" s="111"/>
      <c r="G46" s="111"/>
      <c r="H46" s="111"/>
      <c r="I46" s="225"/>
      <c r="J46" s="111"/>
      <c r="K46" s="111"/>
      <c r="L46" s="111"/>
      <c r="M46" s="111"/>
      <c r="N46" s="111"/>
      <c r="O46" s="111"/>
      <c r="P46" s="111"/>
      <c r="Q46" s="111"/>
      <c r="R46" s="111"/>
      <c r="S46" s="111"/>
      <c r="T46" s="111"/>
      <c r="U46" s="111"/>
      <c r="V46" s="112"/>
      <c r="W46" s="26"/>
      <c r="X46" s="79" t="s">
        <v>124</v>
      </c>
      <c r="Y46" s="79" t="s">
        <v>125</v>
      </c>
      <c r="Z46" s="28"/>
      <c r="AA46" s="14"/>
      <c r="AB46" s="15" t="str">
        <f>IFERROR(__xludf.DUMMYFUNCTION("join("","",filter(split($H$84,"",""),ARRAYFORMULA(ISERROR(FIND(split($H$84,"",""),CONCATENATE(E46:V46))))=TRUE))"),"СЗ,КЗ,201,202,206,209,210,401,402,403,404,405,406,408,409,410,АЗ")</f>
        <v>СЗ,КЗ,201,202,206,209,210,401,402,403,404,405,406,408,409,410,АЗ</v>
      </c>
      <c r="AC46" s="14"/>
      <c r="AD46" s="14"/>
      <c r="AE46" s="14"/>
      <c r="AF46" s="29"/>
      <c r="AG46" s="29"/>
      <c r="AH46" s="29"/>
    </row>
    <row r="47" ht="40.5" customHeight="1">
      <c r="A47" s="689">
        <v>45065.0</v>
      </c>
      <c r="B47" s="19">
        <v>1.0</v>
      </c>
      <c r="C47" s="20" t="s">
        <v>12</v>
      </c>
      <c r="D47" s="20" t="s">
        <v>13</v>
      </c>
      <c r="E47" s="156" t="s">
        <v>11906</v>
      </c>
      <c r="F47" s="156" t="s">
        <v>11907</v>
      </c>
      <c r="G47" s="80" t="s">
        <v>11908</v>
      </c>
      <c r="H47" s="25"/>
      <c r="I47" s="156" t="s">
        <v>11909</v>
      </c>
      <c r="J47" s="175" t="s">
        <v>11910</v>
      </c>
      <c r="K47" s="907" t="s">
        <v>11911</v>
      </c>
      <c r="L47" s="80" t="s">
        <v>11912</v>
      </c>
      <c r="M47" s="25"/>
      <c r="N47" s="156" t="s">
        <v>11913</v>
      </c>
      <c r="O47" s="156" t="s">
        <v>11914</v>
      </c>
      <c r="P47" s="908" t="s">
        <v>11915</v>
      </c>
      <c r="Q47" s="245"/>
      <c r="R47" s="80"/>
      <c r="S47" s="25"/>
      <c r="T47" s="80"/>
      <c r="U47" s="24"/>
      <c r="V47" s="22"/>
      <c r="W47" s="26"/>
      <c r="X47" s="27" t="s">
        <v>12</v>
      </c>
      <c r="Y47" s="27" t="s">
        <v>13</v>
      </c>
      <c r="Z47" s="28"/>
      <c r="AA47" s="14"/>
      <c r="AB47" s="15" t="str">
        <f>IFERROR(__xludf.DUMMYFUNCTION("join("","",filter(split($H$84,"",""),ARRAYFORMULA(ISERROR(FIND(split($H$84,"",""),CONCATENATE(E47:V47))))=TRUE))"),"СЗ,201,206,209,210,402,410")</f>
        <v>СЗ,201,206,209,210,402,410</v>
      </c>
      <c r="AC47" s="14"/>
      <c r="AD47" s="14"/>
      <c r="AE47" s="14"/>
      <c r="AF47" s="29"/>
      <c r="AG47" s="29"/>
      <c r="AH47" s="29"/>
    </row>
    <row r="48" ht="40.5" customHeight="1">
      <c r="A48" s="30"/>
      <c r="B48" s="31">
        <v>2.0</v>
      </c>
      <c r="C48" s="32" t="s">
        <v>21</v>
      </c>
      <c r="D48" s="32" t="s">
        <v>22</v>
      </c>
      <c r="E48" s="44" t="s">
        <v>11916</v>
      </c>
      <c r="F48" s="44" t="s">
        <v>11917</v>
      </c>
      <c r="G48" s="45" t="s">
        <v>11918</v>
      </c>
      <c r="H48" s="13"/>
      <c r="I48" s="156" t="s">
        <v>11909</v>
      </c>
      <c r="J48" s="157" t="s">
        <v>11919</v>
      </c>
      <c r="K48" s="72"/>
      <c r="L48" s="80" t="s">
        <v>11920</v>
      </c>
      <c r="M48" s="25"/>
      <c r="N48" s="44" t="s">
        <v>11921</v>
      </c>
      <c r="O48" s="44" t="s">
        <v>11922</v>
      </c>
      <c r="P48" s="104"/>
      <c r="Q48" s="72"/>
      <c r="R48" s="45" t="s">
        <v>11923</v>
      </c>
      <c r="S48" s="13"/>
      <c r="T48" s="45" t="s">
        <v>11924</v>
      </c>
      <c r="U48" s="36"/>
      <c r="V48" s="41"/>
      <c r="W48" s="26"/>
      <c r="X48" s="59">
        <v>2.0</v>
      </c>
      <c r="Y48" s="42" t="s">
        <v>22</v>
      </c>
      <c r="Z48" s="28"/>
      <c r="AA48" s="14"/>
      <c r="AB48" s="15" t="str">
        <f>IFERROR(__xludf.DUMMYFUNCTION("join("","",filter(split($H$84,"",""),ARRAYFORMULA(ISERROR(FIND(split($H$84,"",""),CONCATENATE(E48:V48))))=TRUE))"),"СЗ,КЗ,206,209,402,410,АЗ")</f>
        <v>СЗ,КЗ,206,209,402,410,АЗ</v>
      </c>
      <c r="AC48" s="14"/>
      <c r="AD48" s="14"/>
      <c r="AE48" s="14"/>
      <c r="AF48" s="29"/>
      <c r="AG48" s="29"/>
      <c r="AH48" s="29"/>
    </row>
    <row r="49" ht="40.5" customHeight="1">
      <c r="A49" s="30"/>
      <c r="B49" s="31">
        <v>3.0</v>
      </c>
      <c r="C49" s="32" t="s">
        <v>33</v>
      </c>
      <c r="D49" s="32" t="s">
        <v>34</v>
      </c>
      <c r="E49" s="45" t="s">
        <v>11925</v>
      </c>
      <c r="F49" s="13"/>
      <c r="G49" s="45" t="s">
        <v>11926</v>
      </c>
      <c r="H49" s="13"/>
      <c r="I49" s="90" t="s">
        <v>11927</v>
      </c>
      <c r="J49" s="44" t="s">
        <v>11928</v>
      </c>
      <c r="K49" s="907" t="s">
        <v>11929</v>
      </c>
      <c r="L49" s="44" t="s">
        <v>11930</v>
      </c>
      <c r="M49" s="44" t="s">
        <v>11931</v>
      </c>
      <c r="N49" s="164" t="s">
        <v>11932</v>
      </c>
      <c r="O49" s="36"/>
      <c r="P49" s="909"/>
      <c r="Q49" s="8"/>
      <c r="R49" s="38" t="s">
        <v>11933</v>
      </c>
      <c r="S49" s="13"/>
      <c r="T49" s="45" t="s">
        <v>11934</v>
      </c>
      <c r="U49" s="36"/>
      <c r="V49" s="41"/>
      <c r="W49" s="26"/>
      <c r="X49" s="42" t="s">
        <v>33</v>
      </c>
      <c r="Y49" s="42" t="s">
        <v>34</v>
      </c>
      <c r="Z49" s="48" t="s">
        <v>47</v>
      </c>
      <c r="AA49" s="85" t="str">
        <f>AA$5</f>
        <v/>
      </c>
      <c r="AB49" s="15" t="str">
        <f>IFERROR(__xludf.DUMMYFUNCTION("join("","",filter(split($H$84,"",""),ARRAYFORMULA(ISERROR(FIND(split($H$84,"",""),CONCATENATE(E49:V49))))=TRUE))"),"СЗ,206,209,408,410")</f>
        <v>СЗ,206,209,408,410</v>
      </c>
      <c r="AC49" s="14"/>
      <c r="AD49" s="14"/>
      <c r="AE49" s="14"/>
      <c r="AF49" s="29"/>
      <c r="AG49" s="29"/>
      <c r="AH49" s="29"/>
    </row>
    <row r="50" ht="40.5" customHeight="1">
      <c r="A50" s="30"/>
      <c r="B50" s="31">
        <v>4.0</v>
      </c>
      <c r="C50" s="32" t="s">
        <v>48</v>
      </c>
      <c r="D50" s="32" t="s">
        <v>49</v>
      </c>
      <c r="E50" s="45" t="s">
        <v>11935</v>
      </c>
      <c r="F50" s="13"/>
      <c r="G50" s="45" t="s">
        <v>11926</v>
      </c>
      <c r="H50" s="13"/>
      <c r="I50" s="90" t="s">
        <v>11936</v>
      </c>
      <c r="J50" s="44" t="s">
        <v>11937</v>
      </c>
      <c r="K50" s="72"/>
      <c r="L50" s="44" t="s">
        <v>11938</v>
      </c>
      <c r="M50" s="44" t="s">
        <v>11939</v>
      </c>
      <c r="N50" s="164" t="s">
        <v>11940</v>
      </c>
      <c r="O50" s="36"/>
      <c r="R50" s="38" t="s">
        <v>11941</v>
      </c>
      <c r="S50" s="13"/>
      <c r="T50" s="45" t="s">
        <v>11942</v>
      </c>
      <c r="U50" s="36"/>
      <c r="V50" s="41"/>
      <c r="W50" s="26"/>
      <c r="X50" s="42" t="s">
        <v>48</v>
      </c>
      <c r="Y50" s="42" t="s">
        <v>49</v>
      </c>
      <c r="Z50" s="48" t="s">
        <v>57</v>
      </c>
      <c r="AA50" s="85" t="str">
        <f>AA$6</f>
        <v/>
      </c>
      <c r="AB50" s="15" t="str">
        <f>IFERROR(__xludf.DUMMYFUNCTION("join("","",filter(split($H$84,"",""),ARRAYFORMULA(ISERROR(FIND(split($H$84,"",""),CONCATENATE(E50:V50))))=TRUE))"),"СЗ,206,209,408,410,АЗ")</f>
        <v>СЗ,206,209,408,410,АЗ</v>
      </c>
      <c r="AC50" s="14"/>
      <c r="AD50" s="14"/>
      <c r="AE50" s="14"/>
      <c r="AF50" s="29"/>
      <c r="AG50" s="29"/>
      <c r="AH50" s="29"/>
    </row>
    <row r="51" ht="40.5" customHeight="1">
      <c r="A51" s="30"/>
      <c r="B51" s="31">
        <v>5.0</v>
      </c>
      <c r="C51" s="32" t="s">
        <v>58</v>
      </c>
      <c r="D51" s="53">
        <v>44847.0</v>
      </c>
      <c r="E51" s="45" t="s">
        <v>11943</v>
      </c>
      <c r="F51" s="13"/>
      <c r="G51" s="44" t="s">
        <v>11944</v>
      </c>
      <c r="H51" s="44" t="s">
        <v>11945</v>
      </c>
      <c r="I51" s="44" t="s">
        <v>11946</v>
      </c>
      <c r="J51" s="45" t="s">
        <v>11947</v>
      </c>
      <c r="K51" s="36"/>
      <c r="L51" s="36"/>
      <c r="M51" s="13"/>
      <c r="N51" s="163" t="s">
        <v>11948</v>
      </c>
      <c r="O51" s="13"/>
      <c r="P51" s="64"/>
      <c r="Q51" s="64"/>
      <c r="R51" s="38" t="s">
        <v>11949</v>
      </c>
      <c r="S51" s="13"/>
      <c r="T51" s="80" t="s">
        <v>11950</v>
      </c>
      <c r="U51" s="24"/>
      <c r="V51" s="22"/>
      <c r="W51" s="26"/>
      <c r="X51" s="42" t="s">
        <v>58</v>
      </c>
      <c r="Y51" s="54">
        <v>44847.0</v>
      </c>
      <c r="Z51" s="48" t="s">
        <v>70</v>
      </c>
      <c r="AA51" s="85" t="str">
        <f>AA$7</f>
        <v/>
      </c>
      <c r="AB51" s="15" t="str">
        <f>IFERROR(__xludf.DUMMYFUNCTION("join("","",filter(split($H$84,"",""),ARRAYFORMULA(ISERROR(FIND(split($H$84,"",""),CONCATENATE(E51:V51))))=TRUE))"),"СЗ,КЗ,202,206,401,404,406,408,410,АЗ")</f>
        <v>СЗ,КЗ,202,206,401,404,406,408,410,АЗ</v>
      </c>
      <c r="AC51" s="14"/>
      <c r="AD51" s="14"/>
      <c r="AE51" s="14"/>
      <c r="AF51" s="29"/>
      <c r="AG51" s="29"/>
      <c r="AH51" s="29"/>
    </row>
    <row r="52" ht="48.75" customHeight="1">
      <c r="A52" s="30"/>
      <c r="B52" s="31">
        <v>6.0</v>
      </c>
      <c r="C52" s="55" t="s">
        <v>71</v>
      </c>
      <c r="D52" s="56" t="s">
        <v>72</v>
      </c>
      <c r="E52" s="910" t="s">
        <v>11951</v>
      </c>
      <c r="F52" s="8"/>
      <c r="G52" s="8"/>
      <c r="H52" s="8"/>
      <c r="I52" s="8"/>
      <c r="J52" s="8"/>
      <c r="K52" s="8"/>
      <c r="L52" s="8"/>
      <c r="M52" s="8"/>
      <c r="N52" s="8"/>
      <c r="O52" s="8"/>
      <c r="P52" s="8"/>
      <c r="Q52" s="8"/>
      <c r="R52" s="8"/>
      <c r="S52" s="4"/>
      <c r="T52" s="45" t="s">
        <v>11952</v>
      </c>
      <c r="U52" s="36"/>
      <c r="V52" s="41"/>
      <c r="W52" s="179"/>
      <c r="X52" s="58" t="s">
        <v>71</v>
      </c>
      <c r="Y52" s="59" t="s">
        <v>72</v>
      </c>
      <c r="Z52" s="48" t="s">
        <v>84</v>
      </c>
      <c r="AA52" s="85"/>
      <c r="AB52" s="15" t="str">
        <f>IFERROR(__xludf.DUMMYFUNCTION("join("","",filter(split($H$84,"",""),ARRAYFORMULA(ISERROR(FIND(split($H$84,"",""),CONCATENATE(E52:V52))))=TRUE))"),"СЗ,201,202,206,209,210,401,402,403,404,405,406,408,409,410")</f>
        <v>СЗ,201,202,206,209,210,401,402,403,404,405,406,408,409,410</v>
      </c>
      <c r="AC52" s="15" t="str">
        <f>IFERROR(__xludf.DUMMYFUNCTION("join("","",filter(split(#REF!,"",""),ARRAYFORMULA(ISERROR(FIND(split(#REF!,"",""),CONCATENATE(E52:S52))))=TRUE))"),"#REF!")</f>
        <v>#REF!</v>
      </c>
      <c r="AD52" s="14"/>
      <c r="AE52" s="14"/>
      <c r="AF52" s="29"/>
      <c r="AG52" s="29"/>
      <c r="AH52" s="29"/>
    </row>
    <row r="53" ht="55.5" customHeight="1">
      <c r="A53" s="30"/>
      <c r="B53" s="31">
        <v>7.0</v>
      </c>
      <c r="C53" s="32" t="s">
        <v>85</v>
      </c>
      <c r="D53" s="32" t="s">
        <v>86</v>
      </c>
      <c r="E53" s="224"/>
      <c r="S53" s="139"/>
      <c r="T53" s="911" t="s">
        <v>11953</v>
      </c>
      <c r="U53" s="8"/>
      <c r="V53" s="129"/>
      <c r="W53" s="26"/>
      <c r="X53" s="42" t="s">
        <v>85</v>
      </c>
      <c r="Y53" s="42" t="s">
        <v>86</v>
      </c>
      <c r="Z53" s="48" t="s">
        <v>97</v>
      </c>
      <c r="AA53" s="85" t="str">
        <f>AA$9</f>
        <v/>
      </c>
      <c r="AB53" s="15" t="str">
        <f>IFERROR(__xludf.DUMMYFUNCTION("join("","",filter(split($H$84,"",""),ARRAYFORMULA(ISERROR(FIND(split($H$84,"",""),CONCATENATE(E53:V53))))=TRUE))"),"СЗ,КЗ,201,202,206,209,210,401,402,403,404,405,406,408,409,410")</f>
        <v>СЗ,КЗ,201,202,206,209,210,401,402,403,404,405,406,408,409,410</v>
      </c>
      <c r="AC53" s="14"/>
      <c r="AD53" s="14"/>
      <c r="AE53" s="14"/>
      <c r="AF53" s="29"/>
      <c r="AG53" s="29"/>
      <c r="AH53" s="29"/>
    </row>
    <row r="54" ht="51.75" customHeight="1">
      <c r="A54" s="30"/>
      <c r="B54" s="31">
        <v>8.0</v>
      </c>
      <c r="C54" s="32" t="s">
        <v>98</v>
      </c>
      <c r="D54" s="32" t="s">
        <v>99</v>
      </c>
      <c r="E54" s="104"/>
      <c r="F54" s="64"/>
      <c r="G54" s="64"/>
      <c r="H54" s="64"/>
      <c r="I54" s="64"/>
      <c r="J54" s="64"/>
      <c r="K54" s="64"/>
      <c r="L54" s="64"/>
      <c r="M54" s="64"/>
      <c r="N54" s="64"/>
      <c r="O54" s="64"/>
      <c r="P54" s="64"/>
      <c r="Q54" s="64"/>
      <c r="R54" s="64"/>
      <c r="S54" s="72"/>
      <c r="T54" s="104"/>
      <c r="U54" s="64"/>
      <c r="V54" s="88"/>
      <c r="W54" s="26"/>
      <c r="X54" s="42" t="s">
        <v>98</v>
      </c>
      <c r="Y54" s="42" t="s">
        <v>99</v>
      </c>
      <c r="Z54" s="11"/>
      <c r="AA54" s="14"/>
      <c r="AB54" s="15" t="str">
        <f>IFERROR(__xludf.DUMMYFUNCTION("join("","",filter(split($H$84,"",""),ARRAYFORMULA(ISERROR(FIND(split($H$84,"",""),CONCATENATE(E54:V54))))=TRUE))"),"СЗ,КЗ,201,202,206,209,210,401,402,403,404,405,406,408,409,410,АЗ")</f>
        <v>СЗ,КЗ,201,202,206,209,210,401,402,403,404,405,406,408,409,410,АЗ</v>
      </c>
      <c r="AC54" s="14"/>
      <c r="AD54" s="14"/>
      <c r="AE54" s="14"/>
      <c r="AF54" s="29"/>
      <c r="AG54" s="29"/>
      <c r="AH54" s="29"/>
    </row>
    <row r="55" ht="71.25" customHeight="1">
      <c r="A55" s="30"/>
      <c r="B55" s="31">
        <v>9.0</v>
      </c>
      <c r="C55" s="65">
        <v>44697.0</v>
      </c>
      <c r="D55" s="44" t="s">
        <v>109</v>
      </c>
      <c r="E55" s="187"/>
      <c r="F55" s="8"/>
      <c r="G55" s="8"/>
      <c r="H55" s="8"/>
      <c r="I55" s="8"/>
      <c r="J55" s="8"/>
      <c r="K55" s="8"/>
      <c r="L55" s="8"/>
      <c r="M55" s="8"/>
      <c r="N55" s="163"/>
      <c r="O55" s="177"/>
      <c r="P55" s="187"/>
      <c r="Q55" s="8"/>
      <c r="R55" s="8"/>
      <c r="S55" s="8"/>
      <c r="T55" s="8"/>
      <c r="U55" s="8"/>
      <c r="V55" s="8"/>
      <c r="W55" s="186"/>
      <c r="X55" s="69">
        <v>44697.0</v>
      </c>
      <c r="Y55" s="70" t="s">
        <v>109</v>
      </c>
      <c r="Z55" s="28"/>
      <c r="AA55" s="14"/>
      <c r="AB55" s="15" t="str">
        <f>IFERROR(__xludf.DUMMYFUNCTION("join("","",filter(split($H$84,"",""),ARRAYFORMULA(ISERROR(FIND(split($H$84,"",""),CONCATENATE(E55:V55))))=TRUE))"),"СЗ,КЗ,201,202,206,209,210,401,402,403,404,405,406,408,409,410,АЗ")</f>
        <v>СЗ,КЗ,201,202,206,209,210,401,402,403,404,405,406,408,409,410,АЗ</v>
      </c>
      <c r="AC55" s="14"/>
      <c r="AD55" s="14"/>
      <c r="AE55" s="14"/>
      <c r="AF55" s="29"/>
      <c r="AG55" s="29"/>
      <c r="AH55" s="29"/>
    </row>
    <row r="56" ht="40.5" customHeight="1">
      <c r="A56" s="30"/>
      <c r="B56" s="31">
        <v>10.0</v>
      </c>
      <c r="C56" s="44" t="s">
        <v>120</v>
      </c>
      <c r="D56" s="44" t="s">
        <v>121</v>
      </c>
      <c r="E56" s="104"/>
      <c r="F56" s="64"/>
      <c r="G56" s="64"/>
      <c r="H56" s="64"/>
      <c r="I56" s="64"/>
      <c r="J56" s="64"/>
      <c r="K56" s="64"/>
      <c r="L56" s="64"/>
      <c r="M56" s="64"/>
      <c r="N56" s="188"/>
      <c r="O56" s="189"/>
      <c r="P56" s="104"/>
      <c r="Q56" s="64"/>
      <c r="R56" s="64"/>
      <c r="S56" s="64"/>
      <c r="T56" s="64"/>
      <c r="U56" s="64"/>
      <c r="V56" s="64"/>
      <c r="W56" s="190"/>
      <c r="X56" s="70" t="s">
        <v>120</v>
      </c>
      <c r="Y56" s="70" t="s">
        <v>121</v>
      </c>
      <c r="Z56" s="28"/>
      <c r="AA56" s="14"/>
      <c r="AB56" s="15" t="str">
        <f>IFERROR(__xludf.DUMMYFUNCTION("join("","",filter(split($H$84,"",""),ARRAYFORMULA(ISERROR(FIND(split($H$84,"",""),CONCATENATE(E56:V56))))=TRUE))"),"СЗ,КЗ,201,202,206,209,210,401,402,403,404,405,406,408,409,410,АЗ")</f>
        <v>СЗ,КЗ,201,202,206,209,210,401,402,403,404,405,406,408,409,410,АЗ</v>
      </c>
      <c r="AC56" s="14"/>
      <c r="AD56" s="14"/>
      <c r="AE56" s="14"/>
      <c r="AF56" s="29"/>
      <c r="AG56" s="29"/>
      <c r="AH56" s="29"/>
    </row>
    <row r="57" ht="40.5" customHeight="1">
      <c r="A57" s="74"/>
      <c r="B57" s="75">
        <v>11.0</v>
      </c>
      <c r="C57" s="76" t="s">
        <v>124</v>
      </c>
      <c r="D57" s="76" t="s">
        <v>125</v>
      </c>
      <c r="E57" s="111"/>
      <c r="F57" s="111"/>
      <c r="G57" s="111"/>
      <c r="H57" s="111"/>
      <c r="I57" s="111"/>
      <c r="J57" s="111"/>
      <c r="K57" s="111"/>
      <c r="L57" s="111"/>
      <c r="M57" s="111"/>
      <c r="N57" s="111"/>
      <c r="O57" s="111"/>
      <c r="P57" s="111"/>
      <c r="Q57" s="111"/>
      <c r="R57" s="111"/>
      <c r="S57" s="111"/>
      <c r="T57" s="111"/>
      <c r="U57" s="111"/>
      <c r="V57" s="112"/>
      <c r="W57" s="26"/>
      <c r="X57" s="79" t="s">
        <v>124</v>
      </c>
      <c r="Y57" s="79" t="s">
        <v>125</v>
      </c>
      <c r="Z57" s="28"/>
      <c r="AA57" s="14"/>
      <c r="AB57" s="15" t="str">
        <f>IFERROR(__xludf.DUMMYFUNCTION("join("","",filter(split($H$84,"",""),ARRAYFORMULA(ISERROR(FIND(split($H$84,"",""),CONCATENATE(E57:V57))))=TRUE))"),"СЗ,КЗ,201,202,206,209,210,401,402,403,404,405,406,408,409,410,АЗ")</f>
        <v>СЗ,КЗ,201,202,206,209,210,401,402,403,404,405,406,408,409,410,АЗ</v>
      </c>
      <c r="AC57" s="14"/>
      <c r="AD57" s="14"/>
      <c r="AE57" s="14"/>
      <c r="AF57" s="29"/>
      <c r="AG57" s="29"/>
      <c r="AH57" s="29"/>
    </row>
    <row r="58" ht="40.5" customHeight="1">
      <c r="A58" s="689">
        <v>45066.0</v>
      </c>
      <c r="B58" s="191">
        <v>1.0</v>
      </c>
      <c r="C58" s="192" t="str">
        <f>D$1</f>
        <v/>
      </c>
      <c r="D58" s="72"/>
      <c r="E58" s="193"/>
      <c r="F58" s="193"/>
      <c r="G58" s="194" t="s">
        <v>481</v>
      </c>
      <c r="H58" s="64"/>
      <c r="I58" s="72"/>
      <c r="J58" s="195"/>
      <c r="K58" s="64"/>
      <c r="L58" s="64"/>
      <c r="M58" s="72"/>
      <c r="N58" s="193"/>
      <c r="O58" s="177"/>
      <c r="P58" s="187" t="s">
        <v>482</v>
      </c>
      <c r="Q58" s="8"/>
      <c r="R58" s="8"/>
      <c r="S58" s="4"/>
      <c r="T58" s="193"/>
      <c r="U58" s="193"/>
      <c r="V58" s="193"/>
      <c r="W58" s="15"/>
      <c r="X58" s="197" t="str">
        <f>Y$1</f>
        <v/>
      </c>
      <c r="Y58" s="13"/>
      <c r="Z58" s="28"/>
      <c r="AA58" s="14"/>
      <c r="AB58" s="15"/>
      <c r="AC58" s="14"/>
      <c r="AD58" s="14"/>
      <c r="AE58" s="14"/>
      <c r="AF58" s="29"/>
      <c r="AG58" s="29"/>
      <c r="AH58" s="29"/>
    </row>
    <row r="59" ht="40.5" customHeight="1">
      <c r="A59" s="30"/>
      <c r="B59" s="31">
        <v>2.0</v>
      </c>
      <c r="C59" s="85"/>
      <c r="D59" s="85"/>
      <c r="E59" s="15"/>
      <c r="F59" s="15"/>
      <c r="G59" s="15"/>
      <c r="H59" s="15"/>
      <c r="I59" s="15"/>
      <c r="J59" s="15"/>
      <c r="K59" s="15"/>
      <c r="L59" s="15"/>
      <c r="M59" s="15"/>
      <c r="N59" s="15"/>
      <c r="O59" s="177"/>
      <c r="P59" s="104"/>
      <c r="Q59" s="64"/>
      <c r="R59" s="64"/>
      <c r="S59" s="72"/>
      <c r="T59" s="15"/>
      <c r="U59" s="15"/>
      <c r="V59" s="15"/>
      <c r="W59" s="15"/>
      <c r="X59" s="85"/>
      <c r="Y59" s="85"/>
      <c r="Z59" s="198"/>
      <c r="AA59" s="14"/>
      <c r="AB59" s="15"/>
      <c r="AC59" s="14"/>
      <c r="AD59" s="14"/>
      <c r="AE59" s="14"/>
      <c r="AF59" s="29"/>
      <c r="AG59" s="29"/>
      <c r="AH59" s="29"/>
    </row>
    <row r="60" ht="40.5" customHeight="1">
      <c r="A60" s="30"/>
      <c r="B60" s="31">
        <v>3.0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AA$5</f>
        <v/>
      </c>
      <c r="AB60" s="15"/>
      <c r="AC60" s="14"/>
      <c r="AD60" s="14"/>
      <c r="AE60" s="14"/>
      <c r="AF60" s="29"/>
      <c r="AG60" s="29"/>
      <c r="AH60" s="29"/>
    </row>
    <row r="61" ht="40.5" customHeight="1">
      <c r="A61" s="30"/>
      <c r="B61" s="31">
        <v>4.0</v>
      </c>
      <c r="C61" s="85"/>
      <c r="D61" s="85"/>
      <c r="E61" s="15"/>
      <c r="F61" s="15"/>
      <c r="G61" s="15"/>
      <c r="H61" s="15"/>
      <c r="I61" s="15"/>
      <c r="J61" s="44"/>
      <c r="K61" s="44"/>
      <c r="L61" s="44"/>
      <c r="M61" s="44"/>
      <c r="N61" s="15"/>
      <c r="O61" s="15"/>
      <c r="P61" s="199"/>
      <c r="Q61" s="199"/>
      <c r="R61" s="199"/>
      <c r="S61" s="199"/>
      <c r="T61" s="15"/>
      <c r="U61" s="15"/>
      <c r="V61" s="15"/>
      <c r="W61" s="15"/>
      <c r="X61" s="85"/>
      <c r="Y61" s="85"/>
      <c r="Z61" s="198"/>
      <c r="AA61" s="85" t="str">
        <f>AA$6</f>
        <v/>
      </c>
      <c r="AB61" s="15"/>
      <c r="AC61" s="14"/>
      <c r="AD61" s="14"/>
      <c r="AE61" s="14"/>
      <c r="AF61" s="29"/>
      <c r="AG61" s="29"/>
      <c r="AH61" s="29"/>
    </row>
    <row r="62" ht="40.5" customHeight="1">
      <c r="A62" s="30"/>
      <c r="B62" s="31">
        <v>5.0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AA$7</f>
        <v/>
      </c>
      <c r="AB62" s="15"/>
      <c r="AC62" s="14"/>
      <c r="AD62" s="14"/>
      <c r="AE62" s="14"/>
      <c r="AF62" s="29"/>
      <c r="AG62" s="29"/>
      <c r="AH62" s="29"/>
    </row>
    <row r="63" ht="40.5" customHeight="1">
      <c r="A63" s="30"/>
      <c r="B63" s="31">
        <v>6.0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t="str">
        <f>AA$8</f>
        <v/>
      </c>
      <c r="AB63" s="15"/>
      <c r="AC63" s="14"/>
      <c r="AD63" s="14"/>
      <c r="AE63" s="14"/>
      <c r="AF63" s="29"/>
      <c r="AG63" s="29"/>
      <c r="AH63" s="29"/>
    </row>
    <row r="64" ht="40.5" customHeight="1">
      <c r="A64" s="30"/>
      <c r="B64" s="31">
        <v>7.0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c r="AB64" s="14"/>
      <c r="AC64" s="14"/>
      <c r="AD64" s="14"/>
      <c r="AE64" s="14"/>
      <c r="AF64" s="29"/>
      <c r="AG64" s="29"/>
      <c r="AH64" s="29"/>
    </row>
    <row r="65" ht="40.5" customHeight="1">
      <c r="A65" s="30"/>
      <c r="B65" s="31">
        <v>8.0</v>
      </c>
      <c r="C65" s="85"/>
      <c r="D65" s="85"/>
      <c r="E65" s="15"/>
      <c r="F65" s="15"/>
      <c r="G65" s="15"/>
      <c r="H65" s="15"/>
      <c r="I65" s="15"/>
      <c r="J65" s="44"/>
      <c r="K65" s="44"/>
      <c r="L65" s="44"/>
      <c r="M65" s="44"/>
      <c r="N65" s="15"/>
      <c r="O65" s="15"/>
      <c r="P65" s="15"/>
      <c r="Q65" s="15"/>
      <c r="R65" s="15"/>
      <c r="S65" s="15"/>
      <c r="T65" s="15"/>
      <c r="U65" s="15"/>
      <c r="V65" s="15"/>
      <c r="W65" s="15"/>
      <c r="X65" s="85"/>
      <c r="Y65" s="85"/>
      <c r="Z65" s="198"/>
      <c r="AA65" s="85" t="str">
        <f>AA$9</f>
        <v/>
      </c>
      <c r="AB65" s="14"/>
      <c r="AC65" s="14"/>
      <c r="AD65" s="14"/>
      <c r="AE65" s="14"/>
      <c r="AF65" s="29"/>
      <c r="AG65" s="29"/>
      <c r="AH65" s="29"/>
    </row>
    <row r="66" ht="40.5" customHeight="1">
      <c r="A66" s="30"/>
      <c r="B66" s="31">
        <v>9.0</v>
      </c>
      <c r="C66" s="85"/>
      <c r="D66" s="85"/>
      <c r="E66" s="15"/>
      <c r="F66" s="15"/>
      <c r="G66" s="15"/>
      <c r="H66" s="15"/>
      <c r="I66" s="15"/>
      <c r="J66" s="44"/>
      <c r="K66" s="44"/>
      <c r="L66" s="44"/>
      <c r="M66" s="44"/>
      <c r="N66" s="15"/>
      <c r="O66" s="15"/>
      <c r="P66" s="15"/>
      <c r="Q66" s="15"/>
      <c r="R66" s="15"/>
      <c r="S66" s="15"/>
      <c r="T66" s="15"/>
      <c r="U66" s="15"/>
      <c r="V66" s="15"/>
      <c r="W66" s="15"/>
      <c r="X66" s="85"/>
      <c r="Y66" s="85"/>
      <c r="Z66" s="198"/>
      <c r="AA66" s="14"/>
      <c r="AB66" s="15"/>
      <c r="AC66" s="14"/>
      <c r="AD66" s="14"/>
      <c r="AE66" s="14"/>
      <c r="AF66" s="29"/>
      <c r="AG66" s="29"/>
      <c r="AH66" s="29"/>
    </row>
    <row r="67" ht="40.5" customHeight="1">
      <c r="A67" s="30"/>
      <c r="B67" s="200"/>
      <c r="C67" s="85"/>
      <c r="D67" s="85"/>
      <c r="E67" s="15"/>
      <c r="F67" s="15"/>
      <c r="G67" s="15"/>
      <c r="H67" s="15"/>
      <c r="I67" s="15"/>
      <c r="J67" s="15"/>
      <c r="K67" s="45"/>
      <c r="L67" s="13"/>
      <c r="M67" s="15"/>
      <c r="N67" s="15"/>
      <c r="O67" s="15"/>
      <c r="P67" s="15"/>
      <c r="Q67" s="15"/>
      <c r="R67" s="15"/>
      <c r="S67" s="15"/>
      <c r="T67" s="15"/>
      <c r="U67" s="15"/>
      <c r="V67" s="15"/>
      <c r="W67" s="15"/>
      <c r="X67" s="85"/>
      <c r="Y67" s="85"/>
      <c r="Z67" s="198" t="str">
        <f>Z$12</f>
        <v/>
      </c>
      <c r="AA67" s="14"/>
      <c r="AB67" s="14"/>
      <c r="AC67" s="14"/>
      <c r="AD67" s="14"/>
      <c r="AE67" s="14"/>
      <c r="AF67" s="29"/>
      <c r="AG67" s="29"/>
      <c r="AH67" s="29"/>
    </row>
    <row r="68" ht="40.5" customHeight="1">
      <c r="A68" s="74"/>
      <c r="B68" s="200"/>
      <c r="C68" s="14"/>
      <c r="D68" s="15"/>
      <c r="E68" s="15"/>
      <c r="F68" s="15"/>
      <c r="G68" s="15"/>
      <c r="H68" s="15"/>
      <c r="I68" s="15"/>
      <c r="J68" s="15"/>
      <c r="K68" s="45"/>
      <c r="L68" s="13"/>
      <c r="M68" s="15"/>
      <c r="N68" s="15"/>
      <c r="O68" s="15"/>
      <c r="P68" s="15"/>
      <c r="Q68" s="15"/>
      <c r="R68" s="15"/>
      <c r="S68" s="15"/>
      <c r="T68" s="15"/>
      <c r="U68" s="15"/>
      <c r="V68" s="15"/>
      <c r="W68" s="15"/>
      <c r="X68" s="14"/>
      <c r="Y68" s="15"/>
      <c r="Z68" s="198" t="str">
        <f>#REF!</f>
        <v>#REF!</v>
      </c>
      <c r="AA68" s="14"/>
      <c r="AB68" s="14"/>
      <c r="AC68" s="14"/>
      <c r="AD68" s="14"/>
      <c r="AE68" s="14"/>
      <c r="AF68" s="29"/>
      <c r="AG68" s="29"/>
      <c r="AH68" s="29"/>
    </row>
    <row r="69" ht="40.5" customHeight="1">
      <c r="A69" s="201"/>
      <c r="B69" s="200"/>
      <c r="C69" s="14"/>
      <c r="D69" s="14"/>
      <c r="E69" s="15"/>
      <c r="F69" s="15"/>
      <c r="G69" s="15"/>
      <c r="H69" s="15"/>
      <c r="I69" s="15"/>
      <c r="J69" s="15"/>
      <c r="K69" s="45"/>
      <c r="L69" s="13"/>
      <c r="M69" s="15"/>
      <c r="N69" s="15"/>
      <c r="O69" s="15"/>
      <c r="P69" s="15"/>
      <c r="Q69" s="15"/>
      <c r="R69" s="15"/>
      <c r="S69" s="15"/>
      <c r="T69" s="15"/>
      <c r="U69" s="15"/>
      <c r="V69" s="15"/>
      <c r="W69" s="15"/>
      <c r="X69" s="14"/>
      <c r="Y69" s="14"/>
      <c r="Z69" s="19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5"/>
      <c r="D71" s="14"/>
      <c r="E71" s="15"/>
      <c r="F71" s="15"/>
      <c r="G71" s="15"/>
      <c r="H71" s="15"/>
      <c r="I71" s="15"/>
      <c r="J71" s="15"/>
      <c r="K71" s="15"/>
      <c r="L71" s="15"/>
      <c r="M71" s="15"/>
      <c r="N71" s="15"/>
      <c r="O71" s="15"/>
      <c r="P71" s="15"/>
      <c r="Q71" s="15"/>
      <c r="R71" s="15"/>
      <c r="S71" s="15"/>
      <c r="T71" s="15"/>
      <c r="U71" s="15"/>
      <c r="V71" s="15"/>
      <c r="W71" s="15"/>
      <c r="X71" s="15"/>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15"/>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44" t="s">
        <v>484</v>
      </c>
      <c r="F83" s="15"/>
      <c r="G83" s="15"/>
      <c r="H83" s="15"/>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202" t="s">
        <v>485</v>
      </c>
      <c r="F84" s="203"/>
      <c r="G84" s="203"/>
      <c r="H84" s="204" t="s">
        <v>486</v>
      </c>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15"/>
      <c r="K85" s="15"/>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205" t="s">
        <v>487</v>
      </c>
      <c r="K86" s="205" t="b">
        <f>IFERROR(__xludf.DUMMYFUNCTION("IF(COUNTA(filter($E3:$W3,ARRAYFORMULA(ISERROR(FIND(join("","",filter(split($H$84,"",""),ARRAYFORMULA(ISERROR(FIND(split($H$84,"",""),E3)))=FALSE)),$E3:$W3))=FALSE)))&gt;1,FALSE,TRUE)"),TRUE)</f>
        <v>1</v>
      </c>
      <c r="L86" s="15"/>
      <c r="M86" s="15"/>
      <c r="N86" s="15"/>
      <c r="O86" s="15"/>
      <c r="P86" s="15"/>
      <c r="Q86" s="15"/>
      <c r="R86" s="15"/>
      <c r="S86" s="15"/>
      <c r="T86" s="15"/>
      <c r="U86" s="15"/>
      <c r="V86" s="15"/>
      <c r="W86" s="15"/>
      <c r="X86" s="14"/>
      <c r="Y86" s="14"/>
      <c r="Z86" s="28"/>
      <c r="AA86" s="14"/>
      <c r="AB86" s="14"/>
      <c r="AC86" s="14"/>
      <c r="AD86" s="14"/>
      <c r="AE86" s="14"/>
      <c r="AF86" s="29"/>
      <c r="AG86" s="29"/>
      <c r="AH86" s="29"/>
    </row>
    <row r="87" ht="40.5" customHeight="1">
      <c r="A87" s="201"/>
      <c r="B87" s="200"/>
      <c r="C87" s="14"/>
      <c r="D87" s="14"/>
      <c r="E87" s="15"/>
      <c r="F87" s="15"/>
      <c r="G87" s="15"/>
      <c r="H87" s="15"/>
      <c r="I87" s="15"/>
      <c r="J87" s="15"/>
      <c r="K87" s="15"/>
      <c r="L87" s="15"/>
      <c r="M87" s="15"/>
      <c r="N87" s="15"/>
      <c r="O87" s="15"/>
      <c r="P87" s="15"/>
      <c r="Q87" s="15"/>
      <c r="R87" s="15"/>
      <c r="S87" s="15"/>
      <c r="T87" s="15"/>
      <c r="U87" s="15"/>
      <c r="V87" s="15"/>
      <c r="W87" s="15"/>
      <c r="X87" s="14"/>
      <c r="Y87" s="14"/>
      <c r="Z87" s="28"/>
      <c r="AA87" s="14"/>
      <c r="AB87" s="14"/>
      <c r="AC87" s="14"/>
      <c r="AD87" s="14"/>
      <c r="AE87" s="14"/>
      <c r="AF87" s="29"/>
      <c r="AG87" s="29"/>
      <c r="AH87" s="29"/>
    </row>
  </sheetData>
  <mergeCells count="281">
    <mergeCell ref="E33:F33"/>
    <mergeCell ref="E34:F34"/>
    <mergeCell ref="A25:A35"/>
    <mergeCell ref="A36:A46"/>
    <mergeCell ref="A47:A57"/>
    <mergeCell ref="A58:A68"/>
    <mergeCell ref="E21:F22"/>
    <mergeCell ref="G21:G22"/>
    <mergeCell ref="E25:F25"/>
    <mergeCell ref="E26:F26"/>
    <mergeCell ref="E27:F27"/>
    <mergeCell ref="E32:F32"/>
    <mergeCell ref="E35:F35"/>
    <mergeCell ref="E43:F43"/>
    <mergeCell ref="E44:F45"/>
    <mergeCell ref="G44:G45"/>
    <mergeCell ref="E49:F49"/>
    <mergeCell ref="E50:F50"/>
    <mergeCell ref="E51:F51"/>
    <mergeCell ref="C58:D58"/>
    <mergeCell ref="E36:F36"/>
    <mergeCell ref="E37:F37"/>
    <mergeCell ref="E38:F38"/>
    <mergeCell ref="E39:F39"/>
    <mergeCell ref="E40:F40"/>
    <mergeCell ref="E41:F41"/>
    <mergeCell ref="E42:F42"/>
    <mergeCell ref="G31:H31"/>
    <mergeCell ref="J31:K31"/>
    <mergeCell ref="L31:M31"/>
    <mergeCell ref="G32:I33"/>
    <mergeCell ref="J32:M32"/>
    <mergeCell ref="J33:M33"/>
    <mergeCell ref="J36:K36"/>
    <mergeCell ref="H36:I36"/>
    <mergeCell ref="H37:I37"/>
    <mergeCell ref="J37:K37"/>
    <mergeCell ref="H38:I38"/>
    <mergeCell ref="J38:K38"/>
    <mergeCell ref="H39:I39"/>
    <mergeCell ref="J39:K39"/>
    <mergeCell ref="L47:M47"/>
    <mergeCell ref="L48:M48"/>
    <mergeCell ref="K47:K48"/>
    <mergeCell ref="K49:K50"/>
    <mergeCell ref="K67:L67"/>
    <mergeCell ref="K68:L68"/>
    <mergeCell ref="K69:L69"/>
    <mergeCell ref="G50:H50"/>
    <mergeCell ref="J51:M51"/>
    <mergeCell ref="E55:M56"/>
    <mergeCell ref="G58:I58"/>
    <mergeCell ref="J58:M58"/>
    <mergeCell ref="H43:I43"/>
    <mergeCell ref="H44:J44"/>
    <mergeCell ref="K44:L45"/>
    <mergeCell ref="H45:J45"/>
    <mergeCell ref="G47:H47"/>
    <mergeCell ref="G48:H48"/>
    <mergeCell ref="G49:H49"/>
    <mergeCell ref="E20:F20"/>
    <mergeCell ref="H20:I20"/>
    <mergeCell ref="J10:K10"/>
    <mergeCell ref="L10:M10"/>
    <mergeCell ref="A13:A23"/>
    <mergeCell ref="E13:F13"/>
    <mergeCell ref="J13:K13"/>
    <mergeCell ref="L13:M13"/>
    <mergeCell ref="E14:F14"/>
    <mergeCell ref="J27:K27"/>
    <mergeCell ref="L27:M27"/>
    <mergeCell ref="H21:M21"/>
    <mergeCell ref="H22:M22"/>
    <mergeCell ref="H25:I25"/>
    <mergeCell ref="J25:J26"/>
    <mergeCell ref="H26:I26"/>
    <mergeCell ref="L26:M26"/>
    <mergeCell ref="G27:I27"/>
    <mergeCell ref="J30:K30"/>
    <mergeCell ref="L30:M30"/>
    <mergeCell ref="G28:H28"/>
    <mergeCell ref="J28:K28"/>
    <mergeCell ref="L28:M28"/>
    <mergeCell ref="G29:H29"/>
    <mergeCell ref="J29:K29"/>
    <mergeCell ref="L29:M29"/>
    <mergeCell ref="G30:H30"/>
    <mergeCell ref="H40:I40"/>
    <mergeCell ref="L40:M40"/>
    <mergeCell ref="H41:I41"/>
    <mergeCell ref="L41:M41"/>
    <mergeCell ref="H42:I42"/>
    <mergeCell ref="L42:M42"/>
    <mergeCell ref="L43:M43"/>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L9:M9"/>
    <mergeCell ref="N9:O9"/>
    <mergeCell ref="E10:F10"/>
    <mergeCell ref="H10:I10"/>
    <mergeCell ref="S10:V10"/>
    <mergeCell ref="T11:V11"/>
    <mergeCell ref="U13:V13"/>
    <mergeCell ref="U14:V14"/>
    <mergeCell ref="T15:V15"/>
    <mergeCell ref="E15:F15"/>
    <mergeCell ref="G15:I15"/>
    <mergeCell ref="E16:F16"/>
    <mergeCell ref="G16:I16"/>
    <mergeCell ref="J16:K16"/>
    <mergeCell ref="L16:M16"/>
    <mergeCell ref="O16:O17"/>
    <mergeCell ref="J17:K17"/>
    <mergeCell ref="L17:M17"/>
    <mergeCell ref="E17:F17"/>
    <mergeCell ref="H17:I17"/>
    <mergeCell ref="J18:K18"/>
    <mergeCell ref="L18:M18"/>
    <mergeCell ref="N18:O18"/>
    <mergeCell ref="E19:F19"/>
    <mergeCell ref="H19:I19"/>
    <mergeCell ref="J19:K19"/>
    <mergeCell ref="L19:M19"/>
    <mergeCell ref="N19:O19"/>
    <mergeCell ref="P7:Q7"/>
    <mergeCell ref="R7:S7"/>
    <mergeCell ref="H8:I8"/>
    <mergeCell ref="J8:K8"/>
    <mergeCell ref="L8:M8"/>
    <mergeCell ref="N8:O8"/>
    <mergeCell ref="P8:Q8"/>
    <mergeCell ref="R8:S8"/>
    <mergeCell ref="H9:I9"/>
    <mergeCell ref="J9:K9"/>
    <mergeCell ref="E18:F18"/>
    <mergeCell ref="H18:I18"/>
    <mergeCell ref="J20:K20"/>
    <mergeCell ref="L20:M20"/>
    <mergeCell ref="N20:O20"/>
    <mergeCell ref="N21:O21"/>
    <mergeCell ref="N22:O22"/>
    <mergeCell ref="T16:V16"/>
    <mergeCell ref="T17:V20"/>
    <mergeCell ref="P19:Q19"/>
    <mergeCell ref="P20:Q20"/>
    <mergeCell ref="P21:Q21"/>
    <mergeCell ref="R21:S21"/>
    <mergeCell ref="T21:V21"/>
    <mergeCell ref="N39:Q39"/>
    <mergeCell ref="P40:Q40"/>
    <mergeCell ref="R40:S40"/>
    <mergeCell ref="P41:Q41"/>
    <mergeCell ref="R41:S41"/>
    <mergeCell ref="N42:O42"/>
    <mergeCell ref="P42:Q42"/>
    <mergeCell ref="N43:O43"/>
    <mergeCell ref="P43:Q43"/>
    <mergeCell ref="R43:S43"/>
    <mergeCell ref="T43:V43"/>
    <mergeCell ref="N44:O44"/>
    <mergeCell ref="Q44:V45"/>
    <mergeCell ref="N45:O45"/>
    <mergeCell ref="R49:S49"/>
    <mergeCell ref="T49:V49"/>
    <mergeCell ref="N50:O50"/>
    <mergeCell ref="R50:S50"/>
    <mergeCell ref="N49:O49"/>
    <mergeCell ref="N51:O51"/>
    <mergeCell ref="R51:S51"/>
    <mergeCell ref="T51:V51"/>
    <mergeCell ref="E52:S54"/>
    <mergeCell ref="T52:V52"/>
    <mergeCell ref="T53:V54"/>
    <mergeCell ref="P55:V56"/>
    <mergeCell ref="P58:S59"/>
    <mergeCell ref="X58:Y58"/>
    <mergeCell ref="P47:Q48"/>
    <mergeCell ref="R47:S47"/>
    <mergeCell ref="T47:V47"/>
    <mergeCell ref="R48:S48"/>
    <mergeCell ref="T48:V48"/>
    <mergeCell ref="P49:Q51"/>
    <mergeCell ref="T50:V50"/>
    <mergeCell ref="P22:S22"/>
    <mergeCell ref="T22:V22"/>
    <mergeCell ref="R23:V23"/>
    <mergeCell ref="G24:Q24"/>
    <mergeCell ref="N25:O25"/>
    <mergeCell ref="P25:Q25"/>
    <mergeCell ref="T25:V25"/>
    <mergeCell ref="N26:O26"/>
    <mergeCell ref="P26:Q26"/>
    <mergeCell ref="R26:S26"/>
    <mergeCell ref="T26:V26"/>
    <mergeCell ref="P27:Q27"/>
    <mergeCell ref="R27:S27"/>
    <mergeCell ref="T27:V27"/>
    <mergeCell ref="P31:Q31"/>
    <mergeCell ref="P32:Q33"/>
    <mergeCell ref="G34:Q35"/>
    <mergeCell ref="N27:O27"/>
    <mergeCell ref="N28:O28"/>
    <mergeCell ref="P28:Q28"/>
    <mergeCell ref="N29:O29"/>
    <mergeCell ref="P29:Q29"/>
    <mergeCell ref="P30:Q30"/>
    <mergeCell ref="R30:R31"/>
    <mergeCell ref="N30:O30"/>
    <mergeCell ref="N31:O31"/>
    <mergeCell ref="N32:O32"/>
    <mergeCell ref="N33:O33"/>
    <mergeCell ref="N36:O36"/>
    <mergeCell ref="N37:O37"/>
    <mergeCell ref="N38:Q38"/>
    <mergeCell ref="T41:V41"/>
    <mergeCell ref="T42:V42"/>
    <mergeCell ref="T28:V28"/>
    <mergeCell ref="T29:V33"/>
    <mergeCell ref="T36:V36"/>
    <mergeCell ref="T37:V37"/>
    <mergeCell ref="T38:V38"/>
    <mergeCell ref="T39:V39"/>
    <mergeCell ref="T40:V40"/>
  </mergeCells>
  <conditionalFormatting sqref="E1:T87 U1:U32 V33:V35 U36:U87 V51:V53 W52">
    <cfRule type="containsText" dxfId="0" priority="1" operator="containsText" text="Физика">
      <formula>NOT(ISERROR(SEARCH(("Физика"),(E1))))</formula>
    </cfRule>
  </conditionalFormatting>
  <conditionalFormatting sqref="E55:W56">
    <cfRule type="containsText" dxfId="1" priority="2" operator="containsText" text="Шерашова">
      <formula>NOT(ISERROR(SEARCH(("Шерашова"),(E55))))</formula>
    </cfRule>
  </conditionalFormatting>
  <conditionalFormatting sqref="E2:N54 O2:O55 P2:T54 U2:U32 V33:V35 U36:U54 V51:V53 W52 O58:O59 P58 K62:L69">
    <cfRule type="containsText" dxfId="2" priority="3" operator="containsText" text="Шерашова">
      <formula>NOT(ISERROR(SEARCH(("Шерашова"),(E2))))</formula>
    </cfRule>
  </conditionalFormatting>
  <conditionalFormatting sqref="E2:N54 O2:O55 P2:T54 U2:U32 V33:V35 U36:U54 V51:V53 W52 O58:O59 P58 K62:L69">
    <cfRule type="containsText" dxfId="3" priority="4" operator="containsText" text="Англ">
      <formula>NOT(ISERROR(SEARCH(("Англ"),(E2))))</formula>
    </cfRule>
  </conditionalFormatting>
  <conditionalFormatting sqref="E2:N54 O2:O55 P2:T54 U2:U32 V33:V35 U36:U54 V51:V53 W52 O58:O59 P58 K62:L69">
    <cfRule type="containsText" dxfId="4" priority="5" operator="containsText" text="Театр">
      <formula>NOT(ISERROR(SEARCH(("Театр"),(E2))))</formula>
    </cfRule>
  </conditionalFormatting>
  <conditionalFormatting sqref="E2:N54 O2:O55 P2:T54 U2:U32 V33:V35 U36:U54 V51:V53 W52 O58:O59 P58 K62:L69">
    <cfRule type="containsText" dxfId="5" priority="6" operator="containsText" text="Колечкин">
      <formula>NOT(ISERROR(SEARCH(("Колечкин"),(E2))))</formula>
    </cfRule>
  </conditionalFormatting>
  <conditionalFormatting sqref="E2:G73 H2:H74 I2:W73">
    <cfRule type="containsText" dxfId="0" priority="7" operator="containsText" text="Репнев">
      <formula>NOT(ISERROR(SEARCH(("Репнев"),(E2))))</formula>
    </cfRule>
  </conditionalFormatting>
  <conditionalFormatting sqref="E2:G66 H2:H74 I2:J66 K2:L69 M2:W66">
    <cfRule type="containsText" dxfId="6" priority="8" operator="containsText" text="Рогацкина">
      <formula>NOT(ISERROR(SEARCH(("Рогацкина"),(E2))))</formula>
    </cfRule>
  </conditionalFormatting>
  <conditionalFormatting sqref="E2:G68 H2:H74 I2:J68 K2:L69 M2:W68">
    <cfRule type="containsText" dxfId="7" priority="9" operator="containsText" text="Белоусова">
      <formula>NOT(ISERROR(SEARCH(("Белоусова"),(E2))))</formula>
    </cfRule>
  </conditionalFormatting>
  <conditionalFormatting sqref="E2:G61 H2:H74 I2:J66 K2:L69 M2:M66 N2:W61">
    <cfRule type="containsText" dxfId="8" priority="10" operator="containsText" text="Караванова">
      <formula>NOT(ISERROR(SEARCH(("Караванова"),(E2))))</formula>
    </cfRule>
  </conditionalFormatting>
  <conditionalFormatting sqref="E2:G64 H2:H74 I2:J66 K2:L69 M2:M66 N2:W64">
    <cfRule type="containsText" dxfId="9" priority="11" operator="containsText" text="Дронзик">
      <formula>NOT(ISERROR(SEARCH(("Дронзик"),(E2))))</formula>
    </cfRule>
  </conditionalFormatting>
  <conditionalFormatting sqref="E2:G65 H2:H74 I2:J66 K2:L69 M2:M66 N2:W65">
    <cfRule type="containsText" dxfId="10" priority="12" operator="containsText" text="Старунова">
      <formula>NOT(ISERROR(SEARCH(("Старунова"),(E2))))</formula>
    </cfRule>
  </conditionalFormatting>
  <conditionalFormatting sqref="E2:G63 H2:H74 I2:J66 K2:L69 M2:M66 N2:W63">
    <cfRule type="containsText" dxfId="11" priority="13" operator="containsText" text="Харитонов">
      <formula>NOT(ISERROR(SEARCH(("Харитонов"),(E2))))</formula>
    </cfRule>
  </conditionalFormatting>
  <conditionalFormatting sqref="E2:G68 H2:H74 I2:J68 K2:L69 M2:W68">
    <cfRule type="containsText" dxfId="12" priority="14" operator="containsText" text="Хуснутдинов">
      <formula>NOT(ISERROR(SEARCH(("Хуснутдинов"),(E2))))</formula>
    </cfRule>
  </conditionalFormatting>
  <conditionalFormatting sqref="E2:G67 H2:H74 I2:J67 K2:L69 M2:W67">
    <cfRule type="containsText" dxfId="13" priority="15" operator="containsText" text="Решетников">
      <formula>NOT(ISERROR(SEARCH(("Решетников"),(E2))))</formula>
    </cfRule>
  </conditionalFormatting>
  <conditionalFormatting sqref="E2:G70 H2:H74 I2:W70">
    <cfRule type="containsText" dxfId="14" priority="16" operator="containsText" text="Заводов">
      <formula>NOT(ISERROR(SEARCH(("Заводов"),(E2))))</formula>
    </cfRule>
  </conditionalFormatting>
  <conditionalFormatting sqref="E1:G67 H1:H74 I1:J67 K1:L69 M1:W67">
    <cfRule type="containsText" dxfId="15" priority="17" operator="containsText" text="Абрамов">
      <formula>NOT(ISERROR(SEARCH(("Абрамов"),(E1))))</formula>
    </cfRule>
  </conditionalFormatting>
  <conditionalFormatting sqref="E2:G68 H2:H74 I2:J68 K2:L69 M2:W68">
    <cfRule type="containsText" dxfId="16" priority="18" operator="containsText" text="Климов">
      <formula>NOT(ISERROR(SEARCH(("Климов"),(E2))))</formula>
    </cfRule>
  </conditionalFormatting>
  <conditionalFormatting sqref="E2:G62 H2:H74 I2:J66 K2:L69 M2:M66 N2:W62">
    <cfRule type="containsText" dxfId="17" priority="19" operator="containsText" text="Клейменов">
      <formula>NOT(ISERROR(SEARCH(("Клейменов"),(E2))))</formula>
    </cfRule>
  </conditionalFormatting>
  <conditionalFormatting sqref="E2:G69 H2:H74 I2:W69">
    <cfRule type="containsText" dxfId="18" priority="20" operator="containsText" text="Попович">
      <formula>NOT(ISERROR(SEARCH(("Попович"),(E2))))</formula>
    </cfRule>
  </conditionalFormatting>
  <conditionalFormatting sqref="E2:G69 H2:H74 I2:W69">
    <cfRule type="containsText" dxfId="19" priority="21" operator="containsText" text="Исмаилов">
      <formula>NOT(ISERROR(SEARCH(("Исмаилов"),(E2))))</formula>
    </cfRule>
  </conditionalFormatting>
  <conditionalFormatting sqref="E2:E20 F2:F12 G2:I46 J2:K50 L2:Q46 R2:S6 T2:V8 S10:S33 T10:V46 R11:R54 F15:F17 F19:F20 E24:F31 E33:E54 F33:F46 S36:S42 S44:S46 T48:T51 F49:F50 G49:H54 N49:N50 S50:S54 I51:I53 P52:P54 F53:F54 J53:J54 N53:N54 Q53:Q54 K54:M54 P58 K62:L69">
    <cfRule type="containsText" dxfId="20" priority="22" operator="containsText" text="Ларченко">
      <formula>NOT(ISERROR(SEARCH(("Ларченко"),(E2))))</formula>
    </cfRule>
  </conditionalFormatting>
  <conditionalFormatting sqref="E2:G66 H2:H74 I2:J66 K2:L69 M2:W66">
    <cfRule type="containsText" dxfId="21" priority="23" operator="containsText" text="Краснова">
      <formula>NOT(ISERROR(SEARCH(("Краснова"),(E2))))</formula>
    </cfRule>
  </conditionalFormatting>
  <conditionalFormatting sqref="E2:G66 H2:H74 I2:J66 K2:L69 M2:W66">
    <cfRule type="containsText" dxfId="22" priority="24" operator="containsText" text="Белоус">
      <formula>NOT(ISERROR(SEARCH(("Белоус"),(E2))))</formula>
    </cfRule>
  </conditionalFormatting>
  <conditionalFormatting sqref="E2:G66 H2:H74 I2:J66 K2:L69 M2:W66">
    <cfRule type="containsText" dxfId="23" priority="25" operator="containsText" text="Куницын">
      <formula>NOT(ISERROR(SEARCH(("Куницын"),(E2))))</formula>
    </cfRule>
  </conditionalFormatting>
  <dataValidations>
    <dataValidation type="custom" allowBlank="1" showDropDown="1" sqref="R8:R10">
      <formula1>IF(COUNTA(filter($E53:$W53,ARRAYFORMULA(ISERROR(FIND(join(",",filter(split($H$84,","),ARRAYFORMULA(ISERROR(FIND(split($H$84,","),R8)))=FALSE)),$E53:$W53))=FALSE)))&gt;1,FALSE,TRUE)</formula1>
    </dataValidation>
    <dataValidation type="custom" allowBlank="1" showDropDown="1" sqref="P13:P16 G28:G29 L28:L29 J31 N32:N33 E36:E37 J36:J37 N36:N37 E42:E43 P42:P43 T40:T43 K47 R47:R48 T48:T49 E49:E51">
      <formula1>IF(COUNTA(filter(#REF!,ARRAYFORMULA(ISERROR(FIND(join(",",filter(split($H$84,","),ARRAYFORMULA(ISERROR(FIND(split($H$84,","),E13)))=FALSE)),#REF!))=FALSE)))&gt;1,FALSE,TRUE)</formula1>
    </dataValidation>
    <dataValidation type="custom" allowBlank="1" showDropDown="1" sqref="H4:I4">
      <formula1>IF(COUNTA(filter($E7:$W7,ARRAYFORMULA(ISERROR(FIND(join(",",filter(split($H$84,","),ARRAYFORMULA(ISERROR(FIND(split($H$84,","),#REF!)))=FALSE)),$E7:$W7))=FALSE)))&gt;1,FALSE,TRUE)</formula1>
    </dataValidation>
    <dataValidation type="custom" allowBlank="1" showDropDown="1" sqref="E3:F3 G4 J5:J6 E15:E16 E47:E48 J49:J50 G51 E52">
      <formula1>IF(COUNTA(filter($E3:$W3,ARRAYFORMULA(ISERROR(FIND(join(",",filter(split($H$84,","),ARRAYFORMULA(ISERROR(FIND(split($H$84,","),#REF!)))=FALSE)),$E3:$W3))=FALSE)))&gt;1,FALSE,TRUE)</formula1>
    </dataValidation>
    <dataValidation type="custom" allowBlank="1" showDropDown="1" sqref="F4:F5 E6:E7 F8 H7:H8 E9 E24:F24 E25 G25:H25 G26 E27 R28:S29 H36:H37 G38:G39 N55">
      <formula1>IF(COUNTA(filter($E5:$W5,ARRAYFORMULA(ISERROR(FIND(join(",",filter(split($H$84,","),ARRAYFORMULA(ISERROR(FIND(split($H$84,","),E4)))=FALSE)),$E5:$W5))=FALSE)))&gt;1,FALSE,TRUE)</formula1>
    </dataValidation>
    <dataValidation type="custom" allowBlank="1" showDropDown="1" sqref="H9 G10 H17:H18 G19:G20 I30:I31 J51">
      <formula1>IF(COUNTA(filter($E5:$W5,ARRAYFORMULA(ISERROR(FIND(join(",",filter(split($H$84,","),ARRAYFORMULA(ISERROR(FIND(split($H$84,","),G9)))=FALSE)),$E5:$W5))=FALSE)))&gt;1,FALSE,TRUE)</formula1>
    </dataValidation>
    <dataValidation type="custom" allowBlank="1" showDropDown="1" sqref="N22">
      <formula1>IF(COUNTA(filter($E35:$W35,ARRAYFORMULA(ISERROR(FIND(join(",",filter(split($H$84,","),ARRAYFORMULA(ISERROR(FIND(split($H$84,","),N22)))=FALSE)),$E35:$W35))=FALSE)))&gt;1,FALSE,TRUE)</formula1>
    </dataValidation>
    <dataValidation type="custom" allowBlank="1" showDropDown="1" sqref="N8">
      <formula1>IF(COUNTA(filter($E1:$W1,ARRAYFORMULA(ISERROR(FIND(join(",",filter(split($H$84,","),ARRAYFORMULA(ISERROR(FIND(split($H$84,","),#REF!)))=FALSE)),$E1:$W1))=FALSE)))&gt;1,FALSE,TRUE)</formula1>
    </dataValidation>
    <dataValidation type="custom" allowBlank="1" showDropDown="1" sqref="T11 W11">
      <formula1>IF(COUNTA(filter($F11:$W11,ARRAYFORMULA(ISERROR(FIND(join(",",filter(split($H$84,","),ARRAYFORMULA(ISERROR(FIND(split($H$84,","),T11)))=FALSE)),$F11:$W11))=FALSE)))&gt;1,FALSE,TRUE)</formula1>
    </dataValidation>
    <dataValidation type="custom" allowBlank="1" showDropDown="1" sqref="R3:R4">
      <formula1>IF(COUNTA(filter($E17:$W17,ARRAYFORMULA(ISERROR(FIND(join(",",filter(split($H$84,","),ARRAYFORMULA(ISERROR(FIND(split($H$84,","),R3)))=FALSE)),$E17:$W17))=FALSE)))&gt;1,FALSE,TRUE)</formula1>
    </dataValidation>
    <dataValidation type="custom" allowBlank="1" showDropDown="1" sqref="L40:L41">
      <formula1>IF(COUNTA(filter($E1:$W1,ARRAYFORMULA(ISERROR(FIND(join(",",filter(split($H$84,","),ARRAYFORMULA(ISERROR(FIND(split($H$84,","),L40)))=FALSE)),$E1:$W1))=FALSE)))&gt;1,FALSE,TRUE)</formula1>
    </dataValidation>
    <dataValidation type="custom" allowBlank="1" showDropDown="1" sqref="T13:U14 T15:T16 P25 R24:S25 J27">
      <formula1>IF(COUNTA(filter($E17:$W17,ARRAYFORMULA(ISERROR(FIND(join(",",filter(split($H$84,","),ARRAYFORMULA(ISERROR(FIND(split($H$84,","),J13)))=FALSE)),$E17:$W17))=FALSE)))&gt;1,FALSE,TRUE)</formula1>
    </dataValidation>
    <dataValidation type="custom" allowBlank="1" showDropDown="1" sqref="N25">
      <formula1>IF(COUNTA(filter($E22:$W22,ARRAYFORMULA(ISERROR(FIND(join(",",filter(split($H$84,","),ARRAYFORMULA(ISERROR(FIND(split($H$84,","),N25)))=FALSE)),$E22:$W22))=FALSE)))&gt;1,FALSE,TRUE)</formula1>
    </dataValidation>
    <dataValidation type="custom" allowBlank="1" showDropDown="1" sqref="E4:E5 F6:F7 L26 F28:F29 E30:E31">
      <formula1>IF(COUNTA(filter($E7:$W7,ARRAYFORMULA(ISERROR(FIND(join(",",filter(split($H$84,","),ARRAYFORMULA(ISERROR(FIND(split($H$84,","),E4)))=FALSE)),$E7:$W7))=FALSE)))&gt;1,FALSE,TRUE)</formula1>
    </dataValidation>
    <dataValidation type="custom" allowBlank="1" showDropDown="1" sqref="N2 R2 T2 G2:G3 J2:J3 L4 P2:P4 G5:H6 K5:M6 T5:T6 L7:L8 P7:P8 T7:U8 G7:G9 H10 J9:J10 N9:N10 Q9:Q10 S10 W2:W10 E12:W12 E13:E14 H13:H14 L13:L14 E17:E18 G15:G18 S17:S18 H19:H20 J15:J20 L17:L20 G21 R19:R21 T21 H22 G23:R23 G24 J25:M25 P26 R26 P28 E28:E29 I28:I29 T29 F30:G31 P30:P31 W13:W33 R34:R35 T34:W35 G36:G37 L36:M37 P36:Q37 H38:H39 J38:J39 L38:N39 R38:S39 E38:E41 G40:G41 J40:K41 N40:P41 R40:R41 R42:S42 J42:L43 E44 G42:H44 K44 Q44 H45 M44:N45 W36:W45 E46:W46 N47:P47 F47:G48 I47:I48 L47:L48 N48:O48 K49:M49 G49:G50 L50:M50 I51 N51 O55 N56:O56 W47:W56 E57:W57 E58:G58 J58 N58:O58 E59:O61 T58:W61 E62:W66 K68:K69 H67:H74">
      <formula1>IF(COUNTA(filter($E2:$W2,ARRAYFORMULA(ISERROR(FIND(join(",",filter(split($H$84,","),ARRAYFORMULA(ISERROR(FIND(split($H$84,","),E2)))=FALSE)),$E2:$W2))=FALSE)))&gt;1,FALSE,TRUE)</formula1>
    </dataValidation>
    <dataValidation type="custom" allowBlank="1" showDropDown="1" sqref="H40:H41 T50">
      <formula1>IF(COUNTA(filter($E72:$W72,ARRAYFORMULA(ISERROR(FIND(join(",",filter(split($H$84,","),ARRAYFORMULA(ISERROR(FIND(split($H$84,","),H40)))=FALSE)),$E72:$W72))=FALSE)))&gt;1,FALSE,TRUE)</formula1>
    </dataValidation>
    <dataValidation type="custom" allowBlank="1" showDropDown="1" sqref="N21">
      <formula1>IF(COUNTA(filter($E33:$W33,ARRAYFORMULA(ISERROR(FIND(join(",",filter(split($H$84,","),ARRAYFORMULA(ISERROR(FIND(split($H$84,","),N21)))=FALSE)),$E33:$W33))=FALSE)))&gt;1,FALSE,TRUE)</formula1>
    </dataValidation>
    <dataValidation type="custom" allowBlank="1" showDropDown="1" sqref="R13:R14">
      <formula1>IF(COUNTA(filter($E3:$W3,ARRAYFORMULA(ISERROR(FIND(join(",",filter(split($H$84,","),ARRAYFORMULA(ISERROR(FIND(split($H$84,","),R13)))=FALSE)),$E3:$W3))=FALSE)))&gt;1,FALSE,TRUE)</formula1>
    </dataValidation>
    <dataValidation type="custom" allowBlank="1" showDropDown="1" sqref="N3:N4 P5:P6 J7:J8 L9:L10">
      <formula1>IF(COUNTA(filter($E36:$W36,ARRAYFORMULA(ISERROR(FIND(join(",",filter(split($H$84,","),ARRAYFORMULA(ISERROR(FIND(split($H$84,","),J3)))=FALSE)),$E36:$W36))=FALSE)))&gt;1,FALSE,TRUE)</formula1>
    </dataValidation>
    <dataValidation type="custom" allowBlank="1" showDropDown="1" sqref="T47 T51">
      <formula1>IF(COUNTA(filter($E53:$W53,ARRAYFORMULA(ISERROR(FIND(join(",",filter(split($H$84,","),ARRAYFORMULA(ISERROR(FIND(split($H$84,","),T47)))=FALSE)),$E53:$W53))=FALSE)))&gt;1,FALSE,TRUE)</formula1>
    </dataValidation>
    <dataValidation type="custom" allowBlank="1" showDropDown="1" sqref="H51">
      <formula1>IF(COUNTA(filter($E1:$W1,ARRAYFORMULA(ISERROR(FIND(join(",",filter(split($H$84,","),ARRAYFORMULA(ISERROR(FIND(split($H$84,","),H51)))=FALSE)),$E1:$W1))=FALSE)))&gt;1,FALSE,TRUE)</formula1>
    </dataValidation>
    <dataValidation type="custom" allowBlank="1" showDropDown="1" sqref="T17 P32 P44:P45">
      <formula1>IF(COUNTA(filter($E26:$W26,ARRAYFORMULA(ISERROR(FIND(join(",",filter(split($H$84,","),ARRAYFORMULA(ISERROR(FIND(split($H$84,","),P17)))=FALSE)),$E26:$W26))=FALSE)))&gt;1,FALSE,TRUE)</formula1>
    </dataValidation>
    <dataValidation type="custom" allowBlank="1" showDropDown="1" sqref="J13:J14 L15:L16 N17:N18 P19:P20">
      <formula1>IF(COUNTA(filter($E47:$W47,ARRAYFORMULA(ISERROR(FIND(join(",",filter(split($H$84,","),ARRAYFORMULA(ISERROR(FIND(split($H$84,","),J13)))=FALSE)),$E47:$W47))=FALSE)))&gt;1,FALSE,TRUE)</formula1>
    </dataValidation>
    <dataValidation type="custom" allowBlank="1" showDropDown="1" sqref="K26">
      <formula1>IF(COUNTA(filter($E31:$W31,ARRAYFORMULA(ISERROR(FIND(join(",",filter(split($H$84,","),ARRAYFORMULA(ISERROR(FIND(split($H$84,","),K26)))=FALSE)),$E31:$W31))=FALSE)))&gt;1,FALSE,TRUE)</formula1>
    </dataValidation>
    <dataValidation type="custom" allowBlank="1" showDropDown="1" sqref="N5:N6 N13:N14 T24:V24 N26:N27 T25:T28 T38:T39 N42:N43">
      <formula1>IF(COUNTA(filter($E7:$W7,ARRAYFORMULA(ISERROR(FIND(join(",",filter(split($H$84,","),ARRAYFORMULA(ISERROR(FIND(split($H$84,","),N5)))=FALSE)),$E7:$W7))=FALSE)))&gt;1,FALSE,TRUE)</formula1>
    </dataValidation>
    <dataValidation type="custom" allowBlank="1" showDropDown="1" sqref="N7">
      <formula1>IF(COUNTA(filter(#REF!,ARRAYFORMULA(ISERROR(FIND(join(",",filter(split($H$84,","),ARRAYFORMULA(ISERROR(FIND(split($H$84,","),#REF!)))=FALSE)),#REF!))=FALSE)))&gt;1,FALSE,TRUE)</formula1>
    </dataValidation>
    <dataValidation type="custom" allowBlank="1" showDropDown="1" sqref="P27 P29 S30:S31 S33 T52:T53 P58">
      <formula1>IF(COUNTA(filter($E26:$W26,ARRAYFORMULA(ISERROR(FIND(join(",",filter(split($H$84,","),ARRAYFORMULA(ISERROR(FIND(split($H$84,","),P27)))=FALSE)),$E26:$W26))=FALSE)))&gt;1,FALSE,TRUE)</formula1>
    </dataValidation>
    <dataValidation type="custom" allowBlank="1" showDropDown="1" sqref="G32 E33:E35">
      <formula1>IF(COUNTA(filter($E32:$W32,ARRAYFORMULA(ISERROR(FIND(join(",",filter(split($H$83,","),ARRAYFORMULA(ISERROR(FIND(split($H$83,","),#REF!)))=FALSE)),$E32:$W32))=FALSE)))&gt;1,FALSE,TRUE)</formula1>
    </dataValidation>
    <dataValidation type="custom" allowBlank="1" showDropDown="1" sqref="E2 R30">
      <formula1>IF(COUNTA(filter($E2:$W2,ARRAYFORMULA(ISERROR(FIND(join(",",filter(split($H$83,","),ARRAYFORMULA(ISERROR(FIND(split($H$83,","),E2)))=FALSE)),$E2:$W2))=FALSE)))&gt;1,FALSE,TRUE)</formula1>
    </dataValidation>
    <dataValidation type="custom" allowBlank="1" showDropDown="1" sqref="P9:P10 R15:S16 P17:Q18 N19:N20 N30:N31">
      <formula1>IF(COUNTA(filter($E7:$W7,ARRAYFORMULA(ISERROR(FIND(join(",",filter(split($H$84,","),ARRAYFORMULA(ISERROR(FIND(split($H$84,","),N9)))=FALSE)),$E7:$W7))=FALSE)))&gt;1,FALSE,TRUE)</formula1>
    </dataValidation>
    <dataValidation type="custom" allowBlank="1" showDropDown="1" sqref="J32:J33 E55 P55">
      <formula1>IF(COUNTA(filter($E32:$W32,ARRAYFORMULA(ISERROR(FIND(join(",",filter(split($H$85,","),ARRAYFORMULA(ISERROR(FIND(split($H$85,","),E32)))=FALSE)),$E32:$W32))=FALSE)))&gt;1,FALSE,TRUE)</formula1>
    </dataValidation>
    <dataValidation type="custom" allowBlank="1" showDropDown="1" sqref="S3:S4">
      <formula1>IF(COUNTA(filter($E27:$W27,ARRAYFORMULA(ISERROR(FIND(join(",",filter(split($H$84,","),ARRAYFORMULA(ISERROR(FIND(split($H$84,","),S3)))=FALSE)),$E27:$W27))=FALSE)))&gt;1,FALSE,TRUE)</formula1>
    </dataValidation>
    <dataValidation type="custom" allowBlank="1" showDropDown="1" sqref="T3:T4">
      <formula1>IF(COUNTA(filter($E47:$W47,ARRAYFORMULA(ISERROR(FIND(join(",",filter(split($H$84,","),ARRAYFORMULA(ISERROR(FIND(split($H$84,","),T3)))=FALSE)),$E47:$W47))=FALSE)))&gt;1,FALSE,TRUE)</formula1>
    </dataValidation>
    <dataValidation type="custom" allowBlank="1" showDropDown="1" sqref="T36:T37">
      <formula1>IF(COUNTA(filter($E13:$W13,ARRAYFORMULA(ISERROR(FIND(join(",",filter(split($H$84,","),ARRAYFORMULA(ISERROR(FIND(split($H$84,","),T36)))=FALSE)),$E13:$W13))=FALSE)))&gt;1,FALSE,TRUE)</formula1>
    </dataValidation>
    <dataValidation type="custom" allowBlank="1" showDropDown="1" sqref="J47:J48 K67">
      <formula1>IF(COUNTA(filter($E9:$W9,ARRAYFORMULA(ISERROR(FIND(join(",",filter(split($H$84,","),ARRAYFORMULA(ISERROR(FIND(split($H$84,","),J47)))=FALSE)),$E9:$W9))=FALSE)))&gt;1,FALSE,TRUE)</formula1>
    </dataValidation>
  </dataValidation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63"/>
    <col customWidth="1" min="2" max="2" width="17.75"/>
    <col customWidth="1" min="4" max="4" width="16.0"/>
    <col customWidth="1" min="5" max="5" width="15.5"/>
    <col customWidth="1" min="6" max="6" width="45.88"/>
    <col customWidth="1" min="7" max="7" width="46.88"/>
  </cols>
  <sheetData>
    <row r="1" ht="35.25" customHeight="1">
      <c r="A1" s="912" t="s">
        <v>11954</v>
      </c>
      <c r="B1" s="8"/>
      <c r="C1" s="8"/>
      <c r="D1" s="8"/>
      <c r="E1" s="8"/>
      <c r="F1" s="8"/>
      <c r="G1" s="4"/>
    </row>
    <row r="2" ht="11.25" customHeight="1">
      <c r="A2" s="104"/>
      <c r="B2" s="64"/>
      <c r="C2" s="64"/>
      <c r="D2" s="64"/>
      <c r="E2" s="64"/>
      <c r="F2" s="64"/>
      <c r="G2" s="72"/>
    </row>
    <row r="3">
      <c r="A3" s="913" t="s">
        <v>11955</v>
      </c>
      <c r="B3" s="914" t="s">
        <v>11956</v>
      </c>
      <c r="C3" s="914" t="s">
        <v>11957</v>
      </c>
      <c r="D3" s="913" t="s">
        <v>11958</v>
      </c>
      <c r="E3" s="913" t="s">
        <v>11959</v>
      </c>
      <c r="F3" s="913" t="s">
        <v>11960</v>
      </c>
      <c r="G3" s="914" t="s">
        <v>11961</v>
      </c>
    </row>
    <row r="4">
      <c r="A4" s="915">
        <v>0.0</v>
      </c>
      <c r="B4" s="916">
        <v>0.4166666666666667</v>
      </c>
      <c r="C4" s="916">
        <f>B4+$D$13</f>
        <v>0.4194444444</v>
      </c>
      <c r="D4" s="917"/>
      <c r="E4" s="918" t="s">
        <v>11962</v>
      </c>
      <c r="F4" s="918" t="s">
        <v>11963</v>
      </c>
      <c r="G4" s="915" t="s">
        <v>2802</v>
      </c>
    </row>
    <row r="5">
      <c r="A5" s="919">
        <f t="shared" ref="A5:A8" si="1">A4+1</f>
        <v>1</v>
      </c>
      <c r="B5" s="916">
        <f t="shared" ref="B5:B11" si="2">C4+$A$13</f>
        <v>0.4201388889</v>
      </c>
      <c r="C5" s="916">
        <f t="shared" ref="C5:C7" si="3">B5+$B$13</f>
        <v>0.4263888889</v>
      </c>
      <c r="D5" s="918" t="s">
        <v>11964</v>
      </c>
      <c r="E5" s="918" t="s">
        <v>11965</v>
      </c>
      <c r="F5" s="920" t="s">
        <v>11966</v>
      </c>
      <c r="G5" s="915" t="s">
        <v>2802</v>
      </c>
    </row>
    <row r="6">
      <c r="A6" s="919">
        <f t="shared" si="1"/>
        <v>2</v>
      </c>
      <c r="B6" s="916">
        <f t="shared" si="2"/>
        <v>0.4270833333</v>
      </c>
      <c r="C6" s="916">
        <f t="shared" si="3"/>
        <v>0.4333333333</v>
      </c>
      <c r="D6" s="921" t="s">
        <v>11967</v>
      </c>
      <c r="E6" s="920" t="s">
        <v>11968</v>
      </c>
      <c r="F6" s="920" t="s">
        <v>11969</v>
      </c>
      <c r="G6" s="915" t="s">
        <v>2802</v>
      </c>
    </row>
    <row r="7">
      <c r="A7" s="919">
        <f t="shared" si="1"/>
        <v>3</v>
      </c>
      <c r="B7" s="916">
        <f t="shared" si="2"/>
        <v>0.4340277778</v>
      </c>
      <c r="C7" s="916">
        <f t="shared" si="3"/>
        <v>0.4402777778</v>
      </c>
      <c r="D7" s="920" t="s">
        <v>11970</v>
      </c>
      <c r="E7" s="918" t="s">
        <v>11971</v>
      </c>
      <c r="F7" s="918" t="s">
        <v>11972</v>
      </c>
      <c r="G7" s="915" t="s">
        <v>2802</v>
      </c>
    </row>
    <row r="8">
      <c r="A8" s="919">
        <f t="shared" si="1"/>
        <v>4</v>
      </c>
      <c r="B8" s="916">
        <f t="shared" si="2"/>
        <v>0.4409722222</v>
      </c>
      <c r="C8" s="916">
        <v>0.4444444444444444</v>
      </c>
      <c r="D8" s="920" t="s">
        <v>11973</v>
      </c>
      <c r="E8" s="920" t="s">
        <v>11974</v>
      </c>
      <c r="F8" s="920" t="s">
        <v>11975</v>
      </c>
      <c r="G8" s="915" t="s">
        <v>2802</v>
      </c>
    </row>
    <row r="9">
      <c r="A9" s="919">
        <f>A15+1</f>
        <v>6</v>
      </c>
      <c r="B9" s="916">
        <f t="shared" si="2"/>
        <v>0.4451388889</v>
      </c>
      <c r="C9" s="916">
        <f t="shared" ref="C9:C11" si="4">B9+$B$13</f>
        <v>0.4513888889</v>
      </c>
      <c r="D9" s="920" t="s">
        <v>11976</v>
      </c>
      <c r="E9" s="920" t="s">
        <v>11977</v>
      </c>
      <c r="F9" s="920" t="s">
        <v>11978</v>
      </c>
      <c r="G9" s="915" t="s">
        <v>2802</v>
      </c>
    </row>
    <row r="10">
      <c r="A10" s="919">
        <f t="shared" ref="A10:A11" si="5">A9+1</f>
        <v>7</v>
      </c>
      <c r="B10" s="916">
        <f t="shared" si="2"/>
        <v>0.4520833333</v>
      </c>
      <c r="C10" s="916">
        <f t="shared" si="4"/>
        <v>0.4583333333</v>
      </c>
      <c r="D10" s="920" t="s">
        <v>11979</v>
      </c>
      <c r="E10" s="920" t="s">
        <v>11980</v>
      </c>
      <c r="F10" s="920" t="s">
        <v>11981</v>
      </c>
      <c r="G10" s="915" t="s">
        <v>2802</v>
      </c>
    </row>
    <row r="11">
      <c r="A11" s="919">
        <f t="shared" si="5"/>
        <v>8</v>
      </c>
      <c r="B11" s="916">
        <f t="shared" si="2"/>
        <v>0.4590277778</v>
      </c>
      <c r="C11" s="916">
        <f t="shared" si="4"/>
        <v>0.4652777778</v>
      </c>
      <c r="D11" s="918" t="s">
        <v>11982</v>
      </c>
      <c r="E11" s="918" t="s">
        <v>11983</v>
      </c>
      <c r="F11" s="918" t="s">
        <v>11984</v>
      </c>
      <c r="G11" s="915" t="s">
        <v>2802</v>
      </c>
    </row>
    <row r="12">
      <c r="A12" s="922" t="s">
        <v>11985</v>
      </c>
      <c r="B12" s="36"/>
      <c r="C12" s="36"/>
      <c r="D12" s="36"/>
      <c r="E12" s="36"/>
      <c r="F12" s="36"/>
      <c r="G12" s="13"/>
    </row>
    <row r="13" ht="9.0" customHeight="1">
      <c r="A13" s="923">
        <v>6.944444444444445E-4</v>
      </c>
      <c r="B13" s="923">
        <v>0.00625</v>
      </c>
      <c r="C13" s="923">
        <v>0.006944444444444444</v>
      </c>
      <c r="D13" s="923">
        <v>0.002777777777777778</v>
      </c>
      <c r="E13" s="924"/>
      <c r="F13" s="925"/>
      <c r="G13" s="925"/>
    </row>
    <row r="14">
      <c r="A14" s="926" t="s">
        <v>11986</v>
      </c>
      <c r="B14" s="36"/>
      <c r="C14" s="36"/>
      <c r="D14" s="36"/>
      <c r="E14" s="36"/>
      <c r="F14" s="36"/>
      <c r="G14" s="927"/>
    </row>
    <row r="15">
      <c r="A15" s="919">
        <f>A8+1</f>
        <v>5</v>
      </c>
      <c r="B15" s="916">
        <f>C11+$C$13</f>
        <v>0.4722222222</v>
      </c>
      <c r="C15" s="916">
        <f t="shared" ref="C15:C24" si="6">B15+$B$13</f>
        <v>0.4784722222</v>
      </c>
      <c r="D15" s="920" t="s">
        <v>11987</v>
      </c>
      <c r="E15" s="920" t="s">
        <v>11988</v>
      </c>
      <c r="F15" s="920" t="s">
        <v>11989</v>
      </c>
      <c r="G15" s="915" t="s">
        <v>2802</v>
      </c>
    </row>
    <row r="16">
      <c r="A16" s="915">
        <f>A10+1</f>
        <v>8</v>
      </c>
      <c r="B16" s="916">
        <f t="shared" ref="B16:B24" si="7">C15+$A$13</f>
        <v>0.4791666667</v>
      </c>
      <c r="C16" s="916">
        <f t="shared" si="6"/>
        <v>0.4854166667</v>
      </c>
      <c r="D16" s="920" t="s">
        <v>11990</v>
      </c>
      <c r="E16" s="920" t="s">
        <v>11991</v>
      </c>
      <c r="F16" s="920" t="s">
        <v>11992</v>
      </c>
      <c r="G16" s="915" t="s">
        <v>2802</v>
      </c>
    </row>
    <row r="17">
      <c r="A17" s="919">
        <f t="shared" ref="A17:A24" si="8">A16+1</f>
        <v>9</v>
      </c>
      <c r="B17" s="916">
        <f t="shared" si="7"/>
        <v>0.4861111111</v>
      </c>
      <c r="C17" s="916">
        <f t="shared" si="6"/>
        <v>0.4923611111</v>
      </c>
      <c r="D17" s="920" t="s">
        <v>11993</v>
      </c>
      <c r="E17" s="920" t="s">
        <v>11994</v>
      </c>
      <c r="F17" s="920" t="s">
        <v>11995</v>
      </c>
      <c r="G17" s="915" t="s">
        <v>2802</v>
      </c>
    </row>
    <row r="18">
      <c r="A18" s="919">
        <f t="shared" si="8"/>
        <v>10</v>
      </c>
      <c r="B18" s="916">
        <f t="shared" si="7"/>
        <v>0.4930555556</v>
      </c>
      <c r="C18" s="916">
        <f t="shared" si="6"/>
        <v>0.4993055556</v>
      </c>
      <c r="D18" s="920" t="s">
        <v>11993</v>
      </c>
      <c r="E18" s="920" t="s">
        <v>11996</v>
      </c>
      <c r="F18" s="918" t="s">
        <v>11997</v>
      </c>
      <c r="G18" s="915" t="s">
        <v>2802</v>
      </c>
    </row>
    <row r="19">
      <c r="A19" s="919">
        <f t="shared" si="8"/>
        <v>11</v>
      </c>
      <c r="B19" s="916">
        <f t="shared" si="7"/>
        <v>0.5</v>
      </c>
      <c r="C19" s="916">
        <f t="shared" si="6"/>
        <v>0.50625</v>
      </c>
      <c r="D19" s="918" t="s">
        <v>11998</v>
      </c>
      <c r="E19" s="920" t="s">
        <v>11999</v>
      </c>
      <c r="F19" s="918" t="s">
        <v>12000</v>
      </c>
      <c r="G19" s="915" t="s">
        <v>2802</v>
      </c>
    </row>
    <row r="20">
      <c r="A20" s="919">
        <f t="shared" si="8"/>
        <v>12</v>
      </c>
      <c r="B20" s="916">
        <f t="shared" si="7"/>
        <v>0.5069444444</v>
      </c>
      <c r="C20" s="916">
        <f t="shared" si="6"/>
        <v>0.5131944444</v>
      </c>
      <c r="D20" s="920" t="s">
        <v>11970</v>
      </c>
      <c r="E20" s="918" t="s">
        <v>12001</v>
      </c>
      <c r="F20" s="918" t="s">
        <v>12002</v>
      </c>
      <c r="G20" s="915" t="s">
        <v>2802</v>
      </c>
    </row>
    <row r="21">
      <c r="A21" s="919">
        <f t="shared" si="8"/>
        <v>13</v>
      </c>
      <c r="B21" s="916">
        <f t="shared" si="7"/>
        <v>0.5138888889</v>
      </c>
      <c r="C21" s="916">
        <f t="shared" si="6"/>
        <v>0.5201388889</v>
      </c>
      <c r="D21" s="918" t="s">
        <v>12003</v>
      </c>
      <c r="E21" s="920" t="s">
        <v>12004</v>
      </c>
      <c r="F21" s="920" t="s">
        <v>12005</v>
      </c>
      <c r="G21" s="915" t="s">
        <v>2802</v>
      </c>
    </row>
    <row r="22">
      <c r="A22" s="919">
        <f t="shared" si="8"/>
        <v>14</v>
      </c>
      <c r="B22" s="916">
        <f t="shared" si="7"/>
        <v>0.5208333333</v>
      </c>
      <c r="C22" s="916">
        <f t="shared" si="6"/>
        <v>0.5270833333</v>
      </c>
      <c r="D22" s="918" t="s">
        <v>12006</v>
      </c>
      <c r="E22" s="918" t="s">
        <v>12007</v>
      </c>
      <c r="F22" s="920" t="s">
        <v>12008</v>
      </c>
      <c r="G22" s="915" t="s">
        <v>2802</v>
      </c>
    </row>
    <row r="23">
      <c r="A23" s="919">
        <f t="shared" si="8"/>
        <v>15</v>
      </c>
      <c r="B23" s="916">
        <f t="shared" si="7"/>
        <v>0.5277777778</v>
      </c>
      <c r="C23" s="916">
        <f t="shared" si="6"/>
        <v>0.5340277778</v>
      </c>
      <c r="D23" s="920" t="s">
        <v>11982</v>
      </c>
      <c r="E23" s="920" t="s">
        <v>12009</v>
      </c>
      <c r="F23" s="918" t="s">
        <v>12010</v>
      </c>
      <c r="G23" s="915" t="s">
        <v>2802</v>
      </c>
    </row>
    <row r="24">
      <c r="A24" s="919">
        <f t="shared" si="8"/>
        <v>16</v>
      </c>
      <c r="B24" s="916">
        <f t="shared" si="7"/>
        <v>0.5347222222</v>
      </c>
      <c r="C24" s="916">
        <f t="shared" si="6"/>
        <v>0.5409722222</v>
      </c>
      <c r="D24" s="920" t="s">
        <v>12011</v>
      </c>
      <c r="E24" s="918" t="s">
        <v>12012</v>
      </c>
      <c r="F24" s="920" t="s">
        <v>12013</v>
      </c>
      <c r="G24" s="915" t="s">
        <v>2802</v>
      </c>
    </row>
    <row r="25" ht="24.75" customHeight="1">
      <c r="A25" s="928" t="s">
        <v>12014</v>
      </c>
    </row>
    <row r="26">
      <c r="A26" s="929" t="s">
        <v>12015</v>
      </c>
      <c r="B26" s="930"/>
      <c r="C26" s="930"/>
      <c r="D26" s="930"/>
      <c r="E26" s="930"/>
      <c r="F26" s="930"/>
      <c r="G26" s="931"/>
    </row>
    <row r="27">
      <c r="A27" s="919">
        <f>A10+1</f>
        <v>8</v>
      </c>
      <c r="B27" s="916">
        <f>C11+$C$13</f>
        <v>0.4722222222</v>
      </c>
      <c r="C27" s="916">
        <f>B27+$B$13</f>
        <v>0.4784722222</v>
      </c>
      <c r="D27" s="920" t="s">
        <v>12016</v>
      </c>
      <c r="E27" s="920" t="s">
        <v>12017</v>
      </c>
      <c r="F27" s="920" t="s">
        <v>12018</v>
      </c>
      <c r="G27" s="915" t="s">
        <v>2801</v>
      </c>
    </row>
    <row r="28">
      <c r="A28" s="919">
        <f t="shared" ref="A28:A37" si="9">A27+1</f>
        <v>9</v>
      </c>
      <c r="B28" s="916">
        <v>0.47847222222222224</v>
      </c>
      <c r="C28" s="916">
        <v>0.47847222222222224</v>
      </c>
      <c r="D28" s="920" t="s">
        <v>12016</v>
      </c>
      <c r="E28" s="920" t="s">
        <v>12019</v>
      </c>
      <c r="F28" s="920" t="s">
        <v>12020</v>
      </c>
      <c r="G28" s="915" t="s">
        <v>2801</v>
      </c>
    </row>
    <row r="29" ht="15.0" customHeight="1">
      <c r="A29" s="919">
        <f t="shared" si="9"/>
        <v>10</v>
      </c>
      <c r="B29" s="916">
        <f t="shared" ref="B29:B37" si="10">C28+$A$13</f>
        <v>0.4791666667</v>
      </c>
      <c r="C29" s="916">
        <f t="shared" ref="C29:C33" si="11">B29+$B$13</f>
        <v>0.4854166667</v>
      </c>
      <c r="D29" s="921" t="s">
        <v>11967</v>
      </c>
      <c r="E29" s="920" t="s">
        <v>12021</v>
      </c>
      <c r="F29" s="920" t="s">
        <v>12022</v>
      </c>
      <c r="G29" s="915" t="s">
        <v>2801</v>
      </c>
    </row>
    <row r="30" ht="15.0" customHeight="1">
      <c r="A30" s="919">
        <f t="shared" si="9"/>
        <v>11</v>
      </c>
      <c r="B30" s="916">
        <f t="shared" si="10"/>
        <v>0.4861111111</v>
      </c>
      <c r="C30" s="916">
        <f t="shared" si="11"/>
        <v>0.4923611111</v>
      </c>
      <c r="D30" s="921" t="s">
        <v>11967</v>
      </c>
      <c r="E30" s="920" t="s">
        <v>12023</v>
      </c>
      <c r="F30" s="921" t="s">
        <v>12024</v>
      </c>
      <c r="G30" s="915" t="s">
        <v>2801</v>
      </c>
    </row>
    <row r="31" ht="15.0" customHeight="1">
      <c r="A31" s="919">
        <f t="shared" si="9"/>
        <v>12</v>
      </c>
      <c r="B31" s="916">
        <f t="shared" si="10"/>
        <v>0.4930555556</v>
      </c>
      <c r="C31" s="916">
        <f t="shared" si="11"/>
        <v>0.4993055556</v>
      </c>
      <c r="D31" s="921" t="s">
        <v>11967</v>
      </c>
      <c r="E31" s="918" t="s">
        <v>12025</v>
      </c>
      <c r="F31" s="920" t="s">
        <v>12026</v>
      </c>
      <c r="G31" s="915" t="s">
        <v>2801</v>
      </c>
    </row>
    <row r="32">
      <c r="A32" s="919">
        <f t="shared" si="9"/>
        <v>13</v>
      </c>
      <c r="B32" s="916">
        <f t="shared" si="10"/>
        <v>0.5</v>
      </c>
      <c r="C32" s="916">
        <f t="shared" si="11"/>
        <v>0.50625</v>
      </c>
      <c r="D32" s="920" t="s">
        <v>11976</v>
      </c>
      <c r="E32" s="920" t="s">
        <v>12027</v>
      </c>
      <c r="F32" s="918" t="s">
        <v>12028</v>
      </c>
      <c r="G32" s="915" t="s">
        <v>2801</v>
      </c>
    </row>
    <row r="33">
      <c r="A33" s="919">
        <f t="shared" si="9"/>
        <v>14</v>
      </c>
      <c r="B33" s="916">
        <f t="shared" si="10"/>
        <v>0.5069444444</v>
      </c>
      <c r="C33" s="916">
        <f t="shared" si="11"/>
        <v>0.5131944444</v>
      </c>
      <c r="D33" s="920" t="s">
        <v>11976</v>
      </c>
      <c r="E33" s="918" t="s">
        <v>12029</v>
      </c>
      <c r="F33" s="918" t="s">
        <v>12030</v>
      </c>
      <c r="G33" s="915" t="s">
        <v>2801</v>
      </c>
    </row>
    <row r="34">
      <c r="A34" s="919">
        <f t="shared" si="9"/>
        <v>15</v>
      </c>
      <c r="B34" s="916">
        <f t="shared" si="10"/>
        <v>0.5138888889</v>
      </c>
      <c r="C34" s="916">
        <v>0.5131944444444444</v>
      </c>
      <c r="D34" s="920" t="s">
        <v>11976</v>
      </c>
      <c r="E34" s="932" t="s">
        <v>12031</v>
      </c>
      <c r="F34" s="918" t="s">
        <v>12032</v>
      </c>
      <c r="G34" s="915" t="s">
        <v>2801</v>
      </c>
    </row>
    <row r="35">
      <c r="A35" s="919">
        <f t="shared" si="9"/>
        <v>16</v>
      </c>
      <c r="B35" s="916">
        <f t="shared" si="10"/>
        <v>0.5138888889</v>
      </c>
      <c r="C35" s="916">
        <f t="shared" ref="C35:C37" si="12">B35+$B$13</f>
        <v>0.5201388889</v>
      </c>
      <c r="D35" s="920" t="s">
        <v>11976</v>
      </c>
      <c r="E35" s="918" t="s">
        <v>12033</v>
      </c>
      <c r="F35" s="918" t="s">
        <v>12034</v>
      </c>
      <c r="G35" s="915" t="s">
        <v>2801</v>
      </c>
    </row>
    <row r="36">
      <c r="A36" s="919">
        <f t="shared" si="9"/>
        <v>17</v>
      </c>
      <c r="B36" s="916">
        <f t="shared" si="10"/>
        <v>0.5208333333</v>
      </c>
      <c r="C36" s="916">
        <f t="shared" si="12"/>
        <v>0.5270833333</v>
      </c>
      <c r="D36" s="920" t="s">
        <v>11976</v>
      </c>
      <c r="E36" s="918" t="s">
        <v>12035</v>
      </c>
      <c r="F36" s="918" t="s">
        <v>12036</v>
      </c>
      <c r="G36" s="915" t="s">
        <v>2801</v>
      </c>
    </row>
    <row r="37">
      <c r="A37" s="933">
        <f t="shared" si="9"/>
        <v>18</v>
      </c>
      <c r="B37" s="934">
        <f t="shared" si="10"/>
        <v>0.5277777778</v>
      </c>
      <c r="C37" s="934">
        <f t="shared" si="12"/>
        <v>0.5340277778</v>
      </c>
      <c r="D37" s="935" t="s">
        <v>11976</v>
      </c>
      <c r="E37" s="935" t="s">
        <v>12037</v>
      </c>
      <c r="F37" s="936" t="s">
        <v>12038</v>
      </c>
      <c r="G37" s="478" t="s">
        <v>2801</v>
      </c>
    </row>
    <row r="38">
      <c r="A38" s="928" t="s">
        <v>12014</v>
      </c>
    </row>
    <row r="39">
      <c r="A39" s="929" t="s">
        <v>12039</v>
      </c>
      <c r="B39" s="930"/>
      <c r="C39" s="930"/>
      <c r="D39" s="930"/>
      <c r="E39" s="930"/>
      <c r="F39" s="930"/>
      <c r="G39" s="931"/>
    </row>
    <row r="40">
      <c r="A40" s="937"/>
      <c r="B40" s="937" t="s">
        <v>12040</v>
      </c>
      <c r="C40" s="938" t="s">
        <v>12041</v>
      </c>
      <c r="D40" s="939" t="s">
        <v>12042</v>
      </c>
      <c r="E40" s="939" t="s">
        <v>12043</v>
      </c>
      <c r="F40" s="939" t="s">
        <v>12044</v>
      </c>
    </row>
    <row r="41">
      <c r="A41" s="940"/>
      <c r="B41" s="940" t="s">
        <v>12045</v>
      </c>
      <c r="C41" s="941">
        <v>409.0</v>
      </c>
      <c r="D41" s="942" t="s">
        <v>12046</v>
      </c>
      <c r="E41" s="942" t="s">
        <v>12047</v>
      </c>
      <c r="F41" s="942" t="s">
        <v>12048</v>
      </c>
    </row>
    <row r="42">
      <c r="A42" s="940"/>
      <c r="B42" s="940" t="s">
        <v>12049</v>
      </c>
      <c r="C42" s="941">
        <v>409.0</v>
      </c>
      <c r="D42" s="942" t="s">
        <v>12050</v>
      </c>
      <c r="E42" s="942" t="s">
        <v>12051</v>
      </c>
      <c r="F42" s="942" t="s">
        <v>12052</v>
      </c>
    </row>
    <row r="43">
      <c r="A43" s="940"/>
      <c r="B43" s="940" t="s">
        <v>12053</v>
      </c>
      <c r="C43" s="941">
        <v>409.0</v>
      </c>
      <c r="D43" s="942" t="s">
        <v>12054</v>
      </c>
      <c r="E43" s="942" t="s">
        <v>12046</v>
      </c>
      <c r="F43" s="942" t="s">
        <v>12047</v>
      </c>
    </row>
    <row r="44">
      <c r="A44" s="940"/>
      <c r="B44" s="940" t="s">
        <v>12055</v>
      </c>
      <c r="C44" s="941">
        <v>408.0</v>
      </c>
      <c r="D44" s="942" t="s">
        <v>12048</v>
      </c>
      <c r="E44" s="942" t="s">
        <v>12050</v>
      </c>
      <c r="F44" s="942" t="s">
        <v>12051</v>
      </c>
    </row>
    <row r="45">
      <c r="A45" s="940"/>
      <c r="B45" s="940" t="s">
        <v>12056</v>
      </c>
      <c r="C45" s="941">
        <v>408.0</v>
      </c>
      <c r="D45" s="942" t="s">
        <v>12052</v>
      </c>
      <c r="E45" s="942" t="s">
        <v>12054</v>
      </c>
      <c r="F45" s="942" t="s">
        <v>12046</v>
      </c>
    </row>
    <row r="46">
      <c r="A46" s="940"/>
      <c r="B46" s="940" t="s">
        <v>12057</v>
      </c>
      <c r="C46" s="941">
        <v>406.0</v>
      </c>
      <c r="D46" s="942" t="s">
        <v>12047</v>
      </c>
      <c r="E46" s="942" t="s">
        <v>12048</v>
      </c>
      <c r="F46" s="942" t="s">
        <v>12050</v>
      </c>
    </row>
    <row r="47">
      <c r="A47" s="940"/>
      <c r="B47" s="940" t="s">
        <v>12058</v>
      </c>
      <c r="C47" s="941">
        <v>406.0</v>
      </c>
      <c r="D47" s="942" t="s">
        <v>12051</v>
      </c>
      <c r="E47" s="942" t="s">
        <v>12052</v>
      </c>
      <c r="F47" s="942" t="s">
        <v>12054</v>
      </c>
    </row>
    <row r="48">
      <c r="A48" s="943"/>
      <c r="B48" s="943"/>
      <c r="C48" s="943"/>
      <c r="D48" s="943"/>
      <c r="E48" s="943"/>
      <c r="F48" s="943"/>
      <c r="G48" s="943"/>
      <c r="H48" s="944"/>
    </row>
    <row r="49">
      <c r="A49" s="943"/>
      <c r="B49" s="943"/>
      <c r="C49" s="943"/>
      <c r="D49" s="943"/>
      <c r="E49" s="943"/>
      <c r="F49" s="943"/>
      <c r="G49" s="943"/>
      <c r="H49" s="944"/>
    </row>
    <row r="50">
      <c r="A50" s="943"/>
      <c r="B50" s="943"/>
      <c r="C50" s="943"/>
      <c r="D50" s="943"/>
      <c r="E50" s="943"/>
      <c r="F50" s="943"/>
      <c r="G50" s="943"/>
      <c r="H50" s="944"/>
    </row>
    <row r="51">
      <c r="A51" s="943"/>
      <c r="B51" s="943"/>
      <c r="C51" s="943"/>
      <c r="D51" s="943"/>
      <c r="E51" s="943"/>
      <c r="F51" s="943"/>
      <c r="G51" s="943"/>
      <c r="H51" s="944"/>
    </row>
    <row r="52">
      <c r="A52" s="943"/>
      <c r="B52" s="943"/>
      <c r="C52" s="943"/>
      <c r="D52" s="943"/>
      <c r="E52" s="943"/>
      <c r="F52" s="943"/>
      <c r="G52" s="943"/>
      <c r="H52" s="944"/>
    </row>
    <row r="53">
      <c r="A53" s="943"/>
      <c r="B53" s="943"/>
      <c r="C53" s="943"/>
      <c r="D53" s="943"/>
      <c r="E53" s="943"/>
      <c r="F53" s="943"/>
      <c r="G53" s="943"/>
      <c r="H53" s="944"/>
    </row>
    <row r="54">
      <c r="A54" s="943"/>
      <c r="B54" s="943"/>
      <c r="C54" s="943"/>
      <c r="D54" s="943"/>
      <c r="E54" s="943"/>
      <c r="F54" s="943"/>
      <c r="G54" s="943"/>
      <c r="H54" s="944"/>
    </row>
    <row r="55">
      <c r="A55" s="943"/>
      <c r="B55" s="943"/>
      <c r="C55" s="943"/>
      <c r="D55" s="943"/>
      <c r="E55" s="943"/>
      <c r="F55" s="943"/>
      <c r="G55" s="943"/>
      <c r="H55" s="944"/>
    </row>
    <row r="56">
      <c r="A56" s="943"/>
      <c r="B56" s="943"/>
      <c r="C56" s="943"/>
      <c r="D56" s="943"/>
      <c r="E56" s="943"/>
      <c r="F56" s="943"/>
      <c r="G56" s="943"/>
      <c r="H56" s="944"/>
    </row>
    <row r="57">
      <c r="A57" s="943"/>
      <c r="B57" s="943"/>
      <c r="C57" s="943"/>
      <c r="D57" s="943"/>
      <c r="E57" s="943"/>
      <c r="F57" s="943"/>
      <c r="G57" s="943"/>
      <c r="H57" s="944"/>
    </row>
    <row r="58">
      <c r="A58" s="943"/>
      <c r="B58" s="943"/>
      <c r="C58" s="943"/>
      <c r="D58" s="943"/>
      <c r="E58" s="943"/>
      <c r="F58" s="943"/>
      <c r="G58" s="943"/>
      <c r="H58" s="944"/>
    </row>
    <row r="59">
      <c r="A59" s="943"/>
      <c r="B59" s="943"/>
      <c r="C59" s="943"/>
      <c r="D59" s="943"/>
      <c r="E59" s="943"/>
      <c r="F59" s="943"/>
      <c r="G59" s="943"/>
      <c r="H59" s="944"/>
    </row>
    <row r="60">
      <c r="A60" s="943"/>
      <c r="B60" s="943"/>
      <c r="C60" s="943"/>
      <c r="D60" s="943"/>
      <c r="E60" s="943"/>
      <c r="F60" s="943"/>
      <c r="G60" s="943"/>
      <c r="H60" s="944"/>
    </row>
    <row r="61">
      <c r="A61" s="943"/>
      <c r="B61" s="943"/>
      <c r="C61" s="943"/>
      <c r="D61" s="943"/>
      <c r="E61" s="943"/>
      <c r="F61" s="943"/>
      <c r="G61" s="943"/>
      <c r="H61" s="944"/>
    </row>
    <row r="62">
      <c r="A62" s="943"/>
      <c r="B62" s="943"/>
      <c r="C62" s="943"/>
      <c r="D62" s="943"/>
      <c r="E62" s="943"/>
      <c r="F62" s="943"/>
      <c r="G62" s="943"/>
      <c r="H62" s="944"/>
    </row>
    <row r="63">
      <c r="A63" s="943"/>
      <c r="B63" s="943"/>
      <c r="C63" s="943"/>
      <c r="D63" s="943"/>
      <c r="E63" s="943"/>
      <c r="F63" s="943"/>
      <c r="G63" s="943"/>
      <c r="H63" s="944"/>
    </row>
    <row r="64">
      <c r="A64" s="943"/>
      <c r="B64" s="943"/>
      <c r="C64" s="943"/>
      <c r="D64" s="943"/>
      <c r="E64" s="943"/>
      <c r="F64" s="943"/>
      <c r="G64" s="943"/>
      <c r="H64" s="944"/>
    </row>
    <row r="65">
      <c r="A65" s="943"/>
      <c r="B65" s="943"/>
      <c r="C65" s="943"/>
      <c r="D65" s="943"/>
      <c r="E65" s="943"/>
      <c r="F65" s="943"/>
      <c r="G65" s="943"/>
      <c r="H65" s="944"/>
    </row>
    <row r="66">
      <c r="A66" s="943"/>
      <c r="B66" s="943"/>
      <c r="C66" s="943"/>
      <c r="D66" s="943"/>
      <c r="E66" s="943"/>
      <c r="F66" s="943"/>
      <c r="G66" s="943"/>
      <c r="H66" s="944"/>
    </row>
    <row r="67">
      <c r="A67" s="943"/>
      <c r="B67" s="943"/>
      <c r="C67" s="943"/>
      <c r="D67" s="943"/>
      <c r="E67" s="943"/>
      <c r="F67" s="943"/>
      <c r="G67" s="943"/>
      <c r="H67" s="944"/>
    </row>
    <row r="68">
      <c r="A68" s="943"/>
      <c r="B68" s="943"/>
      <c r="C68" s="943"/>
      <c r="D68" s="943"/>
      <c r="E68" s="943"/>
      <c r="F68" s="943"/>
      <c r="G68" s="943"/>
      <c r="H68" s="944"/>
    </row>
    <row r="69">
      <c r="A69" s="943"/>
      <c r="B69" s="943"/>
      <c r="C69" s="943"/>
      <c r="D69" s="943"/>
      <c r="E69" s="943"/>
      <c r="F69" s="943"/>
      <c r="G69" s="943"/>
      <c r="H69" s="944"/>
    </row>
    <row r="70">
      <c r="A70" s="943"/>
      <c r="B70" s="943"/>
      <c r="C70" s="943"/>
      <c r="D70" s="943"/>
      <c r="E70" s="943"/>
      <c r="F70" s="943"/>
      <c r="G70" s="943"/>
      <c r="H70" s="944"/>
    </row>
    <row r="71">
      <c r="A71" s="943"/>
      <c r="B71" s="943"/>
      <c r="C71" s="943"/>
      <c r="D71" s="943"/>
      <c r="E71" s="943"/>
      <c r="F71" s="943"/>
      <c r="G71" s="943"/>
      <c r="H71" s="944"/>
    </row>
    <row r="72">
      <c r="A72" s="943"/>
      <c r="B72" s="943"/>
      <c r="C72" s="943"/>
      <c r="D72" s="943"/>
      <c r="E72" s="943"/>
      <c r="F72" s="943"/>
      <c r="G72" s="943"/>
      <c r="H72" s="944"/>
    </row>
    <row r="73">
      <c r="A73" s="943"/>
      <c r="B73" s="943"/>
      <c r="C73" s="943"/>
      <c r="D73" s="943"/>
      <c r="E73" s="943"/>
      <c r="F73" s="943"/>
      <c r="G73" s="943"/>
      <c r="H73" s="944"/>
    </row>
    <row r="74">
      <c r="A74" s="943"/>
      <c r="B74" s="943"/>
      <c r="C74" s="943"/>
      <c r="D74" s="943"/>
      <c r="E74" s="943"/>
      <c r="F74" s="943"/>
      <c r="G74" s="943"/>
      <c r="H74" s="944"/>
    </row>
    <row r="75">
      <c r="A75" s="943"/>
      <c r="B75" s="943"/>
      <c r="C75" s="943"/>
      <c r="D75" s="943"/>
      <c r="E75" s="943"/>
      <c r="F75" s="943"/>
      <c r="G75" s="943"/>
      <c r="H75" s="944"/>
    </row>
    <row r="76">
      <c r="A76" s="943"/>
      <c r="B76" s="943"/>
      <c r="C76" s="943"/>
      <c r="D76" s="943"/>
      <c r="E76" s="943"/>
      <c r="F76" s="943"/>
      <c r="G76" s="943"/>
      <c r="H76" s="944"/>
    </row>
    <row r="77">
      <c r="A77" s="943"/>
      <c r="B77" s="943"/>
      <c r="C77" s="943"/>
      <c r="D77" s="943"/>
      <c r="E77" s="943"/>
      <c r="F77" s="943"/>
      <c r="G77" s="943"/>
      <c r="H77" s="944"/>
    </row>
    <row r="78">
      <c r="A78" s="943"/>
      <c r="B78" s="943"/>
      <c r="C78" s="943"/>
      <c r="D78" s="943"/>
      <c r="E78" s="943"/>
      <c r="F78" s="943"/>
      <c r="G78" s="943"/>
      <c r="H78" s="944"/>
    </row>
    <row r="79">
      <c r="A79" s="943"/>
      <c r="B79" s="943"/>
      <c r="C79" s="943"/>
      <c r="D79" s="943"/>
      <c r="E79" s="943"/>
      <c r="F79" s="943"/>
      <c r="G79" s="943"/>
      <c r="H79" s="944"/>
    </row>
    <row r="80">
      <c r="A80" s="943"/>
      <c r="B80" s="943"/>
      <c r="C80" s="943"/>
      <c r="D80" s="943"/>
      <c r="E80" s="943"/>
      <c r="F80" s="943"/>
      <c r="G80" s="943"/>
      <c r="H80" s="944"/>
    </row>
    <row r="81">
      <c r="A81" s="943"/>
      <c r="B81" s="943"/>
      <c r="C81" s="943"/>
      <c r="D81" s="943"/>
      <c r="E81" s="943"/>
      <c r="F81" s="943"/>
      <c r="G81" s="943"/>
      <c r="H81" s="944"/>
    </row>
    <row r="82">
      <c r="A82" s="943"/>
      <c r="B82" s="943"/>
      <c r="C82" s="943"/>
      <c r="D82" s="943"/>
      <c r="E82" s="943"/>
      <c r="F82" s="943"/>
      <c r="G82" s="943"/>
      <c r="H82" s="944"/>
    </row>
    <row r="83">
      <c r="A83" s="943"/>
      <c r="B83" s="943"/>
      <c r="C83" s="943"/>
      <c r="D83" s="943"/>
      <c r="E83" s="943"/>
      <c r="F83" s="943"/>
      <c r="G83" s="943"/>
      <c r="H83" s="944"/>
    </row>
    <row r="84">
      <c r="A84" s="943"/>
      <c r="B84" s="943"/>
      <c r="C84" s="943"/>
      <c r="D84" s="943"/>
      <c r="E84" s="943"/>
      <c r="F84" s="943"/>
      <c r="G84" s="943"/>
      <c r="H84" s="944"/>
    </row>
    <row r="85">
      <c r="A85" s="943"/>
      <c r="B85" s="943"/>
      <c r="C85" s="943"/>
      <c r="D85" s="943"/>
      <c r="E85" s="943"/>
      <c r="F85" s="943"/>
      <c r="G85" s="943"/>
      <c r="H85" s="944"/>
    </row>
    <row r="86">
      <c r="A86" s="943"/>
      <c r="B86" s="943"/>
      <c r="C86" s="943"/>
      <c r="D86" s="943"/>
      <c r="E86" s="943"/>
      <c r="F86" s="943"/>
      <c r="G86" s="943"/>
      <c r="H86" s="944"/>
    </row>
    <row r="87">
      <c r="A87" s="943"/>
      <c r="B87" s="943"/>
      <c r="C87" s="943"/>
      <c r="D87" s="943"/>
      <c r="E87" s="943"/>
      <c r="F87" s="943"/>
      <c r="G87" s="943"/>
      <c r="H87" s="944"/>
    </row>
    <row r="88">
      <c r="A88" s="943"/>
      <c r="B88" s="943"/>
      <c r="C88" s="943"/>
      <c r="D88" s="943"/>
      <c r="E88" s="943"/>
      <c r="F88" s="943"/>
      <c r="G88" s="943"/>
      <c r="H88" s="944"/>
    </row>
    <row r="89">
      <c r="A89" s="943"/>
      <c r="B89" s="943"/>
      <c r="C89" s="943"/>
      <c r="D89" s="943"/>
      <c r="E89" s="943"/>
      <c r="F89" s="943"/>
      <c r="G89" s="943"/>
      <c r="H89" s="944"/>
    </row>
    <row r="90">
      <c r="A90" s="943"/>
      <c r="B90" s="943"/>
      <c r="C90" s="943"/>
      <c r="D90" s="943"/>
      <c r="E90" s="943"/>
      <c r="F90" s="943"/>
      <c r="G90" s="943"/>
      <c r="H90" s="944"/>
    </row>
    <row r="91">
      <c r="A91" s="943"/>
      <c r="B91" s="943"/>
      <c r="C91" s="943"/>
      <c r="D91" s="943"/>
      <c r="E91" s="943"/>
      <c r="F91" s="943"/>
      <c r="G91" s="943"/>
      <c r="H91" s="944"/>
    </row>
    <row r="92">
      <c r="A92" s="943"/>
      <c r="B92" s="943"/>
      <c r="C92" s="943"/>
      <c r="D92" s="943"/>
      <c r="E92" s="943"/>
      <c r="F92" s="943"/>
      <c r="G92" s="943"/>
      <c r="H92" s="944"/>
    </row>
    <row r="93">
      <c r="A93" s="943"/>
      <c r="B93" s="943"/>
      <c r="C93" s="943"/>
      <c r="D93" s="943"/>
      <c r="E93" s="943"/>
      <c r="F93" s="943"/>
      <c r="G93" s="943"/>
      <c r="H93" s="944"/>
    </row>
    <row r="94">
      <c r="A94" s="943"/>
      <c r="B94" s="943"/>
      <c r="C94" s="943"/>
      <c r="D94" s="943"/>
      <c r="E94" s="943"/>
      <c r="F94" s="943"/>
      <c r="G94" s="943"/>
      <c r="H94" s="944"/>
    </row>
    <row r="95">
      <c r="A95" s="943"/>
      <c r="B95" s="943"/>
      <c r="C95" s="943"/>
      <c r="D95" s="943"/>
      <c r="E95" s="943"/>
      <c r="F95" s="943"/>
      <c r="G95" s="943"/>
      <c r="H95" s="944"/>
    </row>
    <row r="96">
      <c r="A96" s="943"/>
      <c r="B96" s="943"/>
      <c r="C96" s="943"/>
      <c r="D96" s="943"/>
      <c r="E96" s="943"/>
      <c r="F96" s="943"/>
      <c r="G96" s="943"/>
      <c r="H96" s="944"/>
    </row>
    <row r="97">
      <c r="A97" s="943"/>
      <c r="B97" s="943"/>
      <c r="C97" s="943"/>
      <c r="D97" s="943"/>
      <c r="E97" s="943"/>
      <c r="F97" s="943"/>
      <c r="G97" s="943"/>
      <c r="H97" s="944"/>
    </row>
    <row r="98">
      <c r="A98" s="943"/>
      <c r="B98" s="943"/>
      <c r="C98" s="943"/>
      <c r="D98" s="943"/>
      <c r="E98" s="943"/>
      <c r="F98" s="943"/>
      <c r="G98" s="943"/>
      <c r="H98" s="944"/>
    </row>
    <row r="99">
      <c r="A99" s="943"/>
      <c r="B99" s="943"/>
      <c r="C99" s="943"/>
      <c r="D99" s="943"/>
      <c r="E99" s="943"/>
      <c r="F99" s="943"/>
      <c r="G99" s="943"/>
      <c r="H99" s="944"/>
    </row>
    <row r="100">
      <c r="A100" s="943"/>
      <c r="B100" s="943"/>
      <c r="C100" s="943"/>
      <c r="D100" s="943"/>
      <c r="E100" s="943"/>
      <c r="F100" s="943"/>
      <c r="G100" s="943"/>
      <c r="H100" s="944"/>
    </row>
    <row r="101">
      <c r="A101" s="943"/>
      <c r="B101" s="943"/>
      <c r="C101" s="943"/>
      <c r="D101" s="943"/>
      <c r="E101" s="943"/>
      <c r="F101" s="943"/>
      <c r="G101" s="943"/>
      <c r="H101" s="944"/>
    </row>
    <row r="102">
      <c r="A102" s="943"/>
      <c r="B102" s="943"/>
      <c r="C102" s="943"/>
      <c r="D102" s="943"/>
      <c r="E102" s="943"/>
      <c r="F102" s="943"/>
      <c r="G102" s="943"/>
      <c r="H102" s="944"/>
    </row>
    <row r="103">
      <c r="A103" s="943"/>
      <c r="B103" s="943"/>
      <c r="C103" s="943"/>
      <c r="D103" s="943"/>
      <c r="E103" s="943"/>
      <c r="F103" s="943"/>
      <c r="G103" s="943"/>
      <c r="H103" s="944"/>
    </row>
    <row r="104">
      <c r="A104" s="943"/>
      <c r="B104" s="943"/>
      <c r="C104" s="943"/>
      <c r="D104" s="943"/>
      <c r="E104" s="943"/>
      <c r="F104" s="943"/>
      <c r="G104" s="943"/>
      <c r="H104" s="944"/>
    </row>
    <row r="105">
      <c r="A105" s="943"/>
      <c r="B105" s="943"/>
      <c r="C105" s="943"/>
      <c r="D105" s="943"/>
      <c r="E105" s="943"/>
      <c r="F105" s="943"/>
      <c r="G105" s="943"/>
      <c r="H105" s="944"/>
    </row>
    <row r="106">
      <c r="A106" s="943"/>
      <c r="B106" s="943"/>
      <c r="C106" s="943"/>
      <c r="D106" s="943"/>
      <c r="E106" s="943"/>
      <c r="F106" s="943"/>
      <c r="G106" s="943"/>
      <c r="H106" s="944"/>
    </row>
    <row r="107">
      <c r="A107" s="943"/>
      <c r="B107" s="943"/>
      <c r="C107" s="943"/>
      <c r="D107" s="943"/>
      <c r="E107" s="943"/>
      <c r="F107" s="943"/>
      <c r="G107" s="943"/>
      <c r="H107" s="944"/>
    </row>
    <row r="108">
      <c r="A108" s="943"/>
      <c r="B108" s="943"/>
      <c r="C108" s="943"/>
      <c r="D108" s="943"/>
      <c r="E108" s="943"/>
      <c r="F108" s="943"/>
      <c r="G108" s="943"/>
      <c r="H108" s="944"/>
    </row>
    <row r="109">
      <c r="A109" s="943"/>
      <c r="B109" s="943"/>
      <c r="C109" s="943"/>
      <c r="D109" s="943"/>
      <c r="E109" s="943"/>
      <c r="F109" s="943"/>
      <c r="G109" s="943"/>
      <c r="H109" s="944"/>
    </row>
    <row r="110">
      <c r="A110" s="943"/>
      <c r="B110" s="943"/>
      <c r="C110" s="943"/>
      <c r="D110" s="943"/>
      <c r="E110" s="943"/>
      <c r="F110" s="943"/>
      <c r="G110" s="943"/>
      <c r="H110" s="944"/>
    </row>
    <row r="111">
      <c r="A111" s="943"/>
      <c r="B111" s="943"/>
      <c r="C111" s="943"/>
      <c r="D111" s="943"/>
      <c r="E111" s="943"/>
      <c r="F111" s="943"/>
      <c r="G111" s="943"/>
      <c r="H111" s="944"/>
    </row>
    <row r="112">
      <c r="A112" s="943"/>
      <c r="B112" s="943"/>
      <c r="C112" s="943"/>
      <c r="D112" s="943"/>
      <c r="E112" s="943"/>
      <c r="F112" s="943"/>
      <c r="G112" s="943"/>
      <c r="H112" s="944"/>
    </row>
    <row r="113">
      <c r="A113" s="943"/>
      <c r="B113" s="943"/>
      <c r="C113" s="943"/>
      <c r="D113" s="943"/>
      <c r="E113" s="943"/>
      <c r="F113" s="943"/>
      <c r="G113" s="943"/>
      <c r="H113" s="944"/>
    </row>
    <row r="114">
      <c r="A114" s="943"/>
      <c r="B114" s="943"/>
      <c r="C114" s="943"/>
      <c r="D114" s="943"/>
      <c r="E114" s="943"/>
      <c r="F114" s="943"/>
      <c r="G114" s="943"/>
      <c r="H114" s="944"/>
    </row>
    <row r="115">
      <c r="A115" s="943"/>
      <c r="B115" s="943"/>
      <c r="C115" s="943"/>
      <c r="D115" s="943"/>
      <c r="E115" s="943"/>
      <c r="F115" s="943"/>
      <c r="G115" s="943"/>
      <c r="H115" s="944"/>
    </row>
    <row r="116">
      <c r="A116" s="943"/>
      <c r="B116" s="943"/>
      <c r="C116" s="943"/>
      <c r="D116" s="943"/>
      <c r="E116" s="943"/>
      <c r="F116" s="943"/>
      <c r="G116" s="943"/>
      <c r="H116" s="944"/>
    </row>
    <row r="117">
      <c r="A117" s="943"/>
      <c r="B117" s="943"/>
      <c r="C117" s="943"/>
      <c r="D117" s="943"/>
      <c r="E117" s="943"/>
      <c r="F117" s="943"/>
      <c r="G117" s="943"/>
      <c r="H117" s="944"/>
    </row>
    <row r="118">
      <c r="A118" s="943"/>
      <c r="B118" s="943"/>
      <c r="C118" s="943"/>
      <c r="D118" s="943"/>
      <c r="E118" s="943"/>
      <c r="F118" s="943"/>
      <c r="G118" s="943"/>
      <c r="H118" s="944"/>
    </row>
    <row r="119">
      <c r="A119" s="943"/>
      <c r="B119" s="943"/>
      <c r="C119" s="943"/>
      <c r="D119" s="943"/>
      <c r="E119" s="943"/>
      <c r="F119" s="943"/>
      <c r="G119" s="943"/>
      <c r="H119" s="944"/>
    </row>
    <row r="120">
      <c r="A120" s="943"/>
      <c r="B120" s="943"/>
      <c r="C120" s="943"/>
      <c r="D120" s="943"/>
      <c r="E120" s="943"/>
      <c r="F120" s="943"/>
      <c r="G120" s="943"/>
      <c r="H120" s="944"/>
    </row>
    <row r="121">
      <c r="A121" s="943"/>
      <c r="B121" s="943"/>
      <c r="C121" s="943"/>
      <c r="D121" s="943"/>
      <c r="E121" s="943"/>
      <c r="F121" s="943"/>
      <c r="G121" s="943"/>
      <c r="H121" s="944"/>
    </row>
    <row r="122">
      <c r="A122" s="943"/>
      <c r="B122" s="943"/>
      <c r="C122" s="943"/>
      <c r="D122" s="943"/>
      <c r="E122" s="943"/>
      <c r="F122" s="943"/>
      <c r="G122" s="943"/>
      <c r="H122" s="944"/>
    </row>
    <row r="123">
      <c r="A123" s="943"/>
      <c r="B123" s="943"/>
      <c r="C123" s="943"/>
      <c r="D123" s="943"/>
      <c r="E123" s="943"/>
      <c r="F123" s="943"/>
      <c r="G123" s="943"/>
      <c r="H123" s="944"/>
    </row>
    <row r="124">
      <c r="A124" s="943"/>
      <c r="B124" s="943"/>
      <c r="C124" s="943"/>
      <c r="D124" s="943"/>
      <c r="E124" s="943"/>
      <c r="F124" s="943"/>
      <c r="G124" s="943"/>
      <c r="H124" s="944"/>
    </row>
    <row r="125">
      <c r="A125" s="943"/>
      <c r="B125" s="943"/>
      <c r="C125" s="943"/>
      <c r="D125" s="943"/>
      <c r="E125" s="943"/>
      <c r="F125" s="943"/>
      <c r="G125" s="943"/>
      <c r="H125" s="944"/>
    </row>
    <row r="126">
      <c r="A126" s="943"/>
      <c r="B126" s="943"/>
      <c r="C126" s="943"/>
      <c r="D126" s="943"/>
      <c r="E126" s="943"/>
      <c r="F126" s="943"/>
      <c r="G126" s="943"/>
      <c r="H126" s="944"/>
    </row>
    <row r="127">
      <c r="A127" s="943"/>
      <c r="B127" s="943"/>
      <c r="C127" s="943"/>
      <c r="D127" s="943"/>
      <c r="E127" s="943"/>
      <c r="F127" s="943"/>
      <c r="G127" s="943"/>
      <c r="H127" s="944"/>
    </row>
    <row r="128">
      <c r="A128" s="943"/>
      <c r="B128" s="943"/>
      <c r="C128" s="943"/>
      <c r="D128" s="943"/>
      <c r="E128" s="943"/>
      <c r="F128" s="943"/>
      <c r="G128" s="943"/>
      <c r="H128" s="944"/>
    </row>
    <row r="129">
      <c r="A129" s="943"/>
      <c r="B129" s="943"/>
      <c r="C129" s="943"/>
      <c r="D129" s="943"/>
      <c r="E129" s="943"/>
      <c r="F129" s="943"/>
      <c r="G129" s="943"/>
      <c r="H129" s="944"/>
    </row>
    <row r="130">
      <c r="A130" s="943"/>
      <c r="B130" s="943"/>
      <c r="C130" s="943"/>
      <c r="D130" s="943"/>
      <c r="E130" s="943"/>
      <c r="F130" s="943"/>
      <c r="G130" s="943"/>
      <c r="H130" s="944"/>
    </row>
    <row r="131">
      <c r="A131" s="943"/>
      <c r="B131" s="943"/>
      <c r="C131" s="943"/>
      <c r="D131" s="943"/>
      <c r="E131" s="943"/>
      <c r="F131" s="943"/>
      <c r="G131" s="943"/>
      <c r="H131" s="944"/>
    </row>
    <row r="132">
      <c r="A132" s="943"/>
      <c r="B132" s="943"/>
      <c r="C132" s="943"/>
      <c r="D132" s="943"/>
      <c r="E132" s="943"/>
      <c r="F132" s="943"/>
      <c r="G132" s="943"/>
      <c r="H132" s="944"/>
    </row>
    <row r="133">
      <c r="A133" s="943"/>
      <c r="B133" s="943"/>
      <c r="C133" s="943"/>
      <c r="D133" s="943"/>
      <c r="E133" s="943"/>
      <c r="F133" s="943"/>
      <c r="G133" s="943"/>
      <c r="H133" s="944"/>
    </row>
    <row r="134">
      <c r="A134" s="943"/>
      <c r="B134" s="943"/>
      <c r="C134" s="943"/>
      <c r="D134" s="943"/>
      <c r="E134" s="943"/>
      <c r="F134" s="943"/>
      <c r="G134" s="943"/>
      <c r="H134" s="944"/>
    </row>
    <row r="135">
      <c r="A135" s="943"/>
      <c r="B135" s="943"/>
      <c r="C135" s="943"/>
      <c r="D135" s="943"/>
      <c r="E135" s="943"/>
      <c r="F135" s="943"/>
      <c r="G135" s="943"/>
      <c r="H135" s="944"/>
    </row>
    <row r="136">
      <c r="A136" s="943"/>
      <c r="B136" s="943"/>
      <c r="C136" s="943"/>
      <c r="D136" s="943"/>
      <c r="E136" s="943"/>
      <c r="F136" s="943"/>
      <c r="G136" s="943"/>
      <c r="H136" s="944"/>
    </row>
    <row r="137">
      <c r="A137" s="943"/>
      <c r="B137" s="943"/>
      <c r="C137" s="943"/>
      <c r="D137" s="943"/>
      <c r="E137" s="943"/>
      <c r="F137" s="943"/>
      <c r="G137" s="943"/>
      <c r="H137" s="944"/>
    </row>
    <row r="138">
      <c r="A138" s="943"/>
      <c r="B138" s="943"/>
      <c r="C138" s="943"/>
      <c r="D138" s="943"/>
      <c r="E138" s="943"/>
      <c r="F138" s="943"/>
      <c r="G138" s="943"/>
      <c r="H138" s="944"/>
    </row>
    <row r="139">
      <c r="A139" s="943"/>
      <c r="B139" s="943"/>
      <c r="C139" s="943"/>
      <c r="D139" s="943"/>
      <c r="E139" s="943"/>
      <c r="F139" s="943"/>
      <c r="G139" s="943"/>
      <c r="H139" s="944"/>
    </row>
    <row r="140">
      <c r="A140" s="943"/>
      <c r="B140" s="943"/>
      <c r="C140" s="943"/>
      <c r="D140" s="943"/>
      <c r="E140" s="943"/>
      <c r="F140" s="943"/>
      <c r="G140" s="943"/>
      <c r="H140" s="944"/>
    </row>
    <row r="141">
      <c r="A141" s="943"/>
      <c r="B141" s="943"/>
      <c r="C141" s="943"/>
      <c r="D141" s="943"/>
      <c r="E141" s="943"/>
      <c r="F141" s="943"/>
      <c r="G141" s="943"/>
      <c r="H141" s="944"/>
    </row>
    <row r="142">
      <c r="A142" s="943"/>
      <c r="B142" s="943"/>
      <c r="C142" s="943"/>
      <c r="D142" s="943"/>
      <c r="E142" s="943"/>
      <c r="F142" s="943"/>
      <c r="G142" s="943"/>
      <c r="H142" s="944"/>
    </row>
    <row r="143">
      <c r="A143" s="943"/>
      <c r="B143" s="943"/>
      <c r="C143" s="943"/>
      <c r="D143" s="943"/>
      <c r="E143" s="943"/>
      <c r="F143" s="943"/>
      <c r="G143" s="943"/>
      <c r="H143" s="944"/>
    </row>
    <row r="144">
      <c r="A144" s="943"/>
      <c r="B144" s="943"/>
      <c r="C144" s="943"/>
      <c r="D144" s="943"/>
      <c r="E144" s="943"/>
      <c r="F144" s="943"/>
      <c r="G144" s="943"/>
      <c r="H144" s="944"/>
    </row>
    <row r="145">
      <c r="A145" s="943"/>
      <c r="B145" s="943"/>
      <c r="C145" s="943"/>
      <c r="D145" s="943"/>
      <c r="E145" s="943"/>
      <c r="F145" s="943"/>
      <c r="G145" s="943"/>
      <c r="H145" s="944"/>
    </row>
    <row r="146">
      <c r="A146" s="943"/>
      <c r="B146" s="943"/>
      <c r="C146" s="943"/>
      <c r="D146" s="943"/>
      <c r="E146" s="943"/>
      <c r="F146" s="943"/>
      <c r="G146" s="943"/>
      <c r="H146" s="944"/>
    </row>
    <row r="147">
      <c r="A147" s="943"/>
      <c r="B147" s="943"/>
      <c r="C147" s="943"/>
      <c r="D147" s="943"/>
      <c r="E147" s="943"/>
      <c r="F147" s="943"/>
      <c r="G147" s="943"/>
      <c r="H147" s="944"/>
    </row>
    <row r="148">
      <c r="A148" s="943"/>
      <c r="B148" s="943"/>
      <c r="C148" s="943"/>
      <c r="D148" s="943"/>
      <c r="E148" s="943"/>
      <c r="F148" s="943"/>
      <c r="G148" s="943"/>
      <c r="H148" s="944"/>
    </row>
    <row r="149">
      <c r="A149" s="943"/>
      <c r="B149" s="943"/>
      <c r="C149" s="943"/>
      <c r="D149" s="943"/>
      <c r="E149" s="943"/>
      <c r="F149" s="943"/>
      <c r="G149" s="943"/>
      <c r="H149" s="944"/>
    </row>
    <row r="150">
      <c r="A150" s="943"/>
      <c r="B150" s="943"/>
      <c r="C150" s="943"/>
      <c r="D150" s="943"/>
      <c r="E150" s="943"/>
      <c r="F150" s="943"/>
      <c r="G150" s="943"/>
      <c r="H150" s="944"/>
    </row>
    <row r="151">
      <c r="A151" s="943"/>
      <c r="B151" s="943"/>
      <c r="C151" s="943"/>
      <c r="D151" s="943"/>
      <c r="E151" s="943"/>
      <c r="F151" s="943"/>
      <c r="G151" s="943"/>
      <c r="H151" s="944"/>
    </row>
    <row r="152">
      <c r="A152" s="943"/>
      <c r="B152" s="943"/>
      <c r="C152" s="943"/>
      <c r="D152" s="943"/>
      <c r="E152" s="943"/>
      <c r="F152" s="943"/>
      <c r="G152" s="943"/>
      <c r="H152" s="944"/>
    </row>
    <row r="153">
      <c r="A153" s="943"/>
      <c r="B153" s="943"/>
      <c r="C153" s="943"/>
      <c r="D153" s="943"/>
      <c r="E153" s="943"/>
      <c r="F153" s="943"/>
      <c r="G153" s="943"/>
      <c r="H153" s="944"/>
    </row>
    <row r="154">
      <c r="A154" s="943"/>
      <c r="B154" s="943"/>
      <c r="C154" s="943"/>
      <c r="D154" s="943"/>
      <c r="E154" s="943"/>
      <c r="F154" s="943"/>
      <c r="G154" s="943"/>
      <c r="H154" s="944"/>
    </row>
    <row r="155">
      <c r="A155" s="943"/>
      <c r="B155" s="943"/>
      <c r="C155" s="943"/>
      <c r="D155" s="943"/>
      <c r="E155" s="943"/>
      <c r="F155" s="943"/>
      <c r="G155" s="943"/>
      <c r="H155" s="944"/>
    </row>
    <row r="156">
      <c r="A156" s="943"/>
      <c r="B156" s="943"/>
      <c r="C156" s="943"/>
      <c r="D156" s="943"/>
      <c r="E156" s="943"/>
      <c r="F156" s="943"/>
      <c r="G156" s="943"/>
      <c r="H156" s="944"/>
    </row>
    <row r="157">
      <c r="A157" s="943"/>
      <c r="B157" s="943"/>
      <c r="C157" s="943"/>
      <c r="D157" s="943"/>
      <c r="E157" s="943"/>
      <c r="F157" s="943"/>
      <c r="G157" s="943"/>
      <c r="H157" s="944"/>
    </row>
    <row r="158">
      <c r="A158" s="943"/>
      <c r="B158" s="943"/>
      <c r="C158" s="943"/>
      <c r="D158" s="943"/>
      <c r="E158" s="943"/>
      <c r="F158" s="943"/>
      <c r="G158" s="943"/>
      <c r="H158" s="944"/>
    </row>
    <row r="159">
      <c r="A159" s="943"/>
      <c r="B159" s="943"/>
      <c r="C159" s="943"/>
      <c r="D159" s="943"/>
      <c r="E159" s="943"/>
      <c r="F159" s="943"/>
      <c r="G159" s="943"/>
      <c r="H159" s="944"/>
    </row>
    <row r="160">
      <c r="A160" s="943"/>
      <c r="B160" s="943"/>
      <c r="C160" s="943"/>
      <c r="D160" s="943"/>
      <c r="E160" s="943"/>
      <c r="F160" s="943"/>
      <c r="G160" s="943"/>
      <c r="H160" s="944"/>
    </row>
    <row r="161">
      <c r="A161" s="943"/>
      <c r="B161" s="943"/>
      <c r="C161" s="943"/>
      <c r="D161" s="943"/>
      <c r="E161" s="943"/>
      <c r="F161" s="943"/>
      <c r="G161" s="943"/>
      <c r="H161" s="944"/>
    </row>
    <row r="162">
      <c r="A162" s="943"/>
      <c r="B162" s="943"/>
      <c r="C162" s="943"/>
      <c r="D162" s="943"/>
      <c r="E162" s="943"/>
      <c r="F162" s="943"/>
      <c r="G162" s="943"/>
      <c r="H162" s="944"/>
    </row>
    <row r="163">
      <c r="A163" s="943"/>
      <c r="B163" s="943"/>
      <c r="C163" s="943"/>
      <c r="D163" s="943"/>
      <c r="E163" s="943"/>
      <c r="F163" s="943"/>
      <c r="G163" s="943"/>
      <c r="H163" s="944"/>
    </row>
    <row r="164">
      <c r="A164" s="943"/>
      <c r="B164" s="943"/>
      <c r="C164" s="943"/>
      <c r="D164" s="943"/>
      <c r="E164" s="943"/>
      <c r="F164" s="943"/>
      <c r="G164" s="943"/>
      <c r="H164" s="944"/>
    </row>
    <row r="165">
      <c r="A165" s="943"/>
      <c r="B165" s="943"/>
      <c r="C165" s="943"/>
      <c r="D165" s="943"/>
      <c r="E165" s="943"/>
      <c r="F165" s="943"/>
      <c r="G165" s="943"/>
      <c r="H165" s="944"/>
    </row>
    <row r="166">
      <c r="A166" s="943"/>
      <c r="B166" s="943"/>
      <c r="C166" s="943"/>
      <c r="D166" s="943"/>
      <c r="E166" s="943"/>
      <c r="F166" s="943"/>
      <c r="G166" s="943"/>
      <c r="H166" s="944"/>
    </row>
    <row r="167">
      <c r="A167" s="943"/>
      <c r="B167" s="943"/>
      <c r="C167" s="943"/>
      <c r="D167" s="943"/>
      <c r="E167" s="943"/>
      <c r="F167" s="943"/>
      <c r="G167" s="943"/>
      <c r="H167" s="944"/>
    </row>
    <row r="168">
      <c r="A168" s="943"/>
      <c r="B168" s="943"/>
      <c r="C168" s="943"/>
      <c r="D168" s="943"/>
      <c r="E168" s="943"/>
      <c r="F168" s="943"/>
      <c r="G168" s="943"/>
      <c r="H168" s="944"/>
    </row>
    <row r="169">
      <c r="A169" s="943"/>
      <c r="B169" s="943"/>
      <c r="C169" s="943"/>
      <c r="D169" s="943"/>
      <c r="E169" s="943"/>
      <c r="F169" s="943"/>
      <c r="G169" s="943"/>
      <c r="H169" s="944"/>
    </row>
    <row r="170">
      <c r="A170" s="943"/>
      <c r="B170" s="943"/>
      <c r="C170" s="943"/>
      <c r="D170" s="943"/>
      <c r="E170" s="943"/>
      <c r="F170" s="943"/>
      <c r="G170" s="943"/>
      <c r="H170" s="944"/>
    </row>
    <row r="171">
      <c r="A171" s="943"/>
      <c r="B171" s="943"/>
      <c r="C171" s="943"/>
      <c r="D171" s="943"/>
      <c r="E171" s="943"/>
      <c r="F171" s="943"/>
      <c r="G171" s="943"/>
      <c r="H171" s="944"/>
    </row>
    <row r="172">
      <c r="A172" s="943"/>
      <c r="B172" s="943"/>
      <c r="C172" s="943"/>
      <c r="D172" s="943"/>
      <c r="E172" s="943"/>
      <c r="F172" s="943"/>
      <c r="G172" s="943"/>
      <c r="H172" s="944"/>
    </row>
    <row r="173">
      <c r="A173" s="943"/>
      <c r="B173" s="943"/>
      <c r="C173" s="943"/>
      <c r="D173" s="943"/>
      <c r="E173" s="943"/>
      <c r="F173" s="943"/>
      <c r="G173" s="943"/>
      <c r="H173" s="944"/>
    </row>
    <row r="174">
      <c r="A174" s="943"/>
      <c r="B174" s="943"/>
      <c r="C174" s="943"/>
      <c r="D174" s="943"/>
      <c r="E174" s="943"/>
      <c r="F174" s="943"/>
      <c r="G174" s="943"/>
      <c r="H174" s="944"/>
    </row>
    <row r="175">
      <c r="A175" s="943"/>
      <c r="B175" s="943"/>
      <c r="C175" s="943"/>
      <c r="D175" s="943"/>
      <c r="E175" s="943"/>
      <c r="F175" s="943"/>
      <c r="G175" s="943"/>
      <c r="H175" s="944"/>
    </row>
    <row r="176">
      <c r="A176" s="943"/>
      <c r="B176" s="943"/>
      <c r="C176" s="943"/>
      <c r="D176" s="943"/>
      <c r="E176" s="943"/>
      <c r="F176" s="943"/>
      <c r="G176" s="943"/>
      <c r="H176" s="944"/>
    </row>
    <row r="177">
      <c r="A177" s="943"/>
      <c r="B177" s="943"/>
      <c r="C177" s="943"/>
      <c r="D177" s="943"/>
      <c r="E177" s="943"/>
      <c r="F177" s="943"/>
      <c r="G177" s="943"/>
      <c r="H177" s="944"/>
    </row>
    <row r="178">
      <c r="A178" s="943"/>
      <c r="B178" s="943"/>
      <c r="C178" s="943"/>
      <c r="D178" s="943"/>
      <c r="E178" s="943"/>
      <c r="F178" s="943"/>
      <c r="G178" s="943"/>
      <c r="H178" s="944"/>
    </row>
    <row r="179">
      <c r="A179" s="943"/>
      <c r="B179" s="943"/>
      <c r="C179" s="943"/>
      <c r="D179" s="943"/>
      <c r="E179" s="943"/>
      <c r="F179" s="943"/>
      <c r="G179" s="943"/>
      <c r="H179" s="944"/>
    </row>
    <row r="180">
      <c r="A180" s="943"/>
      <c r="B180" s="943"/>
      <c r="C180" s="943"/>
      <c r="D180" s="943"/>
      <c r="E180" s="943"/>
      <c r="F180" s="943"/>
      <c r="G180" s="943"/>
      <c r="H180" s="944"/>
    </row>
    <row r="181">
      <c r="A181" s="943"/>
      <c r="B181" s="943"/>
      <c r="C181" s="943"/>
      <c r="D181" s="943"/>
      <c r="E181" s="943"/>
      <c r="F181" s="943"/>
      <c r="G181" s="943"/>
      <c r="H181" s="944"/>
    </row>
    <row r="182">
      <c r="A182" s="943"/>
      <c r="B182" s="943"/>
      <c r="C182" s="943"/>
      <c r="D182" s="943"/>
      <c r="E182" s="943"/>
      <c r="F182" s="943"/>
      <c r="G182" s="943"/>
      <c r="H182" s="944"/>
    </row>
    <row r="183">
      <c r="A183" s="943"/>
      <c r="B183" s="943"/>
      <c r="C183" s="943"/>
      <c r="D183" s="943"/>
      <c r="E183" s="943"/>
      <c r="F183" s="943"/>
      <c r="G183" s="943"/>
      <c r="H183" s="944"/>
    </row>
    <row r="184">
      <c r="A184" s="943"/>
      <c r="B184" s="943"/>
      <c r="C184" s="943"/>
      <c r="D184" s="943"/>
      <c r="E184" s="943"/>
      <c r="F184" s="943"/>
      <c r="G184" s="943"/>
      <c r="H184" s="944"/>
    </row>
    <row r="185">
      <c r="A185" s="943"/>
      <c r="B185" s="943"/>
      <c r="C185" s="943"/>
      <c r="D185" s="943"/>
      <c r="E185" s="943"/>
      <c r="F185" s="943"/>
      <c r="G185" s="943"/>
      <c r="H185" s="944"/>
    </row>
    <row r="186">
      <c r="A186" s="943"/>
      <c r="B186" s="943"/>
      <c r="C186" s="943"/>
      <c r="D186" s="943"/>
      <c r="E186" s="943"/>
      <c r="F186" s="943"/>
      <c r="G186" s="943"/>
      <c r="H186" s="944"/>
    </row>
    <row r="187">
      <c r="A187" s="943"/>
      <c r="B187" s="943"/>
      <c r="C187" s="943"/>
      <c r="D187" s="943"/>
      <c r="E187" s="943"/>
      <c r="F187" s="943"/>
      <c r="G187" s="943"/>
      <c r="H187" s="944"/>
    </row>
    <row r="188">
      <c r="A188" s="943"/>
      <c r="B188" s="943"/>
      <c r="C188" s="943"/>
      <c r="D188" s="943"/>
      <c r="E188" s="943"/>
      <c r="F188" s="943"/>
      <c r="G188" s="943"/>
      <c r="H188" s="944"/>
    </row>
    <row r="189">
      <c r="A189" s="943"/>
      <c r="B189" s="943"/>
      <c r="C189" s="943"/>
      <c r="D189" s="943"/>
      <c r="E189" s="943"/>
      <c r="F189" s="943"/>
      <c r="G189" s="943"/>
      <c r="H189" s="944"/>
    </row>
    <row r="190">
      <c r="A190" s="943"/>
      <c r="B190" s="943"/>
      <c r="C190" s="943"/>
      <c r="D190" s="943"/>
      <c r="E190" s="943"/>
      <c r="F190" s="943"/>
      <c r="G190" s="943"/>
      <c r="H190" s="944"/>
    </row>
    <row r="191">
      <c r="A191" s="943"/>
      <c r="B191" s="943"/>
      <c r="C191" s="943"/>
      <c r="D191" s="943"/>
      <c r="E191" s="943"/>
      <c r="F191" s="943"/>
      <c r="G191" s="943"/>
      <c r="H191" s="944"/>
    </row>
    <row r="192">
      <c r="A192" s="943"/>
      <c r="B192" s="943"/>
      <c r="C192" s="943"/>
      <c r="D192" s="943"/>
      <c r="E192" s="943"/>
      <c r="F192" s="943"/>
      <c r="G192" s="943"/>
      <c r="H192" s="944"/>
    </row>
    <row r="193">
      <c r="A193" s="943"/>
      <c r="B193" s="943"/>
      <c r="C193" s="943"/>
      <c r="D193" s="943"/>
      <c r="E193" s="943"/>
      <c r="F193" s="943"/>
      <c r="G193" s="943"/>
      <c r="H193" s="944"/>
    </row>
    <row r="194">
      <c r="A194" s="943"/>
      <c r="B194" s="943"/>
      <c r="C194" s="943"/>
      <c r="D194" s="943"/>
      <c r="E194" s="943"/>
      <c r="F194" s="943"/>
      <c r="G194" s="943"/>
      <c r="H194" s="944"/>
    </row>
    <row r="195">
      <c r="A195" s="943"/>
      <c r="B195" s="943"/>
      <c r="C195" s="943"/>
      <c r="D195" s="943"/>
      <c r="E195" s="943"/>
      <c r="F195" s="943"/>
      <c r="G195" s="943"/>
      <c r="H195" s="944"/>
    </row>
    <row r="196">
      <c r="A196" s="943"/>
      <c r="B196" s="943"/>
      <c r="C196" s="943"/>
      <c r="D196" s="943"/>
      <c r="E196" s="943"/>
      <c r="F196" s="943"/>
      <c r="G196" s="943"/>
      <c r="H196" s="944"/>
    </row>
    <row r="197">
      <c r="A197" s="943"/>
      <c r="B197" s="943"/>
      <c r="C197" s="943"/>
      <c r="D197" s="943"/>
      <c r="E197" s="943"/>
      <c r="F197" s="943"/>
      <c r="G197" s="943"/>
      <c r="H197" s="944"/>
    </row>
    <row r="198">
      <c r="A198" s="943"/>
      <c r="B198" s="943"/>
      <c r="C198" s="943"/>
      <c r="D198" s="943"/>
      <c r="E198" s="943"/>
      <c r="F198" s="943"/>
      <c r="G198" s="943"/>
      <c r="H198" s="944"/>
    </row>
    <row r="199">
      <c r="A199" s="943"/>
      <c r="B199" s="943"/>
      <c r="C199" s="943"/>
      <c r="D199" s="943"/>
      <c r="E199" s="943"/>
      <c r="F199" s="943"/>
      <c r="G199" s="943"/>
      <c r="H199" s="944"/>
    </row>
    <row r="200">
      <c r="A200" s="943"/>
      <c r="B200" s="943"/>
      <c r="C200" s="943"/>
      <c r="D200" s="943"/>
      <c r="E200" s="943"/>
      <c r="F200" s="943"/>
      <c r="G200" s="943"/>
      <c r="H200" s="944"/>
    </row>
    <row r="201">
      <c r="A201" s="943"/>
      <c r="B201" s="943"/>
      <c r="C201" s="943"/>
      <c r="D201" s="943"/>
      <c r="E201" s="943"/>
      <c r="F201" s="943"/>
      <c r="G201" s="943"/>
      <c r="H201" s="944"/>
    </row>
    <row r="202">
      <c r="A202" s="943"/>
      <c r="B202" s="943"/>
      <c r="C202" s="943"/>
      <c r="D202" s="943"/>
      <c r="E202" s="943"/>
      <c r="F202" s="943"/>
      <c r="G202" s="943"/>
      <c r="H202" s="944"/>
    </row>
    <row r="203">
      <c r="A203" s="943"/>
      <c r="B203" s="943"/>
      <c r="C203" s="943"/>
      <c r="D203" s="943"/>
      <c r="E203" s="943"/>
      <c r="F203" s="943"/>
      <c r="G203" s="943"/>
      <c r="H203" s="944"/>
    </row>
    <row r="204">
      <c r="A204" s="943"/>
      <c r="B204" s="943"/>
      <c r="C204" s="943"/>
      <c r="D204" s="943"/>
      <c r="E204" s="943"/>
      <c r="F204" s="943"/>
      <c r="G204" s="943"/>
      <c r="H204" s="944"/>
    </row>
    <row r="205">
      <c r="A205" s="943"/>
      <c r="B205" s="943"/>
      <c r="C205" s="943"/>
      <c r="D205" s="943"/>
      <c r="E205" s="943"/>
      <c r="F205" s="943"/>
      <c r="G205" s="943"/>
      <c r="H205" s="944"/>
    </row>
    <row r="206">
      <c r="A206" s="943"/>
      <c r="B206" s="943"/>
      <c r="C206" s="943"/>
      <c r="D206" s="943"/>
      <c r="E206" s="943"/>
      <c r="F206" s="943"/>
      <c r="G206" s="943"/>
      <c r="H206" s="944"/>
    </row>
    <row r="207">
      <c r="A207" s="943"/>
      <c r="B207" s="943"/>
      <c r="C207" s="943"/>
      <c r="D207" s="943"/>
      <c r="E207" s="943"/>
      <c r="F207" s="943"/>
      <c r="G207" s="943"/>
      <c r="H207" s="944"/>
    </row>
    <row r="208">
      <c r="A208" s="943"/>
      <c r="B208" s="943"/>
      <c r="C208" s="943"/>
      <c r="D208" s="943"/>
      <c r="E208" s="943"/>
      <c r="F208" s="943"/>
      <c r="G208" s="943"/>
      <c r="H208" s="944"/>
    </row>
    <row r="209">
      <c r="A209" s="943"/>
      <c r="B209" s="943"/>
      <c r="C209" s="943"/>
      <c r="D209" s="943"/>
      <c r="E209" s="943"/>
      <c r="F209" s="943"/>
      <c r="G209" s="943"/>
      <c r="H209" s="944"/>
    </row>
    <row r="210">
      <c r="A210" s="943"/>
      <c r="B210" s="943"/>
      <c r="C210" s="943"/>
      <c r="D210" s="943"/>
      <c r="E210" s="943"/>
      <c r="F210" s="943"/>
      <c r="G210" s="943"/>
      <c r="H210" s="944"/>
    </row>
    <row r="211">
      <c r="A211" s="943"/>
      <c r="B211" s="943"/>
      <c r="C211" s="943"/>
      <c r="D211" s="943"/>
      <c r="E211" s="943"/>
      <c r="F211" s="943"/>
      <c r="G211" s="943"/>
      <c r="H211" s="944"/>
    </row>
    <row r="212">
      <c r="A212" s="943"/>
      <c r="B212" s="943"/>
      <c r="C212" s="943"/>
      <c r="D212" s="943"/>
      <c r="E212" s="943"/>
      <c r="F212" s="943"/>
      <c r="G212" s="943"/>
      <c r="H212" s="944"/>
    </row>
    <row r="213">
      <c r="A213" s="943"/>
      <c r="B213" s="943"/>
      <c r="C213" s="943"/>
      <c r="D213" s="943"/>
      <c r="E213" s="943"/>
      <c r="F213" s="943"/>
      <c r="G213" s="943"/>
      <c r="H213" s="944"/>
    </row>
    <row r="214">
      <c r="A214" s="943"/>
      <c r="B214" s="943"/>
      <c r="C214" s="943"/>
      <c r="D214" s="943"/>
      <c r="E214" s="943"/>
      <c r="F214" s="943"/>
      <c r="G214" s="943"/>
      <c r="H214" s="944"/>
    </row>
    <row r="215">
      <c r="A215" s="943"/>
      <c r="B215" s="943"/>
      <c r="C215" s="943"/>
      <c r="D215" s="943"/>
      <c r="E215" s="943"/>
      <c r="F215" s="943"/>
      <c r="G215" s="943"/>
      <c r="H215" s="944"/>
    </row>
    <row r="216">
      <c r="A216" s="943"/>
      <c r="B216" s="943"/>
      <c r="C216" s="943"/>
      <c r="D216" s="943"/>
      <c r="E216" s="943"/>
      <c r="F216" s="943"/>
      <c r="G216" s="943"/>
      <c r="H216" s="944"/>
    </row>
    <row r="217">
      <c r="A217" s="943"/>
      <c r="B217" s="943"/>
      <c r="C217" s="943"/>
      <c r="D217" s="943"/>
      <c r="E217" s="943"/>
      <c r="F217" s="943"/>
      <c r="G217" s="943"/>
      <c r="H217" s="944"/>
    </row>
    <row r="218">
      <c r="A218" s="943"/>
      <c r="B218" s="943"/>
      <c r="C218" s="943"/>
      <c r="D218" s="943"/>
      <c r="E218" s="943"/>
      <c r="F218" s="943"/>
      <c r="G218" s="943"/>
      <c r="H218" s="944"/>
    </row>
    <row r="219">
      <c r="A219" s="943"/>
      <c r="B219" s="943"/>
      <c r="C219" s="943"/>
      <c r="D219" s="943"/>
      <c r="E219" s="943"/>
      <c r="F219" s="943"/>
      <c r="G219" s="943"/>
      <c r="H219" s="944"/>
    </row>
    <row r="220">
      <c r="A220" s="943"/>
      <c r="B220" s="943"/>
      <c r="C220" s="943"/>
      <c r="D220" s="943"/>
      <c r="E220" s="943"/>
      <c r="F220" s="943"/>
      <c r="G220" s="943"/>
      <c r="H220" s="944"/>
    </row>
    <row r="221">
      <c r="A221" s="943"/>
      <c r="B221" s="943"/>
      <c r="C221" s="943"/>
      <c r="D221" s="943"/>
      <c r="E221" s="943"/>
      <c r="F221" s="943"/>
      <c r="G221" s="943"/>
      <c r="H221" s="944"/>
    </row>
    <row r="222">
      <c r="A222" s="943"/>
      <c r="B222" s="943"/>
      <c r="C222" s="943"/>
      <c r="D222" s="943"/>
      <c r="E222" s="943"/>
      <c r="F222" s="943"/>
      <c r="G222" s="943"/>
      <c r="H222" s="944"/>
    </row>
    <row r="223">
      <c r="A223" s="943"/>
      <c r="B223" s="943"/>
      <c r="C223" s="943"/>
      <c r="D223" s="943"/>
      <c r="E223" s="943"/>
      <c r="F223" s="943"/>
      <c r="G223" s="943"/>
      <c r="H223" s="944"/>
    </row>
    <row r="224">
      <c r="A224" s="943"/>
      <c r="B224" s="943"/>
      <c r="C224" s="943"/>
      <c r="D224" s="943"/>
      <c r="E224" s="943"/>
      <c r="F224" s="943"/>
      <c r="G224" s="943"/>
      <c r="H224" s="944"/>
    </row>
    <row r="225">
      <c r="A225" s="943"/>
      <c r="B225" s="943"/>
      <c r="C225" s="943"/>
      <c r="D225" s="943"/>
      <c r="E225" s="943"/>
      <c r="F225" s="943"/>
      <c r="G225" s="943"/>
      <c r="H225" s="944"/>
    </row>
    <row r="226">
      <c r="A226" s="943"/>
      <c r="B226" s="943"/>
      <c r="C226" s="943"/>
      <c r="D226" s="943"/>
      <c r="E226" s="943"/>
      <c r="F226" s="943"/>
      <c r="G226" s="943"/>
      <c r="H226" s="944"/>
    </row>
    <row r="227">
      <c r="A227" s="943"/>
      <c r="B227" s="943"/>
      <c r="C227" s="943"/>
      <c r="D227" s="943"/>
      <c r="E227" s="943"/>
      <c r="F227" s="943"/>
      <c r="G227" s="943"/>
      <c r="H227" s="944"/>
    </row>
    <row r="228">
      <c r="A228" s="943"/>
      <c r="B228" s="943"/>
      <c r="C228" s="943"/>
      <c r="D228" s="943"/>
      <c r="E228" s="943"/>
      <c r="F228" s="943"/>
      <c r="G228" s="943"/>
      <c r="H228" s="944"/>
    </row>
    <row r="229">
      <c r="A229" s="943"/>
      <c r="B229" s="943"/>
      <c r="C229" s="943"/>
      <c r="D229" s="943"/>
      <c r="E229" s="943"/>
      <c r="F229" s="943"/>
      <c r="G229" s="943"/>
      <c r="H229" s="944"/>
    </row>
    <row r="230">
      <c r="A230" s="943"/>
      <c r="B230" s="943"/>
      <c r="C230" s="943"/>
      <c r="D230" s="943"/>
      <c r="E230" s="943"/>
      <c r="F230" s="943"/>
      <c r="G230" s="943"/>
      <c r="H230" s="944"/>
    </row>
    <row r="231">
      <c r="A231" s="943"/>
      <c r="B231" s="943"/>
      <c r="C231" s="943"/>
      <c r="D231" s="943"/>
      <c r="E231" s="943"/>
      <c r="F231" s="943"/>
      <c r="G231" s="943"/>
      <c r="H231" s="944"/>
    </row>
    <row r="232">
      <c r="A232" s="943"/>
      <c r="B232" s="943"/>
      <c r="C232" s="943"/>
      <c r="D232" s="943"/>
      <c r="E232" s="943"/>
      <c r="F232" s="943"/>
      <c r="G232" s="943"/>
      <c r="H232" s="944"/>
    </row>
    <row r="233">
      <c r="A233" s="943"/>
      <c r="B233" s="943"/>
      <c r="C233" s="943"/>
      <c r="D233" s="943"/>
      <c r="E233" s="943"/>
      <c r="F233" s="943"/>
      <c r="G233" s="943"/>
      <c r="H233" s="944"/>
    </row>
    <row r="234">
      <c r="A234" s="943"/>
      <c r="B234" s="943"/>
      <c r="C234" s="943"/>
      <c r="D234" s="943"/>
      <c r="E234" s="943"/>
      <c r="F234" s="943"/>
      <c r="G234" s="943"/>
      <c r="H234" s="944"/>
    </row>
    <row r="235">
      <c r="A235" s="943"/>
      <c r="B235" s="943"/>
      <c r="C235" s="943"/>
      <c r="D235" s="943"/>
      <c r="E235" s="943"/>
      <c r="F235" s="943"/>
      <c r="G235" s="943"/>
      <c r="H235" s="944"/>
    </row>
    <row r="236">
      <c r="A236" s="943"/>
      <c r="B236" s="943"/>
      <c r="C236" s="943"/>
      <c r="D236" s="943"/>
      <c r="E236" s="943"/>
      <c r="F236" s="943"/>
      <c r="G236" s="943"/>
      <c r="H236" s="944"/>
    </row>
    <row r="237">
      <c r="A237" s="943"/>
      <c r="B237" s="943"/>
      <c r="C237" s="943"/>
      <c r="D237" s="943"/>
      <c r="E237" s="943"/>
      <c r="F237" s="943"/>
      <c r="G237" s="943"/>
      <c r="H237" s="944"/>
    </row>
    <row r="238">
      <c r="A238" s="943"/>
      <c r="B238" s="943"/>
      <c r="C238" s="943"/>
      <c r="D238" s="943"/>
      <c r="E238" s="943"/>
      <c r="F238" s="943"/>
      <c r="G238" s="943"/>
      <c r="H238" s="944"/>
    </row>
    <row r="239">
      <c r="A239" s="943"/>
      <c r="B239" s="943"/>
      <c r="C239" s="943"/>
      <c r="D239" s="943"/>
      <c r="E239" s="943"/>
      <c r="F239" s="943"/>
      <c r="G239" s="943"/>
      <c r="H239" s="944"/>
    </row>
    <row r="240">
      <c r="A240" s="943"/>
      <c r="B240" s="943"/>
      <c r="C240" s="943"/>
      <c r="D240" s="943"/>
      <c r="E240" s="943"/>
      <c r="F240" s="943"/>
      <c r="G240" s="943"/>
      <c r="H240" s="944"/>
    </row>
    <row r="241">
      <c r="A241" s="943"/>
      <c r="B241" s="943"/>
      <c r="C241" s="943"/>
      <c r="D241" s="943"/>
      <c r="E241" s="943"/>
      <c r="F241" s="943"/>
      <c r="G241" s="943"/>
      <c r="H241" s="944"/>
    </row>
    <row r="242">
      <c r="A242" s="943"/>
      <c r="B242" s="943"/>
      <c r="C242" s="943"/>
      <c r="D242" s="943"/>
      <c r="E242" s="943"/>
      <c r="F242" s="943"/>
      <c r="G242" s="943"/>
      <c r="H242" s="944"/>
    </row>
    <row r="243">
      <c r="A243" s="943"/>
      <c r="B243" s="943"/>
      <c r="C243" s="943"/>
      <c r="D243" s="943"/>
      <c r="E243" s="943"/>
      <c r="F243" s="943"/>
      <c r="G243" s="943"/>
      <c r="H243" s="944"/>
    </row>
    <row r="244">
      <c r="A244" s="943"/>
      <c r="B244" s="943"/>
      <c r="C244" s="943"/>
      <c r="D244" s="943"/>
      <c r="E244" s="943"/>
      <c r="F244" s="943"/>
      <c r="G244" s="943"/>
      <c r="H244" s="944"/>
    </row>
    <row r="245">
      <c r="A245" s="943"/>
      <c r="B245" s="943"/>
      <c r="C245" s="943"/>
      <c r="D245" s="943"/>
      <c r="E245" s="943"/>
      <c r="F245" s="943"/>
      <c r="G245" s="943"/>
      <c r="H245" s="944"/>
    </row>
    <row r="246">
      <c r="A246" s="943"/>
      <c r="B246" s="943"/>
      <c r="C246" s="943"/>
      <c r="D246" s="943"/>
      <c r="E246" s="943"/>
      <c r="F246" s="943"/>
      <c r="G246" s="943"/>
      <c r="H246" s="944"/>
    </row>
    <row r="247">
      <c r="A247" s="943"/>
      <c r="B247" s="943"/>
      <c r="C247" s="943"/>
      <c r="D247" s="943"/>
      <c r="E247" s="943"/>
      <c r="F247" s="943"/>
      <c r="G247" s="943"/>
      <c r="H247" s="944"/>
    </row>
    <row r="248">
      <c r="A248" s="943"/>
      <c r="B248" s="943"/>
      <c r="C248" s="943"/>
      <c r="D248" s="943"/>
      <c r="E248" s="943"/>
      <c r="F248" s="943"/>
      <c r="G248" s="943"/>
      <c r="H248" s="944"/>
    </row>
    <row r="249">
      <c r="A249" s="943"/>
      <c r="B249" s="943"/>
      <c r="C249" s="943"/>
      <c r="D249" s="943"/>
      <c r="E249" s="943"/>
      <c r="F249" s="943"/>
      <c r="G249" s="943"/>
      <c r="H249" s="944"/>
    </row>
    <row r="250">
      <c r="A250" s="943"/>
      <c r="B250" s="943"/>
      <c r="C250" s="943"/>
      <c r="D250" s="943"/>
      <c r="E250" s="943"/>
      <c r="F250" s="943"/>
      <c r="G250" s="943"/>
      <c r="H250" s="944"/>
    </row>
    <row r="251">
      <c r="A251" s="943"/>
      <c r="B251" s="943"/>
      <c r="C251" s="943"/>
      <c r="D251" s="943"/>
      <c r="E251" s="943"/>
      <c r="F251" s="943"/>
      <c r="G251" s="943"/>
      <c r="H251" s="944"/>
    </row>
    <row r="252">
      <c r="A252" s="943"/>
      <c r="B252" s="943"/>
      <c r="C252" s="943"/>
      <c r="D252" s="943"/>
      <c r="E252" s="943"/>
      <c r="F252" s="943"/>
      <c r="G252" s="943"/>
      <c r="H252" s="944"/>
    </row>
    <row r="253">
      <c r="A253" s="943"/>
      <c r="B253" s="943"/>
      <c r="C253" s="943"/>
      <c r="D253" s="943"/>
      <c r="E253" s="943"/>
      <c r="F253" s="943"/>
      <c r="G253" s="943"/>
      <c r="H253" s="944"/>
    </row>
    <row r="254">
      <c r="A254" s="943"/>
      <c r="B254" s="943"/>
      <c r="C254" s="943"/>
      <c r="D254" s="943"/>
      <c r="E254" s="943"/>
      <c r="F254" s="943"/>
      <c r="G254" s="943"/>
      <c r="H254" s="944"/>
    </row>
    <row r="255">
      <c r="A255" s="943"/>
      <c r="B255" s="943"/>
      <c r="C255" s="943"/>
      <c r="D255" s="943"/>
      <c r="E255" s="943"/>
      <c r="F255" s="943"/>
      <c r="G255" s="943"/>
      <c r="H255" s="944"/>
    </row>
    <row r="256">
      <c r="A256" s="943"/>
      <c r="B256" s="943"/>
      <c r="C256" s="943"/>
      <c r="D256" s="943"/>
      <c r="E256" s="943"/>
      <c r="F256" s="943"/>
      <c r="G256" s="943"/>
      <c r="H256" s="944"/>
    </row>
    <row r="257">
      <c r="A257" s="943"/>
      <c r="B257" s="943"/>
      <c r="C257" s="943"/>
      <c r="D257" s="943"/>
      <c r="E257" s="943"/>
      <c r="F257" s="943"/>
      <c r="G257" s="943"/>
      <c r="H257" s="944"/>
    </row>
    <row r="258">
      <c r="A258" s="943"/>
      <c r="B258" s="943"/>
      <c r="C258" s="943"/>
      <c r="D258" s="943"/>
      <c r="E258" s="943"/>
      <c r="F258" s="943"/>
      <c r="G258" s="943"/>
      <c r="H258" s="944"/>
    </row>
    <row r="259">
      <c r="A259" s="943"/>
      <c r="B259" s="943"/>
      <c r="C259" s="943"/>
      <c r="D259" s="943"/>
      <c r="E259" s="943"/>
      <c r="F259" s="943"/>
      <c r="G259" s="943"/>
      <c r="H259" s="944"/>
    </row>
    <row r="260">
      <c r="A260" s="943"/>
      <c r="B260" s="943"/>
      <c r="C260" s="943"/>
      <c r="D260" s="943"/>
      <c r="E260" s="943"/>
      <c r="F260" s="943"/>
      <c r="G260" s="943"/>
      <c r="H260" s="944"/>
    </row>
    <row r="261">
      <c r="A261" s="943"/>
      <c r="B261" s="943"/>
      <c r="C261" s="943"/>
      <c r="D261" s="943"/>
      <c r="E261" s="943"/>
      <c r="F261" s="943"/>
      <c r="G261" s="943"/>
      <c r="H261" s="944"/>
    </row>
    <row r="262">
      <c r="A262" s="943"/>
      <c r="B262" s="943"/>
      <c r="C262" s="943"/>
      <c r="D262" s="943"/>
      <c r="E262" s="943"/>
      <c r="F262" s="943"/>
      <c r="G262" s="943"/>
      <c r="H262" s="944"/>
    </row>
    <row r="263">
      <c r="A263" s="943"/>
      <c r="B263" s="943"/>
      <c r="C263" s="943"/>
      <c r="D263" s="943"/>
      <c r="E263" s="943"/>
      <c r="F263" s="943"/>
      <c r="G263" s="943"/>
      <c r="H263" s="944"/>
    </row>
    <row r="264">
      <c r="A264" s="943"/>
      <c r="B264" s="943"/>
      <c r="C264" s="943"/>
      <c r="D264" s="943"/>
      <c r="E264" s="943"/>
      <c r="F264" s="943"/>
      <c r="G264" s="943"/>
      <c r="H264" s="944"/>
    </row>
    <row r="265">
      <c r="A265" s="943"/>
      <c r="B265" s="943"/>
      <c r="C265" s="943"/>
      <c r="D265" s="943"/>
      <c r="E265" s="943"/>
      <c r="F265" s="943"/>
      <c r="G265" s="943"/>
      <c r="H265" s="944"/>
    </row>
    <row r="266">
      <c r="A266" s="943"/>
      <c r="B266" s="943"/>
      <c r="C266" s="943"/>
      <c r="D266" s="943"/>
      <c r="E266" s="943"/>
      <c r="F266" s="943"/>
      <c r="G266" s="943"/>
      <c r="H266" s="944"/>
    </row>
    <row r="267">
      <c r="A267" s="943"/>
      <c r="B267" s="943"/>
      <c r="C267" s="943"/>
      <c r="D267" s="943"/>
      <c r="E267" s="943"/>
      <c r="F267" s="943"/>
      <c r="G267" s="943"/>
      <c r="H267" s="944"/>
    </row>
    <row r="268">
      <c r="A268" s="943"/>
      <c r="B268" s="943"/>
      <c r="C268" s="943"/>
      <c r="D268" s="943"/>
      <c r="E268" s="943"/>
      <c r="F268" s="943"/>
      <c r="G268" s="943"/>
      <c r="H268" s="944"/>
    </row>
    <row r="269">
      <c r="A269" s="943"/>
      <c r="B269" s="943"/>
      <c r="C269" s="943"/>
      <c r="D269" s="943"/>
      <c r="E269" s="943"/>
      <c r="F269" s="943"/>
      <c r="G269" s="943"/>
      <c r="H269" s="944"/>
    </row>
    <row r="270">
      <c r="A270" s="943"/>
      <c r="B270" s="943"/>
      <c r="C270" s="943"/>
      <c r="D270" s="943"/>
      <c r="E270" s="943"/>
      <c r="F270" s="943"/>
      <c r="G270" s="943"/>
      <c r="H270" s="944"/>
    </row>
    <row r="271">
      <c r="A271" s="943"/>
      <c r="B271" s="943"/>
      <c r="C271" s="943"/>
      <c r="D271" s="943"/>
      <c r="E271" s="943"/>
      <c r="F271" s="943"/>
      <c r="G271" s="943"/>
      <c r="H271" s="944"/>
    </row>
    <row r="272">
      <c r="A272" s="943"/>
      <c r="B272" s="943"/>
      <c r="C272" s="943"/>
      <c r="D272" s="943"/>
      <c r="E272" s="943"/>
      <c r="F272" s="943"/>
      <c r="G272" s="943"/>
      <c r="H272" s="944"/>
    </row>
    <row r="273">
      <c r="A273" s="943"/>
      <c r="B273" s="943"/>
      <c r="C273" s="943"/>
      <c r="D273" s="943"/>
      <c r="E273" s="943"/>
      <c r="F273" s="943"/>
      <c r="G273" s="943"/>
      <c r="H273" s="944"/>
    </row>
    <row r="274">
      <c r="A274" s="943"/>
      <c r="B274" s="943"/>
      <c r="C274" s="943"/>
      <c r="D274" s="943"/>
      <c r="E274" s="943"/>
      <c r="F274" s="943"/>
      <c r="G274" s="943"/>
      <c r="H274" s="944"/>
    </row>
    <row r="275">
      <c r="A275" s="943"/>
      <c r="B275" s="943"/>
      <c r="C275" s="943"/>
      <c r="D275" s="943"/>
      <c r="E275" s="943"/>
      <c r="F275" s="943"/>
      <c r="G275" s="943"/>
      <c r="H275" s="944"/>
    </row>
    <row r="276">
      <c r="A276" s="943"/>
      <c r="B276" s="943"/>
      <c r="C276" s="943"/>
      <c r="D276" s="943"/>
      <c r="E276" s="943"/>
      <c r="F276" s="943"/>
      <c r="G276" s="943"/>
      <c r="H276" s="944"/>
    </row>
    <row r="277">
      <c r="A277" s="943"/>
      <c r="B277" s="943"/>
      <c r="C277" s="943"/>
      <c r="D277" s="943"/>
      <c r="E277" s="943"/>
      <c r="F277" s="943"/>
      <c r="G277" s="943"/>
      <c r="H277" s="944"/>
    </row>
    <row r="278">
      <c r="A278" s="943"/>
      <c r="B278" s="943"/>
      <c r="C278" s="943"/>
      <c r="D278" s="943"/>
      <c r="E278" s="943"/>
      <c r="F278" s="943"/>
      <c r="G278" s="943"/>
      <c r="H278" s="944"/>
    </row>
    <row r="279">
      <c r="A279" s="943"/>
      <c r="B279" s="943"/>
      <c r="C279" s="943"/>
      <c r="D279" s="943"/>
      <c r="E279" s="943"/>
      <c r="F279" s="943"/>
      <c r="G279" s="943"/>
      <c r="H279" s="944"/>
    </row>
    <row r="280">
      <c r="A280" s="943"/>
      <c r="B280" s="943"/>
      <c r="C280" s="943"/>
      <c r="D280" s="943"/>
      <c r="E280" s="943"/>
      <c r="F280" s="943"/>
      <c r="G280" s="943"/>
      <c r="H280" s="944"/>
    </row>
    <row r="281">
      <c r="A281" s="943"/>
      <c r="B281" s="943"/>
      <c r="C281" s="943"/>
      <c r="D281" s="943"/>
      <c r="E281" s="943"/>
      <c r="F281" s="943"/>
      <c r="G281" s="943"/>
      <c r="H281" s="944"/>
    </row>
    <row r="282">
      <c r="A282" s="943"/>
      <c r="B282" s="943"/>
      <c r="C282" s="943"/>
      <c r="D282" s="943"/>
      <c r="E282" s="943"/>
      <c r="F282" s="943"/>
      <c r="G282" s="943"/>
      <c r="H282" s="944"/>
    </row>
    <row r="283">
      <c r="A283" s="943"/>
      <c r="B283" s="943"/>
      <c r="C283" s="943"/>
      <c r="D283" s="943"/>
      <c r="E283" s="943"/>
      <c r="F283" s="943"/>
      <c r="G283" s="943"/>
      <c r="H283" s="944"/>
    </row>
    <row r="284">
      <c r="A284" s="943"/>
      <c r="B284" s="943"/>
      <c r="C284" s="943"/>
      <c r="D284" s="943"/>
      <c r="E284" s="943"/>
      <c r="F284" s="943"/>
      <c r="G284" s="943"/>
      <c r="H284" s="944"/>
    </row>
    <row r="285">
      <c r="A285" s="943"/>
      <c r="B285" s="943"/>
      <c r="C285" s="943"/>
      <c r="D285" s="943"/>
      <c r="E285" s="943"/>
      <c r="F285" s="943"/>
      <c r="G285" s="943"/>
      <c r="H285" s="944"/>
    </row>
    <row r="286">
      <c r="A286" s="943"/>
      <c r="B286" s="943"/>
      <c r="C286" s="943"/>
      <c r="D286" s="943"/>
      <c r="E286" s="943"/>
      <c r="F286" s="943"/>
      <c r="G286" s="943"/>
      <c r="H286" s="944"/>
    </row>
    <row r="287">
      <c r="A287" s="943"/>
      <c r="B287" s="943"/>
      <c r="C287" s="943"/>
      <c r="D287" s="943"/>
      <c r="E287" s="943"/>
      <c r="F287" s="943"/>
      <c r="G287" s="943"/>
      <c r="H287" s="944"/>
    </row>
    <row r="288">
      <c r="A288" s="943"/>
      <c r="B288" s="943"/>
      <c r="C288" s="943"/>
      <c r="D288" s="943"/>
      <c r="E288" s="943"/>
      <c r="F288" s="943"/>
      <c r="G288" s="943"/>
      <c r="H288" s="944"/>
    </row>
    <row r="289">
      <c r="A289" s="943"/>
      <c r="B289" s="943"/>
      <c r="C289" s="943"/>
      <c r="D289" s="943"/>
      <c r="E289" s="943"/>
      <c r="F289" s="943"/>
      <c r="G289" s="943"/>
      <c r="H289" s="944"/>
    </row>
    <row r="290">
      <c r="A290" s="943"/>
      <c r="B290" s="943"/>
      <c r="C290" s="943"/>
      <c r="D290" s="943"/>
      <c r="E290" s="943"/>
      <c r="F290" s="943"/>
      <c r="G290" s="943"/>
      <c r="H290" s="944"/>
    </row>
    <row r="291">
      <c r="A291" s="943"/>
      <c r="B291" s="943"/>
      <c r="C291" s="943"/>
      <c r="D291" s="943"/>
      <c r="E291" s="943"/>
      <c r="F291" s="943"/>
      <c r="G291" s="943"/>
      <c r="H291" s="944"/>
    </row>
    <row r="292">
      <c r="A292" s="943"/>
      <c r="B292" s="943"/>
      <c r="C292" s="943"/>
      <c r="D292" s="943"/>
      <c r="E292" s="943"/>
      <c r="F292" s="943"/>
      <c r="G292" s="943"/>
      <c r="H292" s="944"/>
    </row>
    <row r="293">
      <c r="A293" s="943"/>
      <c r="B293" s="943"/>
      <c r="C293" s="943"/>
      <c r="D293" s="943"/>
      <c r="E293" s="943"/>
      <c r="F293" s="943"/>
      <c r="G293" s="943"/>
      <c r="H293" s="944"/>
    </row>
    <row r="294">
      <c r="A294" s="943"/>
      <c r="B294" s="943"/>
      <c r="C294" s="943"/>
      <c r="D294" s="943"/>
      <c r="E294" s="943"/>
      <c r="F294" s="943"/>
      <c r="G294" s="943"/>
      <c r="H294" s="944"/>
    </row>
    <row r="295">
      <c r="A295" s="943"/>
      <c r="B295" s="943"/>
      <c r="C295" s="943"/>
      <c r="D295" s="943"/>
      <c r="E295" s="943"/>
      <c r="F295" s="943"/>
      <c r="G295" s="943"/>
      <c r="H295" s="944"/>
    </row>
    <row r="296">
      <c r="A296" s="943"/>
      <c r="B296" s="943"/>
      <c r="C296" s="943"/>
      <c r="D296" s="943"/>
      <c r="E296" s="943"/>
      <c r="F296" s="943"/>
      <c r="G296" s="943"/>
      <c r="H296" s="944"/>
    </row>
    <row r="297">
      <c r="A297" s="943"/>
      <c r="B297" s="943"/>
      <c r="C297" s="943"/>
      <c r="D297" s="943"/>
      <c r="E297" s="943"/>
      <c r="F297" s="943"/>
      <c r="G297" s="943"/>
      <c r="H297" s="944"/>
    </row>
    <row r="298">
      <c r="A298" s="943"/>
      <c r="B298" s="943"/>
      <c r="C298" s="943"/>
      <c r="D298" s="943"/>
      <c r="E298" s="943"/>
      <c r="F298" s="943"/>
      <c r="G298" s="943"/>
      <c r="H298" s="944"/>
    </row>
    <row r="299">
      <c r="A299" s="943"/>
      <c r="B299" s="943"/>
      <c r="C299" s="943"/>
      <c r="D299" s="943"/>
      <c r="E299" s="943"/>
      <c r="F299" s="943"/>
      <c r="G299" s="943"/>
      <c r="H299" s="944"/>
    </row>
    <row r="300">
      <c r="A300" s="943"/>
      <c r="B300" s="943"/>
      <c r="C300" s="943"/>
      <c r="D300" s="943"/>
      <c r="E300" s="943"/>
      <c r="F300" s="943"/>
      <c r="G300" s="943"/>
      <c r="H300" s="944"/>
    </row>
    <row r="301">
      <c r="A301" s="943"/>
      <c r="B301" s="943"/>
      <c r="C301" s="943"/>
      <c r="D301" s="943"/>
      <c r="E301" s="943"/>
      <c r="F301" s="943"/>
      <c r="G301" s="943"/>
      <c r="H301" s="944"/>
    </row>
    <row r="302">
      <c r="A302" s="943"/>
      <c r="B302" s="943"/>
      <c r="C302" s="943"/>
      <c r="D302" s="943"/>
      <c r="E302" s="943"/>
      <c r="F302" s="943"/>
      <c r="G302" s="943"/>
      <c r="H302" s="944"/>
    </row>
    <row r="303">
      <c r="A303" s="943"/>
      <c r="B303" s="943"/>
      <c r="C303" s="943"/>
      <c r="D303" s="943"/>
      <c r="E303" s="943"/>
      <c r="F303" s="943"/>
      <c r="G303" s="943"/>
      <c r="H303" s="944"/>
    </row>
    <row r="304">
      <c r="A304" s="943"/>
      <c r="B304" s="943"/>
      <c r="C304" s="943"/>
      <c r="D304" s="943"/>
      <c r="E304" s="943"/>
      <c r="F304" s="943"/>
      <c r="G304" s="943"/>
      <c r="H304" s="944"/>
    </row>
    <row r="305">
      <c r="A305" s="943"/>
      <c r="B305" s="943"/>
      <c r="C305" s="943"/>
      <c r="D305" s="943"/>
      <c r="E305" s="943"/>
      <c r="F305" s="943"/>
      <c r="G305" s="943"/>
      <c r="H305" s="944"/>
    </row>
    <row r="306">
      <c r="A306" s="943"/>
      <c r="B306" s="943"/>
      <c r="C306" s="943"/>
      <c r="D306" s="943"/>
      <c r="E306" s="943"/>
      <c r="F306" s="943"/>
      <c r="G306" s="943"/>
      <c r="H306" s="944"/>
    </row>
    <row r="307">
      <c r="A307" s="943"/>
      <c r="B307" s="943"/>
      <c r="C307" s="943"/>
      <c r="D307" s="943"/>
      <c r="E307" s="943"/>
      <c r="F307" s="943"/>
      <c r="G307" s="943"/>
      <c r="H307" s="944"/>
    </row>
    <row r="308">
      <c r="A308" s="943"/>
      <c r="B308" s="943"/>
      <c r="C308" s="943"/>
      <c r="D308" s="943"/>
      <c r="E308" s="943"/>
      <c r="F308" s="943"/>
      <c r="G308" s="943"/>
      <c r="H308" s="944"/>
    </row>
    <row r="309">
      <c r="A309" s="943"/>
      <c r="B309" s="943"/>
      <c r="C309" s="943"/>
      <c r="D309" s="943"/>
      <c r="E309" s="943"/>
      <c r="F309" s="943"/>
      <c r="G309" s="943"/>
      <c r="H309" s="944"/>
    </row>
    <row r="310">
      <c r="A310" s="943"/>
      <c r="B310" s="943"/>
      <c r="C310" s="943"/>
      <c r="D310" s="943"/>
      <c r="E310" s="943"/>
      <c r="F310" s="943"/>
      <c r="G310" s="943"/>
      <c r="H310" s="944"/>
    </row>
    <row r="311">
      <c r="A311" s="943"/>
      <c r="B311" s="943"/>
      <c r="C311" s="943"/>
      <c r="D311" s="943"/>
      <c r="E311" s="943"/>
      <c r="F311" s="943"/>
      <c r="G311" s="943"/>
      <c r="H311" s="944"/>
    </row>
    <row r="312">
      <c r="A312" s="943"/>
      <c r="B312" s="943"/>
      <c r="C312" s="943"/>
      <c r="D312" s="943"/>
      <c r="E312" s="943"/>
      <c r="F312" s="943"/>
      <c r="G312" s="943"/>
      <c r="H312" s="944"/>
    </row>
    <row r="313">
      <c r="A313" s="943"/>
      <c r="B313" s="943"/>
      <c r="C313" s="943"/>
      <c r="D313" s="943"/>
      <c r="E313" s="943"/>
      <c r="F313" s="943"/>
      <c r="G313" s="943"/>
      <c r="H313" s="944"/>
    </row>
    <row r="314">
      <c r="A314" s="943"/>
      <c r="B314" s="943"/>
      <c r="C314" s="943"/>
      <c r="D314" s="943"/>
      <c r="E314" s="943"/>
      <c r="F314" s="943"/>
      <c r="G314" s="943"/>
      <c r="H314" s="944"/>
    </row>
    <row r="315">
      <c r="A315" s="943"/>
      <c r="B315" s="943"/>
      <c r="C315" s="943"/>
      <c r="D315" s="943"/>
      <c r="E315" s="943"/>
      <c r="F315" s="943"/>
      <c r="G315" s="943"/>
      <c r="H315" s="944"/>
    </row>
    <row r="316">
      <c r="A316" s="943"/>
      <c r="B316" s="943"/>
      <c r="C316" s="943"/>
      <c r="D316" s="943"/>
      <c r="E316" s="943"/>
      <c r="F316" s="943"/>
      <c r="G316" s="943"/>
      <c r="H316" s="944"/>
    </row>
    <row r="317">
      <c r="A317" s="943"/>
      <c r="B317" s="943"/>
      <c r="C317" s="943"/>
      <c r="D317" s="943"/>
      <c r="E317" s="943"/>
      <c r="F317" s="943"/>
      <c r="G317" s="943"/>
      <c r="H317" s="944"/>
    </row>
    <row r="318">
      <c r="A318" s="943"/>
      <c r="B318" s="943"/>
      <c r="C318" s="943"/>
      <c r="D318" s="943"/>
      <c r="E318" s="943"/>
      <c r="F318" s="943"/>
      <c r="G318" s="943"/>
      <c r="H318" s="944"/>
    </row>
    <row r="319">
      <c r="A319" s="943"/>
      <c r="B319" s="943"/>
      <c r="C319" s="943"/>
      <c r="D319" s="943"/>
      <c r="E319" s="943"/>
      <c r="F319" s="943"/>
      <c r="G319" s="943"/>
      <c r="H319" s="944"/>
    </row>
    <row r="320">
      <c r="A320" s="943"/>
      <c r="B320" s="943"/>
      <c r="C320" s="943"/>
      <c r="D320" s="943"/>
      <c r="E320" s="943"/>
      <c r="F320" s="943"/>
      <c r="G320" s="943"/>
      <c r="H320" s="944"/>
    </row>
    <row r="321">
      <c r="A321" s="943"/>
      <c r="B321" s="943"/>
      <c r="C321" s="943"/>
      <c r="D321" s="943"/>
      <c r="E321" s="943"/>
      <c r="F321" s="943"/>
      <c r="G321" s="943"/>
      <c r="H321" s="944"/>
    </row>
    <row r="322">
      <c r="A322" s="943"/>
      <c r="B322" s="943"/>
      <c r="C322" s="943"/>
      <c r="D322" s="943"/>
      <c r="E322" s="943"/>
      <c r="F322" s="943"/>
      <c r="G322" s="943"/>
      <c r="H322" s="944"/>
    </row>
    <row r="323">
      <c r="A323" s="943"/>
      <c r="B323" s="943"/>
      <c r="C323" s="943"/>
      <c r="D323" s="943"/>
      <c r="E323" s="943"/>
      <c r="F323" s="943"/>
      <c r="G323" s="943"/>
      <c r="H323" s="944"/>
    </row>
    <row r="324">
      <c r="A324" s="943"/>
      <c r="B324" s="943"/>
      <c r="C324" s="943"/>
      <c r="D324" s="943"/>
      <c r="E324" s="943"/>
      <c r="F324" s="943"/>
      <c r="G324" s="943"/>
      <c r="H324" s="944"/>
    </row>
    <row r="325">
      <c r="A325" s="943"/>
      <c r="B325" s="943"/>
      <c r="C325" s="943"/>
      <c r="D325" s="943"/>
      <c r="E325" s="943"/>
      <c r="F325" s="943"/>
      <c r="G325" s="943"/>
      <c r="H325" s="944"/>
    </row>
    <row r="326">
      <c r="A326" s="943"/>
      <c r="B326" s="943"/>
      <c r="C326" s="943"/>
      <c r="D326" s="943"/>
      <c r="E326" s="943"/>
      <c r="F326" s="943"/>
      <c r="G326" s="943"/>
      <c r="H326" s="944"/>
    </row>
    <row r="327">
      <c r="A327" s="943"/>
      <c r="B327" s="943"/>
      <c r="C327" s="943"/>
      <c r="D327" s="943"/>
      <c r="E327" s="943"/>
      <c r="F327" s="943"/>
      <c r="G327" s="943"/>
      <c r="H327" s="944"/>
    </row>
    <row r="328">
      <c r="A328" s="943"/>
      <c r="B328" s="943"/>
      <c r="C328" s="943"/>
      <c r="D328" s="943"/>
      <c r="E328" s="943"/>
      <c r="F328" s="943"/>
      <c r="G328" s="943"/>
      <c r="H328" s="944"/>
    </row>
    <row r="329">
      <c r="A329" s="943"/>
      <c r="B329" s="943"/>
      <c r="C329" s="943"/>
      <c r="D329" s="943"/>
      <c r="E329" s="943"/>
      <c r="F329" s="943"/>
      <c r="G329" s="943"/>
      <c r="H329" s="944"/>
    </row>
    <row r="330">
      <c r="A330" s="943"/>
      <c r="B330" s="943"/>
      <c r="C330" s="943"/>
      <c r="D330" s="943"/>
      <c r="E330" s="943"/>
      <c r="F330" s="943"/>
      <c r="G330" s="943"/>
      <c r="H330" s="944"/>
    </row>
    <row r="331">
      <c r="A331" s="943"/>
      <c r="B331" s="943"/>
      <c r="C331" s="943"/>
      <c r="D331" s="943"/>
      <c r="E331" s="943"/>
      <c r="F331" s="943"/>
      <c r="G331" s="943"/>
      <c r="H331" s="944"/>
    </row>
    <row r="332">
      <c r="A332" s="943"/>
      <c r="B332" s="943"/>
      <c r="C332" s="943"/>
      <c r="D332" s="943"/>
      <c r="E332" s="943"/>
      <c r="F332" s="943"/>
      <c r="G332" s="943"/>
      <c r="H332" s="944"/>
    </row>
    <row r="333">
      <c r="A333" s="943"/>
      <c r="B333" s="943"/>
      <c r="C333" s="943"/>
      <c r="D333" s="943"/>
      <c r="E333" s="943"/>
      <c r="F333" s="943"/>
      <c r="G333" s="943"/>
      <c r="H333" s="944"/>
    </row>
    <row r="334">
      <c r="A334" s="943"/>
      <c r="B334" s="943"/>
      <c r="C334" s="943"/>
      <c r="D334" s="943"/>
      <c r="E334" s="943"/>
      <c r="F334" s="943"/>
      <c r="G334" s="943"/>
      <c r="H334" s="944"/>
    </row>
    <row r="335">
      <c r="A335" s="943"/>
      <c r="B335" s="943"/>
      <c r="C335" s="943"/>
      <c r="D335" s="943"/>
      <c r="E335" s="943"/>
      <c r="F335" s="943"/>
      <c r="G335" s="943"/>
      <c r="H335" s="944"/>
    </row>
    <row r="336">
      <c r="A336" s="943"/>
      <c r="B336" s="943"/>
      <c r="C336" s="943"/>
      <c r="D336" s="943"/>
      <c r="E336" s="943"/>
      <c r="F336" s="943"/>
      <c r="G336" s="943"/>
      <c r="H336" s="944"/>
    </row>
    <row r="337">
      <c r="A337" s="943"/>
      <c r="B337" s="943"/>
      <c r="C337" s="943"/>
      <c r="D337" s="943"/>
      <c r="E337" s="943"/>
      <c r="F337" s="943"/>
      <c r="G337" s="943"/>
      <c r="H337" s="944"/>
    </row>
    <row r="338">
      <c r="A338" s="943"/>
      <c r="B338" s="943"/>
      <c r="C338" s="943"/>
      <c r="D338" s="943"/>
      <c r="E338" s="943"/>
      <c r="F338" s="943"/>
      <c r="G338" s="943"/>
      <c r="H338" s="944"/>
    </row>
    <row r="339">
      <c r="A339" s="943"/>
      <c r="B339" s="943"/>
      <c r="C339" s="943"/>
      <c r="D339" s="943"/>
      <c r="E339" s="943"/>
      <c r="F339" s="943"/>
      <c r="G339" s="943"/>
      <c r="H339" s="944"/>
    </row>
    <row r="340">
      <c r="A340" s="943"/>
      <c r="B340" s="943"/>
      <c r="C340" s="943"/>
      <c r="D340" s="943"/>
      <c r="E340" s="943"/>
      <c r="F340" s="943"/>
      <c r="G340" s="943"/>
      <c r="H340" s="944"/>
    </row>
    <row r="341">
      <c r="A341" s="943"/>
      <c r="B341" s="943"/>
      <c r="C341" s="943"/>
      <c r="D341" s="943"/>
      <c r="E341" s="943"/>
      <c r="F341" s="943"/>
      <c r="G341" s="943"/>
      <c r="H341" s="944"/>
    </row>
    <row r="342">
      <c r="A342" s="943"/>
      <c r="B342" s="943"/>
      <c r="C342" s="943"/>
      <c r="D342" s="943"/>
      <c r="E342" s="943"/>
      <c r="F342" s="943"/>
      <c r="G342" s="943"/>
      <c r="H342" s="944"/>
    </row>
    <row r="343">
      <c r="A343" s="943"/>
      <c r="B343" s="943"/>
      <c r="C343" s="943"/>
      <c r="D343" s="943"/>
      <c r="E343" s="943"/>
      <c r="F343" s="943"/>
      <c r="G343" s="943"/>
      <c r="H343" s="944"/>
    </row>
    <row r="344">
      <c r="A344" s="943"/>
      <c r="B344" s="943"/>
      <c r="C344" s="943"/>
      <c r="D344" s="943"/>
      <c r="E344" s="943"/>
      <c r="F344" s="943"/>
      <c r="G344" s="943"/>
      <c r="H344" s="944"/>
    </row>
    <row r="345">
      <c r="A345" s="943"/>
      <c r="B345" s="943"/>
      <c r="C345" s="943"/>
      <c r="D345" s="943"/>
      <c r="E345" s="943"/>
      <c r="F345" s="943"/>
      <c r="G345" s="943"/>
      <c r="H345" s="944"/>
    </row>
    <row r="346">
      <c r="A346" s="943"/>
      <c r="B346" s="943"/>
      <c r="C346" s="943"/>
      <c r="D346" s="943"/>
      <c r="E346" s="943"/>
      <c r="F346" s="943"/>
      <c r="G346" s="943"/>
      <c r="H346" s="944"/>
    </row>
    <row r="347">
      <c r="A347" s="943"/>
      <c r="B347" s="943"/>
      <c r="C347" s="943"/>
      <c r="D347" s="943"/>
      <c r="E347" s="943"/>
      <c r="F347" s="943"/>
      <c r="G347" s="943"/>
      <c r="H347" s="944"/>
    </row>
    <row r="348">
      <c r="A348" s="943"/>
      <c r="B348" s="943"/>
      <c r="C348" s="943"/>
      <c r="D348" s="943"/>
      <c r="E348" s="943"/>
      <c r="F348" s="943"/>
      <c r="G348" s="943"/>
      <c r="H348" s="944"/>
    </row>
    <row r="349">
      <c r="A349" s="943"/>
      <c r="B349" s="943"/>
      <c r="C349" s="943"/>
      <c r="D349" s="943"/>
      <c r="E349" s="943"/>
      <c r="F349" s="943"/>
      <c r="G349" s="943"/>
      <c r="H349" s="944"/>
    </row>
    <row r="350">
      <c r="A350" s="943"/>
      <c r="B350" s="943"/>
      <c r="C350" s="943"/>
      <c r="D350" s="943"/>
      <c r="E350" s="943"/>
      <c r="F350" s="943"/>
      <c r="G350" s="943"/>
      <c r="H350" s="944"/>
    </row>
    <row r="351">
      <c r="A351" s="943"/>
      <c r="B351" s="943"/>
      <c r="C351" s="943"/>
      <c r="D351" s="943"/>
      <c r="E351" s="943"/>
      <c r="F351" s="943"/>
      <c r="G351" s="943"/>
      <c r="H351" s="944"/>
    </row>
    <row r="352">
      <c r="A352" s="943"/>
      <c r="B352" s="943"/>
      <c r="C352" s="943"/>
      <c r="D352" s="943"/>
      <c r="E352" s="943"/>
      <c r="F352" s="943"/>
      <c r="G352" s="943"/>
      <c r="H352" s="944"/>
    </row>
    <row r="353">
      <c r="A353" s="943"/>
      <c r="B353" s="943"/>
      <c r="C353" s="943"/>
      <c r="D353" s="943"/>
      <c r="E353" s="943"/>
      <c r="F353" s="943"/>
      <c r="G353" s="943"/>
      <c r="H353" s="944"/>
    </row>
    <row r="354">
      <c r="A354" s="943"/>
      <c r="B354" s="943"/>
      <c r="C354" s="943"/>
      <c r="D354" s="943"/>
      <c r="E354" s="943"/>
      <c r="F354" s="943"/>
      <c r="G354" s="943"/>
      <c r="H354" s="944"/>
    </row>
    <row r="355">
      <c r="A355" s="943"/>
      <c r="B355" s="943"/>
      <c r="C355" s="943"/>
      <c r="D355" s="943"/>
      <c r="E355" s="943"/>
      <c r="F355" s="943"/>
      <c r="G355" s="943"/>
      <c r="H355" s="944"/>
    </row>
    <row r="356">
      <c r="A356" s="943"/>
      <c r="B356" s="943"/>
      <c r="C356" s="943"/>
      <c r="D356" s="943"/>
      <c r="E356" s="943"/>
      <c r="F356" s="943"/>
      <c r="G356" s="943"/>
      <c r="H356" s="944"/>
    </row>
    <row r="357">
      <c r="A357" s="943"/>
      <c r="B357" s="943"/>
      <c r="C357" s="943"/>
      <c r="D357" s="943"/>
      <c r="E357" s="943"/>
      <c r="F357" s="943"/>
      <c r="G357" s="943"/>
      <c r="H357" s="944"/>
    </row>
    <row r="358">
      <c r="A358" s="943"/>
      <c r="B358" s="943"/>
      <c r="C358" s="943"/>
      <c r="D358" s="943"/>
      <c r="E358" s="943"/>
      <c r="F358" s="943"/>
      <c r="G358" s="943"/>
      <c r="H358" s="944"/>
    </row>
    <row r="359">
      <c r="A359" s="943"/>
      <c r="B359" s="943"/>
      <c r="C359" s="943"/>
      <c r="D359" s="943"/>
      <c r="E359" s="943"/>
      <c r="F359" s="943"/>
      <c r="G359" s="943"/>
      <c r="H359" s="944"/>
    </row>
    <row r="360">
      <c r="A360" s="943"/>
      <c r="B360" s="943"/>
      <c r="C360" s="943"/>
      <c r="D360" s="943"/>
      <c r="E360" s="943"/>
      <c r="F360" s="943"/>
      <c r="G360" s="943"/>
      <c r="H360" s="944"/>
    </row>
    <row r="361">
      <c r="A361" s="943"/>
      <c r="B361" s="943"/>
      <c r="C361" s="943"/>
      <c r="D361" s="943"/>
      <c r="E361" s="943"/>
      <c r="F361" s="943"/>
      <c r="G361" s="943"/>
      <c r="H361" s="944"/>
    </row>
    <row r="362">
      <c r="A362" s="943"/>
      <c r="B362" s="943"/>
      <c r="C362" s="943"/>
      <c r="D362" s="943"/>
      <c r="E362" s="943"/>
      <c r="F362" s="943"/>
      <c r="G362" s="943"/>
      <c r="H362" s="944"/>
    </row>
    <row r="363">
      <c r="A363" s="943"/>
      <c r="B363" s="943"/>
      <c r="C363" s="943"/>
      <c r="D363" s="943"/>
      <c r="E363" s="943"/>
      <c r="F363" s="943"/>
      <c r="G363" s="943"/>
      <c r="H363" s="944"/>
    </row>
    <row r="364">
      <c r="A364" s="943"/>
      <c r="B364" s="943"/>
      <c r="C364" s="943"/>
      <c r="D364" s="943"/>
      <c r="E364" s="943"/>
      <c r="F364" s="943"/>
      <c r="G364" s="943"/>
      <c r="H364" s="944"/>
    </row>
    <row r="365">
      <c r="A365" s="943"/>
      <c r="B365" s="943"/>
      <c r="C365" s="943"/>
      <c r="D365" s="943"/>
      <c r="E365" s="943"/>
      <c r="F365" s="943"/>
      <c r="G365" s="943"/>
      <c r="H365" s="944"/>
    </row>
    <row r="366">
      <c r="A366" s="943"/>
      <c r="B366" s="943"/>
      <c r="C366" s="943"/>
      <c r="D366" s="943"/>
      <c r="E366" s="943"/>
      <c r="F366" s="943"/>
      <c r="G366" s="943"/>
      <c r="H366" s="944"/>
    </row>
    <row r="367">
      <c r="A367" s="943"/>
      <c r="B367" s="943"/>
      <c r="C367" s="943"/>
      <c r="D367" s="943"/>
      <c r="E367" s="943"/>
      <c r="F367" s="943"/>
      <c r="G367" s="943"/>
      <c r="H367" s="944"/>
    </row>
    <row r="368">
      <c r="A368" s="943"/>
      <c r="B368" s="943"/>
      <c r="C368" s="943"/>
      <c r="D368" s="943"/>
      <c r="E368" s="943"/>
      <c r="F368" s="943"/>
      <c r="G368" s="943"/>
      <c r="H368" s="944"/>
    </row>
    <row r="369">
      <c r="A369" s="943"/>
      <c r="B369" s="943"/>
      <c r="C369" s="943"/>
      <c r="D369" s="943"/>
      <c r="E369" s="943"/>
      <c r="F369" s="943"/>
      <c r="G369" s="943"/>
      <c r="H369" s="944"/>
    </row>
    <row r="370">
      <c r="A370" s="943"/>
      <c r="B370" s="943"/>
      <c r="C370" s="943"/>
      <c r="D370" s="943"/>
      <c r="E370" s="943"/>
      <c r="F370" s="943"/>
      <c r="G370" s="943"/>
      <c r="H370" s="944"/>
    </row>
    <row r="371">
      <c r="A371" s="943"/>
      <c r="B371" s="943"/>
      <c r="C371" s="943"/>
      <c r="D371" s="943"/>
      <c r="E371" s="943"/>
      <c r="F371" s="943"/>
      <c r="G371" s="943"/>
      <c r="H371" s="944"/>
    </row>
    <row r="372">
      <c r="A372" s="943"/>
      <c r="B372" s="943"/>
      <c r="C372" s="943"/>
      <c r="D372" s="943"/>
      <c r="E372" s="943"/>
      <c r="F372" s="943"/>
      <c r="G372" s="943"/>
      <c r="H372" s="944"/>
    </row>
    <row r="373">
      <c r="A373" s="943"/>
      <c r="B373" s="943"/>
      <c r="C373" s="943"/>
      <c r="D373" s="943"/>
      <c r="E373" s="943"/>
      <c r="F373" s="943"/>
      <c r="G373" s="943"/>
      <c r="H373" s="944"/>
    </row>
    <row r="374">
      <c r="A374" s="943"/>
      <c r="B374" s="943"/>
      <c r="C374" s="943"/>
      <c r="D374" s="943"/>
      <c r="E374" s="943"/>
      <c r="F374" s="943"/>
      <c r="G374" s="943"/>
      <c r="H374" s="944"/>
    </row>
    <row r="375">
      <c r="A375" s="943"/>
      <c r="B375" s="943"/>
      <c r="C375" s="943"/>
      <c r="D375" s="943"/>
      <c r="E375" s="943"/>
      <c r="F375" s="943"/>
      <c r="G375" s="943"/>
      <c r="H375" s="944"/>
    </row>
    <row r="376">
      <c r="A376" s="943"/>
      <c r="B376" s="943"/>
      <c r="C376" s="943"/>
      <c r="D376" s="943"/>
      <c r="E376" s="943"/>
      <c r="F376" s="943"/>
      <c r="G376" s="943"/>
      <c r="H376" s="944"/>
    </row>
    <row r="377">
      <c r="A377" s="943"/>
      <c r="B377" s="943"/>
      <c r="C377" s="943"/>
      <c r="D377" s="943"/>
      <c r="E377" s="943"/>
      <c r="F377" s="943"/>
      <c r="G377" s="943"/>
      <c r="H377" s="944"/>
    </row>
    <row r="378">
      <c r="A378" s="943"/>
      <c r="B378" s="943"/>
      <c r="C378" s="943"/>
      <c r="D378" s="943"/>
      <c r="E378" s="943"/>
      <c r="F378" s="943"/>
      <c r="G378" s="943"/>
      <c r="H378" s="944"/>
    </row>
    <row r="379">
      <c r="A379" s="943"/>
      <c r="B379" s="943"/>
      <c r="C379" s="943"/>
      <c r="D379" s="943"/>
      <c r="E379" s="943"/>
      <c r="F379" s="943"/>
      <c r="G379" s="943"/>
      <c r="H379" s="944"/>
    </row>
    <row r="380">
      <c r="A380" s="943"/>
      <c r="B380" s="943"/>
      <c r="C380" s="943"/>
      <c r="D380" s="943"/>
      <c r="E380" s="943"/>
      <c r="F380" s="943"/>
      <c r="G380" s="943"/>
      <c r="H380" s="944"/>
    </row>
    <row r="381">
      <c r="A381" s="943"/>
      <c r="B381" s="943"/>
      <c r="C381" s="943"/>
      <c r="D381" s="943"/>
      <c r="E381" s="943"/>
      <c r="F381" s="943"/>
      <c r="G381" s="943"/>
      <c r="H381" s="944"/>
    </row>
    <row r="382">
      <c r="A382" s="943"/>
      <c r="B382" s="943"/>
      <c r="C382" s="943"/>
      <c r="D382" s="943"/>
      <c r="E382" s="943"/>
      <c r="F382" s="943"/>
      <c r="G382" s="943"/>
      <c r="H382" s="944"/>
    </row>
    <row r="383">
      <c r="A383" s="943"/>
      <c r="B383" s="943"/>
      <c r="C383" s="943"/>
      <c r="D383" s="943"/>
      <c r="E383" s="943"/>
      <c r="F383" s="943"/>
      <c r="G383" s="943"/>
      <c r="H383" s="944"/>
    </row>
    <row r="384">
      <c r="A384" s="943"/>
      <c r="B384" s="943"/>
      <c r="C384" s="943"/>
      <c r="D384" s="943"/>
      <c r="E384" s="943"/>
      <c r="F384" s="943"/>
      <c r="G384" s="943"/>
      <c r="H384" s="944"/>
    </row>
    <row r="385">
      <c r="A385" s="943"/>
      <c r="B385" s="943"/>
      <c r="C385" s="943"/>
      <c r="D385" s="943"/>
      <c r="E385" s="943"/>
      <c r="F385" s="943"/>
      <c r="G385" s="943"/>
      <c r="H385" s="944"/>
    </row>
    <row r="386">
      <c r="A386" s="943"/>
      <c r="B386" s="943"/>
      <c r="C386" s="943"/>
      <c r="D386" s="943"/>
      <c r="E386" s="943"/>
      <c r="F386" s="943"/>
      <c r="G386" s="943"/>
      <c r="H386" s="944"/>
    </row>
    <row r="387">
      <c r="A387" s="943"/>
      <c r="B387" s="943"/>
      <c r="C387" s="943"/>
      <c r="D387" s="943"/>
      <c r="E387" s="943"/>
      <c r="F387" s="943"/>
      <c r="G387" s="943"/>
      <c r="H387" s="944"/>
    </row>
    <row r="388">
      <c r="A388" s="943"/>
      <c r="B388" s="943"/>
      <c r="C388" s="943"/>
      <c r="D388" s="943"/>
      <c r="E388" s="943"/>
      <c r="F388" s="943"/>
      <c r="G388" s="943"/>
      <c r="H388" s="944"/>
    </row>
    <row r="389">
      <c r="A389" s="943"/>
      <c r="B389" s="943"/>
      <c r="C389" s="943"/>
      <c r="D389" s="943"/>
      <c r="E389" s="943"/>
      <c r="F389" s="943"/>
      <c r="G389" s="943"/>
      <c r="H389" s="944"/>
    </row>
    <row r="390">
      <c r="A390" s="943"/>
      <c r="B390" s="943"/>
      <c r="C390" s="943"/>
      <c r="D390" s="943"/>
      <c r="E390" s="943"/>
      <c r="F390" s="943"/>
      <c r="G390" s="943"/>
      <c r="H390" s="944"/>
    </row>
    <row r="391">
      <c r="A391" s="943"/>
      <c r="B391" s="943"/>
      <c r="C391" s="943"/>
      <c r="D391" s="943"/>
      <c r="E391" s="943"/>
      <c r="F391" s="943"/>
      <c r="G391" s="943"/>
      <c r="H391" s="944"/>
    </row>
    <row r="392">
      <c r="A392" s="943"/>
      <c r="B392" s="943"/>
      <c r="C392" s="943"/>
      <c r="D392" s="943"/>
      <c r="E392" s="943"/>
      <c r="F392" s="943"/>
      <c r="G392" s="943"/>
      <c r="H392" s="944"/>
    </row>
    <row r="393">
      <c r="A393" s="943"/>
      <c r="B393" s="943"/>
      <c r="C393" s="943"/>
      <c r="D393" s="943"/>
      <c r="E393" s="943"/>
      <c r="F393" s="943"/>
      <c r="G393" s="943"/>
      <c r="H393" s="944"/>
    </row>
    <row r="394">
      <c r="A394" s="943"/>
      <c r="B394" s="943"/>
      <c r="C394" s="943"/>
      <c r="D394" s="943"/>
      <c r="E394" s="943"/>
      <c r="F394" s="943"/>
      <c r="G394" s="943"/>
      <c r="H394" s="944"/>
    </row>
    <row r="395">
      <c r="A395" s="943"/>
      <c r="B395" s="943"/>
      <c r="C395" s="943"/>
      <c r="D395" s="943"/>
      <c r="E395" s="943"/>
      <c r="F395" s="943"/>
      <c r="G395" s="943"/>
      <c r="H395" s="944"/>
    </row>
    <row r="396">
      <c r="A396" s="943"/>
      <c r="B396" s="943"/>
      <c r="C396" s="943"/>
      <c r="D396" s="943"/>
      <c r="E396" s="943"/>
      <c r="F396" s="943"/>
      <c r="G396" s="943"/>
      <c r="H396" s="944"/>
    </row>
    <row r="397">
      <c r="A397" s="943"/>
      <c r="B397" s="943"/>
      <c r="C397" s="943"/>
      <c r="D397" s="943"/>
      <c r="E397" s="943"/>
      <c r="F397" s="943"/>
      <c r="G397" s="943"/>
      <c r="H397" s="944"/>
    </row>
    <row r="398">
      <c r="A398" s="943"/>
      <c r="B398" s="943"/>
      <c r="C398" s="943"/>
      <c r="D398" s="943"/>
      <c r="E398" s="943"/>
      <c r="F398" s="943"/>
      <c r="G398" s="943"/>
      <c r="H398" s="944"/>
    </row>
    <row r="399">
      <c r="A399" s="943"/>
      <c r="B399" s="943"/>
      <c r="C399" s="943"/>
      <c r="D399" s="943"/>
      <c r="E399" s="943"/>
      <c r="F399" s="943"/>
      <c r="G399" s="943"/>
      <c r="H399" s="944"/>
    </row>
    <row r="400">
      <c r="A400" s="943"/>
      <c r="B400" s="943"/>
      <c r="C400" s="943"/>
      <c r="D400" s="943"/>
      <c r="E400" s="943"/>
      <c r="F400" s="943"/>
      <c r="G400" s="943"/>
      <c r="H400" s="944"/>
    </row>
    <row r="401">
      <c r="A401" s="943"/>
      <c r="B401" s="943"/>
      <c r="C401" s="943"/>
      <c r="D401" s="943"/>
      <c r="E401" s="943"/>
      <c r="F401" s="943"/>
      <c r="G401" s="943"/>
      <c r="H401" s="944"/>
    </row>
    <row r="402">
      <c r="A402" s="943"/>
      <c r="B402" s="943"/>
      <c r="C402" s="943"/>
      <c r="D402" s="943"/>
      <c r="E402" s="943"/>
      <c r="F402" s="943"/>
      <c r="G402" s="943"/>
      <c r="H402" s="944"/>
    </row>
    <row r="403">
      <c r="A403" s="943"/>
      <c r="B403" s="943"/>
      <c r="C403" s="943"/>
      <c r="D403" s="943"/>
      <c r="E403" s="943"/>
      <c r="F403" s="943"/>
      <c r="G403" s="943"/>
      <c r="H403" s="944"/>
    </row>
    <row r="404">
      <c r="A404" s="943"/>
      <c r="B404" s="943"/>
      <c r="C404" s="943"/>
      <c r="D404" s="943"/>
      <c r="E404" s="943"/>
      <c r="F404" s="943"/>
      <c r="G404" s="943"/>
      <c r="H404" s="944"/>
    </row>
    <row r="405">
      <c r="A405" s="943"/>
      <c r="B405" s="943"/>
      <c r="C405" s="943"/>
      <c r="D405" s="943"/>
      <c r="E405" s="943"/>
      <c r="F405" s="943"/>
      <c r="G405" s="943"/>
      <c r="H405" s="944"/>
    </row>
    <row r="406">
      <c r="A406" s="943"/>
      <c r="B406" s="943"/>
      <c r="C406" s="943"/>
      <c r="D406" s="943"/>
      <c r="E406" s="943"/>
      <c r="F406" s="943"/>
      <c r="G406" s="943"/>
      <c r="H406" s="944"/>
    </row>
    <row r="407">
      <c r="A407" s="943"/>
      <c r="B407" s="943"/>
      <c r="C407" s="943"/>
      <c r="D407" s="943"/>
      <c r="E407" s="943"/>
      <c r="F407" s="943"/>
      <c r="G407" s="943"/>
      <c r="H407" s="944"/>
    </row>
    <row r="408">
      <c r="A408" s="943"/>
      <c r="B408" s="943"/>
      <c r="C408" s="943"/>
      <c r="D408" s="943"/>
      <c r="E408" s="943"/>
      <c r="F408" s="943"/>
      <c r="G408" s="943"/>
      <c r="H408" s="944"/>
    </row>
    <row r="409">
      <c r="A409" s="943"/>
      <c r="B409" s="943"/>
      <c r="C409" s="943"/>
      <c r="D409" s="943"/>
      <c r="E409" s="943"/>
      <c r="F409" s="943"/>
      <c r="G409" s="943"/>
      <c r="H409" s="944"/>
    </row>
    <row r="410">
      <c r="A410" s="943"/>
      <c r="B410" s="943"/>
      <c r="C410" s="943"/>
      <c r="D410" s="943"/>
      <c r="E410" s="943"/>
      <c r="F410" s="943"/>
      <c r="G410" s="943"/>
      <c r="H410" s="944"/>
    </row>
    <row r="411">
      <c r="A411" s="943"/>
      <c r="B411" s="943"/>
      <c r="C411" s="943"/>
      <c r="D411" s="943"/>
      <c r="E411" s="943"/>
      <c r="F411" s="943"/>
      <c r="G411" s="943"/>
      <c r="H411" s="944"/>
    </row>
    <row r="412">
      <c r="A412" s="943"/>
      <c r="B412" s="943"/>
      <c r="C412" s="943"/>
      <c r="D412" s="943"/>
      <c r="E412" s="943"/>
      <c r="F412" s="943"/>
      <c r="G412" s="943"/>
      <c r="H412" s="944"/>
    </row>
    <row r="413">
      <c r="A413" s="943"/>
      <c r="B413" s="943"/>
      <c r="C413" s="943"/>
      <c r="D413" s="943"/>
      <c r="E413" s="943"/>
      <c r="F413" s="943"/>
      <c r="G413" s="943"/>
      <c r="H413" s="944"/>
    </row>
    <row r="414">
      <c r="A414" s="943"/>
      <c r="B414" s="943"/>
      <c r="C414" s="943"/>
      <c r="D414" s="943"/>
      <c r="E414" s="943"/>
      <c r="F414" s="943"/>
      <c r="G414" s="943"/>
      <c r="H414" s="944"/>
    </row>
    <row r="415">
      <c r="A415" s="943"/>
      <c r="B415" s="943"/>
      <c r="C415" s="943"/>
      <c r="D415" s="943"/>
      <c r="E415" s="943"/>
      <c r="F415" s="943"/>
      <c r="G415" s="943"/>
      <c r="H415" s="944"/>
    </row>
    <row r="416">
      <c r="A416" s="943"/>
      <c r="B416" s="943"/>
      <c r="C416" s="943"/>
      <c r="D416" s="943"/>
      <c r="E416" s="943"/>
      <c r="F416" s="943"/>
      <c r="G416" s="943"/>
      <c r="H416" s="944"/>
    </row>
    <row r="417">
      <c r="A417" s="943"/>
      <c r="B417" s="943"/>
      <c r="C417" s="943"/>
      <c r="D417" s="943"/>
      <c r="E417" s="943"/>
      <c r="F417" s="943"/>
      <c r="G417" s="943"/>
      <c r="H417" s="944"/>
    </row>
    <row r="418">
      <c r="A418" s="943"/>
      <c r="B418" s="943"/>
      <c r="C418" s="943"/>
      <c r="D418" s="943"/>
      <c r="E418" s="943"/>
      <c r="F418" s="943"/>
      <c r="G418" s="943"/>
      <c r="H418" s="944"/>
    </row>
    <row r="419">
      <c r="A419" s="943"/>
      <c r="B419" s="943"/>
      <c r="C419" s="943"/>
      <c r="D419" s="943"/>
      <c r="E419" s="943"/>
      <c r="F419" s="943"/>
      <c r="G419" s="943"/>
      <c r="H419" s="944"/>
    </row>
    <row r="420">
      <c r="A420" s="943"/>
      <c r="B420" s="943"/>
      <c r="C420" s="943"/>
      <c r="D420" s="943"/>
      <c r="E420" s="943"/>
      <c r="F420" s="943"/>
      <c r="G420" s="943"/>
      <c r="H420" s="944"/>
    </row>
    <row r="421">
      <c r="A421" s="943"/>
      <c r="B421" s="943"/>
      <c r="C421" s="943"/>
      <c r="D421" s="943"/>
      <c r="E421" s="943"/>
      <c r="F421" s="943"/>
      <c r="G421" s="943"/>
      <c r="H421" s="944"/>
    </row>
    <row r="422">
      <c r="A422" s="943"/>
      <c r="B422" s="943"/>
      <c r="C422" s="943"/>
      <c r="D422" s="943"/>
      <c r="E422" s="943"/>
      <c r="F422" s="943"/>
      <c r="G422" s="943"/>
      <c r="H422" s="944"/>
    </row>
    <row r="423">
      <c r="A423" s="943"/>
      <c r="B423" s="943"/>
      <c r="C423" s="943"/>
      <c r="D423" s="943"/>
      <c r="E423" s="943"/>
      <c r="F423" s="943"/>
      <c r="G423" s="943"/>
      <c r="H423" s="944"/>
    </row>
    <row r="424">
      <c r="A424" s="943"/>
      <c r="B424" s="943"/>
      <c r="C424" s="943"/>
      <c r="D424" s="943"/>
      <c r="E424" s="943"/>
      <c r="F424" s="943"/>
      <c r="G424" s="943"/>
      <c r="H424" s="944"/>
    </row>
    <row r="425">
      <c r="A425" s="943"/>
      <c r="B425" s="943"/>
      <c r="C425" s="943"/>
      <c r="D425" s="943"/>
      <c r="E425" s="943"/>
      <c r="F425" s="943"/>
      <c r="G425" s="943"/>
      <c r="H425" s="944"/>
    </row>
    <row r="426">
      <c r="A426" s="943"/>
      <c r="B426" s="943"/>
      <c r="C426" s="943"/>
      <c r="D426" s="943"/>
      <c r="E426" s="943"/>
      <c r="F426" s="943"/>
      <c r="G426" s="943"/>
      <c r="H426" s="944"/>
    </row>
    <row r="427">
      <c r="A427" s="943"/>
      <c r="B427" s="943"/>
      <c r="C427" s="943"/>
      <c r="D427" s="943"/>
      <c r="E427" s="943"/>
      <c r="F427" s="943"/>
      <c r="G427" s="943"/>
      <c r="H427" s="944"/>
    </row>
    <row r="428">
      <c r="A428" s="943"/>
      <c r="B428" s="943"/>
      <c r="C428" s="943"/>
      <c r="D428" s="943"/>
      <c r="E428" s="943"/>
      <c r="F428" s="943"/>
      <c r="G428" s="943"/>
      <c r="H428" s="944"/>
    </row>
    <row r="429">
      <c r="A429" s="943"/>
      <c r="B429" s="943"/>
      <c r="C429" s="943"/>
      <c r="D429" s="943"/>
      <c r="E429" s="943"/>
      <c r="F429" s="943"/>
      <c r="G429" s="943"/>
      <c r="H429" s="944"/>
    </row>
    <row r="430">
      <c r="A430" s="943"/>
      <c r="B430" s="943"/>
      <c r="C430" s="943"/>
      <c r="D430" s="943"/>
      <c r="E430" s="943"/>
      <c r="F430" s="943"/>
      <c r="G430" s="943"/>
      <c r="H430" s="944"/>
    </row>
    <row r="431">
      <c r="A431" s="943"/>
      <c r="B431" s="943"/>
      <c r="C431" s="943"/>
      <c r="D431" s="943"/>
      <c r="E431" s="943"/>
      <c r="F431" s="943"/>
      <c r="G431" s="943"/>
      <c r="H431" s="944"/>
    </row>
    <row r="432">
      <c r="A432" s="943"/>
      <c r="B432" s="943"/>
      <c r="C432" s="943"/>
      <c r="D432" s="943"/>
      <c r="E432" s="943"/>
      <c r="F432" s="943"/>
      <c r="G432" s="943"/>
      <c r="H432" s="944"/>
    </row>
    <row r="433">
      <c r="A433" s="943"/>
      <c r="B433" s="943"/>
      <c r="C433" s="943"/>
      <c r="D433" s="943"/>
      <c r="E433" s="943"/>
      <c r="F433" s="943"/>
      <c r="G433" s="943"/>
      <c r="H433" s="944"/>
    </row>
    <row r="434">
      <c r="A434" s="943"/>
      <c r="B434" s="943"/>
      <c r="C434" s="943"/>
      <c r="D434" s="943"/>
      <c r="E434" s="943"/>
      <c r="F434" s="943"/>
      <c r="G434" s="943"/>
      <c r="H434" s="944"/>
    </row>
    <row r="435">
      <c r="A435" s="943"/>
      <c r="B435" s="943"/>
      <c r="C435" s="943"/>
      <c r="D435" s="943"/>
      <c r="E435" s="943"/>
      <c r="F435" s="943"/>
      <c r="G435" s="943"/>
      <c r="H435" s="944"/>
    </row>
    <row r="436">
      <c r="A436" s="943"/>
      <c r="B436" s="943"/>
      <c r="C436" s="943"/>
      <c r="D436" s="943"/>
      <c r="E436" s="943"/>
      <c r="F436" s="943"/>
      <c r="G436" s="943"/>
      <c r="H436" s="944"/>
    </row>
    <row r="437">
      <c r="A437" s="943"/>
      <c r="B437" s="943"/>
      <c r="C437" s="943"/>
      <c r="D437" s="943"/>
      <c r="E437" s="943"/>
      <c r="F437" s="943"/>
      <c r="G437" s="943"/>
      <c r="H437" s="944"/>
    </row>
    <row r="438">
      <c r="A438" s="943"/>
      <c r="B438" s="943"/>
      <c r="C438" s="943"/>
      <c r="D438" s="943"/>
      <c r="E438" s="943"/>
      <c r="F438" s="943"/>
      <c r="G438" s="943"/>
      <c r="H438" s="944"/>
    </row>
    <row r="439">
      <c r="A439" s="943"/>
      <c r="B439" s="943"/>
      <c r="C439" s="943"/>
      <c r="D439" s="943"/>
      <c r="E439" s="943"/>
      <c r="F439" s="943"/>
      <c r="G439" s="943"/>
      <c r="H439" s="944"/>
    </row>
    <row r="440">
      <c r="A440" s="943"/>
      <c r="B440" s="943"/>
      <c r="C440" s="943"/>
      <c r="D440" s="943"/>
      <c r="E440" s="943"/>
      <c r="F440" s="943"/>
      <c r="G440" s="943"/>
      <c r="H440" s="944"/>
    </row>
    <row r="441">
      <c r="A441" s="943"/>
      <c r="B441" s="943"/>
      <c r="C441" s="943"/>
      <c r="D441" s="943"/>
      <c r="E441" s="943"/>
      <c r="F441" s="943"/>
      <c r="G441" s="943"/>
      <c r="H441" s="944"/>
    </row>
    <row r="442">
      <c r="A442" s="943"/>
      <c r="B442" s="943"/>
      <c r="C442" s="943"/>
      <c r="D442" s="943"/>
      <c r="E442" s="943"/>
      <c r="F442" s="943"/>
      <c r="G442" s="943"/>
      <c r="H442" s="944"/>
    </row>
    <row r="443">
      <c r="A443" s="943"/>
      <c r="B443" s="943"/>
      <c r="C443" s="943"/>
      <c r="D443" s="943"/>
      <c r="E443" s="943"/>
      <c r="F443" s="943"/>
      <c r="G443" s="943"/>
      <c r="H443" s="944"/>
    </row>
    <row r="444">
      <c r="A444" s="943"/>
      <c r="B444" s="943"/>
      <c r="C444" s="943"/>
      <c r="D444" s="943"/>
      <c r="E444" s="943"/>
      <c r="F444" s="943"/>
      <c r="G444" s="943"/>
      <c r="H444" s="944"/>
    </row>
    <row r="445">
      <c r="A445" s="943"/>
      <c r="B445" s="943"/>
      <c r="C445" s="943"/>
      <c r="D445" s="943"/>
      <c r="E445" s="943"/>
      <c r="F445" s="943"/>
      <c r="G445" s="943"/>
      <c r="H445" s="944"/>
    </row>
    <row r="446">
      <c r="A446" s="943"/>
      <c r="B446" s="943"/>
      <c r="C446" s="943"/>
      <c r="D446" s="943"/>
      <c r="E446" s="943"/>
      <c r="F446" s="943"/>
      <c r="G446" s="943"/>
      <c r="H446" s="944"/>
    </row>
    <row r="447">
      <c r="A447" s="943"/>
      <c r="B447" s="943"/>
      <c r="C447" s="943"/>
      <c r="D447" s="943"/>
      <c r="E447" s="943"/>
      <c r="F447" s="943"/>
      <c r="G447" s="943"/>
      <c r="H447" s="944"/>
    </row>
    <row r="448">
      <c r="A448" s="943"/>
      <c r="B448" s="943"/>
      <c r="C448" s="943"/>
      <c r="D448" s="943"/>
      <c r="E448" s="943"/>
      <c r="F448" s="943"/>
      <c r="G448" s="943"/>
      <c r="H448" s="944"/>
    </row>
    <row r="449">
      <c r="A449" s="943"/>
      <c r="B449" s="943"/>
      <c r="C449" s="943"/>
      <c r="D449" s="943"/>
      <c r="E449" s="943"/>
      <c r="F449" s="943"/>
      <c r="G449" s="943"/>
      <c r="H449" s="944"/>
    </row>
    <row r="450">
      <c r="A450" s="943"/>
      <c r="B450" s="943"/>
      <c r="C450" s="943"/>
      <c r="D450" s="943"/>
      <c r="E450" s="943"/>
      <c r="F450" s="943"/>
      <c r="G450" s="943"/>
      <c r="H450" s="944"/>
    </row>
    <row r="451">
      <c r="A451" s="943"/>
      <c r="B451" s="943"/>
      <c r="C451" s="943"/>
      <c r="D451" s="943"/>
      <c r="E451" s="943"/>
      <c r="F451" s="943"/>
      <c r="G451" s="943"/>
      <c r="H451" s="944"/>
    </row>
    <row r="452">
      <c r="A452" s="943"/>
      <c r="B452" s="943"/>
      <c r="C452" s="943"/>
      <c r="D452" s="943"/>
      <c r="E452" s="943"/>
      <c r="F452" s="943"/>
      <c r="G452" s="943"/>
      <c r="H452" s="944"/>
    </row>
    <row r="453">
      <c r="A453" s="943"/>
      <c r="B453" s="943"/>
      <c r="C453" s="943"/>
      <c r="D453" s="943"/>
      <c r="E453" s="943"/>
      <c r="F453" s="943"/>
      <c r="G453" s="943"/>
      <c r="H453" s="944"/>
    </row>
    <row r="454">
      <c r="A454" s="943"/>
      <c r="B454" s="943"/>
      <c r="C454" s="943"/>
      <c r="D454" s="943"/>
      <c r="E454" s="943"/>
      <c r="F454" s="943"/>
      <c r="G454" s="943"/>
      <c r="H454" s="944"/>
    </row>
    <row r="455">
      <c r="A455" s="943"/>
      <c r="B455" s="943"/>
      <c r="C455" s="943"/>
      <c r="D455" s="943"/>
      <c r="E455" s="943"/>
      <c r="F455" s="943"/>
      <c r="G455" s="943"/>
      <c r="H455" s="944"/>
    </row>
    <row r="456">
      <c r="A456" s="943"/>
      <c r="B456" s="943"/>
      <c r="C456" s="943"/>
      <c r="D456" s="943"/>
      <c r="E456" s="943"/>
      <c r="F456" s="943"/>
      <c r="G456" s="943"/>
      <c r="H456" s="944"/>
    </row>
    <row r="457">
      <c r="A457" s="943"/>
      <c r="B457" s="943"/>
      <c r="C457" s="943"/>
      <c r="D457" s="943"/>
      <c r="E457" s="943"/>
      <c r="F457" s="943"/>
      <c r="G457" s="943"/>
      <c r="H457" s="944"/>
    </row>
    <row r="458">
      <c r="A458" s="943"/>
      <c r="B458" s="943"/>
      <c r="C458" s="943"/>
      <c r="D458" s="943"/>
      <c r="E458" s="943"/>
      <c r="F458" s="943"/>
      <c r="G458" s="943"/>
      <c r="H458" s="944"/>
    </row>
    <row r="459">
      <c r="A459" s="943"/>
      <c r="B459" s="943"/>
      <c r="C459" s="943"/>
      <c r="D459" s="943"/>
      <c r="E459" s="943"/>
      <c r="F459" s="943"/>
      <c r="G459" s="943"/>
      <c r="H459" s="944"/>
    </row>
    <row r="460">
      <c r="A460" s="943"/>
      <c r="B460" s="943"/>
      <c r="C460" s="943"/>
      <c r="D460" s="943"/>
      <c r="E460" s="943"/>
      <c r="F460" s="943"/>
      <c r="G460" s="943"/>
      <c r="H460" s="944"/>
    </row>
    <row r="461">
      <c r="A461" s="943"/>
      <c r="B461" s="943"/>
      <c r="C461" s="943"/>
      <c r="D461" s="943"/>
      <c r="E461" s="943"/>
      <c r="F461" s="943"/>
      <c r="G461" s="943"/>
      <c r="H461" s="944"/>
    </row>
    <row r="462">
      <c r="A462" s="943"/>
      <c r="B462" s="943"/>
      <c r="C462" s="943"/>
      <c r="D462" s="943"/>
      <c r="E462" s="943"/>
      <c r="F462" s="943"/>
      <c r="G462" s="943"/>
      <c r="H462" s="944"/>
    </row>
    <row r="463">
      <c r="A463" s="943"/>
      <c r="B463" s="943"/>
      <c r="C463" s="943"/>
      <c r="D463" s="943"/>
      <c r="E463" s="943"/>
      <c r="F463" s="943"/>
      <c r="G463" s="943"/>
      <c r="H463" s="944"/>
    </row>
    <row r="464">
      <c r="A464" s="943"/>
      <c r="B464" s="943"/>
      <c r="C464" s="943"/>
      <c r="D464" s="943"/>
      <c r="E464" s="943"/>
      <c r="F464" s="943"/>
      <c r="G464" s="943"/>
      <c r="H464" s="944"/>
    </row>
    <row r="465">
      <c r="A465" s="943"/>
      <c r="B465" s="943"/>
      <c r="C465" s="943"/>
      <c r="D465" s="943"/>
      <c r="E465" s="943"/>
      <c r="F465" s="943"/>
      <c r="G465" s="943"/>
      <c r="H465" s="944"/>
    </row>
    <row r="466">
      <c r="A466" s="943"/>
      <c r="B466" s="943"/>
      <c r="C466" s="943"/>
      <c r="D466" s="943"/>
      <c r="E466" s="943"/>
      <c r="F466" s="943"/>
      <c r="G466" s="943"/>
      <c r="H466" s="944"/>
    </row>
    <row r="467">
      <c r="A467" s="943"/>
      <c r="B467" s="943"/>
      <c r="C467" s="943"/>
      <c r="D467" s="943"/>
      <c r="E467" s="943"/>
      <c r="F467" s="943"/>
      <c r="G467" s="943"/>
      <c r="H467" s="944"/>
    </row>
    <row r="468">
      <c r="A468" s="943"/>
      <c r="B468" s="943"/>
      <c r="C468" s="943"/>
      <c r="D468" s="943"/>
      <c r="E468" s="943"/>
      <c r="F468" s="943"/>
      <c r="G468" s="943"/>
      <c r="H468" s="944"/>
    </row>
    <row r="469">
      <c r="A469" s="943"/>
      <c r="B469" s="943"/>
      <c r="C469" s="943"/>
      <c r="D469" s="943"/>
      <c r="E469" s="943"/>
      <c r="F469" s="943"/>
      <c r="G469" s="943"/>
      <c r="H469" s="944"/>
    </row>
    <row r="470">
      <c r="A470" s="943"/>
      <c r="B470" s="943"/>
      <c r="C470" s="943"/>
      <c r="D470" s="943"/>
      <c r="E470" s="943"/>
      <c r="F470" s="943"/>
      <c r="G470" s="943"/>
      <c r="H470" s="944"/>
    </row>
    <row r="471">
      <c r="A471" s="943"/>
      <c r="B471" s="943"/>
      <c r="C471" s="943"/>
      <c r="D471" s="943"/>
      <c r="E471" s="943"/>
      <c r="F471" s="943"/>
      <c r="G471" s="943"/>
      <c r="H471" s="944"/>
    </row>
    <row r="472">
      <c r="A472" s="943"/>
      <c r="B472" s="943"/>
      <c r="C472" s="943"/>
      <c r="D472" s="943"/>
      <c r="E472" s="943"/>
      <c r="F472" s="943"/>
      <c r="G472" s="943"/>
      <c r="H472" s="944"/>
    </row>
    <row r="473">
      <c r="A473" s="943"/>
      <c r="B473" s="943"/>
      <c r="C473" s="943"/>
      <c r="D473" s="943"/>
      <c r="E473" s="943"/>
      <c r="F473" s="943"/>
      <c r="G473" s="943"/>
      <c r="H473" s="944"/>
    </row>
    <row r="474">
      <c r="A474" s="943"/>
      <c r="B474" s="943"/>
      <c r="C474" s="943"/>
      <c r="D474" s="943"/>
      <c r="E474" s="943"/>
      <c r="F474" s="943"/>
      <c r="G474" s="943"/>
      <c r="H474" s="944"/>
    </row>
    <row r="475">
      <c r="A475" s="943"/>
      <c r="B475" s="943"/>
      <c r="C475" s="943"/>
      <c r="D475" s="943"/>
      <c r="E475" s="943"/>
      <c r="F475" s="943"/>
      <c r="G475" s="943"/>
      <c r="H475" s="944"/>
    </row>
    <row r="476">
      <c r="A476" s="943"/>
      <c r="B476" s="943"/>
      <c r="C476" s="943"/>
      <c r="D476" s="943"/>
      <c r="E476" s="943"/>
      <c r="F476" s="943"/>
      <c r="G476" s="943"/>
      <c r="H476" s="944"/>
    </row>
    <row r="477">
      <c r="A477" s="943"/>
      <c r="B477" s="943"/>
      <c r="C477" s="943"/>
      <c r="D477" s="943"/>
      <c r="E477" s="943"/>
      <c r="F477" s="943"/>
      <c r="G477" s="943"/>
      <c r="H477" s="944"/>
    </row>
    <row r="478">
      <c r="A478" s="943"/>
      <c r="B478" s="943"/>
      <c r="C478" s="943"/>
      <c r="D478" s="943"/>
      <c r="E478" s="943"/>
      <c r="F478" s="943"/>
      <c r="G478" s="943"/>
      <c r="H478" s="944"/>
    </row>
    <row r="479">
      <c r="A479" s="943"/>
      <c r="B479" s="943"/>
      <c r="C479" s="943"/>
      <c r="D479" s="943"/>
      <c r="E479" s="943"/>
      <c r="F479" s="943"/>
      <c r="G479" s="943"/>
      <c r="H479" s="944"/>
    </row>
    <row r="480">
      <c r="A480" s="943"/>
      <c r="B480" s="943"/>
      <c r="C480" s="943"/>
      <c r="D480" s="943"/>
      <c r="E480" s="943"/>
      <c r="F480" s="943"/>
      <c r="G480" s="943"/>
      <c r="H480" s="944"/>
    </row>
    <row r="481">
      <c r="A481" s="943"/>
      <c r="B481" s="943"/>
      <c r="C481" s="943"/>
      <c r="D481" s="943"/>
      <c r="E481" s="943"/>
      <c r="F481" s="943"/>
      <c r="G481" s="943"/>
      <c r="H481" s="944"/>
    </row>
    <row r="482">
      <c r="A482" s="943"/>
      <c r="B482" s="943"/>
      <c r="C482" s="943"/>
      <c r="D482" s="943"/>
      <c r="E482" s="943"/>
      <c r="F482" s="943"/>
      <c r="G482" s="943"/>
      <c r="H482" s="944"/>
    </row>
    <row r="483">
      <c r="A483" s="943"/>
      <c r="B483" s="943"/>
      <c r="C483" s="943"/>
      <c r="D483" s="943"/>
      <c r="E483" s="943"/>
      <c r="F483" s="943"/>
      <c r="G483" s="943"/>
      <c r="H483" s="944"/>
    </row>
    <row r="484">
      <c r="A484" s="943"/>
      <c r="B484" s="943"/>
      <c r="C484" s="943"/>
      <c r="D484" s="943"/>
      <c r="E484" s="943"/>
      <c r="F484" s="943"/>
      <c r="G484" s="943"/>
      <c r="H484" s="944"/>
    </row>
    <row r="485">
      <c r="A485" s="943"/>
      <c r="B485" s="943"/>
      <c r="C485" s="943"/>
      <c r="D485" s="943"/>
      <c r="E485" s="943"/>
      <c r="F485" s="943"/>
      <c r="G485" s="943"/>
      <c r="H485" s="944"/>
    </row>
    <row r="486">
      <c r="A486" s="943"/>
      <c r="B486" s="943"/>
      <c r="C486" s="943"/>
      <c r="D486" s="943"/>
      <c r="E486" s="943"/>
      <c r="F486" s="943"/>
      <c r="G486" s="943"/>
      <c r="H486" s="944"/>
    </row>
    <row r="487">
      <c r="A487" s="943"/>
      <c r="B487" s="943"/>
      <c r="C487" s="943"/>
      <c r="D487" s="943"/>
      <c r="E487" s="943"/>
      <c r="F487" s="943"/>
      <c r="G487" s="943"/>
      <c r="H487" s="944"/>
    </row>
    <row r="488">
      <c r="A488" s="943"/>
      <c r="B488" s="943"/>
      <c r="C488" s="943"/>
      <c r="D488" s="943"/>
      <c r="E488" s="943"/>
      <c r="F488" s="943"/>
      <c r="G488" s="943"/>
      <c r="H488" s="944"/>
    </row>
    <row r="489">
      <c r="A489" s="943"/>
      <c r="B489" s="943"/>
      <c r="C489" s="943"/>
      <c r="D489" s="943"/>
      <c r="E489" s="943"/>
      <c r="F489" s="943"/>
      <c r="G489" s="943"/>
      <c r="H489" s="944"/>
    </row>
    <row r="490">
      <c r="A490" s="943"/>
      <c r="B490" s="943"/>
      <c r="C490" s="943"/>
      <c r="D490" s="943"/>
      <c r="E490" s="943"/>
      <c r="F490" s="943"/>
      <c r="G490" s="943"/>
      <c r="H490" s="944"/>
    </row>
    <row r="491">
      <c r="A491" s="943"/>
      <c r="B491" s="943"/>
      <c r="C491" s="943"/>
      <c r="D491" s="943"/>
      <c r="E491" s="943"/>
      <c r="F491" s="943"/>
      <c r="G491" s="943"/>
      <c r="H491" s="944"/>
    </row>
    <row r="492">
      <c r="A492" s="943"/>
      <c r="B492" s="943"/>
      <c r="C492" s="943"/>
      <c r="D492" s="943"/>
      <c r="E492" s="943"/>
      <c r="F492" s="943"/>
      <c r="G492" s="943"/>
      <c r="H492" s="944"/>
    </row>
    <row r="493">
      <c r="A493" s="943"/>
      <c r="B493" s="943"/>
      <c r="C493" s="943"/>
      <c r="D493" s="943"/>
      <c r="E493" s="943"/>
      <c r="F493" s="943"/>
      <c r="G493" s="943"/>
      <c r="H493" s="944"/>
    </row>
    <row r="494">
      <c r="A494" s="943"/>
      <c r="B494" s="943"/>
      <c r="C494" s="943"/>
      <c r="D494" s="943"/>
      <c r="E494" s="943"/>
      <c r="F494" s="943"/>
      <c r="G494" s="943"/>
      <c r="H494" s="944"/>
    </row>
    <row r="495">
      <c r="A495" s="943"/>
      <c r="B495" s="943"/>
      <c r="C495" s="943"/>
      <c r="D495" s="943"/>
      <c r="E495" s="943"/>
      <c r="F495" s="943"/>
      <c r="G495" s="943"/>
      <c r="H495" s="944"/>
    </row>
    <row r="496">
      <c r="A496" s="943"/>
      <c r="B496" s="943"/>
      <c r="C496" s="943"/>
      <c r="D496" s="943"/>
      <c r="E496" s="943"/>
      <c r="F496" s="943"/>
      <c r="G496" s="943"/>
      <c r="H496" s="944"/>
    </row>
    <row r="497">
      <c r="A497" s="943"/>
      <c r="B497" s="943"/>
      <c r="C497" s="943"/>
      <c r="D497" s="943"/>
      <c r="E497" s="943"/>
      <c r="F497" s="943"/>
      <c r="G497" s="943"/>
      <c r="H497" s="944"/>
    </row>
    <row r="498">
      <c r="A498" s="943"/>
      <c r="B498" s="943"/>
      <c r="C498" s="943"/>
      <c r="D498" s="943"/>
      <c r="E498" s="943"/>
      <c r="F498" s="943"/>
      <c r="G498" s="943"/>
      <c r="H498" s="944"/>
    </row>
    <row r="499">
      <c r="A499" s="943"/>
      <c r="B499" s="943"/>
      <c r="C499" s="943"/>
      <c r="D499" s="943"/>
      <c r="E499" s="943"/>
      <c r="F499" s="943"/>
      <c r="G499" s="943"/>
      <c r="H499" s="944"/>
    </row>
    <row r="500">
      <c r="A500" s="943"/>
      <c r="B500" s="943"/>
      <c r="C500" s="943"/>
      <c r="D500" s="943"/>
      <c r="E500" s="943"/>
      <c r="F500" s="943"/>
      <c r="G500" s="943"/>
      <c r="H500" s="944"/>
    </row>
    <row r="501">
      <c r="A501" s="943"/>
      <c r="B501" s="943"/>
      <c r="C501" s="943"/>
      <c r="D501" s="943"/>
      <c r="E501" s="943"/>
      <c r="F501" s="943"/>
      <c r="G501" s="943"/>
      <c r="H501" s="944"/>
    </row>
    <row r="502">
      <c r="A502" s="943"/>
      <c r="B502" s="943"/>
      <c r="C502" s="943"/>
      <c r="D502" s="943"/>
      <c r="E502" s="943"/>
      <c r="F502" s="943"/>
      <c r="G502" s="943"/>
      <c r="H502" s="944"/>
    </row>
    <row r="503">
      <c r="A503" s="943"/>
      <c r="B503" s="943"/>
      <c r="C503" s="943"/>
      <c r="D503" s="943"/>
      <c r="E503" s="943"/>
      <c r="F503" s="943"/>
      <c r="G503" s="943"/>
      <c r="H503" s="944"/>
    </row>
    <row r="504">
      <c r="A504" s="943"/>
      <c r="B504" s="943"/>
      <c r="C504" s="943"/>
      <c r="D504" s="943"/>
      <c r="E504" s="943"/>
      <c r="F504" s="943"/>
      <c r="G504" s="943"/>
      <c r="H504" s="944"/>
    </row>
    <row r="505">
      <c r="A505" s="943"/>
      <c r="B505" s="943"/>
      <c r="C505" s="943"/>
      <c r="D505" s="943"/>
      <c r="E505" s="943"/>
      <c r="F505" s="943"/>
      <c r="G505" s="943"/>
      <c r="H505" s="944"/>
    </row>
    <row r="506">
      <c r="A506" s="943"/>
      <c r="B506" s="943"/>
      <c r="C506" s="943"/>
      <c r="D506" s="943"/>
      <c r="E506" s="943"/>
      <c r="F506" s="943"/>
      <c r="G506" s="943"/>
      <c r="H506" s="944"/>
    </row>
    <row r="507">
      <c r="A507" s="943"/>
      <c r="B507" s="943"/>
      <c r="C507" s="943"/>
      <c r="D507" s="943"/>
      <c r="E507" s="943"/>
      <c r="F507" s="943"/>
      <c r="G507" s="943"/>
      <c r="H507" s="944"/>
    </row>
    <row r="508">
      <c r="A508" s="943"/>
      <c r="B508" s="943"/>
      <c r="C508" s="943"/>
      <c r="D508" s="943"/>
      <c r="E508" s="943"/>
      <c r="F508" s="943"/>
      <c r="G508" s="943"/>
      <c r="H508" s="944"/>
    </row>
    <row r="509">
      <c r="A509" s="943"/>
      <c r="B509" s="943"/>
      <c r="C509" s="943"/>
      <c r="D509" s="943"/>
      <c r="E509" s="943"/>
      <c r="F509" s="943"/>
      <c r="G509" s="943"/>
      <c r="H509" s="944"/>
    </row>
    <row r="510">
      <c r="A510" s="943"/>
      <c r="B510" s="943"/>
      <c r="C510" s="943"/>
      <c r="D510" s="943"/>
      <c r="E510" s="943"/>
      <c r="F510" s="943"/>
      <c r="G510" s="943"/>
      <c r="H510" s="944"/>
    </row>
    <row r="511">
      <c r="A511" s="943"/>
      <c r="B511" s="943"/>
      <c r="C511" s="943"/>
      <c r="D511" s="943"/>
      <c r="E511" s="943"/>
      <c r="F511" s="943"/>
      <c r="G511" s="943"/>
      <c r="H511" s="944"/>
    </row>
    <row r="512">
      <c r="A512" s="943"/>
      <c r="B512" s="943"/>
      <c r="C512" s="943"/>
      <c r="D512" s="943"/>
      <c r="E512" s="943"/>
      <c r="F512" s="943"/>
      <c r="G512" s="943"/>
      <c r="H512" s="944"/>
    </row>
    <row r="513">
      <c r="A513" s="943"/>
      <c r="B513" s="943"/>
      <c r="C513" s="943"/>
      <c r="D513" s="943"/>
      <c r="E513" s="943"/>
      <c r="F513" s="943"/>
      <c r="G513" s="943"/>
      <c r="H513" s="944"/>
    </row>
    <row r="514">
      <c r="A514" s="943"/>
      <c r="B514" s="943"/>
      <c r="C514" s="943"/>
      <c r="D514" s="943"/>
      <c r="E514" s="943"/>
      <c r="F514" s="943"/>
      <c r="G514" s="943"/>
      <c r="H514" s="944"/>
    </row>
    <row r="515">
      <c r="A515" s="943"/>
      <c r="B515" s="943"/>
      <c r="C515" s="943"/>
      <c r="D515" s="943"/>
      <c r="E515" s="943"/>
      <c r="F515" s="943"/>
      <c r="G515" s="943"/>
      <c r="H515" s="944"/>
    </row>
    <row r="516">
      <c r="A516" s="943"/>
      <c r="B516" s="943"/>
      <c r="C516" s="943"/>
      <c r="D516" s="943"/>
      <c r="E516" s="943"/>
      <c r="F516" s="943"/>
      <c r="G516" s="943"/>
      <c r="H516" s="944"/>
    </row>
    <row r="517">
      <c r="A517" s="943"/>
      <c r="B517" s="943"/>
      <c r="C517" s="943"/>
      <c r="D517" s="943"/>
      <c r="E517" s="943"/>
      <c r="F517" s="943"/>
      <c r="G517" s="943"/>
      <c r="H517" s="944"/>
    </row>
    <row r="518">
      <c r="A518" s="943"/>
      <c r="B518" s="943"/>
      <c r="C518" s="943"/>
      <c r="D518" s="943"/>
      <c r="E518" s="943"/>
      <c r="F518" s="943"/>
      <c r="G518" s="943"/>
      <c r="H518" s="944"/>
    </row>
    <row r="519">
      <c r="A519" s="943"/>
      <c r="B519" s="943"/>
      <c r="C519" s="943"/>
      <c r="D519" s="943"/>
      <c r="E519" s="943"/>
      <c r="F519" s="943"/>
      <c r="G519" s="943"/>
      <c r="H519" s="944"/>
    </row>
    <row r="520">
      <c r="A520" s="943"/>
      <c r="B520" s="943"/>
      <c r="C520" s="943"/>
      <c r="D520" s="943"/>
      <c r="E520" s="943"/>
      <c r="F520" s="943"/>
      <c r="G520" s="943"/>
      <c r="H520" s="944"/>
    </row>
    <row r="521">
      <c r="A521" s="943"/>
      <c r="B521" s="943"/>
      <c r="C521" s="943"/>
      <c r="D521" s="943"/>
      <c r="E521" s="943"/>
      <c r="F521" s="943"/>
      <c r="G521" s="943"/>
      <c r="H521" s="944"/>
    </row>
    <row r="522">
      <c r="A522" s="943"/>
      <c r="B522" s="943"/>
      <c r="C522" s="943"/>
      <c r="D522" s="943"/>
      <c r="E522" s="943"/>
      <c r="F522" s="943"/>
      <c r="G522" s="943"/>
      <c r="H522" s="944"/>
    </row>
    <row r="523">
      <c r="A523" s="943"/>
      <c r="B523" s="943"/>
      <c r="C523" s="943"/>
      <c r="D523" s="943"/>
      <c r="E523" s="943"/>
      <c r="F523" s="943"/>
      <c r="G523" s="943"/>
      <c r="H523" s="944"/>
    </row>
    <row r="524">
      <c r="A524" s="943"/>
      <c r="B524" s="943"/>
      <c r="C524" s="943"/>
      <c r="D524" s="943"/>
      <c r="E524" s="943"/>
      <c r="F524" s="943"/>
      <c r="G524" s="943"/>
      <c r="H524" s="944"/>
    </row>
    <row r="525">
      <c r="A525" s="943"/>
      <c r="B525" s="943"/>
      <c r="C525" s="943"/>
      <c r="D525" s="943"/>
      <c r="E525" s="943"/>
      <c r="F525" s="943"/>
      <c r="G525" s="943"/>
      <c r="H525" s="944"/>
    </row>
    <row r="526">
      <c r="A526" s="943"/>
      <c r="B526" s="943"/>
      <c r="C526" s="943"/>
      <c r="D526" s="943"/>
      <c r="E526" s="943"/>
      <c r="F526" s="943"/>
      <c r="G526" s="943"/>
      <c r="H526" s="944"/>
    </row>
    <row r="527">
      <c r="A527" s="943"/>
      <c r="B527" s="943"/>
      <c r="C527" s="943"/>
      <c r="D527" s="943"/>
      <c r="E527" s="943"/>
      <c r="F527" s="943"/>
      <c r="G527" s="943"/>
      <c r="H527" s="944"/>
    </row>
    <row r="528">
      <c r="A528" s="943"/>
      <c r="B528" s="943"/>
      <c r="C528" s="943"/>
      <c r="D528" s="943"/>
      <c r="E528" s="943"/>
      <c r="F528" s="943"/>
      <c r="G528" s="943"/>
      <c r="H528" s="944"/>
    </row>
    <row r="529">
      <c r="A529" s="943"/>
      <c r="B529" s="943"/>
      <c r="C529" s="943"/>
      <c r="D529" s="943"/>
      <c r="E529" s="943"/>
      <c r="F529" s="943"/>
      <c r="G529" s="943"/>
      <c r="H529" s="944"/>
    </row>
    <row r="530">
      <c r="A530" s="943"/>
      <c r="B530" s="943"/>
      <c r="C530" s="943"/>
      <c r="D530" s="943"/>
      <c r="E530" s="943"/>
      <c r="F530" s="943"/>
      <c r="G530" s="943"/>
      <c r="H530" s="944"/>
    </row>
    <row r="531">
      <c r="A531" s="943"/>
      <c r="B531" s="943"/>
      <c r="C531" s="943"/>
      <c r="D531" s="943"/>
      <c r="E531" s="943"/>
      <c r="F531" s="943"/>
      <c r="G531" s="943"/>
      <c r="H531" s="944"/>
    </row>
    <row r="532">
      <c r="A532" s="943"/>
      <c r="B532" s="943"/>
      <c r="C532" s="943"/>
      <c r="D532" s="943"/>
      <c r="E532" s="943"/>
      <c r="F532" s="943"/>
      <c r="G532" s="943"/>
      <c r="H532" s="944"/>
    </row>
    <row r="533">
      <c r="A533" s="943"/>
      <c r="B533" s="943"/>
      <c r="C533" s="943"/>
      <c r="D533" s="943"/>
      <c r="E533" s="943"/>
      <c r="F533" s="943"/>
      <c r="G533" s="943"/>
      <c r="H533" s="944"/>
    </row>
    <row r="534">
      <c r="A534" s="943"/>
      <c r="B534" s="943"/>
      <c r="C534" s="943"/>
      <c r="D534" s="943"/>
      <c r="E534" s="943"/>
      <c r="F534" s="943"/>
      <c r="G534" s="943"/>
      <c r="H534" s="944"/>
    </row>
    <row r="535">
      <c r="A535" s="943"/>
      <c r="B535" s="943"/>
      <c r="C535" s="943"/>
      <c r="D535" s="943"/>
      <c r="E535" s="943"/>
      <c r="F535" s="943"/>
      <c r="G535" s="943"/>
      <c r="H535" s="944"/>
    </row>
    <row r="536">
      <c r="A536" s="943"/>
      <c r="B536" s="943"/>
      <c r="C536" s="943"/>
      <c r="D536" s="943"/>
      <c r="E536" s="943"/>
      <c r="F536" s="943"/>
      <c r="G536" s="943"/>
      <c r="H536" s="944"/>
    </row>
    <row r="537">
      <c r="A537" s="943"/>
      <c r="B537" s="943"/>
      <c r="C537" s="943"/>
      <c r="D537" s="943"/>
      <c r="E537" s="943"/>
      <c r="F537" s="943"/>
      <c r="G537" s="943"/>
      <c r="H537" s="944"/>
    </row>
    <row r="538">
      <c r="A538" s="943"/>
      <c r="B538" s="943"/>
      <c r="C538" s="943"/>
      <c r="D538" s="943"/>
      <c r="E538" s="943"/>
      <c r="F538" s="943"/>
      <c r="G538" s="943"/>
      <c r="H538" s="944"/>
    </row>
    <row r="539">
      <c r="A539" s="943"/>
      <c r="B539" s="943"/>
      <c r="C539" s="943"/>
      <c r="D539" s="943"/>
      <c r="E539" s="943"/>
      <c r="F539" s="943"/>
      <c r="G539" s="943"/>
      <c r="H539" s="944"/>
    </row>
    <row r="540">
      <c r="A540" s="943"/>
      <c r="B540" s="943"/>
      <c r="C540" s="943"/>
      <c r="D540" s="943"/>
      <c r="E540" s="943"/>
      <c r="F540" s="943"/>
      <c r="G540" s="943"/>
      <c r="H540" s="944"/>
    </row>
    <row r="541">
      <c r="A541" s="943"/>
      <c r="B541" s="943"/>
      <c r="C541" s="943"/>
      <c r="D541" s="943"/>
      <c r="E541" s="943"/>
      <c r="F541" s="943"/>
      <c r="G541" s="943"/>
      <c r="H541" s="944"/>
    </row>
    <row r="542">
      <c r="A542" s="943"/>
      <c r="B542" s="943"/>
      <c r="C542" s="943"/>
      <c r="D542" s="943"/>
      <c r="E542" s="943"/>
      <c r="F542" s="943"/>
      <c r="G542" s="943"/>
      <c r="H542" s="944"/>
    </row>
    <row r="543">
      <c r="A543" s="943"/>
      <c r="B543" s="943"/>
      <c r="C543" s="943"/>
      <c r="D543" s="943"/>
      <c r="E543" s="943"/>
      <c r="F543" s="943"/>
      <c r="G543" s="943"/>
      <c r="H543" s="944"/>
    </row>
    <row r="544">
      <c r="A544" s="943"/>
      <c r="B544" s="943"/>
      <c r="C544" s="943"/>
      <c r="D544" s="943"/>
      <c r="E544" s="943"/>
      <c r="F544" s="943"/>
      <c r="G544" s="943"/>
      <c r="H544" s="944"/>
    </row>
    <row r="545">
      <c r="A545" s="943"/>
      <c r="B545" s="943"/>
      <c r="C545" s="943"/>
      <c r="D545" s="943"/>
      <c r="E545" s="943"/>
      <c r="F545" s="943"/>
      <c r="G545" s="943"/>
      <c r="H545" s="944"/>
    </row>
    <row r="546">
      <c r="A546" s="943"/>
      <c r="B546" s="943"/>
      <c r="C546" s="943"/>
      <c r="D546" s="943"/>
      <c r="E546" s="943"/>
      <c r="F546" s="943"/>
      <c r="G546" s="943"/>
      <c r="H546" s="944"/>
    </row>
    <row r="547">
      <c r="A547" s="943"/>
      <c r="B547" s="943"/>
      <c r="C547" s="943"/>
      <c r="D547" s="943"/>
      <c r="E547" s="943"/>
      <c r="F547" s="943"/>
      <c r="G547" s="943"/>
      <c r="H547" s="944"/>
    </row>
    <row r="548">
      <c r="A548" s="943"/>
      <c r="B548" s="943"/>
      <c r="C548" s="943"/>
      <c r="D548" s="943"/>
      <c r="E548" s="943"/>
      <c r="F548" s="943"/>
      <c r="G548" s="943"/>
      <c r="H548" s="944"/>
    </row>
    <row r="549">
      <c r="A549" s="943"/>
      <c r="B549" s="943"/>
      <c r="C549" s="943"/>
      <c r="D549" s="943"/>
      <c r="E549" s="943"/>
      <c r="F549" s="943"/>
      <c r="G549" s="943"/>
      <c r="H549" s="944"/>
    </row>
    <row r="550">
      <c r="A550" s="943"/>
      <c r="B550" s="943"/>
      <c r="C550" s="943"/>
      <c r="D550" s="943"/>
      <c r="E550" s="943"/>
      <c r="F550" s="943"/>
      <c r="G550" s="943"/>
      <c r="H550" s="944"/>
    </row>
    <row r="551">
      <c r="A551" s="943"/>
      <c r="B551" s="943"/>
      <c r="C551" s="943"/>
      <c r="D551" s="943"/>
      <c r="E551" s="943"/>
      <c r="F551" s="943"/>
      <c r="G551" s="943"/>
      <c r="H551" s="944"/>
    </row>
    <row r="552">
      <c r="A552" s="943"/>
      <c r="B552" s="943"/>
      <c r="C552" s="943"/>
      <c r="D552" s="943"/>
      <c r="E552" s="943"/>
      <c r="F552" s="943"/>
      <c r="G552" s="943"/>
      <c r="H552" s="944"/>
    </row>
    <row r="553">
      <c r="A553" s="943"/>
      <c r="B553" s="943"/>
      <c r="C553" s="943"/>
      <c r="D553" s="943"/>
      <c r="E553" s="943"/>
      <c r="F553" s="943"/>
      <c r="G553" s="943"/>
      <c r="H553" s="944"/>
    </row>
    <row r="554">
      <c r="A554" s="943"/>
      <c r="B554" s="943"/>
      <c r="C554" s="943"/>
      <c r="D554" s="943"/>
      <c r="E554" s="943"/>
      <c r="F554" s="943"/>
      <c r="G554" s="943"/>
      <c r="H554" s="944"/>
    </row>
    <row r="555">
      <c r="A555" s="943"/>
      <c r="B555" s="943"/>
      <c r="C555" s="943"/>
      <c r="D555" s="943"/>
      <c r="E555" s="943"/>
      <c r="F555" s="943"/>
      <c r="G555" s="943"/>
      <c r="H555" s="944"/>
    </row>
    <row r="556">
      <c r="A556" s="943"/>
      <c r="B556" s="943"/>
      <c r="C556" s="943"/>
      <c r="D556" s="943"/>
      <c r="E556" s="943"/>
      <c r="F556" s="943"/>
      <c r="G556" s="943"/>
      <c r="H556" s="944"/>
    </row>
    <row r="557">
      <c r="A557" s="943"/>
      <c r="B557" s="943"/>
      <c r="C557" s="943"/>
      <c r="D557" s="943"/>
      <c r="E557" s="943"/>
      <c r="F557" s="943"/>
      <c r="G557" s="943"/>
      <c r="H557" s="944"/>
    </row>
    <row r="558">
      <c r="A558" s="943"/>
      <c r="B558" s="943"/>
      <c r="C558" s="943"/>
      <c r="D558" s="943"/>
      <c r="E558" s="943"/>
      <c r="F558" s="943"/>
      <c r="G558" s="943"/>
      <c r="H558" s="944"/>
    </row>
    <row r="559">
      <c r="A559" s="943"/>
      <c r="B559" s="943"/>
      <c r="C559" s="943"/>
      <c r="D559" s="943"/>
      <c r="E559" s="943"/>
      <c r="F559" s="943"/>
      <c r="G559" s="943"/>
      <c r="H559" s="944"/>
    </row>
    <row r="560">
      <c r="A560" s="943"/>
      <c r="B560" s="943"/>
      <c r="C560" s="943"/>
      <c r="D560" s="943"/>
      <c r="E560" s="943"/>
      <c r="F560" s="943"/>
      <c r="G560" s="943"/>
      <c r="H560" s="944"/>
    </row>
    <row r="561">
      <c r="A561" s="943"/>
      <c r="B561" s="943"/>
      <c r="C561" s="943"/>
      <c r="D561" s="943"/>
      <c r="E561" s="943"/>
      <c r="F561" s="943"/>
      <c r="G561" s="943"/>
      <c r="H561" s="944"/>
    </row>
    <row r="562">
      <c r="A562" s="943"/>
      <c r="B562" s="943"/>
      <c r="C562" s="943"/>
      <c r="D562" s="943"/>
      <c r="E562" s="943"/>
      <c r="F562" s="943"/>
      <c r="G562" s="943"/>
      <c r="H562" s="944"/>
    </row>
    <row r="563">
      <c r="A563" s="943"/>
      <c r="B563" s="943"/>
      <c r="C563" s="943"/>
      <c r="D563" s="943"/>
      <c r="E563" s="943"/>
      <c r="F563" s="943"/>
      <c r="G563" s="943"/>
      <c r="H563" s="944"/>
    </row>
    <row r="564">
      <c r="A564" s="943"/>
      <c r="B564" s="943"/>
      <c r="C564" s="943"/>
      <c r="D564" s="943"/>
      <c r="E564" s="943"/>
      <c r="F564" s="943"/>
      <c r="G564" s="943"/>
      <c r="H564" s="944"/>
    </row>
    <row r="565">
      <c r="A565" s="943"/>
      <c r="B565" s="943"/>
      <c r="C565" s="943"/>
      <c r="D565" s="943"/>
      <c r="E565" s="943"/>
      <c r="F565" s="943"/>
      <c r="G565" s="943"/>
      <c r="H565" s="944"/>
    </row>
    <row r="566">
      <c r="A566" s="943"/>
      <c r="B566" s="943"/>
      <c r="C566" s="943"/>
      <c r="D566" s="943"/>
      <c r="E566" s="943"/>
      <c r="F566" s="943"/>
      <c r="G566" s="943"/>
      <c r="H566" s="944"/>
    </row>
    <row r="567">
      <c r="A567" s="943"/>
      <c r="B567" s="943"/>
      <c r="C567" s="943"/>
      <c r="D567" s="943"/>
      <c r="E567" s="943"/>
      <c r="F567" s="943"/>
      <c r="G567" s="943"/>
      <c r="H567" s="944"/>
    </row>
    <row r="568">
      <c r="A568" s="943"/>
      <c r="B568" s="943"/>
      <c r="C568" s="943"/>
      <c r="D568" s="943"/>
      <c r="E568" s="943"/>
      <c r="F568" s="943"/>
      <c r="G568" s="943"/>
      <c r="H568" s="944"/>
    </row>
    <row r="569">
      <c r="A569" s="943"/>
      <c r="B569" s="943"/>
      <c r="C569" s="943"/>
      <c r="D569" s="943"/>
      <c r="E569" s="943"/>
      <c r="F569" s="943"/>
      <c r="G569" s="943"/>
      <c r="H569" s="944"/>
    </row>
    <row r="570">
      <c r="A570" s="943"/>
      <c r="B570" s="943"/>
      <c r="C570" s="943"/>
      <c r="D570" s="943"/>
      <c r="E570" s="943"/>
      <c r="F570" s="943"/>
      <c r="G570" s="943"/>
      <c r="H570" s="944"/>
    </row>
    <row r="571">
      <c r="A571" s="943"/>
      <c r="B571" s="943"/>
      <c r="C571" s="943"/>
      <c r="D571" s="943"/>
      <c r="E571" s="943"/>
      <c r="F571" s="943"/>
      <c r="G571" s="943"/>
      <c r="H571" s="944"/>
    </row>
    <row r="572">
      <c r="A572" s="943"/>
      <c r="B572" s="943"/>
      <c r="C572" s="943"/>
      <c r="D572" s="943"/>
      <c r="E572" s="943"/>
      <c r="F572" s="943"/>
      <c r="G572" s="943"/>
      <c r="H572" s="944"/>
    </row>
    <row r="573">
      <c r="A573" s="943"/>
      <c r="B573" s="943"/>
      <c r="C573" s="943"/>
      <c r="D573" s="943"/>
      <c r="E573" s="943"/>
      <c r="F573" s="943"/>
      <c r="G573" s="943"/>
      <c r="H573" s="944"/>
    </row>
    <row r="574">
      <c r="A574" s="943"/>
      <c r="B574" s="943"/>
      <c r="C574" s="943"/>
      <c r="D574" s="943"/>
      <c r="E574" s="943"/>
      <c r="F574" s="943"/>
      <c r="G574" s="943"/>
      <c r="H574" s="944"/>
    </row>
    <row r="575">
      <c r="A575" s="943"/>
      <c r="B575" s="943"/>
      <c r="C575" s="943"/>
      <c r="D575" s="943"/>
      <c r="E575" s="943"/>
      <c r="F575" s="943"/>
      <c r="G575" s="943"/>
      <c r="H575" s="944"/>
    </row>
    <row r="576">
      <c r="A576" s="943"/>
      <c r="B576" s="943"/>
      <c r="C576" s="943"/>
      <c r="D576" s="943"/>
      <c r="E576" s="943"/>
      <c r="F576" s="943"/>
      <c r="G576" s="943"/>
      <c r="H576" s="944"/>
    </row>
    <row r="577">
      <c r="A577" s="943"/>
      <c r="B577" s="943"/>
      <c r="C577" s="943"/>
      <c r="D577" s="943"/>
      <c r="E577" s="943"/>
      <c r="F577" s="943"/>
      <c r="G577" s="943"/>
      <c r="H577" s="944"/>
    </row>
    <row r="578">
      <c r="A578" s="943"/>
      <c r="B578" s="943"/>
      <c r="C578" s="943"/>
      <c r="D578" s="943"/>
      <c r="E578" s="943"/>
      <c r="F578" s="943"/>
      <c r="G578" s="943"/>
      <c r="H578" s="944"/>
    </row>
    <row r="579">
      <c r="A579" s="943"/>
      <c r="B579" s="943"/>
      <c r="C579" s="943"/>
      <c r="D579" s="943"/>
      <c r="E579" s="943"/>
      <c r="F579" s="943"/>
      <c r="G579" s="943"/>
      <c r="H579" s="944"/>
    </row>
    <row r="580">
      <c r="A580" s="943"/>
      <c r="B580" s="943"/>
      <c r="C580" s="943"/>
      <c r="D580" s="943"/>
      <c r="E580" s="943"/>
      <c r="F580" s="943"/>
      <c r="G580" s="943"/>
      <c r="H580" s="944"/>
    </row>
    <row r="581">
      <c r="A581" s="943"/>
      <c r="B581" s="943"/>
      <c r="C581" s="943"/>
      <c r="D581" s="943"/>
      <c r="E581" s="943"/>
      <c r="F581" s="943"/>
      <c r="G581" s="943"/>
      <c r="H581" s="944"/>
    </row>
    <row r="582">
      <c r="A582" s="943"/>
      <c r="B582" s="943"/>
      <c r="C582" s="943"/>
      <c r="D582" s="943"/>
      <c r="E582" s="943"/>
      <c r="F582" s="943"/>
      <c r="G582" s="943"/>
      <c r="H582" s="944"/>
    </row>
    <row r="583">
      <c r="A583" s="943"/>
      <c r="B583" s="943"/>
      <c r="C583" s="943"/>
      <c r="D583" s="943"/>
      <c r="E583" s="943"/>
      <c r="F583" s="943"/>
      <c r="G583" s="943"/>
      <c r="H583" s="944"/>
    </row>
    <row r="584">
      <c r="A584" s="943"/>
      <c r="B584" s="943"/>
      <c r="C584" s="943"/>
      <c r="D584" s="943"/>
      <c r="E584" s="943"/>
      <c r="F584" s="943"/>
      <c r="G584" s="943"/>
      <c r="H584" s="944"/>
    </row>
    <row r="585">
      <c r="A585" s="943"/>
      <c r="B585" s="943"/>
      <c r="C585" s="943"/>
      <c r="D585" s="943"/>
      <c r="E585" s="943"/>
      <c r="F585" s="943"/>
      <c r="G585" s="943"/>
      <c r="H585" s="944"/>
    </row>
    <row r="586">
      <c r="A586" s="943"/>
      <c r="B586" s="943"/>
      <c r="C586" s="943"/>
      <c r="D586" s="943"/>
      <c r="E586" s="943"/>
      <c r="F586" s="943"/>
      <c r="G586" s="943"/>
      <c r="H586" s="944"/>
    </row>
    <row r="587">
      <c r="A587" s="943"/>
      <c r="B587" s="943"/>
      <c r="C587" s="943"/>
      <c r="D587" s="943"/>
      <c r="E587" s="943"/>
      <c r="F587" s="943"/>
      <c r="G587" s="943"/>
      <c r="H587" s="944"/>
    </row>
    <row r="588">
      <c r="A588" s="943"/>
      <c r="B588" s="943"/>
      <c r="C588" s="943"/>
      <c r="D588" s="943"/>
      <c r="E588" s="943"/>
      <c r="F588" s="943"/>
      <c r="G588" s="943"/>
      <c r="H588" s="944"/>
    </row>
    <row r="589">
      <c r="A589" s="943"/>
      <c r="B589" s="943"/>
      <c r="C589" s="943"/>
      <c r="D589" s="943"/>
      <c r="E589" s="943"/>
      <c r="F589" s="943"/>
      <c r="G589" s="943"/>
      <c r="H589" s="944"/>
    </row>
    <row r="590">
      <c r="A590" s="943"/>
      <c r="B590" s="943"/>
      <c r="C590" s="943"/>
      <c r="D590" s="943"/>
      <c r="E590" s="943"/>
      <c r="F590" s="943"/>
      <c r="G590" s="943"/>
      <c r="H590" s="944"/>
    </row>
    <row r="591">
      <c r="A591" s="943"/>
      <c r="B591" s="943"/>
      <c r="C591" s="943"/>
      <c r="D591" s="943"/>
      <c r="E591" s="943"/>
      <c r="F591" s="943"/>
      <c r="G591" s="943"/>
      <c r="H591" s="944"/>
    </row>
    <row r="592">
      <c r="A592" s="943"/>
      <c r="B592" s="943"/>
      <c r="C592" s="943"/>
      <c r="D592" s="943"/>
      <c r="E592" s="943"/>
      <c r="F592" s="943"/>
      <c r="G592" s="943"/>
      <c r="H592" s="944"/>
    </row>
    <row r="593">
      <c r="A593" s="943"/>
      <c r="B593" s="943"/>
      <c r="C593" s="943"/>
      <c r="D593" s="943"/>
      <c r="E593" s="943"/>
      <c r="F593" s="943"/>
      <c r="G593" s="943"/>
      <c r="H593" s="944"/>
    </row>
    <row r="594">
      <c r="A594" s="943"/>
      <c r="B594" s="943"/>
      <c r="C594" s="943"/>
      <c r="D594" s="943"/>
      <c r="E594" s="943"/>
      <c r="F594" s="943"/>
      <c r="G594" s="943"/>
      <c r="H594" s="944"/>
    </row>
    <row r="595">
      <c r="A595" s="943"/>
      <c r="B595" s="943"/>
      <c r="C595" s="943"/>
      <c r="D595" s="943"/>
      <c r="E595" s="943"/>
      <c r="F595" s="943"/>
      <c r="G595" s="943"/>
      <c r="H595" s="944"/>
    </row>
    <row r="596">
      <c r="A596" s="943"/>
      <c r="B596" s="943"/>
      <c r="C596" s="943"/>
      <c r="D596" s="943"/>
      <c r="E596" s="943"/>
      <c r="F596" s="943"/>
      <c r="G596" s="943"/>
      <c r="H596" s="944"/>
    </row>
    <row r="597">
      <c r="A597" s="943"/>
      <c r="B597" s="943"/>
      <c r="C597" s="943"/>
      <c r="D597" s="943"/>
      <c r="E597" s="943"/>
      <c r="F597" s="943"/>
      <c r="G597" s="943"/>
      <c r="H597" s="944"/>
    </row>
    <row r="598">
      <c r="A598" s="943"/>
      <c r="B598" s="943"/>
      <c r="C598" s="943"/>
      <c r="D598" s="943"/>
      <c r="E598" s="943"/>
      <c r="F598" s="943"/>
      <c r="G598" s="943"/>
      <c r="H598" s="944"/>
    </row>
    <row r="599">
      <c r="A599" s="943"/>
      <c r="B599" s="943"/>
      <c r="C599" s="943"/>
      <c r="D599" s="943"/>
      <c r="E599" s="943"/>
      <c r="F599" s="943"/>
      <c r="G599" s="943"/>
      <c r="H599" s="944"/>
    </row>
    <row r="600">
      <c r="A600" s="943"/>
      <c r="B600" s="943"/>
      <c r="C600" s="943"/>
      <c r="D600" s="943"/>
      <c r="E600" s="943"/>
      <c r="F600" s="943"/>
      <c r="G600" s="943"/>
      <c r="H600" s="944"/>
    </row>
    <row r="601">
      <c r="A601" s="943"/>
      <c r="B601" s="943"/>
      <c r="C601" s="943"/>
      <c r="D601" s="943"/>
      <c r="E601" s="943"/>
      <c r="F601" s="943"/>
      <c r="G601" s="943"/>
      <c r="H601" s="944"/>
    </row>
    <row r="602">
      <c r="A602" s="943"/>
      <c r="B602" s="943"/>
      <c r="C602" s="943"/>
      <c r="D602" s="943"/>
      <c r="E602" s="943"/>
      <c r="F602" s="943"/>
      <c r="G602" s="943"/>
      <c r="H602" s="944"/>
    </row>
    <row r="603">
      <c r="A603" s="943"/>
      <c r="B603" s="943"/>
      <c r="C603" s="943"/>
      <c r="D603" s="943"/>
      <c r="E603" s="943"/>
      <c r="F603" s="943"/>
      <c r="G603" s="943"/>
      <c r="H603" s="944"/>
    </row>
    <row r="604">
      <c r="A604" s="943"/>
      <c r="B604" s="943"/>
      <c r="C604" s="943"/>
      <c r="D604" s="943"/>
      <c r="E604" s="943"/>
      <c r="F604" s="943"/>
      <c r="G604" s="943"/>
      <c r="H604" s="944"/>
    </row>
    <row r="605">
      <c r="A605" s="943"/>
      <c r="B605" s="943"/>
      <c r="C605" s="943"/>
      <c r="D605" s="943"/>
      <c r="E605" s="943"/>
      <c r="F605" s="943"/>
      <c r="G605" s="943"/>
      <c r="H605" s="944"/>
    </row>
    <row r="606">
      <c r="A606" s="943"/>
      <c r="B606" s="943"/>
      <c r="C606" s="943"/>
      <c r="D606" s="943"/>
      <c r="E606" s="943"/>
      <c r="F606" s="943"/>
      <c r="G606" s="943"/>
      <c r="H606" s="944"/>
    </row>
    <row r="607">
      <c r="A607" s="943"/>
      <c r="B607" s="943"/>
      <c r="C607" s="943"/>
      <c r="D607" s="943"/>
      <c r="E607" s="943"/>
      <c r="F607" s="943"/>
      <c r="G607" s="943"/>
      <c r="H607" s="944"/>
    </row>
    <row r="608">
      <c r="A608" s="943"/>
      <c r="B608" s="943"/>
      <c r="C608" s="943"/>
      <c r="D608" s="943"/>
      <c r="E608" s="943"/>
      <c r="F608" s="943"/>
      <c r="G608" s="943"/>
      <c r="H608" s="944"/>
    </row>
    <row r="609">
      <c r="A609" s="943"/>
      <c r="B609" s="943"/>
      <c r="C609" s="943"/>
      <c r="D609" s="943"/>
      <c r="E609" s="943"/>
      <c r="F609" s="943"/>
      <c r="G609" s="943"/>
      <c r="H609" s="944"/>
    </row>
    <row r="610">
      <c r="A610" s="943"/>
      <c r="B610" s="943"/>
      <c r="C610" s="943"/>
      <c r="D610" s="943"/>
      <c r="E610" s="943"/>
      <c r="F610" s="943"/>
      <c r="G610" s="943"/>
      <c r="H610" s="944"/>
    </row>
    <row r="611">
      <c r="A611" s="943"/>
      <c r="B611" s="943"/>
      <c r="C611" s="943"/>
      <c r="D611" s="943"/>
      <c r="E611" s="943"/>
      <c r="F611" s="943"/>
      <c r="G611" s="943"/>
      <c r="H611" s="944"/>
    </row>
    <row r="612">
      <c r="A612" s="943"/>
      <c r="B612" s="943"/>
      <c r="C612" s="943"/>
      <c r="D612" s="943"/>
      <c r="E612" s="943"/>
      <c r="F612" s="943"/>
      <c r="G612" s="943"/>
      <c r="H612" s="944"/>
    </row>
    <row r="613">
      <c r="A613" s="943"/>
      <c r="B613" s="943"/>
      <c r="C613" s="943"/>
      <c r="D613" s="943"/>
      <c r="E613" s="943"/>
      <c r="F613" s="943"/>
      <c r="G613" s="943"/>
      <c r="H613" s="944"/>
    </row>
    <row r="614">
      <c r="A614" s="943"/>
      <c r="B614" s="943"/>
      <c r="C614" s="943"/>
      <c r="D614" s="943"/>
      <c r="E614" s="943"/>
      <c r="F614" s="943"/>
      <c r="G614" s="943"/>
      <c r="H614" s="944"/>
    </row>
    <row r="615">
      <c r="A615" s="943"/>
      <c r="B615" s="943"/>
      <c r="C615" s="943"/>
      <c r="D615" s="943"/>
      <c r="E615" s="943"/>
      <c r="F615" s="943"/>
      <c r="G615" s="943"/>
      <c r="H615" s="944"/>
    </row>
    <row r="616">
      <c r="A616" s="943"/>
      <c r="B616" s="943"/>
      <c r="C616" s="943"/>
      <c r="D616" s="943"/>
      <c r="E616" s="943"/>
      <c r="F616" s="943"/>
      <c r="G616" s="943"/>
      <c r="H616" s="944"/>
    </row>
    <row r="617">
      <c r="A617" s="943"/>
      <c r="B617" s="943"/>
      <c r="C617" s="943"/>
      <c r="D617" s="943"/>
      <c r="E617" s="943"/>
      <c r="F617" s="943"/>
      <c r="G617" s="943"/>
      <c r="H617" s="944"/>
    </row>
    <row r="618">
      <c r="A618" s="943"/>
      <c r="B618" s="943"/>
      <c r="C618" s="943"/>
      <c r="D618" s="943"/>
      <c r="E618" s="943"/>
      <c r="F618" s="943"/>
      <c r="G618" s="943"/>
      <c r="H618" s="944"/>
    </row>
    <row r="619">
      <c r="A619" s="943"/>
      <c r="B619" s="943"/>
      <c r="C619" s="943"/>
      <c r="D619" s="943"/>
      <c r="E619" s="943"/>
      <c r="F619" s="943"/>
      <c r="G619" s="943"/>
      <c r="H619" s="944"/>
    </row>
    <row r="620">
      <c r="A620" s="943"/>
      <c r="B620" s="943"/>
      <c r="C620" s="943"/>
      <c r="D620" s="943"/>
      <c r="E620" s="943"/>
      <c r="F620" s="943"/>
      <c r="G620" s="943"/>
      <c r="H620" s="944"/>
    </row>
    <row r="621">
      <c r="A621" s="943"/>
      <c r="B621" s="943"/>
      <c r="C621" s="943"/>
      <c r="D621" s="943"/>
      <c r="E621" s="943"/>
      <c r="F621" s="943"/>
      <c r="G621" s="943"/>
      <c r="H621" s="944"/>
    </row>
    <row r="622">
      <c r="A622" s="943"/>
      <c r="B622" s="943"/>
      <c r="C622" s="943"/>
      <c r="D622" s="943"/>
      <c r="E622" s="943"/>
      <c r="F622" s="943"/>
      <c r="G622" s="943"/>
      <c r="H622" s="944"/>
    </row>
    <row r="623">
      <c r="A623" s="943"/>
      <c r="B623" s="943"/>
      <c r="C623" s="943"/>
      <c r="D623" s="943"/>
      <c r="E623" s="943"/>
      <c r="F623" s="943"/>
      <c r="G623" s="943"/>
      <c r="H623" s="944"/>
    </row>
    <row r="624">
      <c r="A624" s="943"/>
      <c r="B624" s="943"/>
      <c r="C624" s="943"/>
      <c r="D624" s="943"/>
      <c r="E624" s="943"/>
      <c r="F624" s="943"/>
      <c r="G624" s="943"/>
      <c r="H624" s="944"/>
    </row>
    <row r="625">
      <c r="A625" s="943"/>
      <c r="B625" s="943"/>
      <c r="C625" s="943"/>
      <c r="D625" s="943"/>
      <c r="E625" s="943"/>
      <c r="F625" s="943"/>
      <c r="G625" s="943"/>
      <c r="H625" s="944"/>
    </row>
    <row r="626">
      <c r="A626" s="943"/>
      <c r="B626" s="943"/>
      <c r="C626" s="943"/>
      <c r="D626" s="943"/>
      <c r="E626" s="943"/>
      <c r="F626" s="943"/>
      <c r="G626" s="943"/>
      <c r="H626" s="944"/>
    </row>
    <row r="627">
      <c r="A627" s="943"/>
      <c r="B627" s="943"/>
      <c r="C627" s="943"/>
      <c r="D627" s="943"/>
      <c r="E627" s="943"/>
      <c r="F627" s="943"/>
      <c r="G627" s="943"/>
      <c r="H627" s="944"/>
    </row>
    <row r="628">
      <c r="A628" s="943"/>
      <c r="B628" s="943"/>
      <c r="C628" s="943"/>
      <c r="D628" s="943"/>
      <c r="E628" s="943"/>
      <c r="F628" s="943"/>
      <c r="G628" s="943"/>
      <c r="H628" s="944"/>
    </row>
    <row r="629">
      <c r="A629" s="943"/>
      <c r="B629" s="943"/>
      <c r="C629" s="943"/>
      <c r="D629" s="943"/>
      <c r="E629" s="943"/>
      <c r="F629" s="943"/>
      <c r="G629" s="943"/>
      <c r="H629" s="944"/>
    </row>
    <row r="630">
      <c r="A630" s="943"/>
      <c r="B630" s="943"/>
      <c r="C630" s="943"/>
      <c r="D630" s="943"/>
      <c r="E630" s="943"/>
      <c r="F630" s="943"/>
      <c r="G630" s="943"/>
      <c r="H630" s="944"/>
    </row>
    <row r="631">
      <c r="A631" s="943"/>
      <c r="B631" s="943"/>
      <c r="C631" s="943"/>
      <c r="D631" s="943"/>
      <c r="E631" s="943"/>
      <c r="F631" s="943"/>
      <c r="G631" s="943"/>
      <c r="H631" s="944"/>
    </row>
    <row r="632">
      <c r="A632" s="943"/>
      <c r="B632" s="943"/>
      <c r="C632" s="943"/>
      <c r="D632" s="943"/>
      <c r="E632" s="943"/>
      <c r="F632" s="943"/>
      <c r="G632" s="943"/>
      <c r="H632" s="944"/>
    </row>
    <row r="633">
      <c r="A633" s="943"/>
      <c r="B633" s="943"/>
      <c r="C633" s="943"/>
      <c r="D633" s="943"/>
      <c r="E633" s="943"/>
      <c r="F633" s="943"/>
      <c r="G633" s="943"/>
      <c r="H633" s="944"/>
    </row>
    <row r="634">
      <c r="A634" s="943"/>
      <c r="B634" s="943"/>
      <c r="C634" s="943"/>
      <c r="D634" s="943"/>
      <c r="E634" s="943"/>
      <c r="F634" s="943"/>
      <c r="G634" s="943"/>
      <c r="H634" s="944"/>
    </row>
    <row r="635">
      <c r="A635" s="943"/>
      <c r="B635" s="943"/>
      <c r="C635" s="943"/>
      <c r="D635" s="943"/>
      <c r="E635" s="943"/>
      <c r="F635" s="943"/>
      <c r="G635" s="943"/>
      <c r="H635" s="944"/>
    </row>
    <row r="636">
      <c r="A636" s="943"/>
      <c r="B636" s="943"/>
      <c r="C636" s="943"/>
      <c r="D636" s="943"/>
      <c r="E636" s="943"/>
      <c r="F636" s="943"/>
      <c r="G636" s="943"/>
      <c r="H636" s="944"/>
    </row>
    <row r="637">
      <c r="A637" s="943"/>
      <c r="B637" s="943"/>
      <c r="C637" s="943"/>
      <c r="D637" s="943"/>
      <c r="E637" s="943"/>
      <c r="F637" s="943"/>
      <c r="G637" s="943"/>
      <c r="H637" s="944"/>
    </row>
    <row r="638">
      <c r="A638" s="943"/>
      <c r="B638" s="943"/>
      <c r="C638" s="943"/>
      <c r="D638" s="943"/>
      <c r="E638" s="943"/>
      <c r="F638" s="943"/>
      <c r="G638" s="943"/>
      <c r="H638" s="944"/>
    </row>
    <row r="639">
      <c r="A639" s="943"/>
      <c r="B639" s="943"/>
      <c r="C639" s="943"/>
      <c r="D639" s="943"/>
      <c r="E639" s="943"/>
      <c r="F639" s="943"/>
      <c r="G639" s="943"/>
      <c r="H639" s="944"/>
    </row>
    <row r="640">
      <c r="A640" s="943"/>
      <c r="B640" s="943"/>
      <c r="C640" s="943"/>
      <c r="D640" s="943"/>
      <c r="E640" s="943"/>
      <c r="F640" s="943"/>
      <c r="G640" s="943"/>
      <c r="H640" s="944"/>
    </row>
    <row r="641">
      <c r="A641" s="943"/>
      <c r="B641" s="943"/>
      <c r="C641" s="943"/>
      <c r="D641" s="943"/>
      <c r="E641" s="943"/>
      <c r="F641" s="943"/>
      <c r="G641" s="943"/>
      <c r="H641" s="944"/>
    </row>
    <row r="642">
      <c r="A642" s="943"/>
      <c r="B642" s="943"/>
      <c r="C642" s="943"/>
      <c r="D642" s="943"/>
      <c r="E642" s="943"/>
      <c r="F642" s="943"/>
      <c r="G642" s="943"/>
      <c r="H642" s="944"/>
    </row>
    <row r="643">
      <c r="A643" s="943"/>
      <c r="B643" s="943"/>
      <c r="C643" s="943"/>
      <c r="D643" s="943"/>
      <c r="E643" s="943"/>
      <c r="F643" s="943"/>
      <c r="G643" s="943"/>
      <c r="H643" s="944"/>
    </row>
    <row r="644">
      <c r="A644" s="943"/>
      <c r="B644" s="943"/>
      <c r="C644" s="943"/>
      <c r="D644" s="943"/>
      <c r="E644" s="943"/>
      <c r="F644" s="943"/>
      <c r="G644" s="943"/>
      <c r="H644" s="944"/>
    </row>
    <row r="645">
      <c r="A645" s="943"/>
      <c r="B645" s="943"/>
      <c r="C645" s="943"/>
      <c r="D645" s="943"/>
      <c r="E645" s="943"/>
      <c r="F645" s="943"/>
      <c r="G645" s="943"/>
      <c r="H645" s="944"/>
    </row>
    <row r="646">
      <c r="A646" s="943"/>
      <c r="B646" s="943"/>
      <c r="C646" s="943"/>
      <c r="D646" s="943"/>
      <c r="E646" s="943"/>
      <c r="F646" s="943"/>
      <c r="G646" s="943"/>
      <c r="H646" s="944"/>
    </row>
    <row r="647">
      <c r="A647" s="943"/>
      <c r="B647" s="943"/>
      <c r="C647" s="943"/>
      <c r="D647" s="943"/>
      <c r="E647" s="943"/>
      <c r="F647" s="943"/>
      <c r="G647" s="943"/>
      <c r="H647" s="944"/>
    </row>
    <row r="648">
      <c r="A648" s="943"/>
      <c r="B648" s="943"/>
      <c r="C648" s="943"/>
      <c r="D648" s="943"/>
      <c r="E648" s="943"/>
      <c r="F648" s="943"/>
      <c r="G648" s="943"/>
      <c r="H648" s="944"/>
    </row>
    <row r="649">
      <c r="A649" s="943"/>
      <c r="B649" s="943"/>
      <c r="C649" s="943"/>
      <c r="D649" s="943"/>
      <c r="E649" s="943"/>
      <c r="F649" s="943"/>
      <c r="G649" s="943"/>
      <c r="H649" s="944"/>
    </row>
    <row r="650">
      <c r="A650" s="943"/>
      <c r="B650" s="943"/>
      <c r="C650" s="943"/>
      <c r="D650" s="943"/>
      <c r="E650" s="943"/>
      <c r="F650" s="943"/>
      <c r="G650" s="943"/>
      <c r="H650" s="944"/>
    </row>
    <row r="651">
      <c r="A651" s="943"/>
      <c r="B651" s="943"/>
      <c r="C651" s="943"/>
      <c r="D651" s="943"/>
      <c r="E651" s="943"/>
      <c r="F651" s="943"/>
      <c r="G651" s="943"/>
      <c r="H651" s="944"/>
    </row>
    <row r="652">
      <c r="A652" s="943"/>
      <c r="B652" s="943"/>
      <c r="C652" s="943"/>
      <c r="D652" s="943"/>
      <c r="E652" s="943"/>
      <c r="F652" s="943"/>
      <c r="G652" s="943"/>
      <c r="H652" s="944"/>
    </row>
    <row r="653">
      <c r="A653" s="943"/>
      <c r="B653" s="943"/>
      <c r="C653" s="943"/>
      <c r="D653" s="943"/>
      <c r="E653" s="943"/>
      <c r="F653" s="943"/>
      <c r="G653" s="943"/>
      <c r="H653" s="944"/>
    </row>
    <row r="654">
      <c r="A654" s="943"/>
      <c r="B654" s="943"/>
      <c r="C654" s="943"/>
      <c r="D654" s="943"/>
      <c r="E654" s="943"/>
      <c r="F654" s="943"/>
      <c r="G654" s="943"/>
      <c r="H654" s="944"/>
    </row>
    <row r="655">
      <c r="A655" s="943"/>
      <c r="B655" s="943"/>
      <c r="C655" s="943"/>
      <c r="D655" s="943"/>
      <c r="E655" s="943"/>
      <c r="F655" s="943"/>
      <c r="G655" s="943"/>
      <c r="H655" s="944"/>
    </row>
    <row r="656">
      <c r="A656" s="943"/>
      <c r="B656" s="943"/>
      <c r="C656" s="943"/>
      <c r="D656" s="943"/>
      <c r="E656" s="943"/>
      <c r="F656" s="943"/>
      <c r="G656" s="943"/>
      <c r="H656" s="944"/>
    </row>
    <row r="657">
      <c r="A657" s="943"/>
      <c r="B657" s="943"/>
      <c r="C657" s="943"/>
      <c r="D657" s="943"/>
      <c r="E657" s="943"/>
      <c r="F657" s="943"/>
      <c r="G657" s="943"/>
      <c r="H657" s="944"/>
    </row>
    <row r="658">
      <c r="A658" s="943"/>
      <c r="B658" s="943"/>
      <c r="C658" s="943"/>
      <c r="D658" s="943"/>
      <c r="E658" s="943"/>
      <c r="F658" s="943"/>
      <c r="G658" s="943"/>
      <c r="H658" s="944"/>
    </row>
    <row r="659">
      <c r="A659" s="943"/>
      <c r="B659" s="943"/>
      <c r="C659" s="943"/>
      <c r="D659" s="943"/>
      <c r="E659" s="943"/>
      <c r="F659" s="943"/>
      <c r="G659" s="943"/>
      <c r="H659" s="944"/>
    </row>
    <row r="660">
      <c r="A660" s="943"/>
      <c r="B660" s="943"/>
      <c r="C660" s="943"/>
      <c r="D660" s="943"/>
      <c r="E660" s="943"/>
      <c r="F660" s="943"/>
      <c r="G660" s="943"/>
      <c r="H660" s="944"/>
    </row>
    <row r="661">
      <c r="A661" s="943"/>
      <c r="B661" s="943"/>
      <c r="C661" s="943"/>
      <c r="D661" s="943"/>
      <c r="E661" s="943"/>
      <c r="F661" s="943"/>
      <c r="G661" s="943"/>
      <c r="H661" s="944"/>
    </row>
    <row r="662">
      <c r="A662" s="943"/>
      <c r="B662" s="943"/>
      <c r="C662" s="943"/>
      <c r="D662" s="943"/>
      <c r="E662" s="943"/>
      <c r="F662" s="943"/>
      <c r="G662" s="943"/>
      <c r="H662" s="944"/>
    </row>
    <row r="663">
      <c r="A663" s="943"/>
      <c r="B663" s="943"/>
      <c r="C663" s="943"/>
      <c r="D663" s="943"/>
      <c r="E663" s="943"/>
      <c r="F663" s="943"/>
      <c r="G663" s="943"/>
      <c r="H663" s="944"/>
    </row>
    <row r="664">
      <c r="A664" s="943"/>
      <c r="B664" s="943"/>
      <c r="C664" s="943"/>
      <c r="D664" s="943"/>
      <c r="E664" s="943"/>
      <c r="F664" s="943"/>
      <c r="G664" s="943"/>
      <c r="H664" s="944"/>
    </row>
    <row r="665">
      <c r="A665" s="943"/>
      <c r="B665" s="943"/>
      <c r="C665" s="943"/>
      <c r="D665" s="943"/>
      <c r="E665" s="943"/>
      <c r="F665" s="943"/>
      <c r="G665" s="943"/>
      <c r="H665" s="944"/>
    </row>
    <row r="666">
      <c r="A666" s="943"/>
      <c r="B666" s="943"/>
      <c r="C666" s="943"/>
      <c r="D666" s="943"/>
      <c r="E666" s="943"/>
      <c r="F666" s="943"/>
      <c r="G666" s="943"/>
      <c r="H666" s="944"/>
    </row>
    <row r="667">
      <c r="A667" s="943"/>
      <c r="B667" s="943"/>
      <c r="C667" s="943"/>
      <c r="D667" s="943"/>
      <c r="E667" s="943"/>
      <c r="F667" s="943"/>
      <c r="G667" s="943"/>
      <c r="H667" s="944"/>
    </row>
    <row r="668">
      <c r="A668" s="943"/>
      <c r="B668" s="943"/>
      <c r="C668" s="943"/>
      <c r="D668" s="943"/>
      <c r="E668" s="943"/>
      <c r="F668" s="943"/>
      <c r="G668" s="943"/>
      <c r="H668" s="944"/>
    </row>
    <row r="669">
      <c r="A669" s="943"/>
      <c r="B669" s="943"/>
      <c r="C669" s="943"/>
      <c r="D669" s="943"/>
      <c r="E669" s="943"/>
      <c r="F669" s="943"/>
      <c r="G669" s="943"/>
      <c r="H669" s="944"/>
    </row>
    <row r="670">
      <c r="A670" s="943"/>
      <c r="B670" s="943"/>
      <c r="C670" s="943"/>
      <c r="D670" s="943"/>
      <c r="E670" s="943"/>
      <c r="F670" s="943"/>
      <c r="G670" s="943"/>
      <c r="H670" s="944"/>
    </row>
    <row r="671">
      <c r="A671" s="943"/>
      <c r="B671" s="943"/>
      <c r="C671" s="943"/>
      <c r="D671" s="943"/>
      <c r="E671" s="943"/>
      <c r="F671" s="943"/>
      <c r="G671" s="943"/>
      <c r="H671" s="944"/>
    </row>
    <row r="672">
      <c r="A672" s="943"/>
      <c r="B672" s="943"/>
      <c r="C672" s="943"/>
      <c r="D672" s="943"/>
      <c r="E672" s="943"/>
      <c r="F672" s="943"/>
      <c r="G672" s="943"/>
      <c r="H672" s="944"/>
    </row>
    <row r="673">
      <c r="A673" s="943"/>
      <c r="B673" s="943"/>
      <c r="C673" s="943"/>
      <c r="D673" s="943"/>
      <c r="E673" s="943"/>
      <c r="F673" s="943"/>
      <c r="G673" s="943"/>
      <c r="H673" s="944"/>
    </row>
    <row r="674">
      <c r="A674" s="943"/>
      <c r="B674" s="943"/>
      <c r="C674" s="943"/>
      <c r="D674" s="943"/>
      <c r="E674" s="943"/>
      <c r="F674" s="943"/>
      <c r="G674" s="943"/>
      <c r="H674" s="944"/>
    </row>
    <row r="675">
      <c r="A675" s="943"/>
      <c r="B675" s="943"/>
      <c r="C675" s="943"/>
      <c r="D675" s="943"/>
      <c r="E675" s="943"/>
      <c r="F675" s="943"/>
      <c r="G675" s="943"/>
      <c r="H675" s="944"/>
    </row>
    <row r="676">
      <c r="A676" s="943"/>
      <c r="B676" s="943"/>
      <c r="C676" s="943"/>
      <c r="D676" s="943"/>
      <c r="E676" s="943"/>
      <c r="F676" s="943"/>
      <c r="G676" s="943"/>
      <c r="H676" s="944"/>
    </row>
    <row r="677">
      <c r="A677" s="943"/>
      <c r="B677" s="943"/>
      <c r="C677" s="943"/>
      <c r="D677" s="943"/>
      <c r="E677" s="943"/>
      <c r="F677" s="943"/>
      <c r="G677" s="943"/>
      <c r="H677" s="944"/>
    </row>
    <row r="678">
      <c r="A678" s="943"/>
      <c r="B678" s="943"/>
      <c r="C678" s="943"/>
      <c r="D678" s="943"/>
      <c r="E678" s="943"/>
      <c r="F678" s="943"/>
      <c r="G678" s="943"/>
      <c r="H678" s="944"/>
    </row>
    <row r="679">
      <c r="A679" s="943"/>
      <c r="B679" s="943"/>
      <c r="C679" s="943"/>
      <c r="D679" s="943"/>
      <c r="E679" s="943"/>
      <c r="F679" s="943"/>
      <c r="G679" s="943"/>
      <c r="H679" s="944"/>
    </row>
    <row r="680">
      <c r="A680" s="943"/>
      <c r="B680" s="943"/>
      <c r="C680" s="943"/>
      <c r="D680" s="943"/>
      <c r="E680" s="943"/>
      <c r="F680" s="943"/>
      <c r="G680" s="943"/>
      <c r="H680" s="944"/>
    </row>
    <row r="681">
      <c r="A681" s="943"/>
      <c r="B681" s="943"/>
      <c r="C681" s="943"/>
      <c r="D681" s="943"/>
      <c r="E681" s="943"/>
      <c r="F681" s="943"/>
      <c r="G681" s="943"/>
      <c r="H681" s="944"/>
    </row>
    <row r="682">
      <c r="A682" s="943"/>
      <c r="B682" s="943"/>
      <c r="C682" s="943"/>
      <c r="D682" s="943"/>
      <c r="E682" s="943"/>
      <c r="F682" s="943"/>
      <c r="G682" s="943"/>
      <c r="H682" s="944"/>
    </row>
    <row r="683">
      <c r="A683" s="943"/>
      <c r="B683" s="943"/>
      <c r="C683" s="943"/>
      <c r="D683" s="943"/>
      <c r="E683" s="943"/>
      <c r="F683" s="943"/>
      <c r="G683" s="943"/>
      <c r="H683" s="944"/>
    </row>
    <row r="684">
      <c r="A684" s="943"/>
      <c r="B684" s="943"/>
      <c r="C684" s="943"/>
      <c r="D684" s="943"/>
      <c r="E684" s="943"/>
      <c r="F684" s="943"/>
      <c r="G684" s="943"/>
      <c r="H684" s="944"/>
    </row>
    <row r="685">
      <c r="A685" s="943"/>
      <c r="B685" s="943"/>
      <c r="C685" s="943"/>
      <c r="D685" s="943"/>
      <c r="E685" s="943"/>
      <c r="F685" s="943"/>
      <c r="G685" s="943"/>
      <c r="H685" s="944"/>
    </row>
    <row r="686">
      <c r="A686" s="943"/>
      <c r="B686" s="943"/>
      <c r="C686" s="943"/>
      <c r="D686" s="943"/>
      <c r="E686" s="943"/>
      <c r="F686" s="943"/>
      <c r="G686" s="943"/>
      <c r="H686" s="944"/>
    </row>
    <row r="687">
      <c r="A687" s="943"/>
      <c r="B687" s="943"/>
      <c r="C687" s="943"/>
      <c r="D687" s="943"/>
      <c r="E687" s="943"/>
      <c r="F687" s="943"/>
      <c r="G687" s="943"/>
      <c r="H687" s="944"/>
    </row>
    <row r="688">
      <c r="A688" s="943"/>
      <c r="B688" s="943"/>
      <c r="C688" s="943"/>
      <c r="D688" s="943"/>
      <c r="E688" s="943"/>
      <c r="F688" s="943"/>
      <c r="G688" s="943"/>
      <c r="H688" s="944"/>
    </row>
    <row r="689">
      <c r="A689" s="943"/>
      <c r="B689" s="943"/>
      <c r="C689" s="943"/>
      <c r="D689" s="943"/>
      <c r="E689" s="943"/>
      <c r="F689" s="943"/>
      <c r="G689" s="943"/>
      <c r="H689" s="944"/>
    </row>
    <row r="690">
      <c r="A690" s="943"/>
      <c r="B690" s="943"/>
      <c r="C690" s="943"/>
      <c r="D690" s="943"/>
      <c r="E690" s="943"/>
      <c r="F690" s="943"/>
      <c r="G690" s="943"/>
      <c r="H690" s="944"/>
    </row>
    <row r="691">
      <c r="A691" s="943"/>
      <c r="B691" s="943"/>
      <c r="C691" s="943"/>
      <c r="D691" s="943"/>
      <c r="E691" s="943"/>
      <c r="F691" s="943"/>
      <c r="G691" s="943"/>
      <c r="H691" s="944"/>
    </row>
    <row r="692">
      <c r="A692" s="943"/>
      <c r="B692" s="943"/>
      <c r="C692" s="943"/>
      <c r="D692" s="943"/>
      <c r="E692" s="943"/>
      <c r="F692" s="943"/>
      <c r="G692" s="943"/>
      <c r="H692" s="944"/>
    </row>
    <row r="693">
      <c r="A693" s="943"/>
      <c r="B693" s="943"/>
      <c r="C693" s="943"/>
      <c r="D693" s="943"/>
      <c r="E693" s="943"/>
      <c r="F693" s="943"/>
      <c r="G693" s="943"/>
      <c r="H693" s="944"/>
    </row>
    <row r="694">
      <c r="A694" s="943"/>
      <c r="B694" s="943"/>
      <c r="C694" s="943"/>
      <c r="D694" s="943"/>
      <c r="E694" s="943"/>
      <c r="F694" s="943"/>
      <c r="G694" s="943"/>
      <c r="H694" s="944"/>
    </row>
    <row r="695">
      <c r="A695" s="943"/>
      <c r="B695" s="943"/>
      <c r="C695" s="943"/>
      <c r="D695" s="943"/>
      <c r="E695" s="943"/>
      <c r="F695" s="943"/>
      <c r="G695" s="943"/>
      <c r="H695" s="944"/>
    </row>
    <row r="696">
      <c r="A696" s="943"/>
      <c r="B696" s="943"/>
      <c r="C696" s="943"/>
      <c r="D696" s="943"/>
      <c r="E696" s="943"/>
      <c r="F696" s="943"/>
      <c r="G696" s="943"/>
      <c r="H696" s="944"/>
    </row>
    <row r="697">
      <c r="A697" s="943"/>
      <c r="B697" s="943"/>
      <c r="C697" s="943"/>
      <c r="D697" s="943"/>
      <c r="E697" s="943"/>
      <c r="F697" s="943"/>
      <c r="G697" s="943"/>
      <c r="H697" s="944"/>
    </row>
    <row r="698">
      <c r="A698" s="943"/>
      <c r="B698" s="943"/>
      <c r="C698" s="943"/>
      <c r="D698" s="943"/>
      <c r="E698" s="943"/>
      <c r="F698" s="943"/>
      <c r="G698" s="943"/>
      <c r="H698" s="944"/>
    </row>
    <row r="699">
      <c r="A699" s="943"/>
      <c r="B699" s="943"/>
      <c r="C699" s="943"/>
      <c r="D699" s="943"/>
      <c r="E699" s="943"/>
      <c r="F699" s="943"/>
      <c r="G699" s="943"/>
      <c r="H699" s="944"/>
    </row>
    <row r="700">
      <c r="A700" s="943"/>
      <c r="B700" s="943"/>
      <c r="C700" s="943"/>
      <c r="D700" s="943"/>
      <c r="E700" s="943"/>
      <c r="F700" s="943"/>
      <c r="G700" s="943"/>
      <c r="H700" s="944"/>
    </row>
    <row r="701">
      <c r="A701" s="943"/>
      <c r="B701" s="943"/>
      <c r="C701" s="943"/>
      <c r="D701" s="943"/>
      <c r="E701" s="943"/>
      <c r="F701" s="943"/>
      <c r="G701" s="943"/>
      <c r="H701" s="944"/>
    </row>
    <row r="702">
      <c r="A702" s="943"/>
      <c r="B702" s="943"/>
      <c r="C702" s="943"/>
      <c r="D702" s="943"/>
      <c r="E702" s="943"/>
      <c r="F702" s="943"/>
      <c r="G702" s="943"/>
      <c r="H702" s="944"/>
    </row>
    <row r="703">
      <c r="A703" s="943"/>
      <c r="B703" s="943"/>
      <c r="C703" s="943"/>
      <c r="D703" s="943"/>
      <c r="E703" s="943"/>
      <c r="F703" s="943"/>
      <c r="G703" s="943"/>
      <c r="H703" s="944"/>
    </row>
    <row r="704">
      <c r="A704" s="943"/>
      <c r="B704" s="943"/>
      <c r="C704" s="943"/>
      <c r="D704" s="943"/>
      <c r="E704" s="943"/>
      <c r="F704" s="943"/>
      <c r="G704" s="943"/>
      <c r="H704" s="944"/>
    </row>
    <row r="705">
      <c r="A705" s="943"/>
      <c r="B705" s="943"/>
      <c r="C705" s="943"/>
      <c r="D705" s="943"/>
      <c r="E705" s="943"/>
      <c r="F705" s="943"/>
      <c r="G705" s="943"/>
      <c r="H705" s="944"/>
    </row>
    <row r="706">
      <c r="A706" s="943"/>
      <c r="B706" s="943"/>
      <c r="C706" s="943"/>
      <c r="D706" s="943"/>
      <c r="E706" s="943"/>
      <c r="F706" s="943"/>
      <c r="G706" s="943"/>
      <c r="H706" s="944"/>
    </row>
    <row r="707">
      <c r="A707" s="943"/>
      <c r="B707" s="943"/>
      <c r="C707" s="943"/>
      <c r="D707" s="943"/>
      <c r="E707" s="943"/>
      <c r="F707" s="943"/>
      <c r="G707" s="943"/>
      <c r="H707" s="944"/>
    </row>
    <row r="708">
      <c r="A708" s="943"/>
      <c r="B708" s="943"/>
      <c r="C708" s="943"/>
      <c r="D708" s="943"/>
      <c r="E708" s="943"/>
      <c r="F708" s="943"/>
      <c r="G708" s="943"/>
      <c r="H708" s="944"/>
    </row>
    <row r="709">
      <c r="A709" s="943"/>
      <c r="B709" s="943"/>
      <c r="C709" s="943"/>
      <c r="D709" s="943"/>
      <c r="E709" s="943"/>
      <c r="F709" s="943"/>
      <c r="G709" s="943"/>
      <c r="H709" s="944"/>
    </row>
    <row r="710">
      <c r="A710" s="943"/>
      <c r="B710" s="943"/>
      <c r="C710" s="943"/>
      <c r="D710" s="943"/>
      <c r="E710" s="943"/>
      <c r="F710" s="943"/>
      <c r="G710" s="943"/>
      <c r="H710" s="944"/>
    </row>
    <row r="711">
      <c r="A711" s="943"/>
      <c r="B711" s="943"/>
      <c r="C711" s="943"/>
      <c r="D711" s="943"/>
      <c r="E711" s="943"/>
      <c r="F711" s="943"/>
      <c r="G711" s="943"/>
      <c r="H711" s="944"/>
    </row>
    <row r="712">
      <c r="A712" s="943"/>
      <c r="B712" s="943"/>
      <c r="C712" s="943"/>
      <c r="D712" s="943"/>
      <c r="E712" s="943"/>
      <c r="F712" s="943"/>
      <c r="G712" s="943"/>
      <c r="H712" s="944"/>
    </row>
    <row r="713">
      <c r="A713" s="943"/>
      <c r="B713" s="943"/>
      <c r="C713" s="943"/>
      <c r="D713" s="943"/>
      <c r="E713" s="943"/>
      <c r="F713" s="943"/>
      <c r="G713" s="943"/>
      <c r="H713" s="944"/>
    </row>
    <row r="714">
      <c r="A714" s="943"/>
      <c r="B714" s="943"/>
      <c r="C714" s="943"/>
      <c r="D714" s="943"/>
      <c r="E714" s="943"/>
      <c r="F714" s="943"/>
      <c r="G714" s="943"/>
      <c r="H714" s="944"/>
    </row>
    <row r="715">
      <c r="A715" s="943"/>
      <c r="B715" s="943"/>
      <c r="C715" s="943"/>
      <c r="D715" s="943"/>
      <c r="E715" s="943"/>
      <c r="F715" s="943"/>
      <c r="G715" s="943"/>
      <c r="H715" s="944"/>
    </row>
    <row r="716">
      <c r="A716" s="943"/>
      <c r="B716" s="943"/>
      <c r="C716" s="943"/>
      <c r="D716" s="943"/>
      <c r="E716" s="943"/>
      <c r="F716" s="943"/>
      <c r="G716" s="943"/>
      <c r="H716" s="944"/>
    </row>
    <row r="717">
      <c r="A717" s="943"/>
      <c r="B717" s="943"/>
      <c r="C717" s="943"/>
      <c r="D717" s="943"/>
      <c r="E717" s="943"/>
      <c r="F717" s="943"/>
      <c r="G717" s="943"/>
      <c r="H717" s="944"/>
    </row>
    <row r="718">
      <c r="A718" s="943"/>
      <c r="B718" s="943"/>
      <c r="C718" s="943"/>
      <c r="D718" s="943"/>
      <c r="E718" s="943"/>
      <c r="F718" s="943"/>
      <c r="G718" s="943"/>
      <c r="H718" s="944"/>
    </row>
    <row r="719">
      <c r="A719" s="943"/>
      <c r="B719" s="943"/>
      <c r="C719" s="943"/>
      <c r="D719" s="943"/>
      <c r="E719" s="943"/>
      <c r="F719" s="943"/>
      <c r="G719" s="943"/>
      <c r="H719" s="944"/>
    </row>
    <row r="720">
      <c r="A720" s="943"/>
      <c r="B720" s="943"/>
      <c r="C720" s="943"/>
      <c r="D720" s="943"/>
      <c r="E720" s="943"/>
      <c r="F720" s="943"/>
      <c r="G720" s="943"/>
      <c r="H720" s="944"/>
    </row>
    <row r="721">
      <c r="A721" s="943"/>
      <c r="B721" s="943"/>
      <c r="C721" s="943"/>
      <c r="D721" s="943"/>
      <c r="E721" s="943"/>
      <c r="F721" s="943"/>
      <c r="G721" s="943"/>
      <c r="H721" s="944"/>
    </row>
    <row r="722">
      <c r="A722" s="943"/>
      <c r="B722" s="943"/>
      <c r="C722" s="943"/>
      <c r="D722" s="943"/>
      <c r="E722" s="943"/>
      <c r="F722" s="943"/>
      <c r="G722" s="943"/>
      <c r="H722" s="944"/>
    </row>
    <row r="723">
      <c r="A723" s="943"/>
      <c r="B723" s="943"/>
      <c r="C723" s="943"/>
      <c r="D723" s="943"/>
      <c r="E723" s="943"/>
      <c r="F723" s="943"/>
      <c r="G723" s="943"/>
      <c r="H723" s="944"/>
    </row>
    <row r="724">
      <c r="A724" s="943"/>
      <c r="B724" s="943"/>
      <c r="C724" s="943"/>
      <c r="D724" s="943"/>
      <c r="E724" s="943"/>
      <c r="F724" s="943"/>
      <c r="G724" s="943"/>
      <c r="H724" s="944"/>
    </row>
    <row r="725">
      <c r="A725" s="943"/>
      <c r="B725" s="943"/>
      <c r="C725" s="943"/>
      <c r="D725" s="943"/>
      <c r="E725" s="943"/>
      <c r="F725" s="943"/>
      <c r="G725" s="943"/>
      <c r="H725" s="944"/>
    </row>
    <row r="726">
      <c r="A726" s="943"/>
      <c r="B726" s="943"/>
      <c r="C726" s="943"/>
      <c r="D726" s="943"/>
      <c r="E726" s="943"/>
      <c r="F726" s="943"/>
      <c r="G726" s="943"/>
      <c r="H726" s="944"/>
    </row>
    <row r="727">
      <c r="A727" s="943"/>
      <c r="B727" s="943"/>
      <c r="C727" s="943"/>
      <c r="D727" s="943"/>
      <c r="E727" s="943"/>
      <c r="F727" s="943"/>
      <c r="G727" s="943"/>
      <c r="H727" s="944"/>
    </row>
    <row r="728">
      <c r="A728" s="943"/>
      <c r="B728" s="943"/>
      <c r="C728" s="943"/>
      <c r="D728" s="943"/>
      <c r="E728" s="943"/>
      <c r="F728" s="943"/>
      <c r="G728" s="943"/>
      <c r="H728" s="944"/>
    </row>
    <row r="729">
      <c r="A729" s="943"/>
      <c r="B729" s="943"/>
      <c r="C729" s="943"/>
      <c r="D729" s="943"/>
      <c r="E729" s="943"/>
      <c r="F729" s="943"/>
      <c r="G729" s="943"/>
      <c r="H729" s="944"/>
    </row>
    <row r="730">
      <c r="A730" s="943"/>
      <c r="B730" s="943"/>
      <c r="C730" s="943"/>
      <c r="D730" s="943"/>
      <c r="E730" s="943"/>
      <c r="F730" s="943"/>
      <c r="G730" s="943"/>
      <c r="H730" s="944"/>
    </row>
    <row r="731">
      <c r="A731" s="943"/>
      <c r="B731" s="943"/>
      <c r="C731" s="943"/>
      <c r="D731" s="943"/>
      <c r="E731" s="943"/>
      <c r="F731" s="943"/>
      <c r="G731" s="943"/>
      <c r="H731" s="944"/>
    </row>
    <row r="732">
      <c r="A732" s="943"/>
      <c r="B732" s="943"/>
      <c r="C732" s="943"/>
      <c r="D732" s="943"/>
      <c r="E732" s="943"/>
      <c r="F732" s="943"/>
      <c r="G732" s="943"/>
      <c r="H732" s="944"/>
    </row>
    <row r="733">
      <c r="A733" s="943"/>
      <c r="B733" s="943"/>
      <c r="C733" s="943"/>
      <c r="D733" s="943"/>
      <c r="E733" s="943"/>
      <c r="F733" s="943"/>
      <c r="G733" s="943"/>
      <c r="H733" s="944"/>
    </row>
    <row r="734">
      <c r="A734" s="943"/>
      <c r="B734" s="943"/>
      <c r="C734" s="943"/>
      <c r="D734" s="943"/>
      <c r="E734" s="943"/>
      <c r="F734" s="943"/>
      <c r="G734" s="943"/>
      <c r="H734" s="944"/>
    </row>
    <row r="735">
      <c r="A735" s="943"/>
      <c r="B735" s="943"/>
      <c r="C735" s="943"/>
      <c r="D735" s="943"/>
      <c r="E735" s="943"/>
      <c r="F735" s="943"/>
      <c r="G735" s="943"/>
      <c r="H735" s="944"/>
    </row>
    <row r="736">
      <c r="A736" s="943"/>
      <c r="B736" s="943"/>
      <c r="C736" s="943"/>
      <c r="D736" s="943"/>
      <c r="E736" s="943"/>
      <c r="F736" s="943"/>
      <c r="G736" s="943"/>
      <c r="H736" s="944"/>
    </row>
    <row r="737">
      <c r="A737" s="943"/>
      <c r="B737" s="943"/>
      <c r="C737" s="943"/>
      <c r="D737" s="943"/>
      <c r="E737" s="943"/>
      <c r="F737" s="943"/>
      <c r="G737" s="943"/>
      <c r="H737" s="944"/>
    </row>
    <row r="738">
      <c r="A738" s="943"/>
      <c r="B738" s="943"/>
      <c r="C738" s="943"/>
      <c r="D738" s="943"/>
      <c r="E738" s="943"/>
      <c r="F738" s="943"/>
      <c r="G738" s="943"/>
      <c r="H738" s="944"/>
    </row>
    <row r="739">
      <c r="A739" s="943"/>
      <c r="B739" s="943"/>
      <c r="C739" s="943"/>
      <c r="D739" s="943"/>
      <c r="E739" s="943"/>
      <c r="F739" s="943"/>
      <c r="G739" s="943"/>
      <c r="H739" s="944"/>
    </row>
    <row r="740">
      <c r="A740" s="943"/>
      <c r="B740" s="943"/>
      <c r="C740" s="943"/>
      <c r="D740" s="943"/>
      <c r="E740" s="943"/>
      <c r="F740" s="943"/>
      <c r="G740" s="943"/>
      <c r="H740" s="944"/>
    </row>
    <row r="741">
      <c r="A741" s="943"/>
      <c r="B741" s="943"/>
      <c r="C741" s="943"/>
      <c r="D741" s="943"/>
      <c r="E741" s="943"/>
      <c r="F741" s="943"/>
      <c r="G741" s="943"/>
      <c r="H741" s="944"/>
    </row>
    <row r="742">
      <c r="A742" s="943"/>
      <c r="B742" s="943"/>
      <c r="C742" s="943"/>
      <c r="D742" s="943"/>
      <c r="E742" s="943"/>
      <c r="F742" s="943"/>
      <c r="G742" s="943"/>
      <c r="H742" s="944"/>
    </row>
    <row r="743">
      <c r="A743" s="943"/>
      <c r="B743" s="943"/>
      <c r="C743" s="943"/>
      <c r="D743" s="943"/>
      <c r="E743" s="943"/>
      <c r="F743" s="943"/>
      <c r="G743" s="943"/>
      <c r="H743" s="944"/>
    </row>
    <row r="744">
      <c r="A744" s="943"/>
      <c r="B744" s="943"/>
      <c r="C744" s="943"/>
      <c r="D744" s="943"/>
      <c r="E744" s="943"/>
      <c r="F744" s="943"/>
      <c r="G744" s="943"/>
      <c r="H744" s="944"/>
    </row>
    <row r="745">
      <c r="A745" s="943"/>
      <c r="B745" s="943"/>
      <c r="C745" s="943"/>
      <c r="D745" s="943"/>
      <c r="E745" s="943"/>
      <c r="F745" s="943"/>
      <c r="G745" s="943"/>
      <c r="H745" s="944"/>
    </row>
    <row r="746">
      <c r="A746" s="943"/>
      <c r="B746" s="943"/>
      <c r="C746" s="943"/>
      <c r="D746" s="943"/>
      <c r="E746" s="943"/>
      <c r="F746" s="943"/>
      <c r="G746" s="943"/>
      <c r="H746" s="944"/>
    </row>
    <row r="747">
      <c r="A747" s="943"/>
      <c r="B747" s="943"/>
      <c r="C747" s="943"/>
      <c r="D747" s="943"/>
      <c r="E747" s="943"/>
      <c r="F747" s="943"/>
      <c r="G747" s="943"/>
      <c r="H747" s="944"/>
    </row>
    <row r="748">
      <c r="A748" s="943"/>
      <c r="B748" s="943"/>
      <c r="C748" s="943"/>
      <c r="D748" s="943"/>
      <c r="E748" s="943"/>
      <c r="F748" s="943"/>
      <c r="G748" s="943"/>
      <c r="H748" s="944"/>
    </row>
    <row r="749">
      <c r="A749" s="943"/>
      <c r="B749" s="943"/>
      <c r="C749" s="943"/>
      <c r="D749" s="943"/>
      <c r="E749" s="943"/>
      <c r="F749" s="943"/>
      <c r="G749" s="943"/>
      <c r="H749" s="944"/>
    </row>
    <row r="750">
      <c r="A750" s="943"/>
      <c r="B750" s="943"/>
      <c r="C750" s="943"/>
      <c r="D750" s="943"/>
      <c r="E750" s="943"/>
      <c r="F750" s="943"/>
      <c r="G750" s="943"/>
      <c r="H750" s="944"/>
    </row>
    <row r="751">
      <c r="A751" s="943"/>
      <c r="B751" s="943"/>
      <c r="C751" s="943"/>
      <c r="D751" s="943"/>
      <c r="E751" s="943"/>
      <c r="F751" s="943"/>
      <c r="G751" s="943"/>
      <c r="H751" s="944"/>
    </row>
    <row r="752">
      <c r="A752" s="943"/>
      <c r="B752" s="943"/>
      <c r="C752" s="943"/>
      <c r="D752" s="943"/>
      <c r="E752" s="943"/>
      <c r="F752" s="943"/>
      <c r="G752" s="943"/>
      <c r="H752" s="944"/>
    </row>
    <row r="753">
      <c r="A753" s="943"/>
      <c r="B753" s="943"/>
      <c r="C753" s="943"/>
      <c r="D753" s="943"/>
      <c r="E753" s="943"/>
      <c r="F753" s="943"/>
      <c r="G753" s="943"/>
      <c r="H753" s="944"/>
    </row>
    <row r="754">
      <c r="A754" s="943"/>
      <c r="B754" s="943"/>
      <c r="C754" s="943"/>
      <c r="D754" s="943"/>
      <c r="E754" s="943"/>
      <c r="F754" s="943"/>
      <c r="G754" s="943"/>
      <c r="H754" s="944"/>
    </row>
    <row r="755">
      <c r="A755" s="943"/>
      <c r="B755" s="943"/>
      <c r="C755" s="943"/>
      <c r="D755" s="943"/>
      <c r="E755" s="943"/>
      <c r="F755" s="943"/>
      <c r="G755" s="943"/>
      <c r="H755" s="944"/>
    </row>
    <row r="756">
      <c r="A756" s="943"/>
      <c r="B756" s="943"/>
      <c r="C756" s="943"/>
      <c r="D756" s="943"/>
      <c r="E756" s="943"/>
      <c r="F756" s="943"/>
      <c r="G756" s="943"/>
      <c r="H756" s="944"/>
    </row>
    <row r="757">
      <c r="A757" s="943"/>
      <c r="B757" s="943"/>
      <c r="C757" s="943"/>
      <c r="D757" s="943"/>
      <c r="E757" s="943"/>
      <c r="F757" s="943"/>
      <c r="G757" s="943"/>
      <c r="H757" s="944"/>
    </row>
    <row r="758">
      <c r="A758" s="943"/>
      <c r="B758" s="943"/>
      <c r="C758" s="943"/>
      <c r="D758" s="943"/>
      <c r="E758" s="943"/>
      <c r="F758" s="943"/>
      <c r="G758" s="943"/>
      <c r="H758" s="944"/>
    </row>
    <row r="759">
      <c r="A759" s="943"/>
      <c r="B759" s="943"/>
      <c r="C759" s="943"/>
      <c r="D759" s="943"/>
      <c r="E759" s="943"/>
      <c r="F759" s="943"/>
      <c r="G759" s="943"/>
      <c r="H759" s="944"/>
    </row>
    <row r="760">
      <c r="A760" s="943"/>
      <c r="B760" s="943"/>
      <c r="C760" s="943"/>
      <c r="D760" s="943"/>
      <c r="E760" s="943"/>
      <c r="F760" s="943"/>
      <c r="G760" s="943"/>
      <c r="H760" s="944"/>
    </row>
    <row r="761">
      <c r="A761" s="943"/>
      <c r="B761" s="943"/>
      <c r="C761" s="943"/>
      <c r="D761" s="943"/>
      <c r="E761" s="943"/>
      <c r="F761" s="943"/>
      <c r="G761" s="943"/>
      <c r="H761" s="944"/>
    </row>
    <row r="762">
      <c r="A762" s="943"/>
      <c r="B762" s="943"/>
      <c r="C762" s="943"/>
      <c r="D762" s="943"/>
      <c r="E762" s="943"/>
      <c r="F762" s="943"/>
      <c r="G762" s="943"/>
      <c r="H762" s="944"/>
    </row>
    <row r="763">
      <c r="A763" s="943"/>
      <c r="B763" s="943"/>
      <c r="C763" s="943"/>
      <c r="D763" s="943"/>
      <c r="E763" s="943"/>
      <c r="F763" s="943"/>
      <c r="G763" s="943"/>
      <c r="H763" s="944"/>
    </row>
    <row r="764">
      <c r="A764" s="943"/>
      <c r="B764" s="943"/>
      <c r="C764" s="943"/>
      <c r="D764" s="943"/>
      <c r="E764" s="943"/>
      <c r="F764" s="943"/>
      <c r="G764" s="943"/>
      <c r="H764" s="944"/>
    </row>
    <row r="765">
      <c r="A765" s="943"/>
      <c r="B765" s="943"/>
      <c r="C765" s="943"/>
      <c r="D765" s="943"/>
      <c r="E765" s="943"/>
      <c r="F765" s="943"/>
      <c r="G765" s="943"/>
      <c r="H765" s="944"/>
    </row>
    <row r="766">
      <c r="A766" s="943"/>
      <c r="B766" s="943"/>
      <c r="C766" s="943"/>
      <c r="D766" s="943"/>
      <c r="E766" s="943"/>
      <c r="F766" s="943"/>
      <c r="G766" s="943"/>
      <c r="H766" s="944"/>
    </row>
    <row r="767">
      <c r="A767" s="943"/>
      <c r="B767" s="943"/>
      <c r="C767" s="943"/>
      <c r="D767" s="943"/>
      <c r="E767" s="943"/>
      <c r="F767" s="943"/>
      <c r="G767" s="943"/>
      <c r="H767" s="944"/>
    </row>
    <row r="768">
      <c r="A768" s="943"/>
      <c r="B768" s="943"/>
      <c r="C768" s="943"/>
      <c r="D768" s="943"/>
      <c r="E768" s="943"/>
      <c r="F768" s="943"/>
      <c r="G768" s="943"/>
      <c r="H768" s="944"/>
    </row>
    <row r="769">
      <c r="A769" s="943"/>
      <c r="B769" s="943"/>
      <c r="C769" s="943"/>
      <c r="D769" s="943"/>
      <c r="E769" s="943"/>
      <c r="F769" s="943"/>
      <c r="G769" s="943"/>
      <c r="H769" s="944"/>
    </row>
    <row r="770">
      <c r="A770" s="943"/>
      <c r="B770" s="943"/>
      <c r="C770" s="943"/>
      <c r="D770" s="943"/>
      <c r="E770" s="943"/>
      <c r="F770" s="943"/>
      <c r="G770" s="943"/>
      <c r="H770" s="944"/>
    </row>
    <row r="771">
      <c r="A771" s="943"/>
      <c r="B771" s="943"/>
      <c r="C771" s="943"/>
      <c r="D771" s="943"/>
      <c r="E771" s="943"/>
      <c r="F771" s="943"/>
      <c r="G771" s="943"/>
      <c r="H771" s="944"/>
    </row>
    <row r="772">
      <c r="A772" s="943"/>
      <c r="B772" s="943"/>
      <c r="C772" s="943"/>
      <c r="D772" s="943"/>
      <c r="E772" s="943"/>
      <c r="F772" s="943"/>
      <c r="G772" s="943"/>
      <c r="H772" s="944"/>
    </row>
    <row r="773">
      <c r="A773" s="943"/>
      <c r="B773" s="943"/>
      <c r="C773" s="943"/>
      <c r="D773" s="943"/>
      <c r="E773" s="943"/>
      <c r="F773" s="943"/>
      <c r="G773" s="943"/>
      <c r="H773" s="944"/>
    </row>
    <row r="774">
      <c r="A774" s="943"/>
      <c r="B774" s="943"/>
      <c r="C774" s="943"/>
      <c r="D774" s="943"/>
      <c r="E774" s="943"/>
      <c r="F774" s="943"/>
      <c r="G774" s="943"/>
      <c r="H774" s="944"/>
    </row>
    <row r="775">
      <c r="A775" s="943"/>
      <c r="B775" s="943"/>
      <c r="C775" s="943"/>
      <c r="D775" s="943"/>
      <c r="E775" s="943"/>
      <c r="F775" s="943"/>
      <c r="G775" s="943"/>
      <c r="H775" s="944"/>
    </row>
    <row r="776">
      <c r="A776" s="943"/>
      <c r="B776" s="943"/>
      <c r="C776" s="943"/>
      <c r="D776" s="943"/>
      <c r="E776" s="943"/>
      <c r="F776" s="943"/>
      <c r="G776" s="943"/>
      <c r="H776" s="944"/>
    </row>
    <row r="777">
      <c r="A777" s="943"/>
      <c r="B777" s="943"/>
      <c r="C777" s="943"/>
      <c r="D777" s="943"/>
      <c r="E777" s="943"/>
      <c r="F777" s="943"/>
      <c r="G777" s="943"/>
      <c r="H777" s="944"/>
    </row>
    <row r="778">
      <c r="A778" s="943"/>
      <c r="B778" s="943"/>
      <c r="C778" s="943"/>
      <c r="D778" s="943"/>
      <c r="E778" s="943"/>
      <c r="F778" s="943"/>
      <c r="G778" s="943"/>
      <c r="H778" s="944"/>
    </row>
    <row r="779">
      <c r="A779" s="943"/>
      <c r="B779" s="943"/>
      <c r="C779" s="943"/>
      <c r="D779" s="943"/>
      <c r="E779" s="943"/>
      <c r="F779" s="943"/>
      <c r="G779" s="943"/>
      <c r="H779" s="944"/>
    </row>
    <row r="780">
      <c r="A780" s="943"/>
      <c r="B780" s="943"/>
      <c r="C780" s="943"/>
      <c r="D780" s="943"/>
      <c r="E780" s="943"/>
      <c r="F780" s="943"/>
      <c r="G780" s="943"/>
      <c r="H780" s="944"/>
    </row>
    <row r="781">
      <c r="A781" s="943"/>
      <c r="B781" s="943"/>
      <c r="C781" s="943"/>
      <c r="D781" s="943"/>
      <c r="E781" s="943"/>
      <c r="F781" s="943"/>
      <c r="G781" s="943"/>
      <c r="H781" s="944"/>
    </row>
    <row r="782">
      <c r="A782" s="943"/>
      <c r="B782" s="943"/>
      <c r="C782" s="943"/>
      <c r="D782" s="943"/>
      <c r="E782" s="943"/>
      <c r="F782" s="943"/>
      <c r="G782" s="943"/>
      <c r="H782" s="944"/>
    </row>
    <row r="783">
      <c r="A783" s="943"/>
      <c r="B783" s="943"/>
      <c r="C783" s="943"/>
      <c r="D783" s="943"/>
      <c r="E783" s="943"/>
      <c r="F783" s="943"/>
      <c r="G783" s="943"/>
      <c r="H783" s="944"/>
    </row>
    <row r="784">
      <c r="A784" s="943"/>
      <c r="B784" s="943"/>
      <c r="C784" s="943"/>
      <c r="D784" s="943"/>
      <c r="E784" s="943"/>
      <c r="F784" s="943"/>
      <c r="G784" s="943"/>
      <c r="H784" s="944"/>
    </row>
    <row r="785">
      <c r="A785" s="943"/>
      <c r="B785" s="943"/>
      <c r="C785" s="943"/>
      <c r="D785" s="943"/>
      <c r="E785" s="943"/>
      <c r="F785" s="943"/>
      <c r="G785" s="943"/>
      <c r="H785" s="944"/>
    </row>
    <row r="786">
      <c r="A786" s="943"/>
      <c r="B786" s="943"/>
      <c r="C786" s="943"/>
      <c r="D786" s="943"/>
      <c r="E786" s="943"/>
      <c r="F786" s="943"/>
      <c r="G786" s="943"/>
      <c r="H786" s="944"/>
    </row>
    <row r="787">
      <c r="A787" s="943"/>
      <c r="B787" s="943"/>
      <c r="C787" s="943"/>
      <c r="D787" s="943"/>
      <c r="E787" s="943"/>
      <c r="F787" s="943"/>
      <c r="G787" s="943"/>
      <c r="H787" s="944"/>
    </row>
    <row r="788">
      <c r="A788" s="943"/>
      <c r="B788" s="943"/>
      <c r="C788" s="943"/>
      <c r="D788" s="943"/>
      <c r="E788" s="943"/>
      <c r="F788" s="943"/>
      <c r="G788" s="943"/>
      <c r="H788" s="944"/>
    </row>
    <row r="789">
      <c r="A789" s="943"/>
      <c r="B789" s="943"/>
      <c r="C789" s="943"/>
      <c r="D789" s="943"/>
      <c r="E789" s="943"/>
      <c r="F789" s="943"/>
      <c r="G789" s="943"/>
      <c r="H789" s="944"/>
    </row>
    <row r="790">
      <c r="A790" s="943"/>
      <c r="B790" s="943"/>
      <c r="C790" s="943"/>
      <c r="D790" s="943"/>
      <c r="E790" s="943"/>
      <c r="F790" s="943"/>
      <c r="G790" s="943"/>
      <c r="H790" s="944"/>
    </row>
    <row r="791">
      <c r="A791" s="943"/>
      <c r="B791" s="943"/>
      <c r="C791" s="943"/>
      <c r="D791" s="943"/>
      <c r="E791" s="943"/>
      <c r="F791" s="943"/>
      <c r="G791" s="943"/>
      <c r="H791" s="944"/>
    </row>
    <row r="792">
      <c r="A792" s="943"/>
      <c r="B792" s="943"/>
      <c r="C792" s="943"/>
      <c r="D792" s="943"/>
      <c r="E792" s="943"/>
      <c r="F792" s="943"/>
      <c r="G792" s="943"/>
      <c r="H792" s="944"/>
    </row>
    <row r="793">
      <c r="A793" s="943"/>
      <c r="B793" s="943"/>
      <c r="C793" s="943"/>
      <c r="D793" s="943"/>
      <c r="E793" s="943"/>
      <c r="F793" s="943"/>
      <c r="G793" s="943"/>
      <c r="H793" s="944"/>
    </row>
    <row r="794">
      <c r="A794" s="943"/>
      <c r="B794" s="943"/>
      <c r="C794" s="943"/>
      <c r="D794" s="943"/>
      <c r="E794" s="943"/>
      <c r="F794" s="943"/>
      <c r="G794" s="943"/>
      <c r="H794" s="944"/>
    </row>
    <row r="795">
      <c r="A795" s="943"/>
      <c r="B795" s="943"/>
      <c r="C795" s="943"/>
      <c r="D795" s="943"/>
      <c r="E795" s="943"/>
      <c r="F795" s="943"/>
      <c r="G795" s="943"/>
      <c r="H795" s="944"/>
    </row>
    <row r="796">
      <c r="A796" s="943"/>
      <c r="B796" s="943"/>
      <c r="C796" s="943"/>
      <c r="D796" s="943"/>
      <c r="E796" s="943"/>
      <c r="F796" s="943"/>
      <c r="G796" s="943"/>
      <c r="H796" s="944"/>
    </row>
    <row r="797">
      <c r="A797" s="943"/>
      <c r="B797" s="943"/>
      <c r="C797" s="943"/>
      <c r="D797" s="943"/>
      <c r="E797" s="943"/>
      <c r="F797" s="943"/>
      <c r="G797" s="943"/>
      <c r="H797" s="944"/>
    </row>
    <row r="798">
      <c r="A798" s="943"/>
      <c r="B798" s="943"/>
      <c r="C798" s="943"/>
      <c r="D798" s="943"/>
      <c r="E798" s="943"/>
      <c r="F798" s="943"/>
      <c r="G798" s="943"/>
      <c r="H798" s="944"/>
    </row>
    <row r="799">
      <c r="A799" s="943"/>
      <c r="B799" s="943"/>
      <c r="C799" s="943"/>
      <c r="D799" s="943"/>
      <c r="E799" s="943"/>
      <c r="F799" s="943"/>
      <c r="G799" s="943"/>
      <c r="H799" s="944"/>
    </row>
    <row r="800">
      <c r="A800" s="943"/>
      <c r="B800" s="943"/>
      <c r="C800" s="943"/>
      <c r="D800" s="943"/>
      <c r="E800" s="943"/>
      <c r="F800" s="943"/>
      <c r="G800" s="943"/>
      <c r="H800" s="944"/>
    </row>
    <row r="801">
      <c r="A801" s="943"/>
      <c r="B801" s="943"/>
      <c r="C801" s="943"/>
      <c r="D801" s="943"/>
      <c r="E801" s="943"/>
      <c r="F801" s="943"/>
      <c r="G801" s="943"/>
      <c r="H801" s="944"/>
    </row>
    <row r="802">
      <c r="A802" s="943"/>
      <c r="B802" s="943"/>
      <c r="C802" s="943"/>
      <c r="D802" s="943"/>
      <c r="E802" s="943"/>
      <c r="F802" s="943"/>
      <c r="G802" s="943"/>
      <c r="H802" s="944"/>
    </row>
    <row r="803">
      <c r="A803" s="943"/>
      <c r="B803" s="943"/>
      <c r="C803" s="943"/>
      <c r="D803" s="943"/>
      <c r="E803" s="943"/>
      <c r="F803" s="943"/>
      <c r="G803" s="943"/>
      <c r="H803" s="944"/>
    </row>
    <row r="804">
      <c r="A804" s="943"/>
      <c r="B804" s="943"/>
      <c r="C804" s="943"/>
      <c r="D804" s="943"/>
      <c r="E804" s="943"/>
      <c r="F804" s="943"/>
      <c r="G804" s="943"/>
      <c r="H804" s="944"/>
    </row>
    <row r="805">
      <c r="A805" s="943"/>
      <c r="B805" s="943"/>
      <c r="C805" s="943"/>
      <c r="D805" s="943"/>
      <c r="E805" s="943"/>
      <c r="F805" s="943"/>
      <c r="G805" s="943"/>
      <c r="H805" s="944"/>
    </row>
    <row r="806">
      <c r="A806" s="943"/>
      <c r="B806" s="943"/>
      <c r="C806" s="943"/>
      <c r="D806" s="943"/>
      <c r="E806" s="943"/>
      <c r="F806" s="943"/>
      <c r="G806" s="943"/>
      <c r="H806" s="944"/>
    </row>
    <row r="807">
      <c r="A807" s="943"/>
      <c r="B807" s="943"/>
      <c r="C807" s="943"/>
      <c r="D807" s="943"/>
      <c r="E807" s="943"/>
      <c r="F807" s="943"/>
      <c r="G807" s="943"/>
      <c r="H807" s="944"/>
    </row>
    <row r="808">
      <c r="A808" s="943"/>
      <c r="B808" s="943"/>
      <c r="C808" s="943"/>
      <c r="D808" s="943"/>
      <c r="E808" s="943"/>
      <c r="F808" s="943"/>
      <c r="G808" s="943"/>
      <c r="H808" s="944"/>
    </row>
    <row r="809">
      <c r="A809" s="943"/>
      <c r="B809" s="943"/>
      <c r="C809" s="943"/>
      <c r="D809" s="943"/>
      <c r="E809" s="943"/>
      <c r="F809" s="943"/>
      <c r="G809" s="943"/>
      <c r="H809" s="944"/>
    </row>
    <row r="810">
      <c r="A810" s="943"/>
      <c r="B810" s="943"/>
      <c r="C810" s="943"/>
      <c r="D810" s="943"/>
      <c r="E810" s="943"/>
      <c r="F810" s="943"/>
      <c r="G810" s="943"/>
      <c r="H810" s="944"/>
    </row>
    <row r="811">
      <c r="A811" s="943"/>
      <c r="B811" s="943"/>
      <c r="C811" s="943"/>
      <c r="D811" s="943"/>
      <c r="E811" s="943"/>
      <c r="F811" s="943"/>
      <c r="G811" s="943"/>
      <c r="H811" s="944"/>
    </row>
    <row r="812">
      <c r="A812" s="943"/>
      <c r="B812" s="943"/>
      <c r="C812" s="943"/>
      <c r="D812" s="943"/>
      <c r="E812" s="943"/>
      <c r="F812" s="943"/>
      <c r="G812" s="943"/>
      <c r="H812" s="944"/>
    </row>
    <row r="813">
      <c r="A813" s="943"/>
      <c r="B813" s="943"/>
      <c r="C813" s="943"/>
      <c r="D813" s="943"/>
      <c r="E813" s="943"/>
      <c r="F813" s="943"/>
      <c r="G813" s="943"/>
      <c r="H813" s="944"/>
    </row>
    <row r="814">
      <c r="A814" s="943"/>
      <c r="B814" s="943"/>
      <c r="C814" s="943"/>
      <c r="D814" s="943"/>
      <c r="E814" s="943"/>
      <c r="F814" s="943"/>
      <c r="G814" s="943"/>
      <c r="H814" s="944"/>
    </row>
    <row r="815">
      <c r="A815" s="943"/>
      <c r="B815" s="943"/>
      <c r="C815" s="943"/>
      <c r="D815" s="943"/>
      <c r="E815" s="943"/>
      <c r="F815" s="943"/>
      <c r="G815" s="943"/>
      <c r="H815" s="944"/>
    </row>
    <row r="816">
      <c r="A816" s="943"/>
      <c r="B816" s="943"/>
      <c r="C816" s="943"/>
      <c r="D816" s="943"/>
      <c r="E816" s="943"/>
      <c r="F816" s="943"/>
      <c r="G816" s="943"/>
      <c r="H816" s="944"/>
    </row>
    <row r="817">
      <c r="A817" s="943"/>
      <c r="B817" s="943"/>
      <c r="C817" s="943"/>
      <c r="D817" s="943"/>
      <c r="E817" s="943"/>
      <c r="F817" s="943"/>
      <c r="G817" s="943"/>
      <c r="H817" s="944"/>
    </row>
    <row r="818">
      <c r="A818" s="943"/>
      <c r="B818" s="943"/>
      <c r="C818" s="943"/>
      <c r="D818" s="943"/>
      <c r="E818" s="943"/>
      <c r="F818" s="943"/>
      <c r="G818" s="943"/>
      <c r="H818" s="944"/>
    </row>
    <row r="819">
      <c r="A819" s="943"/>
      <c r="B819" s="943"/>
      <c r="C819" s="943"/>
      <c r="D819" s="943"/>
      <c r="E819" s="943"/>
      <c r="F819" s="943"/>
      <c r="G819" s="943"/>
      <c r="H819" s="944"/>
    </row>
    <row r="820">
      <c r="A820" s="943"/>
      <c r="B820" s="943"/>
      <c r="C820" s="943"/>
      <c r="D820" s="943"/>
      <c r="E820" s="943"/>
      <c r="F820" s="943"/>
      <c r="G820" s="943"/>
      <c r="H820" s="944"/>
    </row>
    <row r="821">
      <c r="A821" s="943"/>
      <c r="B821" s="943"/>
      <c r="C821" s="943"/>
      <c r="D821" s="943"/>
      <c r="E821" s="943"/>
      <c r="F821" s="943"/>
      <c r="G821" s="943"/>
      <c r="H821" s="944"/>
    </row>
    <row r="822">
      <c r="A822" s="943"/>
      <c r="B822" s="943"/>
      <c r="C822" s="943"/>
      <c r="D822" s="943"/>
      <c r="E822" s="943"/>
      <c r="F822" s="943"/>
      <c r="G822" s="943"/>
      <c r="H822" s="944"/>
    </row>
    <row r="823">
      <c r="A823" s="943"/>
      <c r="B823" s="943"/>
      <c r="C823" s="943"/>
      <c r="D823" s="943"/>
      <c r="E823" s="943"/>
      <c r="F823" s="943"/>
      <c r="G823" s="943"/>
      <c r="H823" s="944"/>
    </row>
    <row r="824">
      <c r="A824" s="943"/>
      <c r="B824" s="943"/>
      <c r="C824" s="943"/>
      <c r="D824" s="943"/>
      <c r="E824" s="943"/>
      <c r="F824" s="943"/>
      <c r="G824" s="943"/>
      <c r="H824" s="944"/>
    </row>
    <row r="825">
      <c r="A825" s="943"/>
      <c r="B825" s="943"/>
      <c r="C825" s="943"/>
      <c r="D825" s="943"/>
      <c r="E825" s="943"/>
      <c r="F825" s="943"/>
      <c r="G825" s="943"/>
      <c r="H825" s="944"/>
    </row>
    <row r="826">
      <c r="A826" s="943"/>
      <c r="B826" s="943"/>
      <c r="C826" s="943"/>
      <c r="D826" s="943"/>
      <c r="E826" s="943"/>
      <c r="F826" s="943"/>
      <c r="G826" s="943"/>
      <c r="H826" s="944"/>
    </row>
    <row r="827">
      <c r="A827" s="943"/>
      <c r="B827" s="943"/>
      <c r="C827" s="943"/>
      <c r="D827" s="943"/>
      <c r="E827" s="943"/>
      <c r="F827" s="943"/>
      <c r="G827" s="943"/>
      <c r="H827" s="944"/>
    </row>
    <row r="828">
      <c r="A828" s="943"/>
      <c r="B828" s="943"/>
      <c r="C828" s="943"/>
      <c r="D828" s="943"/>
      <c r="E828" s="943"/>
      <c r="F828" s="943"/>
      <c r="G828" s="943"/>
      <c r="H828" s="944"/>
    </row>
    <row r="829">
      <c r="A829" s="943"/>
      <c r="B829" s="943"/>
      <c r="C829" s="943"/>
      <c r="D829" s="943"/>
      <c r="E829" s="943"/>
      <c r="F829" s="943"/>
      <c r="G829" s="943"/>
      <c r="H829" s="944"/>
    </row>
    <row r="830">
      <c r="A830" s="943"/>
      <c r="B830" s="943"/>
      <c r="C830" s="943"/>
      <c r="D830" s="943"/>
      <c r="E830" s="943"/>
      <c r="F830" s="943"/>
      <c r="G830" s="943"/>
      <c r="H830" s="944"/>
    </row>
    <row r="831">
      <c r="A831" s="943"/>
      <c r="B831" s="943"/>
      <c r="C831" s="943"/>
      <c r="D831" s="943"/>
      <c r="E831" s="943"/>
      <c r="F831" s="943"/>
      <c r="G831" s="943"/>
      <c r="H831" s="944"/>
    </row>
    <row r="832">
      <c r="A832" s="943"/>
      <c r="B832" s="943"/>
      <c r="C832" s="943"/>
      <c r="D832" s="943"/>
      <c r="E832" s="943"/>
      <c r="F832" s="943"/>
      <c r="G832" s="943"/>
      <c r="H832" s="944"/>
    </row>
    <row r="833">
      <c r="A833" s="943"/>
      <c r="B833" s="943"/>
      <c r="C833" s="943"/>
      <c r="D833" s="943"/>
      <c r="E833" s="943"/>
      <c r="F833" s="943"/>
      <c r="G833" s="943"/>
      <c r="H833" s="944"/>
    </row>
    <row r="834">
      <c r="A834" s="943"/>
      <c r="B834" s="943"/>
      <c r="C834" s="943"/>
      <c r="D834" s="943"/>
      <c r="E834" s="943"/>
      <c r="F834" s="943"/>
      <c r="G834" s="943"/>
      <c r="H834" s="944"/>
    </row>
    <row r="835">
      <c r="A835" s="943"/>
      <c r="B835" s="943"/>
      <c r="C835" s="943"/>
      <c r="D835" s="943"/>
      <c r="E835" s="943"/>
      <c r="F835" s="943"/>
      <c r="G835" s="943"/>
      <c r="H835" s="944"/>
    </row>
    <row r="836">
      <c r="A836" s="943"/>
      <c r="B836" s="943"/>
      <c r="C836" s="943"/>
      <c r="D836" s="943"/>
      <c r="E836" s="943"/>
      <c r="F836" s="943"/>
      <c r="G836" s="943"/>
      <c r="H836" s="944"/>
    </row>
    <row r="837">
      <c r="A837" s="943"/>
      <c r="B837" s="943"/>
      <c r="C837" s="943"/>
      <c r="D837" s="943"/>
      <c r="E837" s="943"/>
      <c r="F837" s="943"/>
      <c r="G837" s="943"/>
      <c r="H837" s="944"/>
    </row>
    <row r="838">
      <c r="A838" s="943"/>
      <c r="B838" s="943"/>
      <c r="C838" s="943"/>
      <c r="D838" s="943"/>
      <c r="E838" s="943"/>
      <c r="F838" s="943"/>
      <c r="G838" s="943"/>
      <c r="H838" s="944"/>
    </row>
    <row r="839">
      <c r="A839" s="943"/>
      <c r="B839" s="943"/>
      <c r="C839" s="943"/>
      <c r="D839" s="943"/>
      <c r="E839" s="943"/>
      <c r="F839" s="943"/>
      <c r="G839" s="943"/>
      <c r="H839" s="944"/>
    </row>
    <row r="840">
      <c r="A840" s="943"/>
      <c r="B840" s="943"/>
      <c r="C840" s="943"/>
      <c r="D840" s="943"/>
      <c r="E840" s="943"/>
      <c r="F840" s="943"/>
      <c r="G840" s="943"/>
      <c r="H840" s="944"/>
    </row>
    <row r="841">
      <c r="A841" s="943"/>
      <c r="B841" s="943"/>
      <c r="C841" s="943"/>
      <c r="D841" s="943"/>
      <c r="E841" s="943"/>
      <c r="F841" s="943"/>
      <c r="G841" s="943"/>
      <c r="H841" s="944"/>
    </row>
    <row r="842">
      <c r="A842" s="943"/>
      <c r="B842" s="943"/>
      <c r="C842" s="943"/>
      <c r="D842" s="943"/>
      <c r="E842" s="943"/>
      <c r="F842" s="943"/>
      <c r="G842" s="943"/>
      <c r="H842" s="944"/>
    </row>
    <row r="843">
      <c r="A843" s="943"/>
      <c r="B843" s="943"/>
      <c r="C843" s="943"/>
      <c r="D843" s="943"/>
      <c r="E843" s="943"/>
      <c r="F843" s="943"/>
      <c r="G843" s="943"/>
      <c r="H843" s="944"/>
    </row>
    <row r="844">
      <c r="A844" s="943"/>
      <c r="B844" s="943"/>
      <c r="C844" s="943"/>
      <c r="D844" s="943"/>
      <c r="E844" s="943"/>
      <c r="F844" s="943"/>
      <c r="G844" s="943"/>
      <c r="H844" s="944"/>
    </row>
    <row r="845">
      <c r="A845" s="943"/>
      <c r="B845" s="943"/>
      <c r="C845" s="943"/>
      <c r="D845" s="943"/>
      <c r="E845" s="943"/>
      <c r="F845" s="943"/>
      <c r="G845" s="943"/>
      <c r="H845" s="944"/>
    </row>
    <row r="846">
      <c r="A846" s="943"/>
      <c r="B846" s="943"/>
      <c r="C846" s="943"/>
      <c r="D846" s="943"/>
      <c r="E846" s="943"/>
      <c r="F846" s="943"/>
      <c r="G846" s="943"/>
      <c r="H846" s="944"/>
    </row>
    <row r="847">
      <c r="A847" s="943"/>
      <c r="B847" s="943"/>
      <c r="C847" s="943"/>
      <c r="D847" s="943"/>
      <c r="E847" s="943"/>
      <c r="F847" s="943"/>
      <c r="G847" s="943"/>
      <c r="H847" s="944"/>
    </row>
    <row r="848">
      <c r="A848" s="943"/>
      <c r="B848" s="943"/>
      <c r="C848" s="943"/>
      <c r="D848" s="943"/>
      <c r="E848" s="943"/>
      <c r="F848" s="943"/>
      <c r="G848" s="943"/>
      <c r="H848" s="944"/>
    </row>
    <row r="849">
      <c r="A849" s="943"/>
      <c r="B849" s="943"/>
      <c r="C849" s="943"/>
      <c r="D849" s="943"/>
      <c r="E849" s="943"/>
      <c r="F849" s="943"/>
      <c r="G849" s="943"/>
      <c r="H849" s="944"/>
    </row>
    <row r="850">
      <c r="A850" s="943"/>
      <c r="B850" s="943"/>
      <c r="C850" s="943"/>
      <c r="D850" s="943"/>
      <c r="E850" s="943"/>
      <c r="F850" s="943"/>
      <c r="G850" s="943"/>
      <c r="H850" s="944"/>
    </row>
    <row r="851">
      <c r="A851" s="943"/>
      <c r="B851" s="943"/>
      <c r="C851" s="943"/>
      <c r="D851" s="943"/>
      <c r="E851" s="943"/>
      <c r="F851" s="943"/>
      <c r="G851" s="943"/>
      <c r="H851" s="944"/>
    </row>
    <row r="852">
      <c r="A852" s="943"/>
      <c r="B852" s="943"/>
      <c r="C852" s="943"/>
      <c r="D852" s="943"/>
      <c r="E852" s="943"/>
      <c r="F852" s="943"/>
      <c r="G852" s="943"/>
      <c r="H852" s="944"/>
    </row>
    <row r="853">
      <c r="A853" s="943"/>
      <c r="B853" s="943"/>
      <c r="C853" s="943"/>
      <c r="D853" s="943"/>
      <c r="E853" s="943"/>
      <c r="F853" s="943"/>
      <c r="G853" s="943"/>
      <c r="H853" s="944"/>
    </row>
    <row r="854">
      <c r="A854" s="943"/>
      <c r="B854" s="943"/>
      <c r="C854" s="943"/>
      <c r="D854" s="943"/>
      <c r="E854" s="943"/>
      <c r="F854" s="943"/>
      <c r="G854" s="943"/>
      <c r="H854" s="944"/>
    </row>
    <row r="855">
      <c r="A855" s="943"/>
      <c r="B855" s="943"/>
      <c r="C855" s="943"/>
      <c r="D855" s="943"/>
      <c r="E855" s="943"/>
      <c r="F855" s="943"/>
      <c r="G855" s="943"/>
      <c r="H855" s="944"/>
    </row>
    <row r="856">
      <c r="A856" s="943"/>
      <c r="B856" s="943"/>
      <c r="C856" s="943"/>
      <c r="D856" s="943"/>
      <c r="E856" s="943"/>
      <c r="F856" s="943"/>
      <c r="G856" s="943"/>
      <c r="H856" s="944"/>
    </row>
    <row r="857">
      <c r="A857" s="943"/>
      <c r="B857" s="943"/>
      <c r="C857" s="943"/>
      <c r="D857" s="943"/>
      <c r="E857" s="943"/>
      <c r="F857" s="943"/>
      <c r="G857" s="943"/>
      <c r="H857" s="944"/>
    </row>
    <row r="858">
      <c r="A858" s="943"/>
      <c r="B858" s="943"/>
      <c r="C858" s="943"/>
      <c r="D858" s="943"/>
      <c r="E858" s="943"/>
      <c r="F858" s="943"/>
      <c r="G858" s="943"/>
      <c r="H858" s="944"/>
    </row>
    <row r="859">
      <c r="A859" s="943"/>
      <c r="B859" s="943"/>
      <c r="C859" s="943"/>
      <c r="D859" s="943"/>
      <c r="E859" s="943"/>
      <c r="F859" s="943"/>
      <c r="G859" s="943"/>
      <c r="H859" s="944"/>
    </row>
    <row r="860">
      <c r="A860" s="943"/>
      <c r="B860" s="943"/>
      <c r="C860" s="943"/>
      <c r="D860" s="943"/>
      <c r="E860" s="943"/>
      <c r="F860" s="943"/>
      <c r="G860" s="943"/>
      <c r="H860" s="944"/>
    </row>
    <row r="861">
      <c r="A861" s="943"/>
      <c r="B861" s="943"/>
      <c r="C861" s="943"/>
      <c r="D861" s="943"/>
      <c r="E861" s="943"/>
      <c r="F861" s="943"/>
      <c r="G861" s="943"/>
      <c r="H861" s="944"/>
    </row>
    <row r="862">
      <c r="A862" s="943"/>
      <c r="B862" s="943"/>
      <c r="C862" s="943"/>
      <c r="D862" s="943"/>
      <c r="E862" s="943"/>
      <c r="F862" s="943"/>
      <c r="G862" s="943"/>
      <c r="H862" s="944"/>
    </row>
    <row r="863">
      <c r="A863" s="943"/>
      <c r="B863" s="943"/>
      <c r="C863" s="943"/>
      <c r="D863" s="943"/>
      <c r="E863" s="943"/>
      <c r="F863" s="943"/>
      <c r="G863" s="943"/>
      <c r="H863" s="944"/>
    </row>
    <row r="864">
      <c r="A864" s="943"/>
      <c r="B864" s="943"/>
      <c r="C864" s="943"/>
      <c r="D864" s="943"/>
      <c r="E864" s="943"/>
      <c r="F864" s="943"/>
      <c r="G864" s="943"/>
      <c r="H864" s="944"/>
    </row>
    <row r="865">
      <c r="A865" s="943"/>
      <c r="B865" s="943"/>
      <c r="C865" s="943"/>
      <c r="D865" s="943"/>
      <c r="E865" s="943"/>
      <c r="F865" s="943"/>
      <c r="G865" s="943"/>
      <c r="H865" s="944"/>
    </row>
    <row r="866">
      <c r="A866" s="943"/>
      <c r="B866" s="943"/>
      <c r="C866" s="943"/>
      <c r="D866" s="943"/>
      <c r="E866" s="943"/>
      <c r="F866" s="943"/>
      <c r="G866" s="943"/>
      <c r="H866" s="944"/>
    </row>
    <row r="867">
      <c r="A867" s="943"/>
      <c r="B867" s="943"/>
      <c r="C867" s="943"/>
      <c r="D867" s="943"/>
      <c r="E867" s="943"/>
      <c r="F867" s="943"/>
      <c r="G867" s="943"/>
      <c r="H867" s="944"/>
    </row>
    <row r="868">
      <c r="A868" s="943"/>
      <c r="B868" s="943"/>
      <c r="C868" s="943"/>
      <c r="D868" s="943"/>
      <c r="E868" s="943"/>
      <c r="F868" s="943"/>
      <c r="G868" s="943"/>
      <c r="H868" s="944"/>
    </row>
    <row r="869">
      <c r="A869" s="943"/>
      <c r="B869" s="943"/>
      <c r="C869" s="943"/>
      <c r="D869" s="943"/>
      <c r="E869" s="943"/>
      <c r="F869" s="943"/>
      <c r="G869" s="943"/>
      <c r="H869" s="944"/>
    </row>
    <row r="870">
      <c r="A870" s="943"/>
      <c r="B870" s="943"/>
      <c r="C870" s="943"/>
      <c r="D870" s="943"/>
      <c r="E870" s="943"/>
      <c r="F870" s="943"/>
      <c r="G870" s="943"/>
      <c r="H870" s="944"/>
    </row>
    <row r="871">
      <c r="A871" s="943"/>
      <c r="B871" s="943"/>
      <c r="C871" s="943"/>
      <c r="D871" s="943"/>
      <c r="E871" s="943"/>
      <c r="F871" s="943"/>
      <c r="G871" s="943"/>
      <c r="H871" s="944"/>
    </row>
    <row r="872">
      <c r="A872" s="943"/>
      <c r="B872" s="943"/>
      <c r="C872" s="943"/>
      <c r="D872" s="943"/>
      <c r="E872" s="943"/>
      <c r="F872" s="943"/>
      <c r="G872" s="943"/>
      <c r="H872" s="944"/>
    </row>
    <row r="873">
      <c r="A873" s="943"/>
      <c r="B873" s="943"/>
      <c r="C873" s="943"/>
      <c r="D873" s="943"/>
      <c r="E873" s="943"/>
      <c r="F873" s="943"/>
      <c r="G873" s="943"/>
      <c r="H873" s="944"/>
    </row>
    <row r="874">
      <c r="A874" s="943"/>
      <c r="B874" s="943"/>
      <c r="C874" s="943"/>
      <c r="D874" s="943"/>
      <c r="E874" s="943"/>
      <c r="F874" s="943"/>
      <c r="G874" s="943"/>
      <c r="H874" s="944"/>
    </row>
    <row r="875">
      <c r="A875" s="943"/>
      <c r="B875" s="943"/>
      <c r="C875" s="943"/>
      <c r="D875" s="943"/>
      <c r="E875" s="943"/>
      <c r="F875" s="943"/>
      <c r="G875" s="943"/>
      <c r="H875" s="944"/>
    </row>
    <row r="876">
      <c r="A876" s="943"/>
      <c r="B876" s="943"/>
      <c r="C876" s="943"/>
      <c r="D876" s="943"/>
      <c r="E876" s="943"/>
      <c r="F876" s="943"/>
      <c r="G876" s="943"/>
      <c r="H876" s="944"/>
    </row>
    <row r="877">
      <c r="A877" s="943"/>
      <c r="B877" s="943"/>
      <c r="C877" s="943"/>
      <c r="D877" s="943"/>
      <c r="E877" s="943"/>
      <c r="F877" s="943"/>
      <c r="G877" s="943"/>
      <c r="H877" s="944"/>
    </row>
    <row r="878">
      <c r="A878" s="943"/>
      <c r="B878" s="943"/>
      <c r="C878" s="943"/>
      <c r="D878" s="943"/>
      <c r="E878" s="943"/>
      <c r="F878" s="943"/>
      <c r="G878" s="943"/>
      <c r="H878" s="944"/>
    </row>
    <row r="879">
      <c r="A879" s="943"/>
      <c r="B879" s="943"/>
      <c r="C879" s="943"/>
      <c r="D879" s="943"/>
      <c r="E879" s="943"/>
      <c r="F879" s="943"/>
      <c r="G879" s="943"/>
      <c r="H879" s="944"/>
    </row>
    <row r="880">
      <c r="A880" s="943"/>
      <c r="B880" s="943"/>
      <c r="C880" s="943"/>
      <c r="D880" s="943"/>
      <c r="E880" s="943"/>
      <c r="F880" s="943"/>
      <c r="G880" s="943"/>
      <c r="H880" s="944"/>
    </row>
    <row r="881">
      <c r="A881" s="943"/>
      <c r="B881" s="943"/>
      <c r="C881" s="943"/>
      <c r="D881" s="943"/>
      <c r="E881" s="943"/>
      <c r="F881" s="943"/>
      <c r="G881" s="943"/>
      <c r="H881" s="944"/>
    </row>
    <row r="882">
      <c r="A882" s="943"/>
      <c r="B882" s="943"/>
      <c r="C882" s="943"/>
      <c r="D882" s="943"/>
      <c r="E882" s="943"/>
      <c r="F882" s="943"/>
      <c r="G882" s="943"/>
      <c r="H882" s="944"/>
    </row>
    <row r="883">
      <c r="A883" s="943"/>
      <c r="B883" s="943"/>
      <c r="C883" s="943"/>
      <c r="D883" s="943"/>
      <c r="E883" s="943"/>
      <c r="F883" s="943"/>
      <c r="G883" s="943"/>
      <c r="H883" s="944"/>
    </row>
    <row r="884">
      <c r="A884" s="943"/>
      <c r="B884" s="943"/>
      <c r="C884" s="943"/>
      <c r="D884" s="943"/>
      <c r="E884" s="943"/>
      <c r="F884" s="943"/>
      <c r="G884" s="943"/>
      <c r="H884" s="944"/>
    </row>
    <row r="885">
      <c r="A885" s="943"/>
      <c r="B885" s="943"/>
      <c r="C885" s="943"/>
      <c r="D885" s="943"/>
      <c r="E885" s="943"/>
      <c r="F885" s="943"/>
      <c r="G885" s="943"/>
      <c r="H885" s="944"/>
    </row>
    <row r="886">
      <c r="A886" s="943"/>
      <c r="B886" s="943"/>
      <c r="C886" s="943"/>
      <c r="D886" s="943"/>
      <c r="E886" s="943"/>
      <c r="F886" s="943"/>
      <c r="G886" s="943"/>
      <c r="H886" s="944"/>
    </row>
    <row r="887">
      <c r="A887" s="943"/>
      <c r="B887" s="943"/>
      <c r="C887" s="943"/>
      <c r="D887" s="943"/>
      <c r="E887" s="943"/>
      <c r="F887" s="943"/>
      <c r="G887" s="943"/>
      <c r="H887" s="944"/>
    </row>
    <row r="888">
      <c r="A888" s="943"/>
      <c r="B888" s="943"/>
      <c r="C888" s="943"/>
      <c r="D888" s="943"/>
      <c r="E888" s="943"/>
      <c r="F888" s="943"/>
      <c r="G888" s="943"/>
      <c r="H888" s="944"/>
    </row>
    <row r="889">
      <c r="A889" s="943"/>
      <c r="B889" s="943"/>
      <c r="C889" s="943"/>
      <c r="D889" s="943"/>
      <c r="E889" s="943"/>
      <c r="F889" s="943"/>
      <c r="G889" s="943"/>
      <c r="H889" s="944"/>
    </row>
    <row r="890">
      <c r="A890" s="943"/>
      <c r="B890" s="943"/>
      <c r="C890" s="943"/>
      <c r="D890" s="943"/>
      <c r="E890" s="943"/>
      <c r="F890" s="943"/>
      <c r="G890" s="943"/>
      <c r="H890" s="944"/>
    </row>
    <row r="891">
      <c r="A891" s="943"/>
      <c r="B891" s="943"/>
      <c r="C891" s="943"/>
      <c r="D891" s="943"/>
      <c r="E891" s="943"/>
      <c r="F891" s="943"/>
      <c r="G891" s="943"/>
      <c r="H891" s="944"/>
    </row>
    <row r="892">
      <c r="A892" s="943"/>
      <c r="B892" s="943"/>
      <c r="C892" s="943"/>
      <c r="D892" s="943"/>
      <c r="E892" s="943"/>
      <c r="F892" s="943"/>
      <c r="G892" s="943"/>
      <c r="H892" s="944"/>
    </row>
    <row r="893">
      <c r="A893" s="943"/>
      <c r="B893" s="943"/>
      <c r="C893" s="943"/>
      <c r="D893" s="943"/>
      <c r="E893" s="943"/>
      <c r="F893" s="943"/>
      <c r="G893" s="943"/>
      <c r="H893" s="944"/>
    </row>
    <row r="894">
      <c r="A894" s="943"/>
      <c r="B894" s="943"/>
      <c r="C894" s="943"/>
      <c r="D894" s="943"/>
      <c r="E894" s="943"/>
      <c r="F894" s="943"/>
      <c r="G894" s="943"/>
      <c r="H894" s="944"/>
    </row>
    <row r="895">
      <c r="A895" s="943"/>
      <c r="B895" s="943"/>
      <c r="C895" s="943"/>
      <c r="D895" s="943"/>
      <c r="E895" s="943"/>
      <c r="F895" s="943"/>
      <c r="G895" s="943"/>
      <c r="H895" s="944"/>
    </row>
    <row r="896">
      <c r="A896" s="943"/>
      <c r="B896" s="943"/>
      <c r="C896" s="943"/>
      <c r="D896" s="943"/>
      <c r="E896" s="943"/>
      <c r="F896" s="943"/>
      <c r="G896" s="943"/>
      <c r="H896" s="944"/>
    </row>
    <row r="897">
      <c r="A897" s="943"/>
      <c r="B897" s="943"/>
      <c r="C897" s="943"/>
      <c r="D897" s="943"/>
      <c r="E897" s="943"/>
      <c r="F897" s="943"/>
      <c r="G897" s="943"/>
      <c r="H897" s="944"/>
    </row>
    <row r="898">
      <c r="A898" s="943"/>
      <c r="B898" s="943"/>
      <c r="C898" s="943"/>
      <c r="D898" s="943"/>
      <c r="E898" s="943"/>
      <c r="F898" s="943"/>
      <c r="G898" s="943"/>
      <c r="H898" s="944"/>
    </row>
    <row r="899">
      <c r="A899" s="943"/>
      <c r="B899" s="943"/>
      <c r="C899" s="943"/>
      <c r="D899" s="943"/>
      <c r="E899" s="943"/>
      <c r="F899" s="943"/>
      <c r="G899" s="943"/>
      <c r="H899" s="944"/>
    </row>
    <row r="900">
      <c r="A900" s="943"/>
      <c r="B900" s="943"/>
      <c r="C900" s="943"/>
      <c r="D900" s="943"/>
      <c r="E900" s="943"/>
      <c r="F900" s="943"/>
      <c r="G900" s="943"/>
      <c r="H900" s="944"/>
    </row>
    <row r="901">
      <c r="A901" s="943"/>
      <c r="B901" s="943"/>
      <c r="C901" s="943"/>
      <c r="D901" s="943"/>
      <c r="E901" s="943"/>
      <c r="F901" s="943"/>
      <c r="G901" s="943"/>
      <c r="H901" s="944"/>
    </row>
    <row r="902">
      <c r="A902" s="943"/>
      <c r="B902" s="943"/>
      <c r="C902" s="943"/>
      <c r="D902" s="943"/>
      <c r="E902" s="943"/>
      <c r="F902" s="943"/>
      <c r="G902" s="943"/>
      <c r="H902" s="944"/>
    </row>
    <row r="903">
      <c r="A903" s="943"/>
      <c r="B903" s="943"/>
      <c r="C903" s="943"/>
      <c r="D903" s="943"/>
      <c r="E903" s="943"/>
      <c r="F903" s="943"/>
      <c r="G903" s="943"/>
      <c r="H903" s="944"/>
    </row>
    <row r="904">
      <c r="A904" s="943"/>
      <c r="B904" s="943"/>
      <c r="C904" s="943"/>
      <c r="D904" s="943"/>
      <c r="E904" s="943"/>
      <c r="F904" s="943"/>
      <c r="G904" s="943"/>
      <c r="H904" s="944"/>
    </row>
    <row r="905">
      <c r="A905" s="943"/>
      <c r="B905" s="943"/>
      <c r="C905" s="943"/>
      <c r="D905" s="943"/>
      <c r="E905" s="943"/>
      <c r="F905" s="943"/>
      <c r="G905" s="943"/>
      <c r="H905" s="944"/>
    </row>
    <row r="906">
      <c r="A906" s="943"/>
      <c r="B906" s="943"/>
      <c r="C906" s="943"/>
      <c r="D906" s="943"/>
      <c r="E906" s="943"/>
      <c r="F906" s="943"/>
      <c r="G906" s="943"/>
      <c r="H906" s="944"/>
    </row>
    <row r="907">
      <c r="A907" s="943"/>
      <c r="B907" s="943"/>
      <c r="C907" s="943"/>
      <c r="D907" s="943"/>
      <c r="E907" s="943"/>
      <c r="F907" s="943"/>
      <c r="G907" s="943"/>
      <c r="H907" s="944"/>
    </row>
    <row r="908">
      <c r="A908" s="943"/>
      <c r="B908" s="943"/>
      <c r="C908" s="943"/>
      <c r="D908" s="943"/>
      <c r="E908" s="943"/>
      <c r="F908" s="943"/>
      <c r="G908" s="943"/>
      <c r="H908" s="944"/>
    </row>
    <row r="909">
      <c r="A909" s="943"/>
      <c r="B909" s="943"/>
      <c r="C909" s="943"/>
      <c r="D909" s="943"/>
      <c r="E909" s="943"/>
      <c r="F909" s="943"/>
      <c r="G909" s="943"/>
      <c r="H909" s="944"/>
    </row>
    <row r="910">
      <c r="A910" s="943"/>
      <c r="B910" s="943"/>
      <c r="C910" s="943"/>
      <c r="D910" s="943"/>
      <c r="E910" s="943"/>
      <c r="F910" s="943"/>
      <c r="G910" s="943"/>
      <c r="H910" s="944"/>
    </row>
    <row r="911">
      <c r="A911" s="943"/>
      <c r="B911" s="943"/>
      <c r="C911" s="943"/>
      <c r="D911" s="943"/>
      <c r="E911" s="943"/>
      <c r="F911" s="943"/>
      <c r="G911" s="943"/>
      <c r="H911" s="944"/>
    </row>
    <row r="912">
      <c r="A912" s="943"/>
      <c r="B912" s="943"/>
      <c r="C912" s="943"/>
      <c r="D912" s="943"/>
      <c r="E912" s="943"/>
      <c r="F912" s="943"/>
      <c r="G912" s="943"/>
      <c r="H912" s="944"/>
    </row>
    <row r="913">
      <c r="A913" s="943"/>
      <c r="B913" s="943"/>
      <c r="C913" s="943"/>
      <c r="D913" s="943"/>
      <c r="E913" s="943"/>
      <c r="F913" s="943"/>
      <c r="G913" s="943"/>
      <c r="H913" s="944"/>
    </row>
    <row r="914">
      <c r="A914" s="943"/>
      <c r="B914" s="943"/>
      <c r="C914" s="943"/>
      <c r="D914" s="943"/>
      <c r="E914" s="943"/>
      <c r="F914" s="943"/>
      <c r="G914" s="943"/>
      <c r="H914" s="944"/>
    </row>
    <row r="915">
      <c r="A915" s="943"/>
      <c r="B915" s="943"/>
      <c r="C915" s="943"/>
      <c r="D915" s="943"/>
      <c r="E915" s="943"/>
      <c r="F915" s="943"/>
      <c r="G915" s="943"/>
      <c r="H915" s="944"/>
    </row>
    <row r="916">
      <c r="A916" s="943"/>
      <c r="B916" s="943"/>
      <c r="C916" s="943"/>
      <c r="D916" s="943"/>
      <c r="E916" s="943"/>
      <c r="F916" s="943"/>
      <c r="G916" s="943"/>
      <c r="H916" s="944"/>
    </row>
    <row r="917">
      <c r="A917" s="943"/>
      <c r="B917" s="943"/>
      <c r="C917" s="943"/>
      <c r="D917" s="943"/>
      <c r="E917" s="943"/>
      <c r="F917" s="943"/>
      <c r="G917" s="943"/>
      <c r="H917" s="944"/>
    </row>
    <row r="918">
      <c r="A918" s="943"/>
      <c r="B918" s="943"/>
      <c r="C918" s="943"/>
      <c r="D918" s="943"/>
      <c r="E918" s="943"/>
      <c r="F918" s="943"/>
      <c r="G918" s="943"/>
      <c r="H918" s="944"/>
    </row>
    <row r="919">
      <c r="A919" s="943"/>
      <c r="B919" s="943"/>
      <c r="C919" s="943"/>
      <c r="D919" s="943"/>
      <c r="E919" s="943"/>
      <c r="F919" s="943"/>
      <c r="G919" s="943"/>
      <c r="H919" s="944"/>
    </row>
    <row r="920">
      <c r="A920" s="943"/>
      <c r="B920" s="943"/>
      <c r="C920" s="943"/>
      <c r="D920" s="943"/>
      <c r="E920" s="943"/>
      <c r="F920" s="943"/>
      <c r="G920" s="943"/>
      <c r="H920" s="944"/>
    </row>
    <row r="921">
      <c r="A921" s="943"/>
      <c r="B921" s="943"/>
      <c r="C921" s="943"/>
      <c r="D921" s="943"/>
      <c r="E921" s="943"/>
      <c r="F921" s="943"/>
      <c r="G921" s="943"/>
      <c r="H921" s="944"/>
    </row>
    <row r="922">
      <c r="A922" s="943"/>
      <c r="B922" s="943"/>
      <c r="C922" s="943"/>
      <c r="D922" s="943"/>
      <c r="E922" s="943"/>
      <c r="F922" s="943"/>
      <c r="G922" s="943"/>
      <c r="H922" s="944"/>
    </row>
    <row r="923">
      <c r="A923" s="943"/>
      <c r="B923" s="943"/>
      <c r="C923" s="943"/>
      <c r="D923" s="943"/>
      <c r="E923" s="943"/>
      <c r="F923" s="943"/>
      <c r="G923" s="943"/>
      <c r="H923" s="944"/>
    </row>
    <row r="924">
      <c r="A924" s="943"/>
      <c r="B924" s="943"/>
      <c r="C924" s="943"/>
      <c r="D924" s="943"/>
      <c r="E924" s="943"/>
      <c r="F924" s="943"/>
      <c r="G924" s="943"/>
      <c r="H924" s="944"/>
    </row>
    <row r="925">
      <c r="A925" s="943"/>
      <c r="B925" s="943"/>
      <c r="C925" s="943"/>
      <c r="D925" s="943"/>
      <c r="E925" s="943"/>
      <c r="F925" s="943"/>
      <c r="G925" s="943"/>
      <c r="H925" s="944"/>
    </row>
    <row r="926">
      <c r="A926" s="943"/>
      <c r="B926" s="943"/>
      <c r="C926" s="943"/>
      <c r="D926" s="943"/>
      <c r="E926" s="943"/>
      <c r="F926" s="943"/>
      <c r="G926" s="943"/>
      <c r="H926" s="944"/>
    </row>
    <row r="927">
      <c r="A927" s="943"/>
      <c r="B927" s="943"/>
      <c r="C927" s="943"/>
      <c r="D927" s="943"/>
      <c r="E927" s="943"/>
      <c r="F927" s="943"/>
      <c r="G927" s="943"/>
      <c r="H927" s="944"/>
    </row>
    <row r="928">
      <c r="A928" s="943"/>
      <c r="B928" s="943"/>
      <c r="C928" s="943"/>
      <c r="D928" s="943"/>
      <c r="E928" s="943"/>
      <c r="F928" s="943"/>
      <c r="G928" s="943"/>
      <c r="H928" s="944"/>
    </row>
    <row r="929">
      <c r="A929" s="943"/>
      <c r="B929" s="943"/>
      <c r="C929" s="943"/>
      <c r="D929" s="943"/>
      <c r="E929" s="943"/>
      <c r="F929" s="943"/>
      <c r="G929" s="943"/>
      <c r="H929" s="944"/>
    </row>
    <row r="930">
      <c r="A930" s="943"/>
      <c r="B930" s="943"/>
      <c r="C930" s="943"/>
      <c r="D930" s="943"/>
      <c r="E930" s="943"/>
      <c r="F930" s="943"/>
      <c r="G930" s="943"/>
      <c r="H930" s="944"/>
    </row>
    <row r="931">
      <c r="A931" s="943"/>
      <c r="B931" s="943"/>
      <c r="C931" s="943"/>
      <c r="D931" s="943"/>
      <c r="E931" s="943"/>
      <c r="F931" s="943"/>
      <c r="G931" s="943"/>
      <c r="H931" s="944"/>
    </row>
    <row r="932">
      <c r="A932" s="943"/>
      <c r="B932" s="943"/>
      <c r="C932" s="943"/>
      <c r="D932" s="943"/>
      <c r="E932" s="943"/>
      <c r="F932" s="943"/>
      <c r="G932" s="943"/>
      <c r="H932" s="944"/>
    </row>
    <row r="933">
      <c r="A933" s="943"/>
      <c r="B933" s="943"/>
      <c r="C933" s="943"/>
      <c r="D933" s="943"/>
      <c r="E933" s="943"/>
      <c r="F933" s="943"/>
      <c r="G933" s="943"/>
      <c r="H933" s="944"/>
    </row>
    <row r="934">
      <c r="A934" s="943"/>
      <c r="B934" s="943"/>
      <c r="C934" s="943"/>
      <c r="D934" s="943"/>
      <c r="E934" s="943"/>
      <c r="F934" s="943"/>
      <c r="G934" s="943"/>
      <c r="H934" s="944"/>
    </row>
    <row r="935">
      <c r="A935" s="943"/>
      <c r="B935" s="943"/>
      <c r="C935" s="943"/>
      <c r="D935" s="943"/>
      <c r="E935" s="943"/>
      <c r="F935" s="943"/>
      <c r="G935" s="943"/>
      <c r="H935" s="944"/>
    </row>
    <row r="936">
      <c r="A936" s="943"/>
      <c r="B936" s="943"/>
      <c r="C936" s="943"/>
      <c r="D936" s="943"/>
      <c r="E936" s="943"/>
      <c r="F936" s="943"/>
      <c r="G936" s="943"/>
      <c r="H936" s="944"/>
    </row>
    <row r="937">
      <c r="A937" s="943"/>
      <c r="B937" s="943"/>
      <c r="C937" s="943"/>
      <c r="D937" s="943"/>
      <c r="E937" s="943"/>
      <c r="F937" s="943"/>
      <c r="G937" s="943"/>
      <c r="H937" s="944"/>
    </row>
    <row r="938">
      <c r="A938" s="943"/>
      <c r="B938" s="943"/>
      <c r="C938" s="943"/>
      <c r="D938" s="943"/>
      <c r="E938" s="943"/>
      <c r="F938" s="943"/>
      <c r="G938" s="943"/>
      <c r="H938" s="944"/>
    </row>
    <row r="939">
      <c r="A939" s="943"/>
      <c r="B939" s="943"/>
      <c r="C939" s="943"/>
      <c r="D939" s="943"/>
      <c r="E939" s="943"/>
      <c r="F939" s="943"/>
      <c r="G939" s="943"/>
      <c r="H939" s="944"/>
    </row>
    <row r="940">
      <c r="A940" s="943"/>
      <c r="B940" s="943"/>
      <c r="C940" s="943"/>
      <c r="D940" s="943"/>
      <c r="E940" s="943"/>
      <c r="F940" s="943"/>
      <c r="G940" s="943"/>
      <c r="H940" s="944"/>
    </row>
    <row r="941">
      <c r="A941" s="943"/>
      <c r="B941" s="943"/>
      <c r="C941" s="943"/>
      <c r="D941" s="943"/>
      <c r="E941" s="943"/>
      <c r="F941" s="943"/>
      <c r="G941" s="943"/>
      <c r="H941" s="944"/>
    </row>
    <row r="942">
      <c r="A942" s="943"/>
      <c r="B942" s="943"/>
      <c r="C942" s="943"/>
      <c r="D942" s="943"/>
      <c r="E942" s="943"/>
      <c r="F942" s="943"/>
      <c r="G942" s="943"/>
      <c r="H942" s="944"/>
    </row>
    <row r="943">
      <c r="A943" s="943"/>
      <c r="B943" s="943"/>
      <c r="C943" s="943"/>
      <c r="D943" s="943"/>
      <c r="E943" s="943"/>
      <c r="F943" s="943"/>
      <c r="G943" s="943"/>
      <c r="H943" s="944"/>
    </row>
    <row r="944">
      <c r="A944" s="943"/>
      <c r="B944" s="943"/>
      <c r="C944" s="943"/>
      <c r="D944" s="943"/>
      <c r="E944" s="943"/>
      <c r="F944" s="943"/>
      <c r="G944" s="943"/>
      <c r="H944" s="944"/>
    </row>
    <row r="945">
      <c r="A945" s="943"/>
      <c r="B945" s="943"/>
      <c r="C945" s="943"/>
      <c r="D945" s="943"/>
      <c r="E945" s="943"/>
      <c r="F945" s="943"/>
      <c r="G945" s="943"/>
      <c r="H945" s="944"/>
    </row>
    <row r="946">
      <c r="A946" s="943"/>
      <c r="B946" s="943"/>
      <c r="C946" s="943"/>
      <c r="D946" s="943"/>
      <c r="E946" s="943"/>
      <c r="F946" s="943"/>
      <c r="G946" s="943"/>
      <c r="H946" s="944"/>
    </row>
    <row r="947">
      <c r="A947" s="943"/>
      <c r="B947" s="943"/>
      <c r="C947" s="943"/>
      <c r="D947" s="943"/>
      <c r="E947" s="943"/>
      <c r="F947" s="943"/>
      <c r="G947" s="943"/>
      <c r="H947" s="944"/>
    </row>
    <row r="948">
      <c r="A948" s="943"/>
      <c r="B948" s="943"/>
      <c r="C948" s="943"/>
      <c r="D948" s="943"/>
      <c r="E948" s="943"/>
      <c r="F948" s="943"/>
      <c r="G948" s="943"/>
      <c r="H948" s="944"/>
    </row>
    <row r="949">
      <c r="A949" s="943"/>
      <c r="B949" s="943"/>
      <c r="C949" s="943"/>
      <c r="D949" s="943"/>
      <c r="E949" s="943"/>
      <c r="F949" s="943"/>
      <c r="G949" s="943"/>
      <c r="H949" s="944"/>
    </row>
    <row r="950">
      <c r="A950" s="943"/>
      <c r="B950" s="943"/>
      <c r="C950" s="943"/>
      <c r="D950" s="943"/>
      <c r="E950" s="943"/>
      <c r="F950" s="943"/>
      <c r="G950" s="943"/>
      <c r="H950" s="944"/>
    </row>
    <row r="951">
      <c r="A951" s="943"/>
      <c r="B951" s="943"/>
      <c r="C951" s="943"/>
      <c r="D951" s="943"/>
      <c r="E951" s="943"/>
      <c r="F951" s="943"/>
      <c r="G951" s="943"/>
      <c r="H951" s="944"/>
    </row>
    <row r="952">
      <c r="A952" s="943"/>
      <c r="B952" s="943"/>
      <c r="C952" s="943"/>
      <c r="D952" s="943"/>
      <c r="E952" s="943"/>
      <c r="F952" s="943"/>
      <c r="G952" s="943"/>
      <c r="H952" s="944"/>
    </row>
    <row r="953">
      <c r="A953" s="943"/>
      <c r="B953" s="943"/>
      <c r="C953" s="943"/>
      <c r="D953" s="943"/>
      <c r="E953" s="943"/>
      <c r="F953" s="943"/>
      <c r="G953" s="943"/>
      <c r="H953" s="944"/>
    </row>
    <row r="954">
      <c r="A954" s="943"/>
      <c r="B954" s="943"/>
      <c r="C954" s="943"/>
      <c r="D954" s="943"/>
      <c r="E954" s="943"/>
      <c r="F954" s="943"/>
      <c r="G954" s="943"/>
      <c r="H954" s="944"/>
    </row>
    <row r="955">
      <c r="A955" s="943"/>
      <c r="B955" s="943"/>
      <c r="C955" s="943"/>
      <c r="D955" s="943"/>
      <c r="E955" s="943"/>
      <c r="F955" s="943"/>
      <c r="G955" s="943"/>
      <c r="H955" s="944"/>
    </row>
    <row r="956">
      <c r="A956" s="943"/>
      <c r="B956" s="943"/>
      <c r="C956" s="943"/>
      <c r="D956" s="943"/>
      <c r="E956" s="943"/>
      <c r="F956" s="943"/>
      <c r="G956" s="943"/>
      <c r="H956" s="944"/>
    </row>
    <row r="957">
      <c r="A957" s="943"/>
      <c r="B957" s="943"/>
      <c r="C957" s="943"/>
      <c r="D957" s="943"/>
      <c r="E957" s="943"/>
      <c r="F957" s="943"/>
      <c r="G957" s="943"/>
      <c r="H957" s="944"/>
    </row>
    <row r="958">
      <c r="A958" s="943"/>
      <c r="B958" s="943"/>
      <c r="C958" s="943"/>
      <c r="D958" s="943"/>
      <c r="E958" s="943"/>
      <c r="F958" s="943"/>
      <c r="G958" s="943"/>
      <c r="H958" s="944"/>
    </row>
    <row r="959">
      <c r="A959" s="943"/>
      <c r="B959" s="943"/>
      <c r="C959" s="943"/>
      <c r="D959" s="943"/>
      <c r="E959" s="943"/>
      <c r="F959" s="943"/>
      <c r="G959" s="943"/>
      <c r="H959" s="944"/>
    </row>
    <row r="960">
      <c r="A960" s="943"/>
      <c r="B960" s="943"/>
      <c r="C960" s="943"/>
      <c r="D960" s="943"/>
      <c r="E960" s="943"/>
      <c r="F960" s="943"/>
      <c r="G960" s="943"/>
      <c r="H960" s="944"/>
    </row>
    <row r="961">
      <c r="A961" s="943"/>
      <c r="B961" s="943"/>
      <c r="C961" s="943"/>
      <c r="D961" s="943"/>
      <c r="E961" s="943"/>
      <c r="F961" s="943"/>
      <c r="G961" s="943"/>
      <c r="H961" s="944"/>
    </row>
    <row r="962">
      <c r="A962" s="943"/>
      <c r="B962" s="943"/>
      <c r="C962" s="943"/>
      <c r="D962" s="943"/>
      <c r="E962" s="943"/>
      <c r="F962" s="943"/>
      <c r="G962" s="943"/>
      <c r="H962" s="944"/>
    </row>
    <row r="963">
      <c r="A963" s="943"/>
      <c r="B963" s="943"/>
      <c r="C963" s="943"/>
      <c r="D963" s="943"/>
      <c r="E963" s="943"/>
      <c r="F963" s="943"/>
      <c r="G963" s="943"/>
      <c r="H963" s="944"/>
    </row>
    <row r="964">
      <c r="A964" s="943"/>
      <c r="B964" s="943"/>
      <c r="C964" s="943"/>
      <c r="D964" s="943"/>
      <c r="E964" s="943"/>
      <c r="F964" s="943"/>
      <c r="G964" s="943"/>
      <c r="H964" s="944"/>
    </row>
    <row r="965">
      <c r="A965" s="943"/>
      <c r="B965" s="943"/>
      <c r="C965" s="943"/>
      <c r="D965" s="943"/>
      <c r="E965" s="943"/>
      <c r="F965" s="943"/>
      <c r="G965" s="943"/>
      <c r="H965" s="944"/>
    </row>
    <row r="966">
      <c r="A966" s="943"/>
      <c r="B966" s="943"/>
      <c r="C966" s="943"/>
      <c r="D966" s="943"/>
      <c r="E966" s="943"/>
      <c r="F966" s="943"/>
      <c r="G966" s="943"/>
      <c r="H966" s="944"/>
    </row>
    <row r="967">
      <c r="A967" s="943"/>
      <c r="B967" s="943"/>
      <c r="C967" s="943"/>
      <c r="D967" s="943"/>
      <c r="E967" s="943"/>
      <c r="F967" s="943"/>
      <c r="G967" s="943"/>
      <c r="H967" s="944"/>
    </row>
    <row r="968">
      <c r="A968" s="943"/>
      <c r="B968" s="943"/>
      <c r="C968" s="943"/>
      <c r="D968" s="943"/>
      <c r="E968" s="943"/>
      <c r="F968" s="943"/>
      <c r="G968" s="943"/>
      <c r="H968" s="944"/>
    </row>
    <row r="969">
      <c r="A969" s="943"/>
      <c r="B969" s="943"/>
      <c r="C969" s="943"/>
      <c r="D969" s="943"/>
      <c r="E969" s="943"/>
      <c r="F969" s="943"/>
      <c r="G969" s="943"/>
      <c r="H969" s="944"/>
    </row>
    <row r="970">
      <c r="A970" s="943"/>
      <c r="B970" s="943"/>
      <c r="C970" s="943"/>
      <c r="D970" s="943"/>
      <c r="E970" s="943"/>
      <c r="F970" s="943"/>
      <c r="G970" s="943"/>
      <c r="H970" s="944"/>
    </row>
    <row r="971">
      <c r="A971" s="943"/>
      <c r="B971" s="943"/>
      <c r="C971" s="943"/>
      <c r="D971" s="943"/>
      <c r="E971" s="943"/>
      <c r="F971" s="943"/>
      <c r="G971" s="943"/>
      <c r="H971" s="944"/>
    </row>
    <row r="972">
      <c r="A972" s="943"/>
      <c r="B972" s="943"/>
      <c r="C972" s="943"/>
      <c r="D972" s="943"/>
      <c r="E972" s="943"/>
      <c r="F972" s="943"/>
      <c r="G972" s="943"/>
      <c r="H972" s="944"/>
    </row>
    <row r="973">
      <c r="A973" s="943"/>
      <c r="B973" s="943"/>
      <c r="C973" s="943"/>
      <c r="D973" s="943"/>
      <c r="E973" s="943"/>
      <c r="F973" s="943"/>
      <c r="G973" s="943"/>
      <c r="H973" s="944"/>
    </row>
    <row r="974">
      <c r="A974" s="943"/>
      <c r="B974" s="943"/>
      <c r="C974" s="943"/>
      <c r="D974" s="943"/>
      <c r="E974" s="943"/>
      <c r="F974" s="943"/>
      <c r="G974" s="943"/>
      <c r="H974" s="944"/>
    </row>
    <row r="975">
      <c r="A975" s="943"/>
      <c r="B975" s="943"/>
      <c r="C975" s="943"/>
      <c r="D975" s="943"/>
      <c r="E975" s="943"/>
      <c r="F975" s="943"/>
      <c r="G975" s="943"/>
      <c r="H975" s="944"/>
    </row>
    <row r="976">
      <c r="A976" s="943"/>
      <c r="B976" s="943"/>
      <c r="C976" s="943"/>
      <c r="D976" s="943"/>
      <c r="E976" s="943"/>
      <c r="F976" s="943"/>
      <c r="G976" s="943"/>
      <c r="H976" s="944"/>
    </row>
    <row r="977">
      <c r="A977" s="943"/>
      <c r="B977" s="943"/>
      <c r="C977" s="943"/>
      <c r="D977" s="943"/>
      <c r="E977" s="943"/>
      <c r="F977" s="943"/>
      <c r="G977" s="943"/>
      <c r="H977" s="944"/>
    </row>
    <row r="978">
      <c r="A978" s="943"/>
      <c r="B978" s="943"/>
      <c r="C978" s="943"/>
      <c r="D978" s="943"/>
      <c r="E978" s="943"/>
      <c r="F978" s="943"/>
      <c r="G978" s="943"/>
      <c r="H978" s="944"/>
    </row>
    <row r="979">
      <c r="A979" s="943"/>
      <c r="B979" s="943"/>
      <c r="C979" s="943"/>
      <c r="D979" s="943"/>
      <c r="E979" s="943"/>
      <c r="F979" s="943"/>
      <c r="G979" s="943"/>
      <c r="H979" s="944"/>
    </row>
    <row r="980">
      <c r="A980" s="943"/>
      <c r="B980" s="943"/>
      <c r="C980" s="943"/>
      <c r="D980" s="943"/>
      <c r="E980" s="943"/>
      <c r="F980" s="943"/>
      <c r="G980" s="943"/>
      <c r="H980" s="944"/>
    </row>
    <row r="981">
      <c r="A981" s="943"/>
      <c r="B981" s="943"/>
      <c r="C981" s="943"/>
      <c r="D981" s="943"/>
      <c r="E981" s="943"/>
      <c r="F981" s="943"/>
      <c r="G981" s="943"/>
      <c r="H981" s="944"/>
    </row>
    <row r="982">
      <c r="A982" s="943"/>
      <c r="B982" s="943"/>
      <c r="C982" s="943"/>
      <c r="D982" s="943"/>
      <c r="E982" s="943"/>
      <c r="F982" s="943"/>
      <c r="G982" s="943"/>
      <c r="H982" s="944"/>
    </row>
    <row r="983">
      <c r="A983" s="943"/>
      <c r="B983" s="943"/>
      <c r="C983" s="943"/>
      <c r="D983" s="943"/>
      <c r="E983" s="943"/>
      <c r="F983" s="943"/>
      <c r="G983" s="943"/>
      <c r="H983" s="944"/>
    </row>
    <row r="984">
      <c r="A984" s="943"/>
      <c r="B984" s="943"/>
      <c r="C984" s="943"/>
      <c r="D984" s="943"/>
      <c r="E984" s="943"/>
      <c r="F984" s="943"/>
      <c r="G984" s="943"/>
      <c r="H984" s="944"/>
    </row>
    <row r="985">
      <c r="A985" s="943"/>
      <c r="B985" s="943"/>
      <c r="C985" s="943"/>
      <c r="D985" s="943"/>
      <c r="E985" s="943"/>
      <c r="F985" s="943"/>
      <c r="G985" s="943"/>
      <c r="H985" s="944"/>
    </row>
    <row r="986">
      <c r="A986" s="943"/>
      <c r="B986" s="943"/>
      <c r="C986" s="943"/>
      <c r="D986" s="943"/>
      <c r="E986" s="943"/>
      <c r="F986" s="943"/>
      <c r="G986" s="943"/>
      <c r="H986" s="944"/>
    </row>
    <row r="987">
      <c r="A987" s="943"/>
      <c r="B987" s="943"/>
      <c r="C987" s="943"/>
      <c r="D987" s="943"/>
      <c r="E987" s="943"/>
      <c r="F987" s="943"/>
      <c r="G987" s="943"/>
      <c r="H987" s="944"/>
    </row>
    <row r="988">
      <c r="A988" s="943"/>
      <c r="B988" s="943"/>
      <c r="C988" s="943"/>
      <c r="D988" s="943"/>
      <c r="E988" s="943"/>
      <c r="F988" s="943"/>
      <c r="G988" s="943"/>
      <c r="H988" s="944"/>
    </row>
    <row r="989">
      <c r="A989" s="943"/>
      <c r="B989" s="943"/>
      <c r="C989" s="943"/>
      <c r="D989" s="943"/>
      <c r="E989" s="943"/>
      <c r="F989" s="943"/>
      <c r="G989" s="943"/>
      <c r="H989" s="944"/>
    </row>
    <row r="990">
      <c r="A990" s="943"/>
      <c r="B990" s="943"/>
      <c r="C990" s="943"/>
      <c r="D990" s="943"/>
      <c r="E990" s="943"/>
      <c r="F990" s="943"/>
      <c r="G990" s="943"/>
      <c r="H990" s="944"/>
    </row>
    <row r="991">
      <c r="A991" s="943"/>
      <c r="B991" s="943"/>
      <c r="C991" s="943"/>
      <c r="D991" s="943"/>
      <c r="E991" s="943"/>
      <c r="F991" s="943"/>
      <c r="G991" s="943"/>
      <c r="H991" s="944"/>
    </row>
    <row r="992">
      <c r="A992" s="943"/>
      <c r="B992" s="943"/>
      <c r="C992" s="943"/>
      <c r="D992" s="943"/>
      <c r="E992" s="943"/>
      <c r="F992" s="943"/>
      <c r="G992" s="943"/>
      <c r="H992" s="944"/>
    </row>
    <row r="993">
      <c r="A993" s="943"/>
      <c r="B993" s="943"/>
      <c r="C993" s="943"/>
      <c r="D993" s="943"/>
      <c r="E993" s="943"/>
      <c r="F993" s="943"/>
      <c r="G993" s="943"/>
      <c r="H993" s="944"/>
    </row>
    <row r="994">
      <c r="A994" s="943"/>
      <c r="B994" s="943"/>
      <c r="C994" s="943"/>
      <c r="D994" s="943"/>
      <c r="E994" s="943"/>
      <c r="F994" s="943"/>
      <c r="G994" s="943"/>
      <c r="H994" s="944"/>
    </row>
    <row r="995">
      <c r="A995" s="943"/>
      <c r="B995" s="943"/>
      <c r="C995" s="943"/>
      <c r="D995" s="943"/>
      <c r="E995" s="943"/>
      <c r="F995" s="943"/>
      <c r="G995" s="943"/>
      <c r="H995" s="944"/>
    </row>
    <row r="996">
      <c r="A996" s="943"/>
      <c r="B996" s="943"/>
      <c r="C996" s="943"/>
      <c r="D996" s="943"/>
      <c r="E996" s="943"/>
      <c r="F996" s="943"/>
      <c r="G996" s="943"/>
      <c r="H996" s="944"/>
    </row>
    <row r="997">
      <c r="A997" s="943"/>
      <c r="B997" s="943"/>
      <c r="C997" s="943"/>
      <c r="D997" s="943"/>
      <c r="E997" s="943"/>
      <c r="F997" s="943"/>
      <c r="G997" s="943"/>
      <c r="H997" s="944"/>
    </row>
    <row r="998">
      <c r="A998" s="943"/>
      <c r="B998" s="943"/>
      <c r="C998" s="943"/>
      <c r="D998" s="943"/>
      <c r="E998" s="943"/>
      <c r="F998" s="943"/>
      <c r="G998" s="943"/>
      <c r="H998" s="944"/>
    </row>
    <row r="999">
      <c r="A999" s="943"/>
      <c r="B999" s="943"/>
      <c r="C999" s="943"/>
      <c r="D999" s="943"/>
      <c r="E999" s="945"/>
      <c r="F999" s="943"/>
      <c r="G999" s="943"/>
      <c r="H999" s="944"/>
    </row>
    <row r="1000">
      <c r="A1000" s="943"/>
      <c r="B1000" s="943"/>
      <c r="C1000" s="943"/>
      <c r="D1000" s="943"/>
      <c r="E1000" s="945"/>
      <c r="F1000" s="943"/>
      <c r="G1000" s="943"/>
      <c r="H1000" s="944"/>
    </row>
    <row r="1001">
      <c r="A1001" s="943"/>
      <c r="B1001" s="943"/>
      <c r="C1001" s="943"/>
      <c r="D1001" s="943"/>
      <c r="E1001" s="943"/>
      <c r="F1001" s="943"/>
      <c r="G1001" s="943"/>
      <c r="H1001" s="944"/>
    </row>
  </sheetData>
  <mergeCells count="7">
    <mergeCell ref="A1:G2"/>
    <mergeCell ref="A12:G12"/>
    <mergeCell ref="A14:G14"/>
    <mergeCell ref="A25:G25"/>
    <mergeCell ref="A26:G26"/>
    <mergeCell ref="A38:G38"/>
    <mergeCell ref="A39:G39"/>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63"/>
    <col customWidth="1" min="2" max="2" width="10.88"/>
    <col customWidth="1" min="3" max="4" width="16.38"/>
    <col customWidth="1" min="5" max="5" width="25.75"/>
    <col customWidth="1" min="7" max="7" width="14.0"/>
    <col customWidth="1" min="9" max="9" width="13.13"/>
    <col customWidth="1" min="10" max="10" width="12.75"/>
    <col customWidth="1" min="11" max="11" width="65.75"/>
  </cols>
  <sheetData>
    <row r="1">
      <c r="A1" s="946"/>
      <c r="B1" s="947" t="s">
        <v>488</v>
      </c>
      <c r="C1" s="948">
        <v>5.0</v>
      </c>
      <c r="D1" s="948">
        <v>6.0</v>
      </c>
      <c r="E1" s="948">
        <v>7.0</v>
      </c>
      <c r="F1" s="948">
        <v>8.0</v>
      </c>
      <c r="G1" s="948">
        <v>9.0</v>
      </c>
      <c r="H1" s="949" t="s">
        <v>12059</v>
      </c>
      <c r="I1" s="950" t="s">
        <v>12060</v>
      </c>
      <c r="J1" s="951"/>
      <c r="K1" s="952" t="s">
        <v>12061</v>
      </c>
      <c r="L1" s="953" t="s">
        <v>12062</v>
      </c>
    </row>
    <row r="2" ht="39.0" hidden="1" customHeight="1">
      <c r="A2" s="954" t="s">
        <v>12063</v>
      </c>
      <c r="B2" s="955" t="s">
        <v>12064</v>
      </c>
      <c r="C2" s="956" t="s">
        <v>12065</v>
      </c>
      <c r="D2" s="24"/>
      <c r="E2" s="24"/>
      <c r="F2" s="24"/>
      <c r="G2" s="24"/>
      <c r="H2" s="24"/>
      <c r="I2" s="22"/>
      <c r="K2" s="957" t="s">
        <v>12066</v>
      </c>
    </row>
    <row r="3" ht="36.75" hidden="1" customHeight="1">
      <c r="A3" s="30"/>
      <c r="B3" s="958" t="s">
        <v>12067</v>
      </c>
      <c r="C3" s="959" t="s">
        <v>12068</v>
      </c>
      <c r="D3" s="960" t="s">
        <v>12069</v>
      </c>
      <c r="E3" s="36"/>
      <c r="F3" s="36"/>
      <c r="G3" s="36"/>
      <c r="H3" s="36"/>
      <c r="I3" s="41"/>
      <c r="J3" s="961"/>
      <c r="K3" s="957" t="s">
        <v>12070</v>
      </c>
    </row>
    <row r="4" ht="24.75" hidden="1" customHeight="1">
      <c r="A4" s="30"/>
      <c r="B4" s="958" t="s">
        <v>12071</v>
      </c>
      <c r="C4" s="222"/>
      <c r="D4" s="962" t="s">
        <v>12072</v>
      </c>
      <c r="E4" s="36"/>
      <c r="F4" s="36"/>
      <c r="G4" s="36"/>
      <c r="H4" s="36"/>
      <c r="I4" s="41"/>
      <c r="J4" s="961"/>
      <c r="K4" s="957" t="s">
        <v>12073</v>
      </c>
    </row>
    <row r="5" hidden="1">
      <c r="A5" s="30"/>
      <c r="B5" s="958" t="s">
        <v>12074</v>
      </c>
      <c r="C5" s="222"/>
      <c r="D5" s="960" t="s">
        <v>2808</v>
      </c>
      <c r="E5" s="36"/>
      <c r="F5" s="36"/>
      <c r="G5" s="36"/>
      <c r="H5" s="36"/>
      <c r="I5" s="41"/>
      <c r="K5" s="957" t="s">
        <v>12075</v>
      </c>
    </row>
    <row r="6" hidden="1">
      <c r="A6" s="30"/>
      <c r="B6" s="958" t="s">
        <v>12076</v>
      </c>
      <c r="C6" s="962" t="s">
        <v>12077</v>
      </c>
      <c r="D6" s="36"/>
      <c r="E6" s="36"/>
      <c r="F6" s="36"/>
      <c r="G6" s="36"/>
      <c r="H6" s="36"/>
      <c r="I6" s="41"/>
      <c r="K6" s="957" t="s">
        <v>12078</v>
      </c>
    </row>
    <row r="7" hidden="1">
      <c r="A7" s="30"/>
      <c r="B7" s="963" t="s">
        <v>12079</v>
      </c>
      <c r="C7" s="964" t="s">
        <v>12080</v>
      </c>
      <c r="J7" s="953"/>
      <c r="K7" s="953"/>
    </row>
    <row r="8" hidden="1">
      <c r="A8" s="74"/>
      <c r="B8" s="550"/>
      <c r="C8" s="965"/>
      <c r="D8" s="152"/>
      <c r="E8" s="966" t="s">
        <v>12081</v>
      </c>
      <c r="F8" s="967"/>
      <c r="G8" s="968" t="s">
        <v>12082</v>
      </c>
      <c r="H8" s="969" t="s">
        <v>12083</v>
      </c>
      <c r="I8" s="970"/>
      <c r="J8" s="953"/>
      <c r="K8" s="953" t="s">
        <v>12084</v>
      </c>
    </row>
    <row r="9" hidden="1">
      <c r="A9" s="954" t="s">
        <v>12085</v>
      </c>
      <c r="B9" s="971" t="s">
        <v>12067</v>
      </c>
      <c r="C9" s="972" t="s">
        <v>12086</v>
      </c>
      <c r="D9" s="973" t="s">
        <v>12087</v>
      </c>
      <c r="E9" s="24"/>
      <c r="F9" s="24"/>
      <c r="G9" s="24"/>
      <c r="H9" s="24"/>
      <c r="I9" s="974" t="s">
        <v>12088</v>
      </c>
      <c r="J9" s="953"/>
      <c r="K9" s="953"/>
    </row>
    <row r="10" hidden="1">
      <c r="A10" s="30"/>
      <c r="B10" s="971" t="s">
        <v>12071</v>
      </c>
      <c r="C10" s="975" t="s">
        <v>12072</v>
      </c>
      <c r="D10" s="36"/>
      <c r="E10" s="36"/>
      <c r="F10" s="36"/>
      <c r="G10" s="36"/>
      <c r="H10" s="36"/>
      <c r="I10" s="41"/>
      <c r="J10" s="953"/>
      <c r="K10" s="953"/>
    </row>
    <row r="11" hidden="1">
      <c r="A11" s="30"/>
      <c r="B11" s="971" t="s">
        <v>12074</v>
      </c>
      <c r="C11" s="976" t="s">
        <v>12089</v>
      </c>
      <c r="D11" s="36"/>
      <c r="E11" s="36"/>
      <c r="F11" s="36"/>
      <c r="G11" s="36"/>
      <c r="H11" s="36"/>
      <c r="I11" s="41"/>
    </row>
    <row r="12" hidden="1">
      <c r="A12" s="30"/>
      <c r="B12" s="971" t="s">
        <v>12076</v>
      </c>
      <c r="C12" s="975" t="s">
        <v>12077</v>
      </c>
      <c r="D12" s="36"/>
      <c r="E12" s="36"/>
      <c r="F12" s="36"/>
      <c r="G12" s="36"/>
      <c r="H12" s="36"/>
      <c r="I12" s="41"/>
      <c r="K12" s="977"/>
    </row>
    <row r="13" ht="27.0" hidden="1" customHeight="1">
      <c r="A13" s="30"/>
      <c r="B13" s="978"/>
      <c r="C13" s="979" t="s">
        <v>12090</v>
      </c>
      <c r="I13" s="134"/>
      <c r="K13" s="953"/>
    </row>
    <row r="14" ht="70.5" hidden="1" customHeight="1">
      <c r="A14" s="30"/>
      <c r="B14" s="978" t="s">
        <v>12079</v>
      </c>
      <c r="C14" s="980" t="s">
        <v>12091</v>
      </c>
      <c r="D14" s="981"/>
      <c r="E14" s="982" t="s">
        <v>12092</v>
      </c>
      <c r="F14" s="983"/>
      <c r="G14" s="8"/>
      <c r="H14" s="4"/>
      <c r="I14" s="984"/>
      <c r="K14" s="953" t="s">
        <v>12084</v>
      </c>
    </row>
    <row r="15" ht="32.25" hidden="1" customHeight="1">
      <c r="A15" s="74"/>
      <c r="B15" s="985" t="s">
        <v>12093</v>
      </c>
      <c r="C15" s="986"/>
      <c r="D15" s="987"/>
      <c r="E15" s="988" t="s">
        <v>12094</v>
      </c>
      <c r="F15" s="989"/>
      <c r="G15" s="990"/>
      <c r="H15" s="990"/>
      <c r="I15" s="991"/>
      <c r="K15" s="953"/>
    </row>
    <row r="16" hidden="1">
      <c r="A16" s="954" t="s">
        <v>12095</v>
      </c>
      <c r="B16" s="955" t="s">
        <v>12067</v>
      </c>
      <c r="C16" s="992" t="s">
        <v>12096</v>
      </c>
      <c r="D16" s="992" t="s">
        <v>12097</v>
      </c>
      <c r="E16" s="24"/>
      <c r="F16" s="24"/>
      <c r="G16" s="24"/>
      <c r="H16" s="24"/>
      <c r="I16" s="22"/>
    </row>
    <row r="17" hidden="1">
      <c r="A17" s="30"/>
      <c r="B17" s="958" t="s">
        <v>12071</v>
      </c>
      <c r="C17" s="962" t="s">
        <v>12072</v>
      </c>
      <c r="D17" s="36"/>
      <c r="E17" s="36"/>
      <c r="F17" s="36"/>
      <c r="G17" s="36"/>
      <c r="H17" s="36"/>
      <c r="I17" s="41"/>
    </row>
    <row r="18" hidden="1">
      <c r="A18" s="30"/>
      <c r="B18" s="958" t="s">
        <v>12074</v>
      </c>
      <c r="C18" s="960" t="s">
        <v>2808</v>
      </c>
      <c r="D18" s="36"/>
      <c r="E18" s="36"/>
      <c r="F18" s="36"/>
      <c r="G18" s="36"/>
      <c r="H18" s="36"/>
      <c r="I18" s="41"/>
    </row>
    <row r="19" hidden="1">
      <c r="A19" s="30"/>
      <c r="B19" s="958" t="s">
        <v>12076</v>
      </c>
      <c r="C19" s="962" t="s">
        <v>12077</v>
      </c>
      <c r="D19" s="36"/>
      <c r="E19" s="36"/>
      <c r="F19" s="36"/>
      <c r="G19" s="36"/>
      <c r="H19" s="36"/>
      <c r="I19" s="41"/>
    </row>
    <row r="20" hidden="1">
      <c r="A20" s="30"/>
      <c r="B20" s="963" t="s">
        <v>12079</v>
      </c>
      <c r="C20" s="993" t="s">
        <v>12098</v>
      </c>
      <c r="D20" s="993" t="s">
        <v>12099</v>
      </c>
      <c r="E20" s="994" t="s">
        <v>12100</v>
      </c>
      <c r="F20" s="993" t="s">
        <v>12101</v>
      </c>
      <c r="G20" s="993" t="s">
        <v>12102</v>
      </c>
      <c r="H20" s="995" t="s">
        <v>12102</v>
      </c>
      <c r="I20" s="129"/>
      <c r="J20" s="996"/>
      <c r="K20" s="996"/>
      <c r="L20" s="996"/>
      <c r="M20" s="996"/>
      <c r="N20" s="996"/>
      <c r="O20" s="996"/>
      <c r="P20" s="996"/>
      <c r="Q20" s="996"/>
      <c r="R20" s="996"/>
      <c r="S20" s="996"/>
      <c r="T20" s="996"/>
      <c r="U20" s="996"/>
      <c r="V20" s="996"/>
      <c r="W20" s="996"/>
      <c r="X20" s="996"/>
      <c r="Y20" s="996"/>
      <c r="Z20" s="996"/>
      <c r="AA20" s="996"/>
      <c r="AB20" s="996"/>
    </row>
    <row r="21" hidden="1">
      <c r="A21" s="74"/>
      <c r="B21" s="997" t="s">
        <v>12103</v>
      </c>
      <c r="C21" s="998"/>
      <c r="D21" s="998"/>
      <c r="E21" s="988" t="s">
        <v>12104</v>
      </c>
      <c r="F21" s="998"/>
      <c r="G21" s="998"/>
      <c r="H21" s="998"/>
      <c r="I21" s="999"/>
      <c r="J21" s="977"/>
      <c r="K21" s="977"/>
      <c r="L21" s="977"/>
      <c r="M21" s="977"/>
      <c r="N21" s="977"/>
      <c r="O21" s="977"/>
      <c r="P21" s="977"/>
      <c r="Q21" s="977"/>
      <c r="R21" s="977"/>
      <c r="S21" s="977"/>
      <c r="T21" s="977"/>
      <c r="U21" s="977"/>
      <c r="V21" s="977"/>
      <c r="W21" s="977"/>
      <c r="X21" s="977"/>
      <c r="Y21" s="977"/>
      <c r="Z21" s="977"/>
      <c r="AA21" s="977"/>
      <c r="AB21" s="977"/>
    </row>
    <row r="22" hidden="1">
      <c r="A22" s="1000" t="s">
        <v>12105</v>
      </c>
      <c r="B22" s="1001" t="s">
        <v>12106</v>
      </c>
      <c r="C22" s="1002" t="s">
        <v>12107</v>
      </c>
      <c r="D22" s="1003" t="s">
        <v>12108</v>
      </c>
      <c r="E22" s="64"/>
      <c r="F22" s="64"/>
      <c r="G22" s="64"/>
      <c r="H22" s="1004" t="s">
        <v>12109</v>
      </c>
      <c r="I22" s="134"/>
    </row>
    <row r="23" hidden="1">
      <c r="A23" s="30"/>
      <c r="B23" s="958" t="s">
        <v>12110</v>
      </c>
      <c r="C23" s="962" t="s">
        <v>12111</v>
      </c>
      <c r="D23" s="36"/>
      <c r="E23" s="36"/>
      <c r="F23" s="36"/>
      <c r="G23" s="36"/>
      <c r="H23" s="224"/>
      <c r="I23" s="134"/>
    </row>
    <row r="24" hidden="1">
      <c r="A24" s="30"/>
      <c r="B24" s="953" t="s">
        <v>12042</v>
      </c>
      <c r="C24" s="1005" t="s">
        <v>12112</v>
      </c>
      <c r="D24" s="64"/>
      <c r="E24" s="64"/>
      <c r="F24" s="64"/>
      <c r="G24" s="64"/>
      <c r="H24" s="224"/>
      <c r="I24" s="134"/>
    </row>
    <row r="25" hidden="1">
      <c r="A25" s="30"/>
      <c r="B25" s="1006" t="s">
        <v>12113</v>
      </c>
      <c r="C25" s="1007" t="s">
        <v>12108</v>
      </c>
      <c r="D25" s="36"/>
      <c r="E25" s="36"/>
      <c r="F25" s="36"/>
      <c r="G25" s="36"/>
      <c r="H25" s="224"/>
      <c r="I25" s="134"/>
      <c r="J25" s="1008"/>
      <c r="K25" s="1008"/>
      <c r="L25" s="1008"/>
      <c r="M25" s="1008"/>
      <c r="N25" s="1008"/>
      <c r="O25" s="1008"/>
      <c r="P25" s="1008"/>
      <c r="Q25" s="1008"/>
      <c r="R25" s="1008"/>
      <c r="S25" s="1008"/>
      <c r="T25" s="1008"/>
      <c r="U25" s="1008"/>
      <c r="V25" s="1008"/>
      <c r="W25" s="1008"/>
      <c r="X25" s="1008"/>
      <c r="Y25" s="1008"/>
      <c r="Z25" s="1008"/>
      <c r="AA25" s="1008"/>
      <c r="AB25" s="1008"/>
    </row>
    <row r="26" hidden="1">
      <c r="A26" s="30"/>
      <c r="B26" s="963" t="s">
        <v>12079</v>
      </c>
      <c r="C26" s="964" t="s">
        <v>12114</v>
      </c>
      <c r="H26" s="224"/>
      <c r="I26" s="134"/>
      <c r="J26" s="497"/>
      <c r="K26" s="1009"/>
      <c r="L26" s="497"/>
      <c r="M26" s="497"/>
      <c r="N26" s="497"/>
      <c r="O26" s="497"/>
      <c r="P26" s="497"/>
      <c r="Q26" s="497"/>
      <c r="R26" s="497"/>
      <c r="S26" s="497"/>
      <c r="T26" s="497"/>
      <c r="U26" s="497"/>
      <c r="V26" s="497"/>
      <c r="W26" s="497"/>
      <c r="X26" s="497"/>
      <c r="Y26" s="497"/>
      <c r="Z26" s="497"/>
      <c r="AA26" s="497"/>
      <c r="AB26" s="497"/>
    </row>
    <row r="27" hidden="1">
      <c r="A27" s="74"/>
      <c r="B27" s="550"/>
      <c r="C27" s="1010"/>
      <c r="D27" s="1011"/>
      <c r="E27" s="1012" t="s">
        <v>12115</v>
      </c>
      <c r="F27" s="1013"/>
      <c r="G27" s="1014"/>
      <c r="H27" s="539"/>
      <c r="I27" s="551"/>
      <c r="J27" s="497"/>
      <c r="K27" s="1009"/>
      <c r="L27" s="497"/>
      <c r="M27" s="497"/>
      <c r="N27" s="497"/>
      <c r="O27" s="497"/>
      <c r="P27" s="497"/>
      <c r="Q27" s="497"/>
      <c r="R27" s="497"/>
      <c r="S27" s="497"/>
      <c r="T27" s="497"/>
      <c r="U27" s="497"/>
      <c r="V27" s="497"/>
      <c r="W27" s="497"/>
      <c r="X27" s="497"/>
      <c r="Y27" s="497"/>
      <c r="Z27" s="497"/>
      <c r="AA27" s="497"/>
      <c r="AB27" s="497"/>
    </row>
    <row r="28" hidden="1">
      <c r="A28" s="1015"/>
      <c r="B28" s="955" t="s">
        <v>12116</v>
      </c>
      <c r="C28" s="1016"/>
      <c r="D28" s="1016"/>
      <c r="E28" s="1017" t="s">
        <v>12117</v>
      </c>
      <c r="F28" s="1016"/>
      <c r="G28" s="1016"/>
      <c r="H28" s="1017" t="s">
        <v>12117</v>
      </c>
      <c r="I28" s="1018"/>
    </row>
    <row r="29" hidden="1">
      <c r="A29" s="1019" t="s">
        <v>12118</v>
      </c>
      <c r="B29" s="958" t="s">
        <v>12106</v>
      </c>
      <c r="C29" s="1020" t="s">
        <v>12119</v>
      </c>
      <c r="D29" s="960" t="s">
        <v>12108</v>
      </c>
      <c r="E29" s="36"/>
      <c r="F29" s="36"/>
      <c r="G29" s="36"/>
      <c r="H29" s="36"/>
      <c r="I29" s="41"/>
    </row>
    <row r="30" hidden="1">
      <c r="A30" s="30"/>
      <c r="B30" s="958"/>
      <c r="C30" s="960" t="s">
        <v>2808</v>
      </c>
      <c r="D30" s="36"/>
      <c r="E30" s="36"/>
      <c r="F30" s="36"/>
      <c r="G30" s="36"/>
      <c r="H30" s="36"/>
      <c r="I30" s="41"/>
    </row>
    <row r="31" hidden="1">
      <c r="A31" s="30"/>
      <c r="B31" s="958" t="s">
        <v>12110</v>
      </c>
      <c r="C31" s="962" t="s">
        <v>12111</v>
      </c>
      <c r="D31" s="36"/>
      <c r="E31" s="36"/>
      <c r="F31" s="36"/>
      <c r="G31" s="36"/>
      <c r="H31" s="36"/>
      <c r="I31" s="41"/>
    </row>
    <row r="32" hidden="1">
      <c r="A32" s="30"/>
      <c r="B32" s="958" t="s">
        <v>12120</v>
      </c>
      <c r="C32" s="1021" t="s">
        <v>12089</v>
      </c>
      <c r="D32" s="36"/>
      <c r="E32" s="36"/>
      <c r="F32" s="36"/>
      <c r="G32" s="36"/>
      <c r="H32" s="36"/>
      <c r="I32" s="41"/>
    </row>
    <row r="33" hidden="1">
      <c r="A33" s="74"/>
      <c r="B33" s="1022" t="s">
        <v>12079</v>
      </c>
      <c r="C33" s="1023" t="s">
        <v>12121</v>
      </c>
      <c r="D33" s="1024"/>
      <c r="E33" s="1025" t="s">
        <v>12122</v>
      </c>
      <c r="F33" s="115"/>
      <c r="G33" s="227"/>
      <c r="H33" s="1026" t="s">
        <v>12123</v>
      </c>
      <c r="I33" s="1027" t="s">
        <v>12124</v>
      </c>
    </row>
    <row r="34" ht="16.5" hidden="1" customHeight="1">
      <c r="A34" s="1028" t="s">
        <v>12125</v>
      </c>
      <c r="B34" s="1029"/>
      <c r="C34" s="1030" t="s">
        <v>12126</v>
      </c>
      <c r="D34" s="64"/>
      <c r="E34" s="64"/>
      <c r="F34" s="64"/>
      <c r="G34" s="64"/>
      <c r="H34" s="72"/>
      <c r="I34" s="1031"/>
    </row>
    <row r="35" ht="16.5" hidden="1" customHeight="1">
      <c r="A35" s="1032" t="s">
        <v>12127</v>
      </c>
      <c r="B35" s="1033"/>
      <c r="C35" s="743" t="s">
        <v>12126</v>
      </c>
      <c r="D35" s="8"/>
      <c r="E35" s="8"/>
      <c r="F35" s="8"/>
      <c r="G35" s="8"/>
      <c r="H35" s="4"/>
      <c r="I35" s="1034"/>
    </row>
    <row r="36" hidden="1">
      <c r="A36" s="954" t="s">
        <v>12128</v>
      </c>
      <c r="B36" s="1035" t="s">
        <v>12106</v>
      </c>
      <c r="C36" s="1016" t="s">
        <v>12129</v>
      </c>
      <c r="D36" s="1036" t="s">
        <v>12130</v>
      </c>
      <c r="E36" s="24"/>
      <c r="F36" s="24"/>
      <c r="G36" s="24"/>
      <c r="H36" s="24"/>
      <c r="I36" s="22"/>
    </row>
    <row r="37" hidden="1">
      <c r="A37" s="30"/>
      <c r="B37" s="1037" t="s">
        <v>12110</v>
      </c>
      <c r="C37" s="962" t="s">
        <v>12111</v>
      </c>
      <c r="D37" s="36"/>
      <c r="E37" s="36"/>
      <c r="F37" s="36"/>
      <c r="G37" s="36"/>
      <c r="H37" s="36"/>
      <c r="I37" s="41"/>
    </row>
    <row r="38" hidden="1">
      <c r="A38" s="30"/>
      <c r="B38" s="1037" t="s">
        <v>12120</v>
      </c>
      <c r="C38" s="1038" t="s">
        <v>12131</v>
      </c>
      <c r="D38" s="1039" t="s">
        <v>12130</v>
      </c>
      <c r="E38" s="64"/>
      <c r="F38" s="64"/>
      <c r="G38" s="64"/>
      <c r="H38" s="64"/>
      <c r="I38" s="88"/>
    </row>
    <row r="39" hidden="1">
      <c r="A39" s="30"/>
      <c r="B39" s="1040" t="s">
        <v>12079</v>
      </c>
      <c r="C39" s="1041" t="s">
        <v>12132</v>
      </c>
      <c r="D39" s="1042" t="s">
        <v>12133</v>
      </c>
      <c r="E39" s="8"/>
      <c r="F39" s="1043" t="s">
        <v>12134</v>
      </c>
      <c r="G39" s="36"/>
      <c r="H39" s="36"/>
      <c r="I39" s="41"/>
    </row>
    <row r="40" hidden="1">
      <c r="A40" s="74"/>
      <c r="B40" s="152"/>
      <c r="C40" s="539"/>
      <c r="D40" s="1044"/>
      <c r="E40" s="1045"/>
      <c r="F40" s="1046" t="s">
        <v>12135</v>
      </c>
      <c r="G40" s="1047"/>
      <c r="H40" s="1047"/>
      <c r="I40" s="1048"/>
    </row>
    <row r="41" hidden="1">
      <c r="A41" s="954" t="s">
        <v>12136</v>
      </c>
      <c r="B41" s="955" t="s">
        <v>12137</v>
      </c>
      <c r="C41" s="1049" t="s">
        <v>12138</v>
      </c>
      <c r="D41" s="1049" t="s">
        <v>12139</v>
      </c>
      <c r="E41" s="1016"/>
      <c r="F41" s="1016"/>
      <c r="G41" s="1016"/>
      <c r="H41" s="1016"/>
      <c r="I41" s="1018"/>
    </row>
    <row r="42" hidden="1">
      <c r="A42" s="30"/>
      <c r="B42" s="958" t="s">
        <v>12106</v>
      </c>
      <c r="C42" s="1020" t="s">
        <v>12140</v>
      </c>
      <c r="D42" s="1007" t="s">
        <v>12108</v>
      </c>
      <c r="E42" s="36"/>
      <c r="F42" s="36"/>
      <c r="G42" s="36"/>
      <c r="H42" s="36"/>
      <c r="I42" s="41"/>
    </row>
    <row r="43" hidden="1">
      <c r="A43" s="30"/>
      <c r="B43" s="958" t="s">
        <v>12110</v>
      </c>
      <c r="C43" s="962" t="s">
        <v>12111</v>
      </c>
      <c r="D43" s="36"/>
      <c r="E43" s="36"/>
      <c r="F43" s="36"/>
      <c r="G43" s="36"/>
      <c r="H43" s="36"/>
      <c r="I43" s="41"/>
    </row>
    <row r="44" hidden="1">
      <c r="A44" s="30"/>
      <c r="B44" s="958" t="s">
        <v>12120</v>
      </c>
      <c r="C44" s="1020" t="s">
        <v>12141</v>
      </c>
      <c r="D44" s="1007" t="s">
        <v>12108</v>
      </c>
      <c r="E44" s="36"/>
      <c r="F44" s="36"/>
      <c r="G44" s="36"/>
      <c r="H44" s="36"/>
      <c r="I44" s="41"/>
    </row>
    <row r="45" hidden="1">
      <c r="A45" s="74"/>
      <c r="B45" s="1022" t="s">
        <v>12079</v>
      </c>
      <c r="C45" s="1025" t="s">
        <v>12142</v>
      </c>
      <c r="D45" s="115"/>
      <c r="E45" s="115"/>
      <c r="F45" s="115"/>
      <c r="G45" s="115"/>
      <c r="H45" s="227"/>
      <c r="I45" s="1050" t="s">
        <v>12143</v>
      </c>
    </row>
    <row r="46" hidden="1">
      <c r="A46" s="1019" t="s">
        <v>12144</v>
      </c>
      <c r="B46" s="1051" t="s">
        <v>12137</v>
      </c>
      <c r="C46" s="1052" t="s">
        <v>12145</v>
      </c>
      <c r="D46" s="1051"/>
      <c r="E46" s="1051"/>
      <c r="F46" s="1051"/>
      <c r="G46" s="1051"/>
      <c r="H46" s="1051"/>
      <c r="I46" s="1053"/>
      <c r="J46" s="497"/>
      <c r="K46" s="497"/>
      <c r="L46" s="497"/>
      <c r="M46" s="497"/>
      <c r="N46" s="497"/>
      <c r="O46" s="497"/>
      <c r="P46" s="497"/>
      <c r="Q46" s="497"/>
      <c r="R46" s="497"/>
      <c r="S46" s="497"/>
      <c r="T46" s="497"/>
      <c r="U46" s="497"/>
      <c r="V46" s="497"/>
      <c r="W46" s="497"/>
      <c r="X46" s="497"/>
      <c r="Y46" s="497"/>
      <c r="Z46" s="497"/>
      <c r="AA46" s="497"/>
      <c r="AB46" s="497"/>
    </row>
    <row r="47" hidden="1">
      <c r="A47" s="30"/>
      <c r="B47" s="1037" t="s">
        <v>12106</v>
      </c>
      <c r="C47" s="1054" t="s">
        <v>12146</v>
      </c>
      <c r="D47" s="1055" t="s">
        <v>12108</v>
      </c>
      <c r="E47" s="36"/>
      <c r="F47" s="36"/>
      <c r="G47" s="36"/>
      <c r="H47" s="13"/>
      <c r="I47" s="1056" t="s">
        <v>12147</v>
      </c>
      <c r="J47" s="497"/>
      <c r="K47" s="497"/>
      <c r="L47" s="497"/>
      <c r="M47" s="497"/>
      <c r="N47" s="497"/>
      <c r="O47" s="497"/>
      <c r="P47" s="497"/>
      <c r="Q47" s="497"/>
      <c r="R47" s="497"/>
      <c r="S47" s="497"/>
      <c r="T47" s="497"/>
      <c r="U47" s="497"/>
      <c r="V47" s="497"/>
      <c r="W47" s="497"/>
      <c r="X47" s="497"/>
      <c r="Y47" s="497"/>
      <c r="Z47" s="497"/>
      <c r="AA47" s="497"/>
      <c r="AB47" s="497"/>
    </row>
    <row r="48" hidden="1">
      <c r="A48" s="30"/>
      <c r="B48" s="1037" t="s">
        <v>12110</v>
      </c>
      <c r="C48" s="962" t="s">
        <v>12111</v>
      </c>
      <c r="D48" s="36"/>
      <c r="E48" s="36"/>
      <c r="F48" s="36"/>
      <c r="G48" s="36"/>
      <c r="H48" s="36"/>
      <c r="I48" s="41"/>
    </row>
    <row r="49" hidden="1">
      <c r="A49" s="30"/>
      <c r="B49" s="1037" t="s">
        <v>12120</v>
      </c>
      <c r="C49" s="1057" t="s">
        <v>12148</v>
      </c>
      <c r="D49" s="1055" t="s">
        <v>12108</v>
      </c>
      <c r="E49" s="36"/>
      <c r="F49" s="36"/>
      <c r="G49" s="36"/>
      <c r="H49" s="13"/>
      <c r="I49" s="1058"/>
    </row>
    <row r="50" hidden="1">
      <c r="A50" s="74"/>
      <c r="B50" s="1059" t="s">
        <v>12079</v>
      </c>
      <c r="C50" s="1023" t="s">
        <v>12149</v>
      </c>
      <c r="D50" s="1060" t="s">
        <v>12150</v>
      </c>
      <c r="E50" s="1060" t="s">
        <v>12151</v>
      </c>
      <c r="F50" s="1023"/>
      <c r="G50" s="1023"/>
      <c r="H50" s="1025" t="s">
        <v>12152</v>
      </c>
      <c r="I50" s="67"/>
      <c r="J50" s="996"/>
      <c r="K50" s="996"/>
      <c r="L50" s="996"/>
      <c r="M50" s="996"/>
      <c r="N50" s="996"/>
      <c r="O50" s="996"/>
      <c r="P50" s="996"/>
      <c r="Q50" s="996"/>
      <c r="R50" s="996"/>
      <c r="S50" s="996"/>
      <c r="T50" s="996"/>
      <c r="U50" s="996"/>
      <c r="V50" s="996"/>
      <c r="W50" s="996"/>
      <c r="X50" s="996"/>
      <c r="Y50" s="996"/>
      <c r="Z50" s="996"/>
      <c r="AA50" s="996"/>
      <c r="AB50" s="996"/>
    </row>
    <row r="51">
      <c r="A51" s="1000" t="s">
        <v>12153</v>
      </c>
      <c r="B51" s="1037" t="s">
        <v>12106</v>
      </c>
      <c r="C51" s="1003" t="s">
        <v>12154</v>
      </c>
      <c r="D51" s="1055" t="s">
        <v>12108</v>
      </c>
      <c r="E51" s="36"/>
      <c r="F51" s="36"/>
      <c r="G51" s="36"/>
      <c r="H51" s="36"/>
      <c r="I51" s="41"/>
    </row>
    <row r="52">
      <c r="A52" s="30"/>
      <c r="B52" s="1037" t="s">
        <v>12110</v>
      </c>
      <c r="C52" s="962" t="s">
        <v>12111</v>
      </c>
      <c r="D52" s="36"/>
      <c r="E52" s="36"/>
      <c r="F52" s="36"/>
      <c r="G52" s="36"/>
      <c r="H52" s="36"/>
      <c r="I52" s="41"/>
    </row>
    <row r="53">
      <c r="A53" s="30"/>
      <c r="B53" s="1037" t="s">
        <v>12120</v>
      </c>
      <c r="C53" s="1003" t="s">
        <v>12154</v>
      </c>
      <c r="D53" s="1055" t="s">
        <v>12108</v>
      </c>
      <c r="E53" s="36"/>
      <c r="F53" s="36"/>
      <c r="G53" s="36"/>
      <c r="H53" s="36"/>
      <c r="I53" s="41"/>
      <c r="J53" s="932" t="s">
        <v>12155</v>
      </c>
    </row>
    <row r="54" ht="30.75" customHeight="1">
      <c r="A54" s="74"/>
      <c r="B54" s="1022" t="s">
        <v>12079</v>
      </c>
      <c r="C54" s="1061" t="s">
        <v>12156</v>
      </c>
      <c r="D54" s="115"/>
      <c r="E54" s="115"/>
      <c r="F54" s="115"/>
      <c r="G54" s="115"/>
      <c r="H54" s="115"/>
      <c r="I54" s="67"/>
    </row>
    <row r="55" ht="31.5" customHeight="1">
      <c r="A55" s="1062"/>
      <c r="B55" s="1063" t="s">
        <v>12137</v>
      </c>
      <c r="C55" s="1064"/>
      <c r="D55" s="1064"/>
      <c r="E55" s="1065" t="s">
        <v>12157</v>
      </c>
      <c r="F55" s="1064"/>
      <c r="G55" s="1064"/>
      <c r="H55" s="1064"/>
      <c r="I55" s="1064"/>
      <c r="J55" s="489"/>
      <c r="K55" s="489"/>
      <c r="L55" s="489"/>
      <c r="M55" s="489"/>
      <c r="N55" s="489"/>
      <c r="O55" s="489"/>
      <c r="P55" s="489"/>
      <c r="Q55" s="489"/>
      <c r="R55" s="489"/>
      <c r="S55" s="489"/>
      <c r="T55" s="489"/>
      <c r="U55" s="489"/>
      <c r="V55" s="489"/>
      <c r="W55" s="489"/>
      <c r="X55" s="489"/>
      <c r="Y55" s="489"/>
      <c r="Z55" s="489"/>
      <c r="AA55" s="489"/>
      <c r="AB55" s="489"/>
    </row>
    <row r="56">
      <c r="A56" s="1066" t="s">
        <v>12158</v>
      </c>
      <c r="B56" s="1067" t="s">
        <v>12159</v>
      </c>
      <c r="C56" s="1068" t="s">
        <v>12160</v>
      </c>
      <c r="D56" s="500"/>
      <c r="E56" s="500"/>
      <c r="F56" s="500"/>
      <c r="G56" s="500"/>
      <c r="H56" s="500"/>
      <c r="I56" s="501"/>
    </row>
    <row r="57">
      <c r="A57" s="1069" t="s">
        <v>8291</v>
      </c>
      <c r="B57" s="1063" t="s">
        <v>12159</v>
      </c>
      <c r="C57" s="1070" t="s">
        <v>12161</v>
      </c>
      <c r="D57" s="134"/>
      <c r="E57" s="1071" t="s">
        <v>12162</v>
      </c>
      <c r="F57" s="151"/>
      <c r="G57" s="551"/>
      <c r="H57" s="1070" t="s">
        <v>12163</v>
      </c>
      <c r="I57" s="134"/>
      <c r="J57" s="489"/>
      <c r="K57" s="489"/>
      <c r="L57" s="489"/>
      <c r="M57" s="489"/>
      <c r="N57" s="489"/>
      <c r="O57" s="489"/>
      <c r="P57" s="489"/>
      <c r="Q57" s="489"/>
      <c r="R57" s="489"/>
      <c r="S57" s="489"/>
      <c r="T57" s="489"/>
      <c r="U57" s="489"/>
      <c r="V57" s="489"/>
      <c r="W57" s="489"/>
      <c r="X57" s="489"/>
      <c r="Y57" s="489"/>
      <c r="Z57" s="489"/>
      <c r="AA57" s="489"/>
      <c r="AB57" s="489"/>
    </row>
    <row r="58">
      <c r="A58" s="1069" t="s">
        <v>8292</v>
      </c>
      <c r="B58" s="1063" t="s">
        <v>12159</v>
      </c>
      <c r="C58" s="224"/>
      <c r="D58" s="134"/>
      <c r="E58" s="1072" t="s">
        <v>12164</v>
      </c>
      <c r="F58" s="151"/>
      <c r="G58" s="551"/>
      <c r="H58" s="224"/>
      <c r="I58" s="134"/>
      <c r="J58" s="489"/>
      <c r="K58" s="489"/>
      <c r="L58" s="489"/>
      <c r="M58" s="489"/>
      <c r="N58" s="489"/>
      <c r="O58" s="489"/>
      <c r="P58" s="489"/>
      <c r="Q58" s="489"/>
      <c r="R58" s="489"/>
      <c r="S58" s="489"/>
      <c r="T58" s="489"/>
      <c r="U58" s="489"/>
      <c r="V58" s="489"/>
      <c r="W58" s="489"/>
      <c r="X58" s="489"/>
      <c r="Y58" s="489"/>
      <c r="Z58" s="489"/>
      <c r="AA58" s="489"/>
      <c r="AB58" s="489"/>
    </row>
    <row r="59">
      <c r="A59" s="1069" t="s">
        <v>8293</v>
      </c>
      <c r="B59" s="1063" t="s">
        <v>12159</v>
      </c>
      <c r="C59" s="224"/>
      <c r="D59" s="134"/>
      <c r="E59" s="1072" t="s">
        <v>12164</v>
      </c>
      <c r="F59" s="151"/>
      <c r="G59" s="551"/>
      <c r="H59" s="224"/>
      <c r="I59" s="134"/>
      <c r="J59" s="489"/>
      <c r="K59" s="489"/>
      <c r="L59" s="489"/>
      <c r="M59" s="489"/>
      <c r="N59" s="489"/>
      <c r="O59" s="489"/>
      <c r="P59" s="489"/>
      <c r="Q59" s="489"/>
      <c r="R59" s="489"/>
      <c r="S59" s="489"/>
      <c r="T59" s="489"/>
      <c r="U59" s="489"/>
      <c r="V59" s="489"/>
      <c r="W59" s="489"/>
      <c r="X59" s="489"/>
      <c r="Y59" s="489"/>
      <c r="Z59" s="489"/>
      <c r="AA59" s="489"/>
      <c r="AB59" s="489"/>
    </row>
    <row r="60">
      <c r="A60" s="1069" t="s">
        <v>8294</v>
      </c>
      <c r="B60" s="1063" t="s">
        <v>12159</v>
      </c>
      <c r="C60" s="539"/>
      <c r="D60" s="551"/>
      <c r="E60" s="1072" t="s">
        <v>12164</v>
      </c>
      <c r="F60" s="151"/>
      <c r="G60" s="551"/>
      <c r="H60" s="539"/>
      <c r="I60" s="551"/>
      <c r="J60" s="489"/>
      <c r="K60" s="489"/>
      <c r="L60" s="489"/>
      <c r="M60" s="489"/>
      <c r="N60" s="489"/>
      <c r="O60" s="489"/>
      <c r="P60" s="489"/>
      <c r="Q60" s="489"/>
      <c r="R60" s="489"/>
      <c r="S60" s="489"/>
      <c r="T60" s="489"/>
      <c r="U60" s="489"/>
      <c r="V60" s="489"/>
      <c r="W60" s="489"/>
      <c r="X60" s="489"/>
      <c r="Y60" s="489"/>
      <c r="Z60" s="489"/>
      <c r="AA60" s="489"/>
      <c r="AB60" s="489"/>
    </row>
    <row r="61">
      <c r="A61" s="1066" t="s">
        <v>8295</v>
      </c>
      <c r="B61" s="1073"/>
      <c r="C61" s="1074" t="s">
        <v>12165</v>
      </c>
      <c r="D61" s="151"/>
      <c r="E61" s="151"/>
      <c r="F61" s="151"/>
      <c r="G61" s="151"/>
      <c r="H61" s="151"/>
      <c r="I61" s="551"/>
    </row>
    <row r="62">
      <c r="A62" s="497"/>
      <c r="B62" s="977"/>
    </row>
    <row r="63">
      <c r="A63" s="497"/>
      <c r="B63" s="977"/>
    </row>
    <row r="64">
      <c r="A64" s="497"/>
      <c r="B64" s="977"/>
    </row>
    <row r="65">
      <c r="A65" s="497"/>
      <c r="B65" s="977"/>
    </row>
    <row r="66">
      <c r="A66" s="497"/>
      <c r="B66" s="977"/>
    </row>
    <row r="67">
      <c r="A67" s="497"/>
      <c r="B67" s="977"/>
    </row>
    <row r="68">
      <c r="A68" s="497"/>
      <c r="B68" s="977"/>
    </row>
    <row r="69">
      <c r="A69" s="497"/>
      <c r="B69" s="977"/>
    </row>
    <row r="70">
      <c r="A70" s="497"/>
      <c r="B70" s="977"/>
    </row>
    <row r="71">
      <c r="A71" s="497"/>
      <c r="B71" s="977"/>
    </row>
    <row r="72">
      <c r="A72" s="497"/>
      <c r="B72" s="977"/>
    </row>
    <row r="73">
      <c r="A73" s="497"/>
      <c r="B73" s="977"/>
    </row>
    <row r="74">
      <c r="A74" s="497"/>
      <c r="B74" s="977"/>
    </row>
    <row r="75">
      <c r="A75" s="497"/>
      <c r="B75" s="977"/>
    </row>
    <row r="76">
      <c r="A76" s="497"/>
      <c r="B76" s="977"/>
    </row>
    <row r="77">
      <c r="A77" s="497"/>
      <c r="B77" s="977"/>
    </row>
    <row r="78">
      <c r="A78" s="497"/>
      <c r="B78" s="977"/>
    </row>
    <row r="79">
      <c r="A79" s="497"/>
      <c r="B79" s="977"/>
    </row>
    <row r="80">
      <c r="A80" s="497"/>
      <c r="B80" s="977"/>
    </row>
    <row r="81">
      <c r="A81" s="497"/>
      <c r="B81" s="977"/>
    </row>
    <row r="82">
      <c r="A82" s="497"/>
      <c r="B82" s="977"/>
    </row>
    <row r="83">
      <c r="A83" s="497"/>
      <c r="B83" s="977"/>
    </row>
    <row r="84">
      <c r="A84" s="497"/>
      <c r="B84" s="977"/>
    </row>
    <row r="85">
      <c r="A85" s="497"/>
      <c r="B85" s="977"/>
    </row>
    <row r="86">
      <c r="A86" s="497"/>
      <c r="B86" s="977"/>
    </row>
    <row r="87">
      <c r="A87" s="497"/>
      <c r="B87" s="977"/>
    </row>
    <row r="88">
      <c r="A88" s="497"/>
      <c r="B88" s="977"/>
    </row>
    <row r="89">
      <c r="A89" s="497"/>
      <c r="B89" s="977"/>
    </row>
    <row r="90">
      <c r="A90" s="497"/>
      <c r="B90" s="977"/>
    </row>
    <row r="91">
      <c r="A91" s="497"/>
      <c r="B91" s="977"/>
    </row>
    <row r="92">
      <c r="A92" s="497"/>
      <c r="B92" s="977"/>
    </row>
    <row r="93">
      <c r="A93" s="497"/>
      <c r="B93" s="977"/>
    </row>
    <row r="94">
      <c r="A94" s="497"/>
      <c r="B94" s="977"/>
    </row>
    <row r="95">
      <c r="A95" s="497"/>
      <c r="B95" s="977"/>
    </row>
    <row r="96">
      <c r="A96" s="497"/>
      <c r="B96" s="977"/>
    </row>
    <row r="97">
      <c r="A97" s="497"/>
      <c r="B97" s="977"/>
    </row>
    <row r="98">
      <c r="A98" s="497"/>
      <c r="B98" s="977"/>
    </row>
    <row r="99">
      <c r="A99" s="497"/>
      <c r="B99" s="977"/>
    </row>
    <row r="100">
      <c r="A100" s="497"/>
      <c r="B100" s="977"/>
    </row>
    <row r="101">
      <c r="A101" s="497"/>
      <c r="B101" s="977"/>
    </row>
    <row r="102">
      <c r="A102" s="497"/>
      <c r="B102" s="977"/>
    </row>
    <row r="103">
      <c r="A103" s="497"/>
      <c r="B103" s="977"/>
    </row>
    <row r="104">
      <c r="A104" s="497"/>
      <c r="B104" s="977"/>
    </row>
    <row r="105">
      <c r="A105" s="497"/>
      <c r="B105" s="977"/>
    </row>
    <row r="106">
      <c r="A106" s="497"/>
      <c r="B106" s="977"/>
    </row>
    <row r="107">
      <c r="A107" s="497"/>
      <c r="B107" s="977"/>
    </row>
    <row r="108">
      <c r="A108" s="497"/>
      <c r="B108" s="977"/>
    </row>
    <row r="109">
      <c r="A109" s="497"/>
      <c r="B109" s="977"/>
    </row>
    <row r="110">
      <c r="A110" s="497"/>
      <c r="B110" s="977"/>
    </row>
    <row r="111">
      <c r="A111" s="497"/>
      <c r="B111" s="977"/>
    </row>
    <row r="112">
      <c r="A112" s="497"/>
      <c r="B112" s="977"/>
    </row>
    <row r="113">
      <c r="A113" s="497"/>
      <c r="B113" s="977"/>
    </row>
    <row r="114">
      <c r="A114" s="497"/>
      <c r="B114" s="977"/>
    </row>
    <row r="115">
      <c r="A115" s="497"/>
      <c r="B115" s="977"/>
    </row>
    <row r="116">
      <c r="A116" s="497"/>
      <c r="B116" s="977"/>
    </row>
    <row r="117">
      <c r="A117" s="497"/>
      <c r="B117" s="977"/>
    </row>
    <row r="118">
      <c r="A118" s="497"/>
      <c r="B118" s="977"/>
    </row>
    <row r="119">
      <c r="A119" s="497"/>
      <c r="B119" s="977"/>
    </row>
    <row r="120">
      <c r="A120" s="497"/>
      <c r="B120" s="977"/>
    </row>
    <row r="121">
      <c r="A121" s="497"/>
      <c r="B121" s="977"/>
    </row>
    <row r="122">
      <c r="A122" s="497"/>
      <c r="B122" s="977"/>
    </row>
    <row r="123">
      <c r="A123" s="497"/>
      <c r="B123" s="977"/>
    </row>
    <row r="124">
      <c r="A124" s="497"/>
      <c r="B124" s="977"/>
    </row>
    <row r="125">
      <c r="A125" s="497"/>
      <c r="B125" s="977"/>
    </row>
    <row r="126">
      <c r="A126" s="497"/>
      <c r="B126" s="977"/>
    </row>
    <row r="127">
      <c r="A127" s="497"/>
      <c r="B127" s="977"/>
    </row>
    <row r="128">
      <c r="A128" s="497"/>
      <c r="B128" s="977"/>
    </row>
    <row r="129">
      <c r="A129" s="497"/>
      <c r="B129" s="977"/>
    </row>
    <row r="130">
      <c r="A130" s="497"/>
      <c r="B130" s="977"/>
    </row>
    <row r="131">
      <c r="A131" s="497"/>
      <c r="B131" s="977"/>
    </row>
    <row r="132">
      <c r="A132" s="497"/>
      <c r="B132" s="977"/>
    </row>
    <row r="133">
      <c r="A133" s="497"/>
      <c r="B133" s="977"/>
    </row>
    <row r="134">
      <c r="A134" s="497"/>
      <c r="B134" s="977"/>
    </row>
    <row r="135">
      <c r="A135" s="497"/>
      <c r="B135" s="977"/>
    </row>
    <row r="136">
      <c r="A136" s="497"/>
      <c r="B136" s="977"/>
    </row>
    <row r="137">
      <c r="A137" s="497"/>
      <c r="B137" s="977"/>
    </row>
    <row r="138">
      <c r="A138" s="497"/>
      <c r="B138" s="977"/>
    </row>
    <row r="139">
      <c r="A139" s="497"/>
      <c r="B139" s="977"/>
    </row>
    <row r="140">
      <c r="A140" s="497"/>
      <c r="B140" s="977"/>
    </row>
    <row r="141">
      <c r="A141" s="497"/>
      <c r="B141" s="977"/>
    </row>
    <row r="142">
      <c r="A142" s="497"/>
      <c r="B142" s="977"/>
    </row>
    <row r="143">
      <c r="A143" s="497"/>
      <c r="B143" s="977"/>
    </row>
    <row r="144">
      <c r="A144" s="497"/>
      <c r="B144" s="977"/>
    </row>
    <row r="145">
      <c r="A145" s="497"/>
      <c r="B145" s="977"/>
    </row>
    <row r="146">
      <c r="A146" s="497"/>
      <c r="B146" s="977"/>
    </row>
    <row r="147">
      <c r="A147" s="497"/>
      <c r="B147" s="977"/>
    </row>
    <row r="148">
      <c r="A148" s="497"/>
      <c r="B148" s="977"/>
    </row>
    <row r="149">
      <c r="A149" s="497"/>
      <c r="B149" s="977"/>
    </row>
    <row r="150">
      <c r="A150" s="497"/>
      <c r="B150" s="977"/>
    </row>
    <row r="151">
      <c r="A151" s="497"/>
      <c r="B151" s="977"/>
    </row>
    <row r="152">
      <c r="A152" s="497"/>
      <c r="B152" s="977"/>
    </row>
    <row r="153">
      <c r="A153" s="497"/>
      <c r="B153" s="977"/>
    </row>
    <row r="154">
      <c r="A154" s="497"/>
      <c r="B154" s="977"/>
    </row>
    <row r="155">
      <c r="A155" s="497"/>
      <c r="B155" s="977"/>
    </row>
    <row r="156">
      <c r="A156" s="497"/>
      <c r="B156" s="977"/>
    </row>
    <row r="157">
      <c r="A157" s="497"/>
      <c r="B157" s="977"/>
    </row>
    <row r="158">
      <c r="A158" s="497"/>
      <c r="B158" s="977"/>
    </row>
    <row r="159">
      <c r="A159" s="497"/>
      <c r="B159" s="977"/>
    </row>
    <row r="160">
      <c r="A160" s="497"/>
      <c r="B160" s="977"/>
    </row>
    <row r="161">
      <c r="A161" s="497"/>
      <c r="B161" s="977"/>
    </row>
    <row r="162">
      <c r="A162" s="497"/>
      <c r="B162" s="977"/>
    </row>
    <row r="163">
      <c r="A163" s="497"/>
      <c r="B163" s="977"/>
    </row>
    <row r="164">
      <c r="A164" s="497"/>
      <c r="B164" s="977"/>
    </row>
    <row r="165">
      <c r="A165" s="497"/>
      <c r="B165" s="977"/>
    </row>
    <row r="166">
      <c r="A166" s="497"/>
      <c r="B166" s="977"/>
    </row>
    <row r="167">
      <c r="A167" s="497"/>
      <c r="B167" s="977"/>
    </row>
    <row r="168">
      <c r="A168" s="497"/>
      <c r="B168" s="977"/>
    </row>
    <row r="169">
      <c r="A169" s="497"/>
      <c r="B169" s="977"/>
    </row>
    <row r="170">
      <c r="A170" s="497"/>
      <c r="B170" s="977"/>
    </row>
    <row r="171">
      <c r="A171" s="497"/>
      <c r="B171" s="977"/>
    </row>
    <row r="172">
      <c r="A172" s="497"/>
      <c r="B172" s="977"/>
    </row>
    <row r="173">
      <c r="A173" s="497"/>
      <c r="B173" s="977"/>
    </row>
    <row r="174">
      <c r="A174" s="497"/>
      <c r="B174" s="977"/>
    </row>
    <row r="175">
      <c r="A175" s="497"/>
      <c r="B175" s="977"/>
    </row>
    <row r="176">
      <c r="A176" s="497"/>
      <c r="B176" s="977"/>
    </row>
    <row r="177">
      <c r="A177" s="497"/>
      <c r="B177" s="977"/>
    </row>
    <row r="178">
      <c r="A178" s="497"/>
      <c r="B178" s="977"/>
    </row>
    <row r="179">
      <c r="A179" s="497"/>
      <c r="B179" s="977"/>
    </row>
    <row r="180">
      <c r="A180" s="497"/>
      <c r="B180" s="977"/>
    </row>
    <row r="181">
      <c r="A181" s="497"/>
      <c r="B181" s="977"/>
    </row>
    <row r="182">
      <c r="A182" s="497"/>
      <c r="B182" s="977"/>
    </row>
    <row r="183">
      <c r="A183" s="497"/>
      <c r="B183" s="977"/>
    </row>
    <row r="184">
      <c r="A184" s="497"/>
      <c r="B184" s="977"/>
    </row>
    <row r="185">
      <c r="A185" s="497"/>
      <c r="B185" s="977"/>
    </row>
    <row r="186">
      <c r="A186" s="497"/>
      <c r="B186" s="977"/>
    </row>
    <row r="187">
      <c r="A187" s="497"/>
      <c r="B187" s="977"/>
    </row>
    <row r="188">
      <c r="A188" s="497"/>
      <c r="B188" s="977"/>
    </row>
    <row r="189">
      <c r="A189" s="497"/>
      <c r="B189" s="977"/>
    </row>
    <row r="190">
      <c r="A190" s="497"/>
      <c r="B190" s="977"/>
    </row>
    <row r="191">
      <c r="A191" s="497"/>
      <c r="B191" s="977"/>
    </row>
    <row r="192">
      <c r="A192" s="497"/>
      <c r="B192" s="977"/>
    </row>
    <row r="193">
      <c r="A193" s="497"/>
      <c r="B193" s="977"/>
    </row>
    <row r="194">
      <c r="A194" s="497"/>
      <c r="B194" s="977"/>
    </row>
    <row r="195">
      <c r="A195" s="497"/>
      <c r="B195" s="977"/>
    </row>
    <row r="196">
      <c r="A196" s="497"/>
      <c r="B196" s="977"/>
    </row>
    <row r="197">
      <c r="A197" s="497"/>
      <c r="B197" s="977"/>
    </row>
    <row r="198">
      <c r="A198" s="497"/>
      <c r="B198" s="977"/>
    </row>
    <row r="199">
      <c r="A199" s="497"/>
      <c r="B199" s="977"/>
    </row>
    <row r="200">
      <c r="A200" s="497"/>
      <c r="B200" s="977"/>
    </row>
    <row r="201">
      <c r="A201" s="497"/>
      <c r="B201" s="977"/>
    </row>
    <row r="202">
      <c r="A202" s="497"/>
      <c r="B202" s="977"/>
    </row>
    <row r="203">
      <c r="A203" s="497"/>
      <c r="B203" s="977"/>
    </row>
    <row r="204">
      <c r="A204" s="497"/>
      <c r="B204" s="977"/>
    </row>
    <row r="205">
      <c r="A205" s="497"/>
      <c r="B205" s="977"/>
    </row>
    <row r="206">
      <c r="A206" s="497"/>
      <c r="B206" s="977"/>
    </row>
    <row r="207">
      <c r="A207" s="497"/>
      <c r="B207" s="977"/>
    </row>
    <row r="208">
      <c r="A208" s="497"/>
      <c r="B208" s="977"/>
    </row>
    <row r="209">
      <c r="A209" s="497"/>
      <c r="B209" s="977"/>
    </row>
    <row r="210">
      <c r="A210" s="497"/>
      <c r="B210" s="977"/>
    </row>
    <row r="211">
      <c r="A211" s="497"/>
      <c r="B211" s="977"/>
    </row>
    <row r="212">
      <c r="A212" s="497"/>
      <c r="B212" s="977"/>
    </row>
    <row r="213">
      <c r="A213" s="497"/>
      <c r="B213" s="977"/>
    </row>
    <row r="214">
      <c r="A214" s="497"/>
      <c r="B214" s="977"/>
    </row>
    <row r="215">
      <c r="A215" s="497"/>
      <c r="B215" s="977"/>
    </row>
    <row r="216">
      <c r="A216" s="497"/>
      <c r="B216" s="977"/>
    </row>
    <row r="217">
      <c r="A217" s="497"/>
      <c r="B217" s="977"/>
    </row>
    <row r="218">
      <c r="A218" s="497"/>
      <c r="B218" s="977"/>
    </row>
    <row r="219">
      <c r="A219" s="497"/>
      <c r="B219" s="977"/>
    </row>
    <row r="220">
      <c r="A220" s="497"/>
      <c r="B220" s="977"/>
    </row>
    <row r="221">
      <c r="A221" s="497"/>
      <c r="B221" s="977"/>
    </row>
    <row r="222">
      <c r="A222" s="497"/>
      <c r="B222" s="977"/>
    </row>
    <row r="223">
      <c r="A223" s="497"/>
      <c r="B223" s="977"/>
    </row>
    <row r="224">
      <c r="A224" s="497"/>
      <c r="B224" s="977"/>
    </row>
    <row r="225">
      <c r="A225" s="497"/>
      <c r="B225" s="977"/>
    </row>
    <row r="226">
      <c r="A226" s="497"/>
      <c r="B226" s="977"/>
    </row>
    <row r="227">
      <c r="A227" s="497"/>
      <c r="B227" s="977"/>
    </row>
    <row r="228">
      <c r="A228" s="497"/>
      <c r="B228" s="977"/>
    </row>
    <row r="229">
      <c r="A229" s="497"/>
      <c r="B229" s="977"/>
    </row>
    <row r="230">
      <c r="A230" s="497"/>
      <c r="B230" s="977"/>
    </row>
    <row r="231">
      <c r="A231" s="497"/>
      <c r="B231" s="977"/>
    </row>
    <row r="232">
      <c r="A232" s="497"/>
      <c r="B232" s="977"/>
    </row>
    <row r="233">
      <c r="A233" s="497"/>
      <c r="B233" s="977"/>
    </row>
    <row r="234">
      <c r="A234" s="497"/>
      <c r="B234" s="977"/>
    </row>
    <row r="235">
      <c r="A235" s="497"/>
      <c r="B235" s="977"/>
    </row>
    <row r="236">
      <c r="A236" s="497"/>
      <c r="B236" s="977"/>
    </row>
    <row r="237">
      <c r="A237" s="497"/>
      <c r="B237" s="977"/>
    </row>
    <row r="238">
      <c r="A238" s="497"/>
      <c r="B238" s="977"/>
    </row>
    <row r="239">
      <c r="A239" s="497"/>
      <c r="B239" s="977"/>
    </row>
    <row r="240">
      <c r="A240" s="497"/>
      <c r="B240" s="977"/>
    </row>
    <row r="241">
      <c r="A241" s="497"/>
      <c r="B241" s="977"/>
    </row>
    <row r="242">
      <c r="A242" s="497"/>
      <c r="B242" s="977"/>
    </row>
    <row r="243">
      <c r="A243" s="497"/>
      <c r="B243" s="977"/>
    </row>
    <row r="244">
      <c r="A244" s="497"/>
      <c r="B244" s="977"/>
    </row>
    <row r="245">
      <c r="A245" s="497"/>
      <c r="B245" s="977"/>
    </row>
    <row r="246">
      <c r="A246" s="497"/>
      <c r="B246" s="977"/>
    </row>
    <row r="247">
      <c r="A247" s="497"/>
      <c r="B247" s="977"/>
    </row>
    <row r="248">
      <c r="A248" s="497"/>
      <c r="B248" s="977"/>
    </row>
    <row r="249">
      <c r="A249" s="497"/>
      <c r="B249" s="977"/>
    </row>
    <row r="250">
      <c r="A250" s="497"/>
      <c r="B250" s="977"/>
    </row>
    <row r="251">
      <c r="A251" s="497"/>
      <c r="B251" s="977"/>
    </row>
    <row r="252">
      <c r="A252" s="497"/>
      <c r="B252" s="977"/>
    </row>
    <row r="253">
      <c r="A253" s="497"/>
      <c r="B253" s="977"/>
    </row>
    <row r="254">
      <c r="A254" s="497"/>
      <c r="B254" s="977"/>
    </row>
    <row r="255">
      <c r="A255" s="497"/>
      <c r="B255" s="977"/>
    </row>
    <row r="256">
      <c r="A256" s="497"/>
      <c r="B256" s="977"/>
    </row>
    <row r="257">
      <c r="A257" s="497"/>
      <c r="B257" s="977"/>
    </row>
    <row r="258">
      <c r="A258" s="497"/>
      <c r="B258" s="977"/>
    </row>
    <row r="259">
      <c r="A259" s="497"/>
      <c r="B259" s="977"/>
    </row>
    <row r="260">
      <c r="A260" s="497"/>
      <c r="B260" s="977"/>
    </row>
    <row r="261">
      <c r="A261" s="497"/>
      <c r="B261" s="977"/>
    </row>
    <row r="262">
      <c r="A262" s="497"/>
      <c r="B262" s="977"/>
    </row>
    <row r="263">
      <c r="A263" s="497"/>
      <c r="B263" s="977"/>
    </row>
    <row r="264">
      <c r="A264" s="497"/>
      <c r="B264" s="977"/>
    </row>
    <row r="265">
      <c r="A265" s="497"/>
      <c r="B265" s="977"/>
    </row>
    <row r="266">
      <c r="A266" s="497"/>
      <c r="B266" s="977"/>
    </row>
    <row r="267">
      <c r="A267" s="497"/>
      <c r="B267" s="977"/>
    </row>
    <row r="268">
      <c r="A268" s="497"/>
      <c r="B268" s="977"/>
    </row>
    <row r="269">
      <c r="A269" s="497"/>
      <c r="B269" s="977"/>
    </row>
    <row r="270">
      <c r="A270" s="497"/>
      <c r="B270" s="977"/>
    </row>
    <row r="271">
      <c r="A271" s="497"/>
      <c r="B271" s="977"/>
    </row>
    <row r="272">
      <c r="A272" s="497"/>
      <c r="B272" s="977"/>
    </row>
    <row r="273">
      <c r="A273" s="497"/>
      <c r="B273" s="977"/>
    </row>
    <row r="274">
      <c r="A274" s="497"/>
      <c r="B274" s="977"/>
    </row>
    <row r="275">
      <c r="A275" s="497"/>
      <c r="B275" s="977"/>
    </row>
    <row r="276">
      <c r="A276" s="497"/>
      <c r="B276" s="977"/>
    </row>
    <row r="277">
      <c r="A277" s="497"/>
      <c r="B277" s="977"/>
    </row>
    <row r="278">
      <c r="A278" s="497"/>
      <c r="B278" s="977"/>
    </row>
    <row r="279">
      <c r="A279" s="497"/>
      <c r="B279" s="977"/>
    </row>
    <row r="280">
      <c r="A280" s="497"/>
      <c r="B280" s="977"/>
    </row>
    <row r="281">
      <c r="A281" s="497"/>
      <c r="B281" s="977"/>
    </row>
    <row r="282">
      <c r="A282" s="497"/>
      <c r="B282" s="977"/>
    </row>
    <row r="283">
      <c r="A283" s="497"/>
      <c r="B283" s="977"/>
    </row>
    <row r="284">
      <c r="A284" s="497"/>
      <c r="B284" s="977"/>
    </row>
    <row r="285">
      <c r="A285" s="497"/>
      <c r="B285" s="977"/>
    </row>
    <row r="286">
      <c r="A286" s="497"/>
      <c r="B286" s="977"/>
    </row>
    <row r="287">
      <c r="A287" s="497"/>
      <c r="B287" s="977"/>
    </row>
    <row r="288">
      <c r="A288" s="497"/>
      <c r="B288" s="977"/>
    </row>
    <row r="289">
      <c r="A289" s="497"/>
      <c r="B289" s="977"/>
    </row>
    <row r="290">
      <c r="A290" s="497"/>
      <c r="B290" s="977"/>
    </row>
    <row r="291">
      <c r="A291" s="497"/>
      <c r="B291" s="977"/>
    </row>
    <row r="292">
      <c r="A292" s="497"/>
      <c r="B292" s="977"/>
    </row>
    <row r="293">
      <c r="A293" s="497"/>
      <c r="B293" s="977"/>
    </row>
    <row r="294">
      <c r="A294" s="497"/>
      <c r="B294" s="977"/>
    </row>
    <row r="295">
      <c r="A295" s="497"/>
      <c r="B295" s="977"/>
    </row>
    <row r="296">
      <c r="A296" s="497"/>
      <c r="B296" s="977"/>
    </row>
    <row r="297">
      <c r="A297" s="497"/>
      <c r="B297" s="977"/>
    </row>
    <row r="298">
      <c r="A298" s="497"/>
      <c r="B298" s="977"/>
    </row>
    <row r="299">
      <c r="A299" s="497"/>
      <c r="B299" s="977"/>
    </row>
    <row r="300">
      <c r="A300" s="497"/>
      <c r="B300" s="977"/>
    </row>
    <row r="301">
      <c r="A301" s="497"/>
      <c r="B301" s="977"/>
    </row>
    <row r="302">
      <c r="A302" s="497"/>
      <c r="B302" s="977"/>
    </row>
    <row r="303">
      <c r="A303" s="497"/>
      <c r="B303" s="977"/>
    </row>
    <row r="304">
      <c r="A304" s="497"/>
      <c r="B304" s="977"/>
    </row>
    <row r="305">
      <c r="A305" s="497"/>
      <c r="B305" s="977"/>
    </row>
    <row r="306">
      <c r="A306" s="497"/>
      <c r="B306" s="977"/>
    </row>
    <row r="307">
      <c r="A307" s="497"/>
      <c r="B307" s="977"/>
    </row>
    <row r="308">
      <c r="A308" s="497"/>
      <c r="B308" s="977"/>
    </row>
    <row r="309">
      <c r="A309" s="497"/>
      <c r="B309" s="977"/>
    </row>
    <row r="310">
      <c r="A310" s="497"/>
      <c r="B310" s="977"/>
    </row>
    <row r="311">
      <c r="A311" s="497"/>
      <c r="B311" s="977"/>
    </row>
    <row r="312">
      <c r="A312" s="497"/>
      <c r="B312" s="977"/>
    </row>
    <row r="313">
      <c r="A313" s="497"/>
      <c r="B313" s="977"/>
    </row>
    <row r="314">
      <c r="A314" s="497"/>
      <c r="B314" s="977"/>
    </row>
    <row r="315">
      <c r="A315" s="497"/>
      <c r="B315" s="977"/>
    </row>
    <row r="316">
      <c r="A316" s="497"/>
      <c r="B316" s="977"/>
    </row>
    <row r="317">
      <c r="A317" s="497"/>
      <c r="B317" s="977"/>
    </row>
    <row r="318">
      <c r="A318" s="497"/>
      <c r="B318" s="977"/>
    </row>
    <row r="319">
      <c r="A319" s="497"/>
      <c r="B319" s="977"/>
    </row>
    <row r="320">
      <c r="A320" s="497"/>
      <c r="B320" s="977"/>
    </row>
    <row r="321">
      <c r="A321" s="497"/>
      <c r="B321" s="977"/>
    </row>
    <row r="322">
      <c r="A322" s="497"/>
      <c r="B322" s="977"/>
    </row>
    <row r="323">
      <c r="A323" s="497"/>
      <c r="B323" s="977"/>
    </row>
    <row r="324">
      <c r="A324" s="497"/>
      <c r="B324" s="977"/>
    </row>
    <row r="325">
      <c r="A325" s="497"/>
      <c r="B325" s="977"/>
    </row>
    <row r="326">
      <c r="A326" s="497"/>
      <c r="B326" s="977"/>
    </row>
    <row r="327">
      <c r="A327" s="497"/>
      <c r="B327" s="977"/>
    </row>
    <row r="328">
      <c r="A328" s="497"/>
      <c r="B328" s="977"/>
    </row>
    <row r="329">
      <c r="A329" s="497"/>
      <c r="B329" s="977"/>
    </row>
    <row r="330">
      <c r="A330" s="497"/>
      <c r="B330" s="977"/>
    </row>
    <row r="331">
      <c r="A331" s="497"/>
      <c r="B331" s="977"/>
    </row>
    <row r="332">
      <c r="A332" s="497"/>
      <c r="B332" s="977"/>
    </row>
    <row r="333">
      <c r="A333" s="497"/>
      <c r="B333" s="977"/>
    </row>
    <row r="334">
      <c r="A334" s="497"/>
      <c r="B334" s="977"/>
    </row>
    <row r="335">
      <c r="A335" s="497"/>
      <c r="B335" s="977"/>
    </row>
    <row r="336">
      <c r="A336" s="497"/>
      <c r="B336" s="977"/>
    </row>
    <row r="337">
      <c r="A337" s="497"/>
      <c r="B337" s="977"/>
    </row>
    <row r="338">
      <c r="A338" s="497"/>
      <c r="B338" s="977"/>
    </row>
    <row r="339">
      <c r="A339" s="497"/>
      <c r="B339" s="977"/>
    </row>
    <row r="340">
      <c r="A340" s="497"/>
      <c r="B340" s="977"/>
    </row>
    <row r="341">
      <c r="A341" s="497"/>
      <c r="B341" s="977"/>
    </row>
    <row r="342">
      <c r="A342" s="497"/>
      <c r="B342" s="977"/>
    </row>
    <row r="343">
      <c r="A343" s="497"/>
      <c r="B343" s="977"/>
    </row>
    <row r="344">
      <c r="A344" s="497"/>
      <c r="B344" s="977"/>
    </row>
    <row r="345">
      <c r="A345" s="497"/>
      <c r="B345" s="977"/>
    </row>
    <row r="346">
      <c r="A346" s="497"/>
      <c r="B346" s="977"/>
    </row>
    <row r="347">
      <c r="A347" s="497"/>
      <c r="B347" s="977"/>
    </row>
    <row r="348">
      <c r="A348" s="497"/>
      <c r="B348" s="977"/>
    </row>
    <row r="349">
      <c r="A349" s="497"/>
      <c r="B349" s="977"/>
    </row>
    <row r="350">
      <c r="A350" s="497"/>
      <c r="B350" s="977"/>
    </row>
    <row r="351">
      <c r="A351" s="497"/>
      <c r="B351" s="977"/>
    </row>
    <row r="352">
      <c r="A352" s="497"/>
      <c r="B352" s="977"/>
    </row>
    <row r="353">
      <c r="A353" s="497"/>
      <c r="B353" s="977"/>
    </row>
    <row r="354">
      <c r="A354" s="497"/>
      <c r="B354" s="977"/>
    </row>
    <row r="355">
      <c r="A355" s="497"/>
      <c r="B355" s="977"/>
    </row>
    <row r="356">
      <c r="A356" s="497"/>
      <c r="B356" s="977"/>
    </row>
    <row r="357">
      <c r="A357" s="497"/>
      <c r="B357" s="977"/>
    </row>
    <row r="358">
      <c r="A358" s="497"/>
      <c r="B358" s="977"/>
    </row>
    <row r="359">
      <c r="A359" s="497"/>
      <c r="B359" s="977"/>
    </row>
    <row r="360">
      <c r="A360" s="497"/>
      <c r="B360" s="977"/>
    </row>
    <row r="361">
      <c r="A361" s="497"/>
      <c r="B361" s="977"/>
    </row>
    <row r="362">
      <c r="A362" s="497"/>
      <c r="B362" s="977"/>
    </row>
    <row r="363">
      <c r="A363" s="497"/>
      <c r="B363" s="977"/>
    </row>
    <row r="364">
      <c r="A364" s="497"/>
      <c r="B364" s="977"/>
    </row>
    <row r="365">
      <c r="A365" s="497"/>
      <c r="B365" s="977"/>
    </row>
    <row r="366">
      <c r="A366" s="497"/>
      <c r="B366" s="977"/>
    </row>
    <row r="367">
      <c r="A367" s="497"/>
      <c r="B367" s="977"/>
    </row>
    <row r="368">
      <c r="A368" s="497"/>
      <c r="B368" s="977"/>
    </row>
    <row r="369">
      <c r="A369" s="497"/>
      <c r="B369" s="977"/>
    </row>
    <row r="370">
      <c r="A370" s="497"/>
      <c r="B370" s="977"/>
    </row>
    <row r="371">
      <c r="A371" s="497"/>
      <c r="B371" s="977"/>
    </row>
    <row r="372">
      <c r="A372" s="497"/>
      <c r="B372" s="977"/>
    </row>
    <row r="373">
      <c r="A373" s="497"/>
      <c r="B373" s="977"/>
    </row>
    <row r="374">
      <c r="A374" s="497"/>
      <c r="B374" s="977"/>
    </row>
    <row r="375">
      <c r="A375" s="497"/>
      <c r="B375" s="977"/>
    </row>
    <row r="376">
      <c r="A376" s="497"/>
      <c r="B376" s="977"/>
    </row>
    <row r="377">
      <c r="A377" s="497"/>
      <c r="B377" s="977"/>
    </row>
    <row r="378">
      <c r="A378" s="497"/>
      <c r="B378" s="977"/>
    </row>
    <row r="379">
      <c r="A379" s="497"/>
      <c r="B379" s="977"/>
    </row>
    <row r="380">
      <c r="A380" s="497"/>
      <c r="B380" s="977"/>
    </row>
    <row r="381">
      <c r="A381" s="497"/>
      <c r="B381" s="977"/>
    </row>
    <row r="382">
      <c r="A382" s="497"/>
      <c r="B382" s="977"/>
    </row>
    <row r="383">
      <c r="A383" s="497"/>
      <c r="B383" s="977"/>
    </row>
    <row r="384">
      <c r="A384" s="497"/>
      <c r="B384" s="977"/>
    </row>
    <row r="385">
      <c r="A385" s="497"/>
      <c r="B385" s="977"/>
    </row>
    <row r="386">
      <c r="A386" s="497"/>
      <c r="B386" s="977"/>
    </row>
    <row r="387">
      <c r="A387" s="497"/>
      <c r="B387" s="977"/>
    </row>
    <row r="388">
      <c r="A388" s="497"/>
      <c r="B388" s="977"/>
    </row>
    <row r="389">
      <c r="A389" s="497"/>
      <c r="B389" s="977"/>
    </row>
    <row r="390">
      <c r="A390" s="497"/>
      <c r="B390" s="977"/>
    </row>
    <row r="391">
      <c r="A391" s="497"/>
      <c r="B391" s="977"/>
    </row>
    <row r="392">
      <c r="A392" s="497"/>
      <c r="B392" s="977"/>
    </row>
    <row r="393">
      <c r="A393" s="497"/>
      <c r="B393" s="977"/>
    </row>
    <row r="394">
      <c r="A394" s="497"/>
      <c r="B394" s="977"/>
    </row>
    <row r="395">
      <c r="A395" s="497"/>
      <c r="B395" s="977"/>
    </row>
    <row r="396">
      <c r="A396" s="497"/>
      <c r="B396" s="977"/>
    </row>
    <row r="397">
      <c r="A397" s="497"/>
      <c r="B397" s="977"/>
    </row>
    <row r="398">
      <c r="A398" s="497"/>
      <c r="B398" s="977"/>
    </row>
    <row r="399">
      <c r="A399" s="497"/>
      <c r="B399" s="977"/>
    </row>
    <row r="400">
      <c r="A400" s="497"/>
      <c r="B400" s="977"/>
    </row>
    <row r="401">
      <c r="A401" s="497"/>
      <c r="B401" s="977"/>
    </row>
    <row r="402">
      <c r="A402" s="497"/>
      <c r="B402" s="977"/>
    </row>
    <row r="403">
      <c r="A403" s="497"/>
      <c r="B403" s="977"/>
    </row>
    <row r="404">
      <c r="A404" s="497"/>
      <c r="B404" s="977"/>
    </row>
    <row r="405">
      <c r="A405" s="497"/>
      <c r="B405" s="977"/>
    </row>
    <row r="406">
      <c r="A406" s="497"/>
      <c r="B406" s="977"/>
    </row>
    <row r="407">
      <c r="A407" s="497"/>
      <c r="B407" s="977"/>
    </row>
    <row r="408">
      <c r="A408" s="497"/>
      <c r="B408" s="977"/>
    </row>
    <row r="409">
      <c r="A409" s="497"/>
      <c r="B409" s="977"/>
    </row>
    <row r="410">
      <c r="A410" s="497"/>
      <c r="B410" s="977"/>
    </row>
    <row r="411">
      <c r="A411" s="497"/>
      <c r="B411" s="977"/>
    </row>
    <row r="412">
      <c r="A412" s="497"/>
      <c r="B412" s="977"/>
    </row>
    <row r="413">
      <c r="A413" s="497"/>
      <c r="B413" s="977"/>
    </row>
    <row r="414">
      <c r="A414" s="497"/>
      <c r="B414" s="977"/>
    </row>
    <row r="415">
      <c r="A415" s="497"/>
      <c r="B415" s="977"/>
    </row>
    <row r="416">
      <c r="A416" s="497"/>
      <c r="B416" s="977"/>
    </row>
    <row r="417">
      <c r="A417" s="497"/>
      <c r="B417" s="977"/>
    </row>
    <row r="418">
      <c r="A418" s="497"/>
      <c r="B418" s="977"/>
    </row>
    <row r="419">
      <c r="A419" s="497"/>
      <c r="B419" s="977"/>
    </row>
    <row r="420">
      <c r="A420" s="497"/>
      <c r="B420" s="977"/>
    </row>
    <row r="421">
      <c r="A421" s="497"/>
      <c r="B421" s="977"/>
    </row>
    <row r="422">
      <c r="A422" s="497"/>
      <c r="B422" s="977"/>
    </row>
    <row r="423">
      <c r="A423" s="497"/>
      <c r="B423" s="977"/>
    </row>
    <row r="424">
      <c r="A424" s="497"/>
      <c r="B424" s="977"/>
    </row>
    <row r="425">
      <c r="A425" s="497"/>
      <c r="B425" s="977"/>
    </row>
    <row r="426">
      <c r="A426" s="497"/>
      <c r="B426" s="977"/>
    </row>
    <row r="427">
      <c r="A427" s="497"/>
      <c r="B427" s="977"/>
    </row>
    <row r="428">
      <c r="A428" s="497"/>
      <c r="B428" s="977"/>
    </row>
    <row r="429">
      <c r="A429" s="497"/>
      <c r="B429" s="977"/>
    </row>
    <row r="430">
      <c r="A430" s="497"/>
      <c r="B430" s="977"/>
    </row>
    <row r="431">
      <c r="A431" s="497"/>
      <c r="B431" s="977"/>
    </row>
    <row r="432">
      <c r="A432" s="497"/>
      <c r="B432" s="977"/>
    </row>
    <row r="433">
      <c r="A433" s="497"/>
      <c r="B433" s="977"/>
    </row>
    <row r="434">
      <c r="A434" s="497"/>
      <c r="B434" s="977"/>
    </row>
    <row r="435">
      <c r="A435" s="497"/>
      <c r="B435" s="977"/>
    </row>
    <row r="436">
      <c r="A436" s="497"/>
      <c r="B436" s="977"/>
    </row>
    <row r="437">
      <c r="A437" s="497"/>
      <c r="B437" s="977"/>
    </row>
    <row r="438">
      <c r="A438" s="497"/>
      <c r="B438" s="977"/>
    </row>
    <row r="439">
      <c r="A439" s="497"/>
      <c r="B439" s="977"/>
    </row>
    <row r="440">
      <c r="A440" s="497"/>
      <c r="B440" s="977"/>
    </row>
    <row r="441">
      <c r="A441" s="497"/>
      <c r="B441" s="977"/>
    </row>
    <row r="442">
      <c r="A442" s="497"/>
      <c r="B442" s="977"/>
    </row>
    <row r="443">
      <c r="A443" s="497"/>
      <c r="B443" s="977"/>
    </row>
    <row r="444">
      <c r="A444" s="497"/>
      <c r="B444" s="977"/>
    </row>
    <row r="445">
      <c r="A445" s="497"/>
      <c r="B445" s="977"/>
    </row>
    <row r="446">
      <c r="A446" s="497"/>
      <c r="B446" s="977"/>
    </row>
    <row r="447">
      <c r="A447" s="497"/>
      <c r="B447" s="977"/>
    </row>
    <row r="448">
      <c r="A448" s="497"/>
      <c r="B448" s="977"/>
    </row>
    <row r="449">
      <c r="A449" s="497"/>
      <c r="B449" s="977"/>
    </row>
    <row r="450">
      <c r="A450" s="497"/>
      <c r="B450" s="977"/>
    </row>
    <row r="451">
      <c r="A451" s="497"/>
      <c r="B451" s="977"/>
    </row>
    <row r="452">
      <c r="A452" s="497"/>
      <c r="B452" s="977"/>
    </row>
    <row r="453">
      <c r="A453" s="497"/>
      <c r="B453" s="977"/>
    </row>
    <row r="454">
      <c r="A454" s="497"/>
      <c r="B454" s="977"/>
    </row>
    <row r="455">
      <c r="A455" s="497"/>
      <c r="B455" s="977"/>
    </row>
    <row r="456">
      <c r="A456" s="497"/>
      <c r="B456" s="977"/>
    </row>
    <row r="457">
      <c r="A457" s="497"/>
      <c r="B457" s="977"/>
    </row>
    <row r="458">
      <c r="A458" s="497"/>
      <c r="B458" s="977"/>
    </row>
    <row r="459">
      <c r="A459" s="497"/>
      <c r="B459" s="977"/>
    </row>
    <row r="460">
      <c r="A460" s="497"/>
      <c r="B460" s="977"/>
    </row>
    <row r="461">
      <c r="A461" s="497"/>
      <c r="B461" s="977"/>
    </row>
    <row r="462">
      <c r="A462" s="497"/>
      <c r="B462" s="977"/>
    </row>
    <row r="463">
      <c r="A463" s="497"/>
      <c r="B463" s="977"/>
    </row>
    <row r="464">
      <c r="A464" s="497"/>
      <c r="B464" s="977"/>
    </row>
    <row r="465">
      <c r="A465" s="497"/>
      <c r="B465" s="977"/>
    </row>
    <row r="466">
      <c r="A466" s="497"/>
      <c r="B466" s="977"/>
    </row>
    <row r="467">
      <c r="A467" s="497"/>
      <c r="B467" s="977"/>
    </row>
    <row r="468">
      <c r="A468" s="497"/>
      <c r="B468" s="977"/>
    </row>
    <row r="469">
      <c r="A469" s="497"/>
      <c r="B469" s="977"/>
    </row>
    <row r="470">
      <c r="A470" s="497"/>
      <c r="B470" s="977"/>
    </row>
    <row r="471">
      <c r="A471" s="497"/>
      <c r="B471" s="977"/>
    </row>
    <row r="472">
      <c r="A472" s="497"/>
      <c r="B472" s="977"/>
    </row>
    <row r="473">
      <c r="A473" s="497"/>
      <c r="B473" s="977"/>
    </row>
    <row r="474">
      <c r="A474" s="497"/>
      <c r="B474" s="977"/>
    </row>
    <row r="475">
      <c r="A475" s="497"/>
      <c r="B475" s="977"/>
    </row>
    <row r="476">
      <c r="A476" s="497"/>
      <c r="B476" s="977"/>
    </row>
    <row r="477">
      <c r="A477" s="497"/>
      <c r="B477" s="977"/>
    </row>
    <row r="478">
      <c r="A478" s="497"/>
      <c r="B478" s="977"/>
    </row>
    <row r="479">
      <c r="A479" s="497"/>
      <c r="B479" s="977"/>
    </row>
    <row r="480">
      <c r="A480" s="497"/>
      <c r="B480" s="977"/>
    </row>
    <row r="481">
      <c r="A481" s="497"/>
      <c r="B481" s="977"/>
    </row>
    <row r="482">
      <c r="A482" s="497"/>
      <c r="B482" s="977"/>
    </row>
    <row r="483">
      <c r="A483" s="497"/>
      <c r="B483" s="977"/>
    </row>
    <row r="484">
      <c r="A484" s="497"/>
      <c r="B484" s="977"/>
    </row>
    <row r="485">
      <c r="A485" s="497"/>
      <c r="B485" s="977"/>
    </row>
    <row r="486">
      <c r="A486" s="497"/>
      <c r="B486" s="977"/>
    </row>
    <row r="487">
      <c r="A487" s="497"/>
      <c r="B487" s="977"/>
    </row>
    <row r="488">
      <c r="A488" s="497"/>
      <c r="B488" s="977"/>
    </row>
    <row r="489">
      <c r="A489" s="497"/>
      <c r="B489" s="977"/>
    </row>
    <row r="490">
      <c r="A490" s="497"/>
      <c r="B490" s="977"/>
    </row>
    <row r="491">
      <c r="A491" s="497"/>
      <c r="B491" s="977"/>
    </row>
    <row r="492">
      <c r="A492" s="497"/>
      <c r="B492" s="977"/>
    </row>
    <row r="493">
      <c r="A493" s="497"/>
      <c r="B493" s="977"/>
    </row>
    <row r="494">
      <c r="A494" s="497"/>
      <c r="B494" s="977"/>
    </row>
    <row r="495">
      <c r="A495" s="497"/>
      <c r="B495" s="977"/>
    </row>
    <row r="496">
      <c r="A496" s="497"/>
      <c r="B496" s="977"/>
    </row>
    <row r="497">
      <c r="A497" s="497"/>
      <c r="B497" s="977"/>
    </row>
    <row r="498">
      <c r="A498" s="497"/>
      <c r="B498" s="977"/>
    </row>
    <row r="499">
      <c r="A499" s="497"/>
      <c r="B499" s="977"/>
    </row>
    <row r="500">
      <c r="A500" s="497"/>
      <c r="B500" s="977"/>
    </row>
    <row r="501">
      <c r="A501" s="497"/>
      <c r="B501" s="977"/>
    </row>
    <row r="502">
      <c r="A502" s="497"/>
      <c r="B502" s="977"/>
    </row>
    <row r="503">
      <c r="A503" s="497"/>
      <c r="B503" s="977"/>
    </row>
    <row r="504">
      <c r="A504" s="497"/>
      <c r="B504" s="977"/>
    </row>
    <row r="505">
      <c r="A505" s="497"/>
      <c r="B505" s="977"/>
    </row>
    <row r="506">
      <c r="A506" s="497"/>
      <c r="B506" s="977"/>
    </row>
    <row r="507">
      <c r="A507" s="497"/>
      <c r="B507" s="977"/>
    </row>
    <row r="508">
      <c r="A508" s="497"/>
      <c r="B508" s="977"/>
    </row>
    <row r="509">
      <c r="A509" s="497"/>
      <c r="B509" s="977"/>
    </row>
    <row r="510">
      <c r="A510" s="497"/>
      <c r="B510" s="977"/>
    </row>
    <row r="511">
      <c r="A511" s="497"/>
      <c r="B511" s="977"/>
    </row>
    <row r="512">
      <c r="A512" s="497"/>
      <c r="B512" s="977"/>
    </row>
    <row r="513">
      <c r="A513" s="497"/>
      <c r="B513" s="977"/>
    </row>
    <row r="514">
      <c r="A514" s="497"/>
      <c r="B514" s="977"/>
    </row>
    <row r="515">
      <c r="A515" s="497"/>
      <c r="B515" s="977"/>
    </row>
    <row r="516">
      <c r="A516" s="497"/>
      <c r="B516" s="977"/>
    </row>
    <row r="517">
      <c r="A517" s="497"/>
      <c r="B517" s="977"/>
    </row>
    <row r="518">
      <c r="A518" s="497"/>
      <c r="B518" s="977"/>
    </row>
    <row r="519">
      <c r="A519" s="497"/>
      <c r="B519" s="977"/>
    </row>
    <row r="520">
      <c r="A520" s="497"/>
      <c r="B520" s="977"/>
    </row>
    <row r="521">
      <c r="A521" s="497"/>
      <c r="B521" s="977"/>
    </row>
    <row r="522">
      <c r="A522" s="497"/>
      <c r="B522" s="977"/>
    </row>
    <row r="523">
      <c r="A523" s="497"/>
      <c r="B523" s="977"/>
    </row>
    <row r="524">
      <c r="A524" s="497"/>
      <c r="B524" s="977"/>
    </row>
    <row r="525">
      <c r="A525" s="497"/>
      <c r="B525" s="977"/>
    </row>
    <row r="526">
      <c r="A526" s="497"/>
      <c r="B526" s="977"/>
    </row>
    <row r="527">
      <c r="A527" s="497"/>
      <c r="B527" s="977"/>
    </row>
    <row r="528">
      <c r="A528" s="497"/>
      <c r="B528" s="977"/>
    </row>
    <row r="529">
      <c r="A529" s="497"/>
      <c r="B529" s="977"/>
    </row>
    <row r="530">
      <c r="A530" s="497"/>
      <c r="B530" s="977"/>
    </row>
    <row r="531">
      <c r="A531" s="497"/>
      <c r="B531" s="977"/>
    </row>
    <row r="532">
      <c r="A532" s="497"/>
      <c r="B532" s="977"/>
    </row>
    <row r="533">
      <c r="A533" s="497"/>
      <c r="B533" s="977"/>
    </row>
    <row r="534">
      <c r="A534" s="497"/>
      <c r="B534" s="977"/>
    </row>
    <row r="535">
      <c r="A535" s="497"/>
      <c r="B535" s="977"/>
    </row>
    <row r="536">
      <c r="A536" s="497"/>
      <c r="B536" s="977"/>
    </row>
    <row r="537">
      <c r="A537" s="497"/>
      <c r="B537" s="977"/>
    </row>
    <row r="538">
      <c r="A538" s="497"/>
      <c r="B538" s="977"/>
    </row>
    <row r="539">
      <c r="A539" s="497"/>
      <c r="B539" s="977"/>
    </row>
    <row r="540">
      <c r="A540" s="497"/>
      <c r="B540" s="977"/>
    </row>
    <row r="541">
      <c r="A541" s="497"/>
      <c r="B541" s="977"/>
    </row>
    <row r="542">
      <c r="A542" s="497"/>
      <c r="B542" s="977"/>
    </row>
    <row r="543">
      <c r="A543" s="497"/>
      <c r="B543" s="977"/>
    </row>
    <row r="544">
      <c r="A544" s="497"/>
      <c r="B544" s="977"/>
    </row>
    <row r="545">
      <c r="A545" s="497"/>
      <c r="B545" s="977"/>
    </row>
    <row r="546">
      <c r="A546" s="497"/>
      <c r="B546" s="977"/>
    </row>
    <row r="547">
      <c r="A547" s="497"/>
      <c r="B547" s="977"/>
    </row>
    <row r="548">
      <c r="A548" s="497"/>
      <c r="B548" s="977"/>
    </row>
    <row r="549">
      <c r="A549" s="497"/>
      <c r="B549" s="977"/>
    </row>
    <row r="550">
      <c r="A550" s="497"/>
      <c r="B550" s="977"/>
    </row>
    <row r="551">
      <c r="A551" s="497"/>
      <c r="B551" s="977"/>
    </row>
    <row r="552">
      <c r="A552" s="497"/>
      <c r="B552" s="977"/>
    </row>
    <row r="553">
      <c r="A553" s="497"/>
      <c r="B553" s="977"/>
    </row>
    <row r="554">
      <c r="A554" s="497"/>
      <c r="B554" s="977"/>
    </row>
    <row r="555">
      <c r="A555" s="497"/>
      <c r="B555" s="977"/>
    </row>
    <row r="556">
      <c r="A556" s="497"/>
      <c r="B556" s="977"/>
    </row>
    <row r="557">
      <c r="A557" s="497"/>
      <c r="B557" s="977"/>
    </row>
    <row r="558">
      <c r="A558" s="497"/>
      <c r="B558" s="977"/>
    </row>
    <row r="559">
      <c r="A559" s="497"/>
      <c r="B559" s="977"/>
    </row>
    <row r="560">
      <c r="A560" s="497"/>
      <c r="B560" s="977"/>
    </row>
    <row r="561">
      <c r="A561" s="497"/>
      <c r="B561" s="977"/>
    </row>
    <row r="562">
      <c r="A562" s="497"/>
      <c r="B562" s="977"/>
    </row>
    <row r="563">
      <c r="A563" s="497"/>
      <c r="B563" s="977"/>
    </row>
    <row r="564">
      <c r="A564" s="497"/>
      <c r="B564" s="977"/>
    </row>
    <row r="565">
      <c r="A565" s="497"/>
      <c r="B565" s="977"/>
    </row>
    <row r="566">
      <c r="A566" s="497"/>
      <c r="B566" s="977"/>
    </row>
    <row r="567">
      <c r="A567" s="497"/>
      <c r="B567" s="977"/>
    </row>
    <row r="568">
      <c r="A568" s="497"/>
      <c r="B568" s="977"/>
    </row>
    <row r="569">
      <c r="A569" s="497"/>
      <c r="B569" s="977"/>
    </row>
    <row r="570">
      <c r="A570" s="497"/>
      <c r="B570" s="977"/>
    </row>
    <row r="571">
      <c r="A571" s="497"/>
      <c r="B571" s="977"/>
    </row>
    <row r="572">
      <c r="A572" s="497"/>
      <c r="B572" s="977"/>
    </row>
    <row r="573">
      <c r="A573" s="497"/>
      <c r="B573" s="977"/>
    </row>
    <row r="574">
      <c r="A574" s="497"/>
      <c r="B574" s="977"/>
    </row>
    <row r="575">
      <c r="A575" s="497"/>
      <c r="B575" s="977"/>
    </row>
    <row r="576">
      <c r="A576" s="497"/>
      <c r="B576" s="977"/>
    </row>
    <row r="577">
      <c r="A577" s="497"/>
      <c r="B577" s="977"/>
    </row>
    <row r="578">
      <c r="A578" s="497"/>
      <c r="B578" s="977"/>
    </row>
    <row r="579">
      <c r="A579" s="497"/>
      <c r="B579" s="977"/>
    </row>
    <row r="580">
      <c r="A580" s="497"/>
      <c r="B580" s="977"/>
    </row>
    <row r="581">
      <c r="A581" s="497"/>
      <c r="B581" s="977"/>
    </row>
    <row r="582">
      <c r="A582" s="497"/>
      <c r="B582" s="977"/>
    </row>
    <row r="583">
      <c r="A583" s="497"/>
      <c r="B583" s="977"/>
    </row>
    <row r="584">
      <c r="A584" s="497"/>
      <c r="B584" s="977"/>
    </row>
    <row r="585">
      <c r="A585" s="497"/>
      <c r="B585" s="977"/>
    </row>
    <row r="586">
      <c r="A586" s="497"/>
      <c r="B586" s="977"/>
    </row>
    <row r="587">
      <c r="A587" s="497"/>
      <c r="B587" s="977"/>
    </row>
    <row r="588">
      <c r="A588" s="497"/>
      <c r="B588" s="977"/>
    </row>
    <row r="589">
      <c r="A589" s="497"/>
      <c r="B589" s="977"/>
    </row>
    <row r="590">
      <c r="A590" s="497"/>
      <c r="B590" s="977"/>
    </row>
    <row r="591">
      <c r="A591" s="497"/>
      <c r="B591" s="977"/>
    </row>
    <row r="592">
      <c r="A592" s="497"/>
      <c r="B592" s="977"/>
    </row>
    <row r="593">
      <c r="A593" s="497"/>
      <c r="B593" s="977"/>
    </row>
    <row r="594">
      <c r="A594" s="497"/>
      <c r="B594" s="977"/>
    </row>
    <row r="595">
      <c r="A595" s="497"/>
      <c r="B595" s="977"/>
    </row>
    <row r="596">
      <c r="A596" s="497"/>
      <c r="B596" s="977"/>
    </row>
    <row r="597">
      <c r="A597" s="497"/>
      <c r="B597" s="977"/>
    </row>
    <row r="598">
      <c r="A598" s="497"/>
      <c r="B598" s="977"/>
    </row>
    <row r="599">
      <c r="A599" s="497"/>
      <c r="B599" s="977"/>
    </row>
    <row r="600">
      <c r="A600" s="497"/>
      <c r="B600" s="977"/>
    </row>
    <row r="601">
      <c r="A601" s="497"/>
      <c r="B601" s="977"/>
    </row>
    <row r="602">
      <c r="A602" s="497"/>
      <c r="B602" s="977"/>
    </row>
    <row r="603">
      <c r="A603" s="497"/>
      <c r="B603" s="977"/>
    </row>
    <row r="604">
      <c r="A604" s="497"/>
      <c r="B604" s="977"/>
    </row>
    <row r="605">
      <c r="A605" s="497"/>
      <c r="B605" s="977"/>
    </row>
    <row r="606">
      <c r="A606" s="497"/>
      <c r="B606" s="977"/>
    </row>
    <row r="607">
      <c r="A607" s="497"/>
      <c r="B607" s="977"/>
    </row>
    <row r="608">
      <c r="A608" s="497"/>
      <c r="B608" s="977"/>
    </row>
    <row r="609">
      <c r="A609" s="497"/>
      <c r="B609" s="977"/>
    </row>
    <row r="610">
      <c r="A610" s="497"/>
      <c r="B610" s="977"/>
    </row>
    <row r="611">
      <c r="A611" s="497"/>
      <c r="B611" s="977"/>
    </row>
    <row r="612">
      <c r="A612" s="497"/>
      <c r="B612" s="977"/>
    </row>
    <row r="613">
      <c r="A613" s="497"/>
      <c r="B613" s="977"/>
    </row>
    <row r="614">
      <c r="A614" s="497"/>
      <c r="B614" s="977"/>
    </row>
    <row r="615">
      <c r="A615" s="497"/>
      <c r="B615" s="977"/>
    </row>
    <row r="616">
      <c r="A616" s="497"/>
      <c r="B616" s="977"/>
    </row>
    <row r="617">
      <c r="A617" s="497"/>
      <c r="B617" s="977"/>
    </row>
    <row r="618">
      <c r="A618" s="497"/>
      <c r="B618" s="977"/>
    </row>
    <row r="619">
      <c r="A619" s="497"/>
      <c r="B619" s="977"/>
    </row>
    <row r="620">
      <c r="A620" s="497"/>
      <c r="B620" s="977"/>
    </row>
    <row r="621">
      <c r="A621" s="497"/>
      <c r="B621" s="977"/>
    </row>
    <row r="622">
      <c r="A622" s="497"/>
      <c r="B622" s="977"/>
    </row>
    <row r="623">
      <c r="A623" s="497"/>
      <c r="B623" s="977"/>
    </row>
    <row r="624">
      <c r="A624" s="497"/>
      <c r="B624" s="977"/>
    </row>
    <row r="625">
      <c r="A625" s="497"/>
      <c r="B625" s="977"/>
    </row>
    <row r="626">
      <c r="A626" s="497"/>
      <c r="B626" s="977"/>
    </row>
    <row r="627">
      <c r="A627" s="497"/>
      <c r="B627" s="977"/>
    </row>
    <row r="628">
      <c r="A628" s="497"/>
      <c r="B628" s="977"/>
    </row>
    <row r="629">
      <c r="A629" s="497"/>
      <c r="B629" s="977"/>
    </row>
    <row r="630">
      <c r="A630" s="497"/>
      <c r="B630" s="977"/>
    </row>
    <row r="631">
      <c r="A631" s="497"/>
      <c r="B631" s="977"/>
    </row>
    <row r="632">
      <c r="A632" s="497"/>
      <c r="B632" s="977"/>
    </row>
    <row r="633">
      <c r="A633" s="497"/>
      <c r="B633" s="977"/>
    </row>
    <row r="634">
      <c r="A634" s="497"/>
      <c r="B634" s="977"/>
    </row>
    <row r="635">
      <c r="A635" s="497"/>
      <c r="B635" s="977"/>
    </row>
    <row r="636">
      <c r="A636" s="497"/>
      <c r="B636" s="977"/>
    </row>
    <row r="637">
      <c r="A637" s="497"/>
      <c r="B637" s="977"/>
    </row>
    <row r="638">
      <c r="A638" s="497"/>
      <c r="B638" s="977"/>
    </row>
    <row r="639">
      <c r="A639" s="497"/>
      <c r="B639" s="977"/>
    </row>
    <row r="640">
      <c r="A640" s="497"/>
      <c r="B640" s="977"/>
    </row>
    <row r="641">
      <c r="A641" s="497"/>
      <c r="B641" s="977"/>
    </row>
    <row r="642">
      <c r="A642" s="497"/>
      <c r="B642" s="977"/>
    </row>
    <row r="643">
      <c r="A643" s="497"/>
      <c r="B643" s="977"/>
    </row>
    <row r="644">
      <c r="A644" s="497"/>
      <c r="B644" s="977"/>
    </row>
    <row r="645">
      <c r="A645" s="497"/>
      <c r="B645" s="977"/>
    </row>
    <row r="646">
      <c r="A646" s="497"/>
      <c r="B646" s="977"/>
    </row>
    <row r="647">
      <c r="A647" s="497"/>
      <c r="B647" s="977"/>
    </row>
    <row r="648">
      <c r="A648" s="497"/>
      <c r="B648" s="977"/>
    </row>
    <row r="649">
      <c r="A649" s="497"/>
      <c r="B649" s="977"/>
    </row>
    <row r="650">
      <c r="A650" s="497"/>
      <c r="B650" s="977"/>
    </row>
    <row r="651">
      <c r="A651" s="497"/>
      <c r="B651" s="977"/>
    </row>
    <row r="652">
      <c r="A652" s="497"/>
      <c r="B652" s="977"/>
    </row>
    <row r="653">
      <c r="A653" s="497"/>
      <c r="B653" s="977"/>
    </row>
    <row r="654">
      <c r="A654" s="497"/>
      <c r="B654" s="977"/>
    </row>
    <row r="655">
      <c r="A655" s="497"/>
      <c r="B655" s="977"/>
    </row>
    <row r="656">
      <c r="A656" s="497"/>
      <c r="B656" s="977"/>
    </row>
    <row r="657">
      <c r="A657" s="497"/>
      <c r="B657" s="977"/>
    </row>
    <row r="658">
      <c r="A658" s="497"/>
      <c r="B658" s="977"/>
    </row>
    <row r="659">
      <c r="A659" s="497"/>
      <c r="B659" s="977"/>
    </row>
    <row r="660">
      <c r="A660" s="497"/>
      <c r="B660" s="977"/>
    </row>
    <row r="661">
      <c r="A661" s="497"/>
      <c r="B661" s="977"/>
    </row>
    <row r="662">
      <c r="A662" s="497"/>
      <c r="B662" s="977"/>
    </row>
    <row r="663">
      <c r="A663" s="497"/>
      <c r="B663" s="977"/>
    </row>
    <row r="664">
      <c r="A664" s="497"/>
      <c r="B664" s="977"/>
    </row>
    <row r="665">
      <c r="A665" s="497"/>
      <c r="B665" s="977"/>
    </row>
    <row r="666">
      <c r="A666" s="497"/>
      <c r="B666" s="977"/>
    </row>
    <row r="667">
      <c r="A667" s="497"/>
      <c r="B667" s="977"/>
    </row>
    <row r="668">
      <c r="A668" s="497"/>
      <c r="B668" s="977"/>
    </row>
    <row r="669">
      <c r="A669" s="497"/>
      <c r="B669" s="977"/>
    </row>
    <row r="670">
      <c r="A670" s="497"/>
      <c r="B670" s="977"/>
    </row>
    <row r="671">
      <c r="A671" s="497"/>
      <c r="B671" s="977"/>
    </row>
    <row r="672">
      <c r="A672" s="497"/>
      <c r="B672" s="977"/>
    </row>
    <row r="673">
      <c r="A673" s="497"/>
      <c r="B673" s="977"/>
    </row>
    <row r="674">
      <c r="A674" s="497"/>
      <c r="B674" s="977"/>
    </row>
    <row r="675">
      <c r="A675" s="497"/>
      <c r="B675" s="977"/>
    </row>
    <row r="676">
      <c r="A676" s="497"/>
      <c r="B676" s="977"/>
    </row>
    <row r="677">
      <c r="A677" s="497"/>
      <c r="B677" s="977"/>
    </row>
    <row r="678">
      <c r="A678" s="497"/>
      <c r="B678" s="977"/>
    </row>
    <row r="679">
      <c r="A679" s="497"/>
      <c r="B679" s="977"/>
    </row>
    <row r="680">
      <c r="A680" s="497"/>
      <c r="B680" s="977"/>
    </row>
    <row r="681">
      <c r="A681" s="497"/>
      <c r="B681" s="977"/>
    </row>
    <row r="682">
      <c r="A682" s="497"/>
      <c r="B682" s="977"/>
    </row>
    <row r="683">
      <c r="A683" s="497"/>
      <c r="B683" s="977"/>
    </row>
    <row r="684">
      <c r="A684" s="497"/>
      <c r="B684" s="977"/>
    </row>
    <row r="685">
      <c r="A685" s="497"/>
      <c r="B685" s="977"/>
    </row>
    <row r="686">
      <c r="A686" s="497"/>
      <c r="B686" s="977"/>
    </row>
    <row r="687">
      <c r="A687" s="497"/>
      <c r="B687" s="977"/>
    </row>
    <row r="688">
      <c r="A688" s="497"/>
      <c r="B688" s="977"/>
    </row>
    <row r="689">
      <c r="A689" s="497"/>
      <c r="B689" s="977"/>
    </row>
    <row r="690">
      <c r="A690" s="497"/>
      <c r="B690" s="977"/>
    </row>
    <row r="691">
      <c r="A691" s="497"/>
      <c r="B691" s="977"/>
    </row>
    <row r="692">
      <c r="A692" s="497"/>
      <c r="B692" s="977"/>
    </row>
    <row r="693">
      <c r="A693" s="497"/>
      <c r="B693" s="977"/>
    </row>
    <row r="694">
      <c r="A694" s="497"/>
      <c r="B694" s="977"/>
    </row>
    <row r="695">
      <c r="A695" s="497"/>
      <c r="B695" s="977"/>
    </row>
    <row r="696">
      <c r="A696" s="497"/>
      <c r="B696" s="977"/>
    </row>
    <row r="697">
      <c r="A697" s="497"/>
      <c r="B697" s="977"/>
    </row>
    <row r="698">
      <c r="A698" s="497"/>
      <c r="B698" s="977"/>
    </row>
    <row r="699">
      <c r="A699" s="497"/>
      <c r="B699" s="977"/>
    </row>
    <row r="700">
      <c r="A700" s="497"/>
      <c r="B700" s="977"/>
    </row>
    <row r="701">
      <c r="A701" s="497"/>
      <c r="B701" s="977"/>
    </row>
    <row r="702">
      <c r="A702" s="497"/>
      <c r="B702" s="977"/>
    </row>
    <row r="703">
      <c r="A703" s="497"/>
      <c r="B703" s="977"/>
    </row>
    <row r="704">
      <c r="A704" s="497"/>
      <c r="B704" s="977"/>
    </row>
    <row r="705">
      <c r="A705" s="497"/>
      <c r="B705" s="977"/>
    </row>
    <row r="706">
      <c r="A706" s="497"/>
      <c r="B706" s="977"/>
    </row>
    <row r="707">
      <c r="A707" s="497"/>
      <c r="B707" s="977"/>
    </row>
    <row r="708">
      <c r="A708" s="497"/>
      <c r="B708" s="977"/>
    </row>
    <row r="709">
      <c r="A709" s="497"/>
      <c r="B709" s="977"/>
    </row>
    <row r="710">
      <c r="A710" s="497"/>
      <c r="B710" s="977"/>
    </row>
    <row r="711">
      <c r="A711" s="497"/>
      <c r="B711" s="977"/>
    </row>
    <row r="712">
      <c r="A712" s="497"/>
      <c r="B712" s="977"/>
    </row>
    <row r="713">
      <c r="A713" s="497"/>
      <c r="B713" s="977"/>
    </row>
    <row r="714">
      <c r="A714" s="497"/>
      <c r="B714" s="977"/>
    </row>
    <row r="715">
      <c r="A715" s="497"/>
      <c r="B715" s="977"/>
    </row>
    <row r="716">
      <c r="A716" s="497"/>
      <c r="B716" s="977"/>
    </row>
    <row r="717">
      <c r="A717" s="497"/>
      <c r="B717" s="977"/>
    </row>
    <row r="718">
      <c r="A718" s="497"/>
      <c r="B718" s="977"/>
    </row>
    <row r="719">
      <c r="A719" s="497"/>
      <c r="B719" s="977"/>
    </row>
    <row r="720">
      <c r="A720" s="497"/>
      <c r="B720" s="977"/>
    </row>
    <row r="721">
      <c r="A721" s="497"/>
      <c r="B721" s="977"/>
    </row>
    <row r="722">
      <c r="A722" s="497"/>
      <c r="B722" s="977"/>
    </row>
    <row r="723">
      <c r="A723" s="497"/>
      <c r="B723" s="977"/>
    </row>
    <row r="724">
      <c r="A724" s="497"/>
      <c r="B724" s="977"/>
    </row>
    <row r="725">
      <c r="A725" s="497"/>
      <c r="B725" s="977"/>
    </row>
    <row r="726">
      <c r="A726" s="497"/>
      <c r="B726" s="977"/>
    </row>
    <row r="727">
      <c r="A727" s="497"/>
      <c r="B727" s="977"/>
    </row>
    <row r="728">
      <c r="A728" s="497"/>
      <c r="B728" s="977"/>
    </row>
    <row r="729">
      <c r="A729" s="497"/>
      <c r="B729" s="977"/>
    </row>
    <row r="730">
      <c r="A730" s="497"/>
      <c r="B730" s="977"/>
    </row>
    <row r="731">
      <c r="A731" s="497"/>
      <c r="B731" s="977"/>
    </row>
    <row r="732">
      <c r="A732" s="497"/>
      <c r="B732" s="977"/>
    </row>
    <row r="733">
      <c r="A733" s="497"/>
      <c r="B733" s="977"/>
    </row>
    <row r="734">
      <c r="A734" s="497"/>
      <c r="B734" s="977"/>
    </row>
    <row r="735">
      <c r="A735" s="497"/>
      <c r="B735" s="977"/>
    </row>
    <row r="736">
      <c r="A736" s="497"/>
      <c r="B736" s="977"/>
    </row>
    <row r="737">
      <c r="A737" s="497"/>
      <c r="B737" s="977"/>
    </row>
    <row r="738">
      <c r="A738" s="497"/>
      <c r="B738" s="977"/>
    </row>
    <row r="739">
      <c r="A739" s="497"/>
      <c r="B739" s="977"/>
    </row>
    <row r="740">
      <c r="A740" s="497"/>
      <c r="B740" s="977"/>
    </row>
    <row r="741">
      <c r="A741" s="497"/>
      <c r="B741" s="977"/>
    </row>
    <row r="742">
      <c r="A742" s="497"/>
      <c r="B742" s="977"/>
    </row>
    <row r="743">
      <c r="A743" s="497"/>
      <c r="B743" s="977"/>
    </row>
    <row r="744">
      <c r="A744" s="497"/>
      <c r="B744" s="977"/>
    </row>
    <row r="745">
      <c r="A745" s="497"/>
      <c r="B745" s="977"/>
    </row>
    <row r="746">
      <c r="A746" s="497"/>
      <c r="B746" s="977"/>
    </row>
    <row r="747">
      <c r="A747" s="497"/>
      <c r="B747" s="977"/>
    </row>
    <row r="748">
      <c r="A748" s="497"/>
      <c r="B748" s="977"/>
    </row>
    <row r="749">
      <c r="A749" s="497"/>
      <c r="B749" s="977"/>
    </row>
    <row r="750">
      <c r="A750" s="497"/>
      <c r="B750" s="977"/>
    </row>
    <row r="751">
      <c r="A751" s="497"/>
      <c r="B751" s="977"/>
    </row>
    <row r="752">
      <c r="A752" s="497"/>
      <c r="B752" s="977"/>
    </row>
    <row r="753">
      <c r="A753" s="497"/>
      <c r="B753" s="977"/>
    </row>
    <row r="754">
      <c r="A754" s="497"/>
      <c r="B754" s="977"/>
    </row>
    <row r="755">
      <c r="A755" s="497"/>
      <c r="B755" s="977"/>
    </row>
    <row r="756">
      <c r="A756" s="497"/>
      <c r="B756" s="977"/>
    </row>
    <row r="757">
      <c r="A757" s="497"/>
      <c r="B757" s="977"/>
    </row>
    <row r="758">
      <c r="A758" s="497"/>
      <c r="B758" s="977"/>
    </row>
    <row r="759">
      <c r="A759" s="497"/>
      <c r="B759" s="977"/>
    </row>
    <row r="760">
      <c r="A760" s="497"/>
      <c r="B760" s="977"/>
    </row>
    <row r="761">
      <c r="A761" s="497"/>
      <c r="B761" s="977"/>
    </row>
    <row r="762">
      <c r="A762" s="497"/>
      <c r="B762" s="977"/>
    </row>
    <row r="763">
      <c r="A763" s="497"/>
      <c r="B763" s="977"/>
    </row>
    <row r="764">
      <c r="A764" s="497"/>
      <c r="B764" s="977"/>
    </row>
    <row r="765">
      <c r="A765" s="497"/>
      <c r="B765" s="977"/>
    </row>
    <row r="766">
      <c r="A766" s="497"/>
      <c r="B766" s="977"/>
    </row>
    <row r="767">
      <c r="A767" s="497"/>
      <c r="B767" s="977"/>
    </row>
    <row r="768">
      <c r="A768" s="497"/>
      <c r="B768" s="977"/>
    </row>
    <row r="769">
      <c r="A769" s="497"/>
      <c r="B769" s="977"/>
    </row>
    <row r="770">
      <c r="A770" s="497"/>
      <c r="B770" s="977"/>
    </row>
    <row r="771">
      <c r="A771" s="497"/>
      <c r="B771" s="977"/>
    </row>
    <row r="772">
      <c r="A772" s="497"/>
      <c r="B772" s="977"/>
    </row>
    <row r="773">
      <c r="A773" s="497"/>
      <c r="B773" s="977"/>
    </row>
    <row r="774">
      <c r="A774" s="497"/>
      <c r="B774" s="977"/>
    </row>
    <row r="775">
      <c r="A775" s="497"/>
      <c r="B775" s="977"/>
    </row>
    <row r="776">
      <c r="A776" s="497"/>
      <c r="B776" s="977"/>
    </row>
    <row r="777">
      <c r="A777" s="497"/>
      <c r="B777" s="977"/>
    </row>
    <row r="778">
      <c r="A778" s="497"/>
      <c r="B778" s="977"/>
    </row>
    <row r="779">
      <c r="A779" s="497"/>
      <c r="B779" s="977"/>
    </row>
    <row r="780">
      <c r="A780" s="497"/>
      <c r="B780" s="977"/>
    </row>
    <row r="781">
      <c r="A781" s="497"/>
      <c r="B781" s="977"/>
    </row>
    <row r="782">
      <c r="A782" s="497"/>
      <c r="B782" s="977"/>
    </row>
    <row r="783">
      <c r="A783" s="497"/>
      <c r="B783" s="977"/>
    </row>
    <row r="784">
      <c r="A784" s="497"/>
      <c r="B784" s="977"/>
    </row>
    <row r="785">
      <c r="A785" s="497"/>
      <c r="B785" s="977"/>
    </row>
    <row r="786">
      <c r="A786" s="497"/>
      <c r="B786" s="977"/>
    </row>
    <row r="787">
      <c r="A787" s="497"/>
      <c r="B787" s="977"/>
    </row>
    <row r="788">
      <c r="A788" s="497"/>
      <c r="B788" s="977"/>
    </row>
    <row r="789">
      <c r="A789" s="497"/>
      <c r="B789" s="977"/>
    </row>
    <row r="790">
      <c r="A790" s="497"/>
      <c r="B790" s="977"/>
    </row>
    <row r="791">
      <c r="A791" s="497"/>
      <c r="B791" s="977"/>
    </row>
    <row r="792">
      <c r="A792" s="497"/>
      <c r="B792" s="977"/>
    </row>
    <row r="793">
      <c r="A793" s="497"/>
      <c r="B793" s="977"/>
    </row>
    <row r="794">
      <c r="A794" s="497"/>
      <c r="B794" s="977"/>
    </row>
    <row r="795">
      <c r="A795" s="497"/>
      <c r="B795" s="977"/>
    </row>
    <row r="796">
      <c r="A796" s="497"/>
      <c r="B796" s="977"/>
    </row>
    <row r="797">
      <c r="A797" s="497"/>
      <c r="B797" s="977"/>
    </row>
    <row r="798">
      <c r="A798" s="497"/>
      <c r="B798" s="977"/>
    </row>
    <row r="799">
      <c r="A799" s="497"/>
      <c r="B799" s="977"/>
    </row>
    <row r="800">
      <c r="A800" s="497"/>
      <c r="B800" s="977"/>
    </row>
    <row r="801">
      <c r="A801" s="497"/>
      <c r="B801" s="977"/>
    </row>
    <row r="802">
      <c r="A802" s="497"/>
      <c r="B802" s="977"/>
    </row>
    <row r="803">
      <c r="A803" s="497"/>
      <c r="B803" s="977"/>
    </row>
    <row r="804">
      <c r="A804" s="497"/>
      <c r="B804" s="977"/>
    </row>
    <row r="805">
      <c r="A805" s="497"/>
      <c r="B805" s="977"/>
    </row>
    <row r="806">
      <c r="A806" s="497"/>
      <c r="B806" s="977"/>
    </row>
    <row r="807">
      <c r="A807" s="497"/>
      <c r="B807" s="977"/>
    </row>
    <row r="808">
      <c r="A808" s="497"/>
      <c r="B808" s="977"/>
    </row>
    <row r="809">
      <c r="A809" s="497"/>
      <c r="B809" s="977"/>
    </row>
    <row r="810">
      <c r="A810" s="497"/>
      <c r="B810" s="977"/>
    </row>
    <row r="811">
      <c r="A811" s="497"/>
      <c r="B811" s="977"/>
    </row>
    <row r="812">
      <c r="A812" s="497"/>
      <c r="B812" s="977"/>
    </row>
    <row r="813">
      <c r="A813" s="497"/>
      <c r="B813" s="977"/>
    </row>
    <row r="814">
      <c r="A814" s="497"/>
      <c r="B814" s="977"/>
    </row>
    <row r="815">
      <c r="A815" s="497"/>
      <c r="B815" s="977"/>
    </row>
    <row r="816">
      <c r="A816" s="497"/>
      <c r="B816" s="977"/>
    </row>
    <row r="817">
      <c r="A817" s="497"/>
      <c r="B817" s="977"/>
    </row>
    <row r="818">
      <c r="A818" s="497"/>
      <c r="B818" s="977"/>
    </row>
    <row r="819">
      <c r="A819" s="497"/>
      <c r="B819" s="977"/>
    </row>
    <row r="820">
      <c r="A820" s="497"/>
      <c r="B820" s="977"/>
    </row>
    <row r="821">
      <c r="A821" s="497"/>
      <c r="B821" s="977"/>
    </row>
    <row r="822">
      <c r="A822" s="497"/>
      <c r="B822" s="977"/>
    </row>
    <row r="823">
      <c r="A823" s="497"/>
      <c r="B823" s="977"/>
    </row>
    <row r="824">
      <c r="A824" s="497"/>
      <c r="B824" s="977"/>
    </row>
    <row r="825">
      <c r="A825" s="497"/>
      <c r="B825" s="977"/>
    </row>
    <row r="826">
      <c r="A826" s="497"/>
      <c r="B826" s="977"/>
    </row>
    <row r="827">
      <c r="A827" s="497"/>
      <c r="B827" s="977"/>
    </row>
    <row r="828">
      <c r="A828" s="497"/>
      <c r="B828" s="977"/>
    </row>
    <row r="829">
      <c r="A829" s="497"/>
      <c r="B829" s="977"/>
    </row>
    <row r="830">
      <c r="A830" s="497"/>
      <c r="B830" s="977"/>
    </row>
    <row r="831">
      <c r="A831" s="497"/>
      <c r="B831" s="977"/>
    </row>
    <row r="832">
      <c r="A832" s="497"/>
      <c r="B832" s="977"/>
    </row>
    <row r="833">
      <c r="A833" s="497"/>
      <c r="B833" s="977"/>
    </row>
    <row r="834">
      <c r="A834" s="497"/>
      <c r="B834" s="977"/>
    </row>
    <row r="835">
      <c r="A835" s="497"/>
      <c r="B835" s="977"/>
    </row>
    <row r="836">
      <c r="A836" s="497"/>
      <c r="B836" s="977"/>
    </row>
    <row r="837">
      <c r="A837" s="497"/>
      <c r="B837" s="977"/>
    </row>
    <row r="838">
      <c r="A838" s="497"/>
      <c r="B838" s="977"/>
    </row>
    <row r="839">
      <c r="A839" s="497"/>
      <c r="B839" s="977"/>
    </row>
    <row r="840">
      <c r="A840" s="497"/>
      <c r="B840" s="977"/>
    </row>
    <row r="841">
      <c r="A841" s="497"/>
      <c r="B841" s="977"/>
    </row>
    <row r="842">
      <c r="A842" s="497"/>
      <c r="B842" s="977"/>
    </row>
    <row r="843">
      <c r="A843" s="497"/>
      <c r="B843" s="977"/>
    </row>
    <row r="844">
      <c r="A844" s="497"/>
      <c r="B844" s="977"/>
    </row>
    <row r="845">
      <c r="A845" s="497"/>
      <c r="B845" s="977"/>
    </row>
    <row r="846">
      <c r="A846" s="497"/>
      <c r="B846" s="977"/>
    </row>
    <row r="847">
      <c r="A847" s="497"/>
      <c r="B847" s="977"/>
    </row>
    <row r="848">
      <c r="A848" s="497"/>
      <c r="B848" s="977"/>
    </row>
    <row r="849">
      <c r="A849" s="497"/>
      <c r="B849" s="977"/>
    </row>
    <row r="850">
      <c r="A850" s="497"/>
      <c r="B850" s="977"/>
    </row>
    <row r="851">
      <c r="A851" s="497"/>
      <c r="B851" s="977"/>
    </row>
    <row r="852">
      <c r="A852" s="497"/>
      <c r="B852" s="977"/>
    </row>
    <row r="853">
      <c r="A853" s="497"/>
      <c r="B853" s="977"/>
    </row>
    <row r="854">
      <c r="A854" s="497"/>
      <c r="B854" s="977"/>
    </row>
    <row r="855">
      <c r="A855" s="497"/>
      <c r="B855" s="977"/>
    </row>
    <row r="856">
      <c r="A856" s="497"/>
      <c r="B856" s="977"/>
    </row>
    <row r="857">
      <c r="A857" s="497"/>
      <c r="B857" s="977"/>
    </row>
    <row r="858">
      <c r="A858" s="497"/>
      <c r="B858" s="977"/>
    </row>
    <row r="859">
      <c r="A859" s="497"/>
      <c r="B859" s="977"/>
    </row>
    <row r="860">
      <c r="A860" s="497"/>
      <c r="B860" s="977"/>
    </row>
    <row r="861">
      <c r="A861" s="497"/>
      <c r="B861" s="977"/>
    </row>
    <row r="862">
      <c r="A862" s="497"/>
      <c r="B862" s="977"/>
    </row>
    <row r="863">
      <c r="A863" s="497"/>
      <c r="B863" s="977"/>
    </row>
    <row r="864">
      <c r="A864" s="497"/>
      <c r="B864" s="977"/>
    </row>
    <row r="865">
      <c r="A865" s="497"/>
      <c r="B865" s="977"/>
    </row>
    <row r="866">
      <c r="A866" s="497"/>
      <c r="B866" s="977"/>
    </row>
    <row r="867">
      <c r="A867" s="497"/>
      <c r="B867" s="977"/>
    </row>
    <row r="868">
      <c r="A868" s="497"/>
      <c r="B868" s="977"/>
    </row>
    <row r="869">
      <c r="A869" s="497"/>
      <c r="B869" s="977"/>
    </row>
    <row r="870">
      <c r="A870" s="497"/>
      <c r="B870" s="977"/>
    </row>
    <row r="871">
      <c r="A871" s="497"/>
      <c r="B871" s="977"/>
    </row>
    <row r="872">
      <c r="A872" s="497"/>
      <c r="B872" s="977"/>
    </row>
    <row r="873">
      <c r="A873" s="497"/>
      <c r="B873" s="977"/>
    </row>
    <row r="874">
      <c r="A874" s="497"/>
      <c r="B874" s="977"/>
    </row>
    <row r="875">
      <c r="A875" s="497"/>
      <c r="B875" s="977"/>
    </row>
    <row r="876">
      <c r="A876" s="497"/>
      <c r="B876" s="977"/>
    </row>
    <row r="877">
      <c r="A877" s="497"/>
      <c r="B877" s="977"/>
    </row>
    <row r="878">
      <c r="A878" s="497"/>
      <c r="B878" s="977"/>
    </row>
    <row r="879">
      <c r="A879" s="497"/>
      <c r="B879" s="977"/>
    </row>
    <row r="880">
      <c r="A880" s="497"/>
      <c r="B880" s="977"/>
    </row>
    <row r="881">
      <c r="A881" s="497"/>
      <c r="B881" s="977"/>
    </row>
    <row r="882">
      <c r="A882" s="497"/>
      <c r="B882" s="977"/>
    </row>
    <row r="883">
      <c r="A883" s="497"/>
      <c r="B883" s="977"/>
    </row>
    <row r="884">
      <c r="A884" s="497"/>
      <c r="B884" s="977"/>
    </row>
    <row r="885">
      <c r="A885" s="497"/>
      <c r="B885" s="977"/>
    </row>
    <row r="886">
      <c r="A886" s="497"/>
      <c r="B886" s="977"/>
    </row>
    <row r="887">
      <c r="A887" s="497"/>
      <c r="B887" s="977"/>
    </row>
    <row r="888">
      <c r="A888" s="497"/>
      <c r="B888" s="977"/>
    </row>
    <row r="889">
      <c r="A889" s="497"/>
      <c r="B889" s="977"/>
    </row>
    <row r="890">
      <c r="A890" s="497"/>
      <c r="B890" s="977"/>
    </row>
    <row r="891">
      <c r="A891" s="497"/>
      <c r="B891" s="977"/>
    </row>
    <row r="892">
      <c r="A892" s="497"/>
      <c r="B892" s="977"/>
    </row>
    <row r="893">
      <c r="A893" s="497"/>
      <c r="B893" s="977"/>
    </row>
    <row r="894">
      <c r="A894" s="497"/>
      <c r="B894" s="977"/>
    </row>
    <row r="895">
      <c r="A895" s="497"/>
      <c r="B895" s="977"/>
    </row>
    <row r="896">
      <c r="A896" s="497"/>
      <c r="B896" s="977"/>
    </row>
    <row r="897">
      <c r="A897" s="497"/>
      <c r="B897" s="977"/>
    </row>
    <row r="898">
      <c r="A898" s="497"/>
      <c r="B898" s="977"/>
    </row>
    <row r="899">
      <c r="A899" s="497"/>
      <c r="B899" s="977"/>
    </row>
    <row r="900">
      <c r="A900" s="497"/>
      <c r="B900" s="977"/>
    </row>
    <row r="901">
      <c r="A901" s="497"/>
      <c r="B901" s="977"/>
    </row>
    <row r="902">
      <c r="A902" s="497"/>
      <c r="B902" s="977"/>
    </row>
    <row r="903">
      <c r="A903" s="497"/>
      <c r="B903" s="977"/>
    </row>
    <row r="904">
      <c r="A904" s="497"/>
      <c r="B904" s="977"/>
    </row>
    <row r="905">
      <c r="A905" s="497"/>
      <c r="B905" s="977"/>
    </row>
    <row r="906">
      <c r="A906" s="497"/>
      <c r="B906" s="977"/>
    </row>
    <row r="907">
      <c r="A907" s="497"/>
      <c r="B907" s="977"/>
    </row>
    <row r="908">
      <c r="A908" s="497"/>
      <c r="B908" s="977"/>
    </row>
    <row r="909">
      <c r="A909" s="497"/>
      <c r="B909" s="977"/>
    </row>
    <row r="910">
      <c r="A910" s="497"/>
      <c r="B910" s="977"/>
    </row>
    <row r="911">
      <c r="A911" s="497"/>
      <c r="B911" s="977"/>
    </row>
    <row r="912">
      <c r="A912" s="497"/>
      <c r="B912" s="977"/>
    </row>
    <row r="913">
      <c r="A913" s="497"/>
      <c r="B913" s="977"/>
    </row>
    <row r="914">
      <c r="A914" s="497"/>
      <c r="B914" s="977"/>
    </row>
    <row r="915">
      <c r="A915" s="497"/>
      <c r="B915" s="977"/>
    </row>
    <row r="916">
      <c r="A916" s="497"/>
      <c r="B916" s="977"/>
    </row>
    <row r="917">
      <c r="A917" s="497"/>
      <c r="B917" s="977"/>
    </row>
    <row r="918">
      <c r="A918" s="497"/>
      <c r="B918" s="977"/>
    </row>
    <row r="919">
      <c r="A919" s="497"/>
      <c r="B919" s="977"/>
    </row>
    <row r="920">
      <c r="A920" s="497"/>
      <c r="B920" s="977"/>
    </row>
    <row r="921">
      <c r="A921" s="497"/>
      <c r="B921" s="977"/>
    </row>
    <row r="922">
      <c r="A922" s="497"/>
      <c r="B922" s="977"/>
    </row>
    <row r="923">
      <c r="A923" s="497"/>
      <c r="B923" s="977"/>
    </row>
    <row r="924">
      <c r="A924" s="497"/>
      <c r="B924" s="977"/>
    </row>
    <row r="925">
      <c r="A925" s="497"/>
      <c r="B925" s="977"/>
    </row>
    <row r="926">
      <c r="A926" s="497"/>
      <c r="B926" s="977"/>
    </row>
    <row r="927">
      <c r="A927" s="497"/>
      <c r="B927" s="977"/>
    </row>
    <row r="928">
      <c r="A928" s="497"/>
      <c r="B928" s="977"/>
    </row>
    <row r="929">
      <c r="A929" s="497"/>
      <c r="B929" s="977"/>
    </row>
    <row r="930">
      <c r="A930" s="497"/>
      <c r="B930" s="977"/>
    </row>
    <row r="931">
      <c r="A931" s="497"/>
      <c r="B931" s="977"/>
    </row>
    <row r="932">
      <c r="A932" s="497"/>
      <c r="B932" s="977"/>
    </row>
    <row r="933">
      <c r="A933" s="497"/>
      <c r="B933" s="977"/>
    </row>
    <row r="934">
      <c r="A934" s="497"/>
      <c r="B934" s="977"/>
    </row>
    <row r="935">
      <c r="A935" s="497"/>
      <c r="B935" s="977"/>
    </row>
    <row r="936">
      <c r="A936" s="497"/>
      <c r="B936" s="977"/>
    </row>
    <row r="937">
      <c r="A937" s="497"/>
      <c r="B937" s="977"/>
    </row>
    <row r="938">
      <c r="A938" s="497"/>
      <c r="B938" s="977"/>
    </row>
    <row r="939">
      <c r="A939" s="497"/>
      <c r="B939" s="977"/>
    </row>
    <row r="940">
      <c r="A940" s="497"/>
      <c r="B940" s="977"/>
    </row>
    <row r="941">
      <c r="A941" s="497"/>
      <c r="B941" s="977"/>
    </row>
    <row r="942">
      <c r="A942" s="497"/>
      <c r="B942" s="977"/>
    </row>
    <row r="943">
      <c r="A943" s="497"/>
      <c r="B943" s="977"/>
    </row>
    <row r="944">
      <c r="A944" s="497"/>
      <c r="B944" s="977"/>
    </row>
    <row r="945">
      <c r="A945" s="497"/>
      <c r="B945" s="977"/>
    </row>
    <row r="946">
      <c r="A946" s="497"/>
      <c r="B946" s="977"/>
    </row>
    <row r="947">
      <c r="A947" s="497"/>
      <c r="B947" s="977"/>
    </row>
    <row r="948">
      <c r="A948" s="497"/>
      <c r="B948" s="977"/>
    </row>
    <row r="949">
      <c r="A949" s="497"/>
      <c r="B949" s="977"/>
    </row>
    <row r="950">
      <c r="A950" s="497"/>
      <c r="B950" s="977"/>
    </row>
    <row r="951">
      <c r="A951" s="497"/>
      <c r="B951" s="977"/>
    </row>
    <row r="952">
      <c r="A952" s="497"/>
      <c r="B952" s="977"/>
    </row>
    <row r="953">
      <c r="A953" s="497"/>
      <c r="B953" s="977"/>
    </row>
    <row r="954">
      <c r="A954" s="497"/>
      <c r="B954" s="977"/>
    </row>
    <row r="955">
      <c r="A955" s="497"/>
      <c r="B955" s="977"/>
    </row>
    <row r="956">
      <c r="A956" s="497"/>
      <c r="B956" s="977"/>
    </row>
    <row r="957">
      <c r="A957" s="497"/>
      <c r="B957" s="977"/>
    </row>
    <row r="958">
      <c r="A958" s="497"/>
      <c r="B958" s="977"/>
    </row>
    <row r="959">
      <c r="A959" s="497"/>
      <c r="B959" s="977"/>
    </row>
    <row r="960">
      <c r="A960" s="497"/>
      <c r="B960" s="977"/>
    </row>
    <row r="961">
      <c r="A961" s="497"/>
      <c r="B961" s="977"/>
    </row>
    <row r="962">
      <c r="A962" s="497"/>
      <c r="B962" s="977"/>
    </row>
    <row r="963">
      <c r="A963" s="497"/>
      <c r="B963" s="977"/>
    </row>
    <row r="964">
      <c r="A964" s="497"/>
      <c r="B964" s="977"/>
    </row>
    <row r="965">
      <c r="A965" s="497"/>
      <c r="B965" s="977"/>
    </row>
    <row r="966">
      <c r="A966" s="497"/>
      <c r="B966" s="977"/>
    </row>
    <row r="967">
      <c r="A967" s="497"/>
      <c r="B967" s="977"/>
    </row>
    <row r="968">
      <c r="A968" s="497"/>
      <c r="B968" s="977"/>
    </row>
    <row r="969">
      <c r="A969" s="497"/>
      <c r="B969" s="977"/>
    </row>
    <row r="970">
      <c r="A970" s="497"/>
      <c r="B970" s="977"/>
    </row>
    <row r="971">
      <c r="A971" s="497"/>
      <c r="B971" s="977"/>
    </row>
    <row r="972">
      <c r="A972" s="497"/>
      <c r="B972" s="977"/>
    </row>
    <row r="973">
      <c r="A973" s="497"/>
      <c r="B973" s="977"/>
    </row>
    <row r="974">
      <c r="A974" s="497"/>
      <c r="B974" s="977"/>
    </row>
    <row r="975">
      <c r="A975" s="497"/>
      <c r="B975" s="977"/>
    </row>
    <row r="976">
      <c r="A976" s="497"/>
      <c r="B976" s="977"/>
    </row>
    <row r="977">
      <c r="A977" s="497"/>
      <c r="B977" s="977"/>
    </row>
    <row r="978">
      <c r="A978" s="497"/>
      <c r="B978" s="977"/>
    </row>
    <row r="979">
      <c r="A979" s="497"/>
      <c r="B979" s="977"/>
    </row>
    <row r="980">
      <c r="A980" s="497"/>
      <c r="B980" s="977"/>
    </row>
    <row r="981">
      <c r="A981" s="497"/>
      <c r="B981" s="977"/>
    </row>
    <row r="982">
      <c r="A982" s="497"/>
      <c r="B982" s="977"/>
    </row>
    <row r="983">
      <c r="A983" s="497"/>
      <c r="B983" s="977"/>
    </row>
    <row r="984">
      <c r="A984" s="497"/>
      <c r="B984" s="977"/>
    </row>
    <row r="985">
      <c r="A985" s="497"/>
      <c r="B985" s="977"/>
    </row>
    <row r="986">
      <c r="A986" s="497"/>
      <c r="B986" s="977"/>
    </row>
    <row r="987">
      <c r="A987" s="497"/>
      <c r="B987" s="977"/>
    </row>
    <row r="988">
      <c r="A988" s="497"/>
      <c r="B988" s="977"/>
    </row>
    <row r="989">
      <c r="A989" s="497"/>
      <c r="B989" s="977"/>
    </row>
  </sheetData>
  <mergeCells count="70">
    <mergeCell ref="D36:I36"/>
    <mergeCell ref="C37:I37"/>
    <mergeCell ref="D29:I29"/>
    <mergeCell ref="C30:I30"/>
    <mergeCell ref="C31:I31"/>
    <mergeCell ref="C32:I32"/>
    <mergeCell ref="E33:G33"/>
    <mergeCell ref="C34:H34"/>
    <mergeCell ref="C35:H35"/>
    <mergeCell ref="D44:I44"/>
    <mergeCell ref="C45:H45"/>
    <mergeCell ref="D38:I38"/>
    <mergeCell ref="B39:B40"/>
    <mergeCell ref="C39:C40"/>
    <mergeCell ref="D39:E39"/>
    <mergeCell ref="F39:I39"/>
    <mergeCell ref="D42:I42"/>
    <mergeCell ref="C43:I43"/>
    <mergeCell ref="C17:I17"/>
    <mergeCell ref="C18:I18"/>
    <mergeCell ref="C19:I19"/>
    <mergeCell ref="H20:I20"/>
    <mergeCell ref="D22:G22"/>
    <mergeCell ref="H22:I27"/>
    <mergeCell ref="C23:G23"/>
    <mergeCell ref="C24:G24"/>
    <mergeCell ref="C25:G25"/>
    <mergeCell ref="D47:H47"/>
    <mergeCell ref="C48:I48"/>
    <mergeCell ref="D49:H49"/>
    <mergeCell ref="H50:I50"/>
    <mergeCell ref="D51:I51"/>
    <mergeCell ref="E60:G60"/>
    <mergeCell ref="C61:I61"/>
    <mergeCell ref="C52:I52"/>
    <mergeCell ref="D53:I53"/>
    <mergeCell ref="C54:I54"/>
    <mergeCell ref="C56:I56"/>
    <mergeCell ref="C57:D60"/>
    <mergeCell ref="E57:G57"/>
    <mergeCell ref="H57:I60"/>
    <mergeCell ref="C6:I6"/>
    <mergeCell ref="C7:I7"/>
    <mergeCell ref="C2:I2"/>
    <mergeCell ref="C3:C5"/>
    <mergeCell ref="D3:I3"/>
    <mergeCell ref="D4:I4"/>
    <mergeCell ref="D5:I5"/>
    <mergeCell ref="B7:B8"/>
    <mergeCell ref="C8:D8"/>
    <mergeCell ref="D9:H9"/>
    <mergeCell ref="C10:I10"/>
    <mergeCell ref="C11:I11"/>
    <mergeCell ref="C12:I12"/>
    <mergeCell ref="C13:I13"/>
    <mergeCell ref="F14:H14"/>
    <mergeCell ref="D16:I16"/>
    <mergeCell ref="B26:B27"/>
    <mergeCell ref="C26:G26"/>
    <mergeCell ref="A46:A50"/>
    <mergeCell ref="A51:A54"/>
    <mergeCell ref="A2:A8"/>
    <mergeCell ref="A9:A15"/>
    <mergeCell ref="A16:A21"/>
    <mergeCell ref="A22:A27"/>
    <mergeCell ref="A29:A33"/>
    <mergeCell ref="A36:A40"/>
    <mergeCell ref="A41:A45"/>
    <mergeCell ref="E58:G58"/>
    <mergeCell ref="E59:G59"/>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hidden="1" min="1" max="8" width="12.63"/>
    <col customWidth="1" min="9" max="9" width="29.38"/>
    <col customWidth="1" min="10" max="10" width="25.25"/>
    <col customWidth="1" min="11" max="11" width="21.88"/>
  </cols>
  <sheetData>
    <row r="1">
      <c r="A1" s="1075">
        <v>45076.0</v>
      </c>
      <c r="B1" s="1075">
        <v>45077.0</v>
      </c>
      <c r="C1" s="943"/>
      <c r="D1" s="943"/>
      <c r="E1" s="943"/>
      <c r="F1" s="1075">
        <v>45078.0</v>
      </c>
      <c r="G1" s="1075">
        <v>45079.0</v>
      </c>
      <c r="H1" s="1075">
        <v>45080.0</v>
      </c>
      <c r="I1" s="932" t="s">
        <v>12166</v>
      </c>
      <c r="J1" s="932" t="s">
        <v>12167</v>
      </c>
      <c r="K1" s="932" t="s">
        <v>12168</v>
      </c>
      <c r="L1" s="943"/>
      <c r="M1" s="943"/>
      <c r="N1" s="943"/>
      <c r="O1" s="943"/>
      <c r="P1" s="943"/>
      <c r="Q1" s="943"/>
      <c r="R1" s="943"/>
      <c r="S1" s="943"/>
      <c r="T1" s="943"/>
      <c r="U1" s="943"/>
      <c r="V1" s="943"/>
      <c r="W1" s="943"/>
      <c r="X1" s="943"/>
      <c r="Y1" s="943"/>
      <c r="Z1" s="943"/>
      <c r="AA1" s="943"/>
    </row>
    <row r="2">
      <c r="A2" s="932" t="s">
        <v>12169</v>
      </c>
      <c r="B2" s="953" t="s">
        <v>12170</v>
      </c>
      <c r="I2" s="953" t="s">
        <v>12171</v>
      </c>
      <c r="J2" s="953" t="s">
        <v>12172</v>
      </c>
      <c r="K2" s="953" t="s">
        <v>12173</v>
      </c>
    </row>
    <row r="3">
      <c r="A3" s="1076" t="s">
        <v>12174</v>
      </c>
      <c r="B3" s="1077"/>
      <c r="C3" s="1078"/>
      <c r="D3" s="1078"/>
      <c r="E3" s="1078"/>
      <c r="I3" s="953" t="s">
        <v>12175</v>
      </c>
      <c r="J3" s="953" t="s">
        <v>12176</v>
      </c>
      <c r="K3" s="953" t="s">
        <v>12177</v>
      </c>
    </row>
    <row r="4">
      <c r="A4" s="1076" t="s">
        <v>12178</v>
      </c>
      <c r="B4" s="1077"/>
      <c r="C4" s="1078"/>
      <c r="D4" s="1078"/>
      <c r="E4" s="1078"/>
      <c r="I4" s="953" t="s">
        <v>12179</v>
      </c>
      <c r="J4" s="953" t="s">
        <v>12180</v>
      </c>
      <c r="K4" s="953" t="s">
        <v>12181</v>
      </c>
    </row>
    <row r="5">
      <c r="A5" s="1076" t="s">
        <v>12182</v>
      </c>
      <c r="B5" s="1077"/>
      <c r="C5" s="1078"/>
      <c r="D5" s="1078"/>
      <c r="E5" s="1078"/>
      <c r="I5" s="953" t="s">
        <v>12183</v>
      </c>
      <c r="J5" s="953" t="s">
        <v>12184</v>
      </c>
      <c r="K5" s="953" t="s">
        <v>12185</v>
      </c>
    </row>
    <row r="6">
      <c r="A6" s="1076" t="s">
        <v>12186</v>
      </c>
      <c r="B6" s="1077"/>
      <c r="C6" s="1078"/>
      <c r="D6" s="1078"/>
      <c r="E6" s="1078"/>
      <c r="I6" s="953" t="s">
        <v>12187</v>
      </c>
      <c r="J6" s="953" t="s">
        <v>12188</v>
      </c>
      <c r="K6" s="953" t="s">
        <v>12189</v>
      </c>
    </row>
    <row r="7">
      <c r="A7" s="1076" t="s">
        <v>12190</v>
      </c>
      <c r="B7" s="1077"/>
      <c r="C7" s="1078"/>
      <c r="D7" s="1078"/>
      <c r="E7" s="1078"/>
      <c r="I7" s="953" t="s">
        <v>12191</v>
      </c>
      <c r="J7" s="953" t="s">
        <v>12192</v>
      </c>
      <c r="K7" s="953" t="s">
        <v>12193</v>
      </c>
    </row>
    <row r="8">
      <c r="A8" s="1076" t="s">
        <v>12194</v>
      </c>
      <c r="B8" s="1077"/>
      <c r="C8" s="1078"/>
      <c r="D8" s="1078"/>
      <c r="E8" s="1078"/>
      <c r="I8" s="953" t="s">
        <v>12195</v>
      </c>
      <c r="J8" s="953" t="s">
        <v>12196</v>
      </c>
      <c r="K8" s="953" t="s">
        <v>12197</v>
      </c>
    </row>
    <row r="9">
      <c r="A9" s="1076" t="s">
        <v>12198</v>
      </c>
      <c r="B9" s="1077"/>
      <c r="C9" s="1078"/>
      <c r="D9" s="1078"/>
      <c r="E9" s="1078"/>
      <c r="I9" s="953" t="s">
        <v>12199</v>
      </c>
      <c r="J9" s="953" t="s">
        <v>12200</v>
      </c>
      <c r="K9" s="953" t="s">
        <v>12201</v>
      </c>
    </row>
    <row r="10">
      <c r="A10" s="1076" t="s">
        <v>12202</v>
      </c>
      <c r="B10" s="1077"/>
      <c r="C10" s="1078"/>
      <c r="D10" s="1078"/>
      <c r="E10" s="1078"/>
      <c r="I10" s="953" t="s">
        <v>12203</v>
      </c>
      <c r="J10" s="953" t="s">
        <v>12204</v>
      </c>
      <c r="K10" s="953" t="s">
        <v>12205</v>
      </c>
    </row>
    <row r="11">
      <c r="A11" s="1076" t="s">
        <v>12206</v>
      </c>
      <c r="B11" s="1077"/>
      <c r="C11" s="1078"/>
      <c r="D11" s="1078"/>
      <c r="E11" s="1078"/>
      <c r="I11" s="953" t="s">
        <v>12207</v>
      </c>
      <c r="J11" s="953" t="s">
        <v>12208</v>
      </c>
      <c r="K11" s="953" t="s">
        <v>12209</v>
      </c>
    </row>
    <row r="12">
      <c r="A12" s="1076" t="s">
        <v>12210</v>
      </c>
      <c r="B12" s="1077"/>
      <c r="C12" s="1078"/>
      <c r="D12" s="1078"/>
      <c r="E12" s="1078"/>
      <c r="I12" s="953" t="s">
        <v>12211</v>
      </c>
      <c r="J12" s="953" t="s">
        <v>12212</v>
      </c>
      <c r="K12" s="953" t="s">
        <v>12213</v>
      </c>
    </row>
    <row r="13">
      <c r="A13" s="1076" t="s">
        <v>12214</v>
      </c>
      <c r="B13" s="1077"/>
      <c r="C13" s="1078"/>
      <c r="D13" s="1078"/>
      <c r="E13" s="1078"/>
      <c r="I13" s="953" t="s">
        <v>12215</v>
      </c>
      <c r="J13" s="953" t="s">
        <v>12216</v>
      </c>
      <c r="K13" s="953" t="s">
        <v>12217</v>
      </c>
    </row>
    <row r="14">
      <c r="A14" s="1076" t="s">
        <v>12218</v>
      </c>
      <c r="B14" s="1077"/>
      <c r="C14" s="1078"/>
      <c r="D14" s="1078"/>
      <c r="E14" s="1078"/>
      <c r="I14" s="953" t="s">
        <v>12219</v>
      </c>
      <c r="J14" s="953" t="s">
        <v>12220</v>
      </c>
      <c r="K14" s="953" t="s">
        <v>12221</v>
      </c>
    </row>
    <row r="15">
      <c r="A15" s="1076" t="s">
        <v>12222</v>
      </c>
      <c r="B15" s="1077"/>
      <c r="C15" s="1078"/>
      <c r="D15" s="1078"/>
      <c r="E15" s="1078"/>
      <c r="I15" s="953" t="s">
        <v>12223</v>
      </c>
      <c r="J15" s="953" t="s">
        <v>12224</v>
      </c>
      <c r="K15" s="953" t="s">
        <v>12225</v>
      </c>
    </row>
    <row r="16">
      <c r="A16" s="1079" t="s">
        <v>12226</v>
      </c>
      <c r="B16" s="1077"/>
      <c r="C16" s="1078"/>
      <c r="D16" s="1078"/>
      <c r="E16" s="1078"/>
      <c r="I16" s="953" t="s">
        <v>12227</v>
      </c>
      <c r="J16" s="953" t="s">
        <v>12228</v>
      </c>
      <c r="K16" s="953" t="s">
        <v>12229</v>
      </c>
    </row>
    <row r="17">
      <c r="A17" s="1076" t="s">
        <v>12230</v>
      </c>
      <c r="B17" s="1077"/>
      <c r="C17" s="1078"/>
      <c r="D17" s="1078"/>
      <c r="E17" s="1078"/>
      <c r="I17" s="953" t="s">
        <v>12231</v>
      </c>
    </row>
    <row r="18">
      <c r="A18" s="1076" t="s">
        <v>12232</v>
      </c>
      <c r="B18" s="1077"/>
      <c r="C18" s="1078"/>
      <c r="D18" s="1078"/>
      <c r="E18" s="1078"/>
      <c r="I18" s="953" t="s">
        <v>12233</v>
      </c>
    </row>
    <row r="19">
      <c r="A19" s="1080" t="s">
        <v>12209</v>
      </c>
      <c r="B19" s="1077"/>
      <c r="C19" s="1078"/>
      <c r="D19" s="1078"/>
      <c r="E19" s="1078"/>
      <c r="I19" s="953" t="s">
        <v>12234</v>
      </c>
    </row>
    <row r="20">
      <c r="A20" s="1076" t="s">
        <v>12235</v>
      </c>
      <c r="B20" s="1077"/>
      <c r="C20" s="1078"/>
      <c r="D20" s="1078"/>
      <c r="E20" s="1078"/>
      <c r="I20" s="953" t="s">
        <v>12236</v>
      </c>
    </row>
    <row r="21">
      <c r="A21" s="1076" t="s">
        <v>12237</v>
      </c>
      <c r="B21" s="1077"/>
      <c r="C21" s="1078"/>
      <c r="D21" s="1078"/>
      <c r="E21" s="1078"/>
    </row>
    <row r="22">
      <c r="A22" s="1076" t="s">
        <v>12238</v>
      </c>
      <c r="B22" s="1077"/>
      <c r="C22" s="1078"/>
      <c r="D22" s="1078"/>
      <c r="E22" s="1078"/>
    </row>
    <row r="23">
      <c r="A23" s="1076" t="s">
        <v>12239</v>
      </c>
      <c r="B23" s="1077"/>
      <c r="C23" s="1078"/>
      <c r="D23" s="1078"/>
      <c r="E23" s="1078"/>
    </row>
    <row r="24">
      <c r="A24" s="1076" t="s">
        <v>12240</v>
      </c>
      <c r="B24" s="1077"/>
      <c r="C24" s="1078"/>
      <c r="D24" s="1078"/>
      <c r="E24" s="1078"/>
    </row>
    <row r="25">
      <c r="A25" s="1076" t="s">
        <v>12241</v>
      </c>
      <c r="B25" s="1077"/>
      <c r="C25" s="1078"/>
      <c r="D25" s="1078"/>
      <c r="E25" s="1078"/>
    </row>
    <row r="26">
      <c r="A26" s="1076" t="s">
        <v>12242</v>
      </c>
      <c r="B26" s="1077"/>
      <c r="C26" s="1078"/>
      <c r="D26" s="1078"/>
      <c r="E26" s="1078"/>
    </row>
    <row r="27">
      <c r="A27" s="1076" t="s">
        <v>12243</v>
      </c>
      <c r="B27" s="1077"/>
      <c r="C27" s="1078"/>
      <c r="D27" s="1078"/>
      <c r="E27" s="1078"/>
    </row>
    <row r="28">
      <c r="A28" s="1076" t="s">
        <v>12244</v>
      </c>
      <c r="B28" s="1077"/>
      <c r="C28" s="1078"/>
      <c r="D28" s="1078"/>
      <c r="E28" s="1078"/>
    </row>
    <row r="29">
      <c r="A29" s="1076" t="s">
        <v>12245</v>
      </c>
      <c r="B29" s="1077"/>
      <c r="C29" s="1078"/>
      <c r="D29" s="1078"/>
      <c r="E29" s="1078"/>
    </row>
    <row r="30">
      <c r="A30" s="1076" t="s">
        <v>12246</v>
      </c>
      <c r="B30" s="1077"/>
      <c r="C30" s="1078"/>
      <c r="D30" s="1078"/>
      <c r="E30" s="1078"/>
    </row>
    <row r="31">
      <c r="A31" s="1076" t="s">
        <v>12247</v>
      </c>
      <c r="B31" s="1077"/>
      <c r="C31" s="1078"/>
      <c r="D31" s="1078"/>
      <c r="E31" s="1078"/>
    </row>
    <row r="32">
      <c r="A32" s="1076" t="s">
        <v>12248</v>
      </c>
      <c r="B32" s="1077"/>
      <c r="C32" s="1078"/>
      <c r="D32" s="1078"/>
      <c r="E32" s="1078"/>
    </row>
    <row r="33">
      <c r="B33" s="1081" t="s">
        <v>12249</v>
      </c>
      <c r="C33" s="1082" t="s">
        <v>12250</v>
      </c>
      <c r="D33" s="1082" t="s">
        <v>12251</v>
      </c>
      <c r="E33" s="1082" t="s">
        <v>12252</v>
      </c>
    </row>
    <row r="34">
      <c r="B34" s="1081" t="s">
        <v>12253</v>
      </c>
      <c r="C34" s="1082" t="s">
        <v>12254</v>
      </c>
      <c r="D34" s="1082" t="s">
        <v>12255</v>
      </c>
      <c r="E34" s="1082" t="s">
        <v>12256</v>
      </c>
    </row>
    <row r="35">
      <c r="B35" s="1081" t="s">
        <v>12249</v>
      </c>
      <c r="C35" s="1082" t="s">
        <v>12257</v>
      </c>
      <c r="D35" s="1082" t="s">
        <v>12258</v>
      </c>
      <c r="E35" s="1082" t="s">
        <v>12259</v>
      </c>
    </row>
    <row r="36">
      <c r="B36" s="1081" t="s">
        <v>12253</v>
      </c>
      <c r="C36" s="1082" t="s">
        <v>12260</v>
      </c>
      <c r="D36" s="1082" t="s">
        <v>12261</v>
      </c>
      <c r="E36" s="1082" t="s">
        <v>12262</v>
      </c>
    </row>
    <row r="37">
      <c r="B37" s="1081" t="s">
        <v>12249</v>
      </c>
      <c r="C37" s="1082" t="s">
        <v>12263</v>
      </c>
      <c r="D37" s="1082" t="s">
        <v>12264</v>
      </c>
      <c r="E37" s="1082" t="s">
        <v>12265</v>
      </c>
    </row>
    <row r="38">
      <c r="B38" s="1081" t="s">
        <v>12249</v>
      </c>
      <c r="C38" s="1082" t="s">
        <v>12266</v>
      </c>
      <c r="D38" s="1082" t="s">
        <v>12267</v>
      </c>
      <c r="E38" s="1082" t="s">
        <v>12268</v>
      </c>
    </row>
    <row r="39">
      <c r="B39" s="1081" t="s">
        <v>12249</v>
      </c>
      <c r="C39" s="1082" t="s">
        <v>12269</v>
      </c>
      <c r="D39" s="1082" t="s">
        <v>12270</v>
      </c>
      <c r="E39" s="1082" t="s">
        <v>12271</v>
      </c>
    </row>
    <row r="40">
      <c r="B40" s="1081" t="s">
        <v>12253</v>
      </c>
      <c r="C40" s="1082" t="s">
        <v>12272</v>
      </c>
      <c r="D40" s="1082" t="s">
        <v>12273</v>
      </c>
      <c r="E40" s="1082" t="s">
        <v>12274</v>
      </c>
    </row>
    <row r="41">
      <c r="B41" s="1081" t="s">
        <v>12253</v>
      </c>
      <c r="C41" s="1082" t="s">
        <v>12275</v>
      </c>
      <c r="D41" s="1082" t="s">
        <v>12276</v>
      </c>
      <c r="E41" s="1082" t="s">
        <v>12277</v>
      </c>
    </row>
    <row r="42">
      <c r="B42" s="1081" t="s">
        <v>12253</v>
      </c>
      <c r="C42" s="1082" t="s">
        <v>12278</v>
      </c>
      <c r="D42" s="1082" t="s">
        <v>12276</v>
      </c>
      <c r="E42" s="1082" t="s">
        <v>12271</v>
      </c>
    </row>
    <row r="43">
      <c r="B43" s="1081" t="s">
        <v>12249</v>
      </c>
      <c r="C43" s="1082" t="s">
        <v>12279</v>
      </c>
      <c r="D43" s="1082" t="s">
        <v>12280</v>
      </c>
      <c r="E43" s="1082" t="s">
        <v>12281</v>
      </c>
    </row>
    <row r="44">
      <c r="B44" s="1081" t="s">
        <v>12253</v>
      </c>
      <c r="C44" s="1082" t="s">
        <v>12282</v>
      </c>
      <c r="D44" s="1082" t="s">
        <v>12261</v>
      </c>
      <c r="E44" s="1082" t="s">
        <v>12283</v>
      </c>
    </row>
    <row r="45">
      <c r="B45" s="1081" t="s">
        <v>12249</v>
      </c>
      <c r="C45" s="1082" t="s">
        <v>12284</v>
      </c>
      <c r="D45" s="1082" t="s">
        <v>12280</v>
      </c>
      <c r="E45" s="1082" t="s">
        <v>12271</v>
      </c>
    </row>
    <row r="46">
      <c r="B46" s="1081" t="s">
        <v>12249</v>
      </c>
      <c r="C46" s="1082" t="s">
        <v>12284</v>
      </c>
      <c r="D46" s="1082" t="s">
        <v>12285</v>
      </c>
      <c r="E46" s="1082" t="s">
        <v>12271</v>
      </c>
    </row>
    <row r="47">
      <c r="B47" s="1081" t="s">
        <v>12249</v>
      </c>
      <c r="C47" s="1082" t="s">
        <v>12286</v>
      </c>
      <c r="D47" s="1082" t="s">
        <v>12287</v>
      </c>
      <c r="E47" s="1082" t="s">
        <v>12288</v>
      </c>
    </row>
    <row r="48">
      <c r="B48" s="1081" t="s">
        <v>12253</v>
      </c>
      <c r="C48" s="1082" t="s">
        <v>12289</v>
      </c>
      <c r="D48" s="1082" t="s">
        <v>12290</v>
      </c>
      <c r="E48" s="1082" t="s">
        <v>12291</v>
      </c>
    </row>
    <row r="49">
      <c r="B49" s="1081" t="s">
        <v>12253</v>
      </c>
      <c r="C49" s="1082" t="s">
        <v>12292</v>
      </c>
      <c r="D49" s="1082" t="s">
        <v>12293</v>
      </c>
      <c r="E49" s="1082" t="s">
        <v>12294</v>
      </c>
    </row>
    <row r="50">
      <c r="B50" s="1081" t="s">
        <v>12253</v>
      </c>
      <c r="C50" s="1082" t="s">
        <v>12295</v>
      </c>
      <c r="D50" s="1082" t="s">
        <v>12296</v>
      </c>
      <c r="E50" s="1082" t="s">
        <v>12297</v>
      </c>
    </row>
    <row r="51">
      <c r="B51" s="1081" t="s">
        <v>12249</v>
      </c>
      <c r="C51" s="1082" t="s">
        <v>12298</v>
      </c>
      <c r="D51" s="1082" t="s">
        <v>12299</v>
      </c>
      <c r="E51" s="1082" t="s">
        <v>12300</v>
      </c>
    </row>
    <row r="52">
      <c r="B52" s="1081" t="s">
        <v>12253</v>
      </c>
      <c r="C52" s="1082" t="s">
        <v>12301</v>
      </c>
      <c r="D52" s="1082" t="s">
        <v>12302</v>
      </c>
      <c r="E52" s="1082" t="s">
        <v>12277</v>
      </c>
    </row>
    <row r="53">
      <c r="B53" s="1081" t="s">
        <v>12249</v>
      </c>
      <c r="C53" s="1082" t="s">
        <v>12303</v>
      </c>
      <c r="D53" s="1082" t="s">
        <v>12304</v>
      </c>
      <c r="E53" s="1082" t="s">
        <v>12262</v>
      </c>
    </row>
    <row r="54">
      <c r="B54" s="1081" t="s">
        <v>12249</v>
      </c>
      <c r="C54" s="1082" t="s">
        <v>12305</v>
      </c>
      <c r="D54" s="1082" t="s">
        <v>12306</v>
      </c>
      <c r="E54" s="1082" t="s">
        <v>12307</v>
      </c>
    </row>
    <row r="55">
      <c r="B55" s="1081" t="s">
        <v>12253</v>
      </c>
      <c r="C55" s="1082" t="s">
        <v>12308</v>
      </c>
      <c r="D55" s="1082" t="s">
        <v>12309</v>
      </c>
      <c r="E55" s="1082" t="s">
        <v>12310</v>
      </c>
    </row>
    <row r="56">
      <c r="B56" s="1081" t="s">
        <v>12253</v>
      </c>
      <c r="C56" s="1082" t="s">
        <v>12311</v>
      </c>
      <c r="D56" s="1082" t="s">
        <v>12306</v>
      </c>
      <c r="E56" s="1082" t="s">
        <v>12312</v>
      </c>
    </row>
    <row r="70">
      <c r="B70" s="953" t="s">
        <v>12313</v>
      </c>
    </row>
    <row r="71">
      <c r="B71" s="953" t="s">
        <v>12314</v>
      </c>
    </row>
    <row r="72">
      <c r="B72" s="953" t="s">
        <v>12315</v>
      </c>
    </row>
    <row r="73">
      <c r="B73" s="953" t="s">
        <v>12316</v>
      </c>
    </row>
    <row r="74">
      <c r="B74" s="953" t="s">
        <v>12317</v>
      </c>
    </row>
    <row r="75">
      <c r="B75" s="953" t="s">
        <v>12318</v>
      </c>
    </row>
    <row r="76">
      <c r="B76" s="953" t="s">
        <v>12319</v>
      </c>
    </row>
    <row r="77">
      <c r="B77" s="953" t="s">
        <v>12320</v>
      </c>
    </row>
    <row r="78">
      <c r="B78" s="953" t="s">
        <v>12321</v>
      </c>
    </row>
    <row r="79">
      <c r="B79" s="953" t="s">
        <v>12322</v>
      </c>
    </row>
    <row r="80">
      <c r="B80" s="953" t="s">
        <v>12323</v>
      </c>
    </row>
    <row r="81">
      <c r="B81" s="953" t="s">
        <v>12314</v>
      </c>
    </row>
    <row r="82">
      <c r="B82" s="953" t="s">
        <v>12315</v>
      </c>
    </row>
    <row r="83">
      <c r="B83" s="953" t="s">
        <v>12316</v>
      </c>
    </row>
    <row r="84">
      <c r="B84" s="953" t="s">
        <v>12317</v>
      </c>
    </row>
    <row r="85">
      <c r="B85" s="953" t="s">
        <v>12318</v>
      </c>
    </row>
    <row r="86">
      <c r="B86" s="953" t="s">
        <v>12319</v>
      </c>
    </row>
    <row r="87">
      <c r="B87" s="953" t="s">
        <v>12320</v>
      </c>
    </row>
    <row r="88">
      <c r="B88" s="953" t="s">
        <v>12321</v>
      </c>
    </row>
    <row r="89">
      <c r="B89" s="953" t="s">
        <v>12322</v>
      </c>
    </row>
    <row r="90">
      <c r="B90" s="953" t="s">
        <v>12323</v>
      </c>
    </row>
  </sheetData>
  <printOptions gridLines="1" horizontalCentered="1"/>
  <pageMargins bottom="0.75" footer="0.0" header="0.0" left="0.7" right="0.7" top="0.75"/>
  <pageSetup fitToHeight="0" paperSize="9" cellComments="atEnd" orientation="landscape" pageOrder="overThenDown"/>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88"/>
    <col customWidth="1" min="2" max="2" width="26.13"/>
    <col customWidth="1" min="3" max="3" width="32.0"/>
    <col customWidth="1" min="4" max="4" width="27.75"/>
    <col customWidth="1" min="5" max="6" width="23.63"/>
    <col customWidth="1" min="7" max="7" width="12.63"/>
    <col customWidth="1" min="8" max="8" width="24.38"/>
    <col customWidth="1" min="9" max="9" width="15.63"/>
    <col customWidth="1" min="10" max="10" width="14.38"/>
    <col customWidth="1" min="17" max="17" width="14.38"/>
  </cols>
  <sheetData>
    <row r="1">
      <c r="A1" s="1083"/>
      <c r="B1" s="1084" t="s">
        <v>12324</v>
      </c>
      <c r="C1" s="1084" t="s">
        <v>12325</v>
      </c>
      <c r="D1" s="1085" t="s">
        <v>12326</v>
      </c>
      <c r="E1" s="13"/>
      <c r="F1" s="1084" t="s">
        <v>12327</v>
      </c>
      <c r="G1" s="1084" t="s">
        <v>12328</v>
      </c>
      <c r="H1" s="1084" t="s">
        <v>12329</v>
      </c>
      <c r="I1" s="1084" t="s">
        <v>12330</v>
      </c>
      <c r="J1" s="1084" t="s">
        <v>12331</v>
      </c>
      <c r="K1" s="1086"/>
      <c r="L1" s="1086"/>
      <c r="M1" s="1086"/>
      <c r="N1" s="1086"/>
      <c r="O1" s="1086"/>
      <c r="P1" s="1086"/>
      <c r="Q1" s="1086"/>
      <c r="R1" s="1086"/>
      <c r="S1" s="1086"/>
      <c r="T1" s="1086"/>
      <c r="U1" s="1086"/>
      <c r="V1" s="1086"/>
      <c r="W1" s="1086"/>
      <c r="X1" s="1086"/>
      <c r="Y1" s="1086"/>
      <c r="Z1" s="1086"/>
      <c r="AA1" s="1086"/>
      <c r="AB1" s="1086"/>
    </row>
    <row r="2">
      <c r="A2" s="1084" t="s">
        <v>12332</v>
      </c>
      <c r="B2" s="1087"/>
      <c r="C2" s="1087"/>
      <c r="D2" s="1087"/>
      <c r="E2" s="1087"/>
      <c r="F2" s="1087"/>
      <c r="G2" s="1087"/>
      <c r="H2" s="1088" t="s">
        <v>12333</v>
      </c>
      <c r="I2" s="13"/>
      <c r="J2" s="1089"/>
      <c r="K2" s="1086"/>
      <c r="L2" s="1086"/>
      <c r="M2" s="1086"/>
      <c r="N2" s="1086"/>
      <c r="O2" s="1086"/>
      <c r="P2" s="1086"/>
      <c r="Q2" s="1086"/>
      <c r="R2" s="1086"/>
      <c r="S2" s="1086"/>
      <c r="T2" s="1086"/>
      <c r="U2" s="1086"/>
      <c r="V2" s="1086"/>
      <c r="W2" s="1086"/>
      <c r="X2" s="1086"/>
      <c r="Y2" s="1086"/>
      <c r="Z2" s="1086"/>
      <c r="AA2" s="1086"/>
      <c r="AB2" s="1086"/>
    </row>
    <row r="3">
      <c r="A3" s="1084" t="s">
        <v>12334</v>
      </c>
      <c r="B3" s="1087"/>
      <c r="C3" s="1087"/>
      <c r="D3" s="1087"/>
      <c r="E3" s="1087"/>
      <c r="F3" s="1087"/>
      <c r="G3" s="1087"/>
      <c r="H3" s="1087"/>
      <c r="I3" s="1087"/>
      <c r="J3" s="1089"/>
      <c r="K3" s="1086"/>
      <c r="L3" s="1086"/>
      <c r="M3" s="1086"/>
      <c r="N3" s="1086"/>
      <c r="O3" s="1086"/>
      <c r="P3" s="1086"/>
      <c r="Q3" s="1086"/>
      <c r="R3" s="1086"/>
      <c r="S3" s="1086"/>
      <c r="T3" s="1086"/>
      <c r="U3" s="1086"/>
      <c r="V3" s="1086"/>
      <c r="W3" s="1086"/>
      <c r="X3" s="1086"/>
      <c r="Y3" s="1086"/>
      <c r="Z3" s="1086"/>
      <c r="AA3" s="1086"/>
      <c r="AB3" s="1086"/>
    </row>
    <row r="4">
      <c r="A4" s="1084" t="s">
        <v>12335</v>
      </c>
      <c r="B4" s="1087"/>
      <c r="C4" s="1087" t="s">
        <v>12336</v>
      </c>
      <c r="D4" s="1087"/>
      <c r="E4" s="1087"/>
      <c r="F4" s="1087"/>
      <c r="G4" s="1087"/>
      <c r="H4" s="1087"/>
      <c r="I4" s="1087"/>
      <c r="J4" s="1089"/>
      <c r="K4" s="1086"/>
      <c r="L4" s="1086"/>
      <c r="M4" s="1086"/>
      <c r="N4" s="1086"/>
      <c r="O4" s="1086"/>
      <c r="P4" s="1086"/>
      <c r="Q4" s="1086"/>
      <c r="R4" s="1086"/>
      <c r="S4" s="1086"/>
      <c r="T4" s="1086"/>
      <c r="U4" s="1086"/>
      <c r="V4" s="1086"/>
      <c r="W4" s="1086"/>
      <c r="X4" s="1086"/>
      <c r="Y4" s="1086"/>
      <c r="Z4" s="1086"/>
      <c r="AA4" s="1086"/>
      <c r="AB4" s="1086"/>
    </row>
    <row r="5">
      <c r="A5" s="1090" t="s">
        <v>12337</v>
      </c>
      <c r="B5" s="1091" t="s">
        <v>12338</v>
      </c>
      <c r="C5" s="1087" t="s">
        <v>12339</v>
      </c>
      <c r="D5" s="1087" t="s">
        <v>12340</v>
      </c>
      <c r="E5" s="1087" t="s">
        <v>12341</v>
      </c>
      <c r="F5" s="1087" t="s">
        <v>12342</v>
      </c>
      <c r="G5" s="1087"/>
      <c r="H5" s="1088" t="s">
        <v>12343</v>
      </c>
      <c r="I5" s="13"/>
      <c r="J5" s="1089"/>
      <c r="K5" s="1086"/>
      <c r="L5" s="1092" t="s">
        <v>12344</v>
      </c>
      <c r="R5" s="1086"/>
      <c r="S5" s="1086"/>
      <c r="T5" s="1086"/>
      <c r="U5" s="1086"/>
      <c r="V5" s="1086"/>
      <c r="W5" s="1086"/>
      <c r="X5" s="1086"/>
      <c r="Y5" s="1086"/>
      <c r="Z5" s="1086"/>
      <c r="AA5" s="1086"/>
      <c r="AB5" s="1086"/>
    </row>
    <row r="6">
      <c r="A6" s="173"/>
      <c r="B6" s="1087"/>
      <c r="C6" s="1093" t="s">
        <v>12345</v>
      </c>
      <c r="D6" s="36"/>
      <c r="E6" s="36"/>
      <c r="F6" s="36"/>
      <c r="G6" s="13"/>
      <c r="H6" s="1087"/>
      <c r="I6" s="1087"/>
      <c r="J6" s="1089"/>
      <c r="K6" s="1086"/>
      <c r="L6" s="1086"/>
      <c r="M6" s="1086"/>
      <c r="N6" s="1086"/>
      <c r="O6" s="1086"/>
      <c r="P6" s="1086"/>
      <c r="Q6" s="1086"/>
      <c r="R6" s="1086"/>
      <c r="S6" s="1086"/>
      <c r="T6" s="1086"/>
      <c r="U6" s="1086"/>
      <c r="V6" s="1086"/>
      <c r="W6" s="1086"/>
      <c r="X6" s="1086"/>
      <c r="Y6" s="1086"/>
      <c r="Z6" s="1086"/>
      <c r="AA6" s="1086"/>
      <c r="AB6" s="1086"/>
    </row>
    <row r="7">
      <c r="A7" s="1090" t="s">
        <v>12346</v>
      </c>
      <c r="B7" s="1087" t="s">
        <v>12347</v>
      </c>
      <c r="C7" s="1087" t="s">
        <v>12348</v>
      </c>
      <c r="D7" s="1087" t="s">
        <v>12349</v>
      </c>
      <c r="E7" s="1087" t="s">
        <v>12350</v>
      </c>
      <c r="F7" s="1087" t="s">
        <v>12351</v>
      </c>
      <c r="G7" s="1087"/>
      <c r="H7" s="1088" t="s">
        <v>12352</v>
      </c>
      <c r="I7" s="13"/>
      <c r="J7" s="1089"/>
      <c r="K7" s="1086"/>
      <c r="L7" s="1086"/>
      <c r="M7" s="1086"/>
      <c r="N7" s="1086"/>
      <c r="O7" s="1086"/>
      <c r="P7" s="1086"/>
      <c r="Q7" s="1086"/>
      <c r="R7" s="1086"/>
      <c r="S7" s="1086"/>
      <c r="T7" s="1086"/>
      <c r="U7" s="1086"/>
      <c r="V7" s="1086"/>
      <c r="W7" s="1086"/>
      <c r="X7" s="1086"/>
      <c r="Y7" s="1086"/>
      <c r="Z7" s="1086"/>
      <c r="AA7" s="1086"/>
      <c r="AB7" s="1086"/>
    </row>
    <row r="8">
      <c r="A8" s="173"/>
      <c r="B8" s="1087"/>
      <c r="C8" s="1093" t="s">
        <v>12353</v>
      </c>
      <c r="D8" s="36"/>
      <c r="E8" s="36"/>
      <c r="F8" s="36"/>
      <c r="G8" s="13"/>
      <c r="H8" s="1087"/>
      <c r="I8" s="1087"/>
      <c r="J8" s="1089"/>
      <c r="K8" s="1086"/>
      <c r="L8" s="1086"/>
      <c r="M8" s="1086"/>
      <c r="N8" s="1086"/>
      <c r="O8" s="1086"/>
      <c r="P8" s="1086"/>
      <c r="Q8" s="1086"/>
      <c r="R8" s="1086"/>
      <c r="S8" s="1086"/>
      <c r="T8" s="1086"/>
      <c r="U8" s="1086"/>
      <c r="V8" s="1086"/>
      <c r="W8" s="1086"/>
      <c r="X8" s="1086"/>
      <c r="Y8" s="1086"/>
      <c r="Z8" s="1086"/>
      <c r="AA8" s="1086"/>
      <c r="AB8" s="1086"/>
    </row>
    <row r="9">
      <c r="A9" s="1084" t="s">
        <v>12354</v>
      </c>
      <c r="B9" s="1087" t="s">
        <v>12355</v>
      </c>
      <c r="C9" s="1087" t="s">
        <v>12356</v>
      </c>
      <c r="D9" s="1088" t="s">
        <v>12357</v>
      </c>
      <c r="E9" s="13"/>
      <c r="F9" s="1087" t="s">
        <v>12358</v>
      </c>
      <c r="G9" s="1087" t="s">
        <v>12359</v>
      </c>
      <c r="H9" s="1087" t="s">
        <v>12360</v>
      </c>
      <c r="I9" s="1087"/>
      <c r="J9" s="1089"/>
      <c r="K9" s="1086"/>
      <c r="L9" s="1092" t="s">
        <v>12361</v>
      </c>
      <c r="R9" s="1086"/>
      <c r="S9" s="1086"/>
      <c r="T9" s="1086"/>
      <c r="U9" s="1086"/>
      <c r="V9" s="1086"/>
      <c r="W9" s="1086"/>
      <c r="X9" s="1086"/>
      <c r="Y9" s="1086"/>
      <c r="Z9" s="1086"/>
      <c r="AA9" s="1086"/>
      <c r="AB9" s="1086"/>
    </row>
    <row r="10">
      <c r="A10" s="1084" t="s">
        <v>12362</v>
      </c>
      <c r="B10" s="1087" t="s">
        <v>12363</v>
      </c>
      <c r="C10" s="1087" t="s">
        <v>12364</v>
      </c>
      <c r="D10" s="1088" t="s">
        <v>12365</v>
      </c>
      <c r="E10" s="13"/>
      <c r="F10" s="1087" t="s">
        <v>12366</v>
      </c>
      <c r="G10" s="1094" t="s">
        <v>12367</v>
      </c>
      <c r="H10" s="1088" t="s">
        <v>12368</v>
      </c>
      <c r="I10" s="13"/>
      <c r="J10" s="1089"/>
      <c r="K10" s="1086"/>
      <c r="L10" s="1086"/>
      <c r="M10" s="1086"/>
      <c r="N10" s="1086"/>
      <c r="O10" s="1086"/>
      <c r="P10" s="1086"/>
      <c r="Q10" s="1086"/>
      <c r="R10" s="1086"/>
      <c r="S10" s="1086"/>
      <c r="T10" s="1086"/>
      <c r="U10" s="1086"/>
      <c r="V10" s="1086"/>
      <c r="W10" s="1086"/>
      <c r="X10" s="1086"/>
      <c r="Y10" s="1086"/>
      <c r="Z10" s="1086"/>
      <c r="AA10" s="1086"/>
      <c r="AB10" s="1086"/>
    </row>
    <row r="11">
      <c r="A11" s="1090" t="s">
        <v>12369</v>
      </c>
      <c r="B11" s="1087" t="s">
        <v>12370</v>
      </c>
      <c r="C11" s="1087" t="s">
        <v>12371</v>
      </c>
      <c r="D11" s="1088" t="s">
        <v>12372</v>
      </c>
      <c r="E11" s="13"/>
      <c r="F11" s="1088" t="s">
        <v>12373</v>
      </c>
      <c r="G11" s="1095"/>
      <c r="H11" s="1096" t="s">
        <v>12374</v>
      </c>
      <c r="I11" s="13"/>
      <c r="J11" s="1087" t="s">
        <v>12375</v>
      </c>
      <c r="K11" s="1086"/>
      <c r="L11" s="1086"/>
      <c r="M11" s="1086"/>
      <c r="N11" s="1086"/>
      <c r="O11" s="1086"/>
      <c r="P11" s="1086"/>
      <c r="Q11" s="1086"/>
      <c r="R11" s="1086"/>
      <c r="S11" s="1086"/>
      <c r="T11" s="1086"/>
      <c r="U11" s="1086"/>
      <c r="V11" s="1086"/>
      <c r="W11" s="1086"/>
      <c r="X11" s="1086"/>
      <c r="Y11" s="1086"/>
      <c r="Z11" s="1086"/>
      <c r="AA11" s="1086"/>
      <c r="AB11" s="1086"/>
    </row>
    <row r="12" ht="36.0" customHeight="1">
      <c r="A12" s="173"/>
      <c r="B12" s="1093" t="s">
        <v>12376</v>
      </c>
      <c r="C12" s="36"/>
      <c r="D12" s="36"/>
      <c r="E12" s="36"/>
      <c r="F12" s="36"/>
      <c r="G12" s="36"/>
      <c r="H12" s="36"/>
      <c r="I12" s="36"/>
      <c r="J12" s="13"/>
      <c r="K12" s="1086"/>
      <c r="L12" s="1086"/>
      <c r="M12" s="1086"/>
      <c r="N12" s="1086"/>
      <c r="O12" s="1086"/>
      <c r="P12" s="1086"/>
      <c r="Q12" s="1086"/>
      <c r="R12" s="1086"/>
      <c r="S12" s="1086"/>
      <c r="T12" s="1086"/>
      <c r="U12" s="1086"/>
      <c r="V12" s="1086"/>
      <c r="W12" s="1086"/>
      <c r="X12" s="1086"/>
      <c r="Y12" s="1086"/>
      <c r="Z12" s="1086"/>
      <c r="AA12" s="1086"/>
      <c r="AB12" s="1086"/>
    </row>
    <row r="13">
      <c r="A13" s="1084"/>
      <c r="B13" s="1097"/>
      <c r="C13" s="1087"/>
      <c r="D13" s="1098" t="s">
        <v>12377</v>
      </c>
      <c r="E13" s="13"/>
      <c r="F13" s="1097"/>
      <c r="G13" s="1097"/>
      <c r="H13" s="1097"/>
      <c r="I13" s="1097"/>
      <c r="J13" s="1097"/>
      <c r="K13" s="1086"/>
      <c r="L13" s="1086"/>
      <c r="M13" s="1086"/>
      <c r="N13" s="1086"/>
      <c r="O13" s="1086"/>
      <c r="P13" s="1086"/>
      <c r="Q13" s="1086"/>
      <c r="R13" s="1086"/>
      <c r="S13" s="1086"/>
      <c r="T13" s="1086"/>
      <c r="U13" s="1086"/>
      <c r="V13" s="1086"/>
      <c r="W13" s="1086"/>
      <c r="X13" s="1086"/>
      <c r="Y13" s="1086"/>
      <c r="Z13" s="1086"/>
      <c r="AA13" s="1086"/>
      <c r="AB13" s="1086"/>
    </row>
    <row r="14">
      <c r="A14" s="1084" t="s">
        <v>12378</v>
      </c>
      <c r="B14" s="1097"/>
      <c r="C14" s="1087" t="s">
        <v>12379</v>
      </c>
      <c r="D14" s="1099" t="s">
        <v>12380</v>
      </c>
      <c r="E14" s="13"/>
      <c r="F14" s="1097"/>
      <c r="G14" s="1097"/>
      <c r="H14" s="1097"/>
      <c r="I14" s="1097"/>
      <c r="J14" s="1097"/>
      <c r="K14" s="1086"/>
      <c r="L14" s="1086"/>
      <c r="M14" s="1086"/>
      <c r="N14" s="1086"/>
      <c r="O14" s="1086"/>
      <c r="P14" s="1086"/>
      <c r="Q14" s="1086"/>
      <c r="R14" s="1086"/>
      <c r="S14" s="1086"/>
      <c r="T14" s="1086"/>
      <c r="U14" s="1086"/>
      <c r="V14" s="1086"/>
      <c r="W14" s="1086"/>
      <c r="X14" s="1086"/>
      <c r="Y14" s="1086"/>
      <c r="Z14" s="1086"/>
      <c r="AA14" s="1086"/>
      <c r="AB14" s="1086"/>
    </row>
    <row r="15">
      <c r="A15" s="1100"/>
      <c r="B15" s="1086"/>
      <c r="C15" s="1086"/>
      <c r="D15" s="1086"/>
      <c r="E15" s="1086"/>
      <c r="F15" s="1086"/>
      <c r="G15" s="1086"/>
      <c r="H15" s="1086"/>
      <c r="I15" s="1086"/>
      <c r="J15" s="1086"/>
      <c r="K15" s="1086"/>
      <c r="L15" s="1086"/>
      <c r="M15" s="1086"/>
      <c r="N15" s="1086"/>
      <c r="O15" s="1086"/>
      <c r="P15" s="1086"/>
      <c r="Q15" s="1086"/>
      <c r="R15" s="1086"/>
      <c r="S15" s="1086"/>
      <c r="T15" s="1086"/>
      <c r="U15" s="1086"/>
      <c r="V15" s="1086"/>
      <c r="W15" s="1086"/>
      <c r="X15" s="1086"/>
      <c r="Y15" s="1086"/>
      <c r="Z15" s="1086"/>
      <c r="AA15" s="1086"/>
      <c r="AB15" s="1086"/>
    </row>
    <row r="16">
      <c r="A16" s="1100"/>
      <c r="B16" s="1101"/>
      <c r="C16" s="1086"/>
      <c r="D16" s="1101"/>
      <c r="E16" s="1101"/>
      <c r="F16" s="1086"/>
      <c r="G16" s="1086"/>
      <c r="H16" s="1086"/>
      <c r="I16" s="1086"/>
      <c r="J16" s="1086"/>
      <c r="K16" s="1086"/>
      <c r="L16" s="1086"/>
      <c r="M16" s="1086"/>
      <c r="N16" s="1086"/>
      <c r="O16" s="1086"/>
      <c r="P16" s="1086"/>
      <c r="Q16" s="1086"/>
      <c r="R16" s="1086"/>
      <c r="S16" s="1086"/>
      <c r="T16" s="1086"/>
      <c r="U16" s="1086"/>
      <c r="V16" s="1086"/>
      <c r="W16" s="1086"/>
      <c r="X16" s="1086"/>
      <c r="Y16" s="1086"/>
      <c r="Z16" s="1086"/>
      <c r="AA16" s="1086"/>
      <c r="AB16" s="1086"/>
    </row>
    <row r="17">
      <c r="A17" s="1100"/>
      <c r="B17" s="1086"/>
      <c r="C17" s="1101"/>
      <c r="D17" s="1086"/>
      <c r="E17" s="1086"/>
      <c r="F17" s="1086"/>
      <c r="G17" s="1086"/>
      <c r="H17" s="1086"/>
      <c r="I17" s="1086"/>
      <c r="J17" s="1086"/>
      <c r="K17" s="1086"/>
      <c r="L17" s="1086"/>
      <c r="M17" s="1086"/>
      <c r="N17" s="1086"/>
      <c r="O17" s="1086"/>
      <c r="P17" s="1086"/>
      <c r="Q17" s="1086"/>
      <c r="R17" s="1086"/>
      <c r="S17" s="1086"/>
      <c r="T17" s="1086"/>
      <c r="U17" s="1086"/>
      <c r="V17" s="1086"/>
      <c r="W17" s="1086"/>
      <c r="X17" s="1086"/>
      <c r="Y17" s="1086"/>
      <c r="Z17" s="1086"/>
      <c r="AA17" s="1086"/>
      <c r="AB17" s="1086"/>
    </row>
    <row r="18">
      <c r="A18" s="1100"/>
      <c r="B18" s="1086"/>
      <c r="C18" s="1086"/>
      <c r="D18" s="1086"/>
      <c r="E18" s="1086"/>
      <c r="F18" s="1086"/>
      <c r="G18" s="1086"/>
      <c r="H18" s="1086"/>
      <c r="I18" s="1086"/>
      <c r="J18" s="1086"/>
      <c r="K18" s="1086"/>
      <c r="L18" s="1086"/>
      <c r="M18" s="1086"/>
      <c r="N18" s="1086"/>
      <c r="O18" s="1086"/>
      <c r="P18" s="1086"/>
      <c r="Q18" s="1086"/>
      <c r="R18" s="1086"/>
      <c r="S18" s="1086"/>
      <c r="T18" s="1086"/>
      <c r="U18" s="1086"/>
      <c r="V18" s="1086"/>
      <c r="W18" s="1086"/>
      <c r="X18" s="1086"/>
      <c r="Y18" s="1086"/>
      <c r="Z18" s="1086"/>
      <c r="AA18" s="1086"/>
      <c r="AB18" s="1086"/>
    </row>
    <row r="19">
      <c r="A19" s="1100"/>
      <c r="B19" s="1086"/>
      <c r="C19" s="1086"/>
      <c r="D19" s="1086"/>
      <c r="E19" s="1086"/>
      <c r="F19" s="1086"/>
      <c r="G19" s="1086"/>
      <c r="H19" s="1086"/>
      <c r="I19" s="1086"/>
      <c r="J19" s="1086"/>
      <c r="K19" s="1086"/>
      <c r="L19" s="1086"/>
      <c r="M19" s="1086"/>
      <c r="N19" s="1086"/>
      <c r="O19" s="1086"/>
      <c r="P19" s="1086"/>
      <c r="Q19" s="1086"/>
      <c r="R19" s="1086"/>
      <c r="S19" s="1086"/>
      <c r="T19" s="1086"/>
      <c r="U19" s="1086"/>
      <c r="V19" s="1086"/>
      <c r="W19" s="1086"/>
      <c r="X19" s="1086"/>
      <c r="Y19" s="1086"/>
      <c r="Z19" s="1086"/>
      <c r="AA19" s="1086"/>
      <c r="AB19" s="1086"/>
    </row>
    <row r="20">
      <c r="A20" s="1100"/>
      <c r="B20" s="1086"/>
      <c r="C20" s="1086"/>
      <c r="D20" s="1086"/>
      <c r="E20" s="1086"/>
      <c r="F20" s="1086"/>
      <c r="G20" s="1086"/>
      <c r="H20" s="1086"/>
      <c r="I20" s="1086"/>
      <c r="J20" s="1086"/>
      <c r="K20" s="1086"/>
      <c r="L20" s="1086"/>
      <c r="M20" s="1086"/>
      <c r="N20" s="1086"/>
      <c r="O20" s="1086"/>
      <c r="P20" s="1086"/>
      <c r="Q20" s="1086"/>
      <c r="R20" s="1086"/>
      <c r="S20" s="1086"/>
      <c r="T20" s="1086"/>
      <c r="U20" s="1086"/>
      <c r="V20" s="1086"/>
      <c r="W20" s="1086"/>
      <c r="X20" s="1086"/>
      <c r="Y20" s="1086"/>
      <c r="Z20" s="1086"/>
      <c r="AA20" s="1086"/>
      <c r="AB20" s="1086"/>
    </row>
    <row r="21">
      <c r="A21" s="1100"/>
      <c r="B21" s="1086"/>
      <c r="C21" s="1086"/>
      <c r="D21" s="1086"/>
      <c r="E21" s="1086"/>
      <c r="F21" s="1086"/>
      <c r="G21" s="1086"/>
      <c r="H21" s="1086"/>
      <c r="I21" s="1086"/>
      <c r="J21" s="1086"/>
      <c r="K21" s="1086"/>
      <c r="L21" s="1086"/>
      <c r="M21" s="1086"/>
      <c r="N21" s="1086"/>
      <c r="O21" s="1086"/>
      <c r="P21" s="1086"/>
      <c r="Q21" s="1086"/>
      <c r="R21" s="1086"/>
      <c r="S21" s="1086"/>
      <c r="T21" s="1086"/>
      <c r="U21" s="1086"/>
      <c r="V21" s="1086"/>
      <c r="W21" s="1086"/>
      <c r="X21" s="1086"/>
      <c r="Y21" s="1086"/>
      <c r="Z21" s="1086"/>
      <c r="AA21" s="1086"/>
      <c r="AB21" s="1086"/>
    </row>
    <row r="22">
      <c r="A22" s="1100"/>
      <c r="B22" s="1086"/>
      <c r="C22" s="1086"/>
      <c r="D22" s="1086"/>
      <c r="E22" s="1086"/>
      <c r="F22" s="1086"/>
      <c r="G22" s="1086"/>
      <c r="H22" s="1086"/>
      <c r="I22" s="1086"/>
      <c r="J22" s="1086"/>
      <c r="K22" s="1086"/>
      <c r="L22" s="1086"/>
      <c r="M22" s="1086"/>
      <c r="N22" s="1086"/>
      <c r="O22" s="1086"/>
      <c r="P22" s="1086"/>
      <c r="Q22" s="1086"/>
      <c r="R22" s="1086"/>
      <c r="S22" s="1086"/>
      <c r="T22" s="1086"/>
      <c r="U22" s="1086"/>
      <c r="V22" s="1086"/>
      <c r="W22" s="1086"/>
      <c r="X22" s="1086"/>
      <c r="Y22" s="1086"/>
      <c r="Z22" s="1086"/>
      <c r="AA22" s="1086"/>
      <c r="AB22" s="1086"/>
    </row>
    <row r="23">
      <c r="A23" s="1100"/>
      <c r="B23" s="1086"/>
      <c r="C23" s="1086"/>
      <c r="D23" s="1086"/>
      <c r="E23" s="1086"/>
      <c r="F23" s="1086"/>
      <c r="G23" s="1086"/>
      <c r="H23" s="1102"/>
      <c r="I23" s="1086"/>
      <c r="J23" s="1086"/>
      <c r="K23" s="1086"/>
      <c r="L23" s="1086"/>
      <c r="M23" s="1086"/>
      <c r="N23" s="1086"/>
      <c r="O23" s="1086"/>
      <c r="P23" s="1086"/>
      <c r="Q23" s="1086"/>
      <c r="R23" s="1086"/>
      <c r="S23" s="1086"/>
      <c r="T23" s="1086"/>
      <c r="U23" s="1086"/>
      <c r="V23" s="1086"/>
      <c r="W23" s="1086"/>
      <c r="X23" s="1086"/>
      <c r="Y23" s="1086"/>
      <c r="Z23" s="1086"/>
      <c r="AA23" s="1086"/>
      <c r="AB23" s="1086"/>
    </row>
    <row r="24">
      <c r="A24" s="1100"/>
      <c r="B24" s="1086"/>
      <c r="C24" s="1086"/>
      <c r="D24" s="1086"/>
      <c r="E24" s="1086"/>
      <c r="F24" s="1086"/>
      <c r="G24" s="1086"/>
      <c r="H24" s="1086"/>
      <c r="I24" s="1086"/>
      <c r="J24" s="1086"/>
      <c r="K24" s="1086"/>
      <c r="L24" s="1086"/>
      <c r="M24" s="1086"/>
      <c r="N24" s="1086"/>
      <c r="O24" s="1086"/>
      <c r="P24" s="1086"/>
      <c r="Q24" s="1086"/>
      <c r="R24" s="1086"/>
      <c r="S24" s="1086"/>
      <c r="T24" s="1086"/>
      <c r="U24" s="1086"/>
      <c r="V24" s="1086"/>
      <c r="W24" s="1086"/>
      <c r="X24" s="1086"/>
      <c r="Y24" s="1086"/>
      <c r="Z24" s="1086"/>
      <c r="AA24" s="1086"/>
      <c r="AB24" s="1086"/>
    </row>
    <row r="25">
      <c r="A25" s="1100"/>
      <c r="B25" s="1086"/>
      <c r="C25" s="1086"/>
      <c r="D25" s="1086"/>
      <c r="E25" s="1086"/>
      <c r="F25" s="1086"/>
      <c r="G25" s="1086"/>
      <c r="H25" s="1086"/>
      <c r="I25" s="1086"/>
      <c r="J25" s="1086"/>
      <c r="K25" s="1086"/>
      <c r="L25" s="1086"/>
      <c r="M25" s="1086"/>
      <c r="N25" s="1086"/>
      <c r="O25" s="1086"/>
      <c r="P25" s="1086"/>
      <c r="Q25" s="1086"/>
      <c r="R25" s="1086"/>
      <c r="S25" s="1086"/>
      <c r="T25" s="1086"/>
      <c r="U25" s="1086"/>
      <c r="V25" s="1086"/>
      <c r="W25" s="1086"/>
      <c r="X25" s="1086"/>
      <c r="Y25" s="1086"/>
      <c r="Z25" s="1086"/>
      <c r="AA25" s="1086"/>
      <c r="AB25" s="1086"/>
    </row>
    <row r="26">
      <c r="A26" s="1100"/>
      <c r="B26" s="1086"/>
      <c r="C26" s="1086"/>
      <c r="D26" s="1086"/>
      <c r="E26" s="1086"/>
      <c r="F26" s="1086"/>
      <c r="G26" s="1086"/>
      <c r="H26" s="1086"/>
      <c r="I26" s="1086"/>
      <c r="J26" s="1086"/>
      <c r="K26" s="1086"/>
      <c r="L26" s="1086"/>
      <c r="M26" s="1086"/>
      <c r="N26" s="1086"/>
      <c r="O26" s="1086"/>
      <c r="P26" s="1086"/>
      <c r="Q26" s="1086"/>
      <c r="R26" s="1086"/>
      <c r="S26" s="1086"/>
      <c r="T26" s="1086"/>
      <c r="U26" s="1086"/>
      <c r="V26" s="1086"/>
      <c r="W26" s="1086"/>
      <c r="X26" s="1086"/>
      <c r="Y26" s="1086"/>
      <c r="Z26" s="1086"/>
      <c r="AA26" s="1086"/>
      <c r="AB26" s="1086"/>
    </row>
    <row r="27">
      <c r="A27" s="1100"/>
      <c r="B27" s="1086"/>
      <c r="C27" s="1086"/>
      <c r="D27" s="1086"/>
      <c r="E27" s="1086"/>
      <c r="F27" s="1086"/>
      <c r="G27" s="1086"/>
      <c r="H27" s="1086"/>
      <c r="I27" s="1086"/>
      <c r="J27" s="1086"/>
      <c r="K27" s="1086"/>
      <c r="L27" s="1086"/>
      <c r="M27" s="1086"/>
      <c r="N27" s="1086"/>
      <c r="O27" s="1086"/>
      <c r="P27" s="1086"/>
      <c r="Q27" s="1086"/>
      <c r="R27" s="1086"/>
      <c r="S27" s="1086"/>
      <c r="T27" s="1086"/>
      <c r="U27" s="1086"/>
      <c r="V27" s="1086"/>
      <c r="W27" s="1086"/>
      <c r="X27" s="1086"/>
      <c r="Y27" s="1086"/>
      <c r="Z27" s="1086"/>
      <c r="AA27" s="1086"/>
      <c r="AB27" s="1086"/>
    </row>
    <row r="28">
      <c r="A28" s="1100"/>
      <c r="B28" s="1086"/>
      <c r="C28" s="1086"/>
      <c r="D28" s="1086"/>
      <c r="E28" s="1086"/>
      <c r="F28" s="1086"/>
      <c r="G28" s="1086"/>
      <c r="H28" s="1086"/>
      <c r="I28" s="1086"/>
      <c r="J28" s="1086"/>
      <c r="K28" s="1086"/>
      <c r="L28" s="1086"/>
      <c r="M28" s="1086"/>
      <c r="N28" s="1086"/>
      <c r="O28" s="1086"/>
      <c r="P28" s="1086"/>
      <c r="Q28" s="1086"/>
      <c r="R28" s="1086"/>
      <c r="S28" s="1086"/>
      <c r="T28" s="1086"/>
      <c r="U28" s="1086"/>
      <c r="V28" s="1086"/>
      <c r="W28" s="1086"/>
      <c r="X28" s="1086"/>
      <c r="Y28" s="1086"/>
      <c r="Z28" s="1086"/>
      <c r="AA28" s="1086"/>
      <c r="AB28" s="1086"/>
    </row>
    <row r="29">
      <c r="A29" s="1100"/>
      <c r="B29" s="1086"/>
      <c r="C29" s="1086"/>
      <c r="D29" s="1086"/>
      <c r="E29" s="1086"/>
      <c r="F29" s="1086"/>
      <c r="G29" s="1086"/>
      <c r="H29" s="1086"/>
      <c r="I29" s="1086"/>
      <c r="J29" s="1086"/>
      <c r="K29" s="1086"/>
      <c r="L29" s="1086"/>
      <c r="M29" s="1086"/>
      <c r="N29" s="1086"/>
      <c r="O29" s="1086"/>
      <c r="P29" s="1086"/>
      <c r="Q29" s="1086"/>
      <c r="R29" s="1086"/>
      <c r="S29" s="1086"/>
      <c r="T29" s="1086"/>
      <c r="U29" s="1086"/>
      <c r="V29" s="1086"/>
      <c r="W29" s="1086"/>
      <c r="X29" s="1086"/>
      <c r="Y29" s="1086"/>
      <c r="Z29" s="1086"/>
      <c r="AA29" s="1086"/>
      <c r="AB29" s="1086"/>
    </row>
    <row r="30">
      <c r="A30" s="1100"/>
      <c r="B30" s="1086"/>
      <c r="C30" s="1086"/>
      <c r="D30" s="1086"/>
      <c r="E30" s="1086"/>
      <c r="F30" s="1086"/>
      <c r="G30" s="1086"/>
      <c r="H30" s="1086"/>
      <c r="I30" s="1086"/>
      <c r="J30" s="1086"/>
      <c r="K30" s="1086"/>
      <c r="L30" s="1086"/>
      <c r="M30" s="1086"/>
      <c r="N30" s="1086"/>
      <c r="O30" s="1086"/>
      <c r="P30" s="1086"/>
      <c r="Q30" s="1086"/>
      <c r="R30" s="1086"/>
      <c r="S30" s="1086"/>
      <c r="T30" s="1086"/>
      <c r="U30" s="1086"/>
      <c r="V30" s="1086"/>
      <c r="W30" s="1086"/>
      <c r="X30" s="1086"/>
      <c r="Y30" s="1086"/>
      <c r="Z30" s="1086"/>
      <c r="AA30" s="1086"/>
      <c r="AB30" s="1086"/>
    </row>
    <row r="31">
      <c r="A31" s="1100"/>
      <c r="B31" s="1086"/>
      <c r="C31" s="1086"/>
      <c r="D31" s="1086"/>
      <c r="E31" s="1086"/>
      <c r="F31" s="1086"/>
      <c r="G31" s="1086"/>
      <c r="H31" s="1086"/>
      <c r="I31" s="1086"/>
      <c r="J31" s="1086"/>
      <c r="K31" s="1086"/>
      <c r="L31" s="1086"/>
      <c r="M31" s="1086"/>
      <c r="N31" s="1086"/>
      <c r="O31" s="1086"/>
      <c r="P31" s="1086"/>
      <c r="Q31" s="1086"/>
      <c r="R31" s="1086"/>
      <c r="S31" s="1086"/>
      <c r="T31" s="1086"/>
      <c r="U31" s="1086"/>
      <c r="V31" s="1086"/>
      <c r="W31" s="1086"/>
      <c r="X31" s="1086"/>
      <c r="Y31" s="1086"/>
      <c r="Z31" s="1086"/>
      <c r="AA31" s="1086"/>
      <c r="AB31" s="1086"/>
    </row>
    <row r="32">
      <c r="A32" s="1100"/>
      <c r="B32" s="1086"/>
      <c r="C32" s="1086"/>
      <c r="D32" s="1086"/>
      <c r="E32" s="1086"/>
      <c r="F32" s="1086"/>
      <c r="G32" s="1086"/>
      <c r="H32" s="1086"/>
      <c r="I32" s="1086"/>
      <c r="J32" s="1086"/>
      <c r="K32" s="1086"/>
      <c r="L32" s="1086"/>
      <c r="M32" s="1086"/>
      <c r="N32" s="1086"/>
      <c r="O32" s="1086"/>
      <c r="P32" s="1086"/>
      <c r="Q32" s="1086"/>
      <c r="R32" s="1086"/>
      <c r="S32" s="1086"/>
      <c r="T32" s="1086"/>
      <c r="U32" s="1086"/>
      <c r="V32" s="1086"/>
      <c r="W32" s="1086"/>
      <c r="X32" s="1086"/>
      <c r="Y32" s="1086"/>
      <c r="Z32" s="1086"/>
      <c r="AA32" s="1086"/>
      <c r="AB32" s="1086"/>
    </row>
    <row r="33">
      <c r="A33" s="1100"/>
      <c r="B33" s="1086"/>
      <c r="C33" s="1086"/>
      <c r="D33" s="1086"/>
      <c r="E33" s="1086"/>
      <c r="F33" s="1086"/>
      <c r="G33" s="1086"/>
      <c r="H33" s="1086"/>
      <c r="I33" s="1086"/>
      <c r="J33" s="1086"/>
      <c r="K33" s="1086"/>
      <c r="L33" s="1086"/>
      <c r="M33" s="1086"/>
      <c r="N33" s="1086"/>
      <c r="O33" s="1086"/>
      <c r="P33" s="1086"/>
      <c r="Q33" s="1086"/>
      <c r="R33" s="1086"/>
      <c r="S33" s="1086"/>
      <c r="T33" s="1086"/>
      <c r="U33" s="1086"/>
      <c r="V33" s="1086"/>
      <c r="W33" s="1086"/>
      <c r="X33" s="1086"/>
      <c r="Y33" s="1086"/>
      <c r="Z33" s="1086"/>
      <c r="AA33" s="1086"/>
      <c r="AB33" s="1086"/>
    </row>
    <row r="34">
      <c r="A34" s="1100"/>
      <c r="B34" s="1086"/>
      <c r="C34" s="1086"/>
      <c r="D34" s="1086"/>
      <c r="E34" s="1086"/>
      <c r="F34" s="1086"/>
      <c r="G34" s="1086"/>
      <c r="H34" s="1086"/>
      <c r="I34" s="1086"/>
      <c r="J34" s="1086"/>
      <c r="K34" s="1086"/>
      <c r="L34" s="1086"/>
      <c r="M34" s="1086"/>
      <c r="N34" s="1086"/>
      <c r="O34" s="1086"/>
      <c r="P34" s="1086"/>
      <c r="Q34" s="1086"/>
      <c r="R34" s="1086"/>
      <c r="S34" s="1086"/>
      <c r="T34" s="1086"/>
      <c r="U34" s="1086"/>
      <c r="V34" s="1086"/>
      <c r="W34" s="1086"/>
      <c r="X34" s="1086"/>
      <c r="Y34" s="1086"/>
      <c r="Z34" s="1086"/>
      <c r="AA34" s="1086"/>
      <c r="AB34" s="1086"/>
    </row>
    <row r="35">
      <c r="A35" s="1100"/>
      <c r="B35" s="1086"/>
      <c r="C35" s="1086"/>
      <c r="D35" s="1086"/>
      <c r="E35" s="1086"/>
      <c r="F35" s="1086"/>
      <c r="G35" s="1086"/>
      <c r="H35" s="1086"/>
      <c r="I35" s="1086"/>
      <c r="J35" s="1086"/>
      <c r="K35" s="1086"/>
      <c r="L35" s="1086"/>
      <c r="M35" s="1086"/>
      <c r="N35" s="1086"/>
      <c r="O35" s="1086"/>
      <c r="P35" s="1086"/>
      <c r="Q35" s="1086"/>
      <c r="R35" s="1086"/>
      <c r="S35" s="1086"/>
      <c r="T35" s="1086"/>
      <c r="U35" s="1086"/>
      <c r="V35" s="1086"/>
      <c r="W35" s="1086"/>
      <c r="X35" s="1086"/>
      <c r="Y35" s="1086"/>
      <c r="Z35" s="1086"/>
      <c r="AA35" s="1086"/>
      <c r="AB35" s="1086"/>
    </row>
    <row r="36">
      <c r="A36" s="1100"/>
      <c r="B36" s="1086"/>
      <c r="C36" s="1086"/>
      <c r="D36" s="1086"/>
      <c r="E36" s="1086"/>
      <c r="F36" s="1086"/>
      <c r="G36" s="1086"/>
      <c r="H36" s="1086"/>
      <c r="I36" s="1086"/>
      <c r="J36" s="1086"/>
      <c r="K36" s="1086"/>
      <c r="L36" s="1086"/>
      <c r="M36" s="1086"/>
      <c r="N36" s="1086"/>
      <c r="O36" s="1086"/>
      <c r="P36" s="1086"/>
      <c r="Q36" s="1086"/>
      <c r="R36" s="1086"/>
      <c r="S36" s="1086"/>
      <c r="T36" s="1086"/>
      <c r="U36" s="1086"/>
      <c r="V36" s="1086"/>
      <c r="W36" s="1086"/>
      <c r="X36" s="1086"/>
      <c r="Y36" s="1086"/>
      <c r="Z36" s="1086"/>
      <c r="AA36" s="1086"/>
      <c r="AB36" s="1086"/>
    </row>
    <row r="37">
      <c r="A37" s="1100"/>
      <c r="B37" s="1086"/>
      <c r="C37" s="1086"/>
      <c r="D37" s="1086"/>
      <c r="E37" s="1086"/>
      <c r="F37" s="1086"/>
      <c r="G37" s="1086"/>
      <c r="H37" s="1086"/>
      <c r="I37" s="1086"/>
      <c r="J37" s="1086"/>
      <c r="K37" s="1086"/>
      <c r="L37" s="1086"/>
      <c r="M37" s="1086"/>
      <c r="N37" s="1086"/>
      <c r="O37" s="1086"/>
      <c r="P37" s="1086"/>
      <c r="Q37" s="1086"/>
      <c r="R37" s="1086"/>
      <c r="S37" s="1086"/>
      <c r="T37" s="1086"/>
      <c r="U37" s="1086"/>
      <c r="V37" s="1086"/>
      <c r="W37" s="1086"/>
      <c r="X37" s="1086"/>
      <c r="Y37" s="1086"/>
      <c r="Z37" s="1086"/>
      <c r="AA37" s="1086"/>
      <c r="AB37" s="1086"/>
    </row>
    <row r="38">
      <c r="A38" s="1100"/>
      <c r="B38" s="1086"/>
      <c r="C38" s="1086"/>
      <c r="D38" s="1086"/>
      <c r="E38" s="1086"/>
      <c r="F38" s="1086"/>
      <c r="G38" s="1086"/>
      <c r="H38" s="1086"/>
      <c r="I38" s="1086"/>
      <c r="J38" s="1086"/>
      <c r="K38" s="1086"/>
      <c r="L38" s="1086"/>
      <c r="M38" s="1086"/>
      <c r="N38" s="1086"/>
      <c r="O38" s="1086"/>
      <c r="P38" s="1086"/>
      <c r="Q38" s="1086"/>
      <c r="R38" s="1086"/>
      <c r="S38" s="1086"/>
      <c r="T38" s="1086"/>
      <c r="U38" s="1086"/>
      <c r="V38" s="1086"/>
      <c r="W38" s="1086"/>
      <c r="X38" s="1086"/>
      <c r="Y38" s="1086"/>
      <c r="Z38" s="1086"/>
      <c r="AA38" s="1086"/>
      <c r="AB38" s="1086"/>
    </row>
    <row r="39">
      <c r="A39" s="1100"/>
      <c r="B39" s="1086"/>
      <c r="C39" s="1086"/>
      <c r="D39" s="1086"/>
      <c r="E39" s="1086"/>
      <c r="F39" s="1086"/>
      <c r="G39" s="1086"/>
      <c r="H39" s="1086"/>
      <c r="I39" s="1086"/>
      <c r="J39" s="1086"/>
      <c r="K39" s="1086"/>
      <c r="L39" s="1086"/>
      <c r="M39" s="1086"/>
      <c r="N39" s="1086"/>
      <c r="O39" s="1086"/>
      <c r="P39" s="1086"/>
      <c r="Q39" s="1086"/>
      <c r="R39" s="1086"/>
      <c r="S39" s="1086"/>
      <c r="T39" s="1086"/>
      <c r="U39" s="1086"/>
      <c r="V39" s="1086"/>
      <c r="W39" s="1086"/>
      <c r="X39" s="1086"/>
      <c r="Y39" s="1086"/>
      <c r="Z39" s="1086"/>
      <c r="AA39" s="1086"/>
      <c r="AB39" s="1086"/>
    </row>
    <row r="40">
      <c r="A40" s="1100"/>
      <c r="B40" s="1086"/>
      <c r="C40" s="1086"/>
      <c r="D40" s="1086"/>
      <c r="E40" s="1086"/>
      <c r="F40" s="1086"/>
      <c r="G40" s="1086"/>
      <c r="H40" s="1086"/>
      <c r="I40" s="1086"/>
      <c r="J40" s="1086"/>
      <c r="K40" s="1086"/>
      <c r="L40" s="1086"/>
      <c r="M40" s="1086"/>
      <c r="N40" s="1086"/>
      <c r="O40" s="1086"/>
      <c r="P40" s="1086"/>
      <c r="Q40" s="1086"/>
      <c r="R40" s="1086"/>
      <c r="S40" s="1086"/>
      <c r="T40" s="1086"/>
      <c r="U40" s="1086"/>
      <c r="V40" s="1086"/>
      <c r="W40" s="1086"/>
      <c r="X40" s="1086"/>
      <c r="Y40" s="1086"/>
      <c r="Z40" s="1086"/>
      <c r="AA40" s="1086"/>
      <c r="AB40" s="1086"/>
    </row>
    <row r="41">
      <c r="A41" s="1100"/>
      <c r="B41" s="1086"/>
      <c r="C41" s="1086"/>
      <c r="D41" s="1086"/>
      <c r="E41" s="1086"/>
      <c r="F41" s="1086"/>
      <c r="G41" s="1086"/>
      <c r="H41" s="1086"/>
      <c r="I41" s="1086"/>
      <c r="J41" s="1086"/>
      <c r="K41" s="1086"/>
      <c r="L41" s="1086"/>
      <c r="M41" s="1086"/>
      <c r="N41" s="1086"/>
      <c r="O41" s="1086"/>
      <c r="P41" s="1086"/>
      <c r="Q41" s="1086"/>
      <c r="R41" s="1086"/>
      <c r="S41" s="1086"/>
      <c r="T41" s="1086"/>
      <c r="U41" s="1086"/>
      <c r="V41" s="1086"/>
      <c r="W41" s="1086"/>
      <c r="X41" s="1086"/>
      <c r="Y41" s="1086"/>
      <c r="Z41" s="1086"/>
      <c r="AA41" s="1086"/>
      <c r="AB41" s="1086"/>
    </row>
    <row r="42">
      <c r="A42" s="1100"/>
      <c r="B42" s="1086"/>
      <c r="C42" s="1086"/>
      <c r="D42" s="1086"/>
      <c r="E42" s="1086"/>
      <c r="F42" s="1086"/>
      <c r="G42" s="1086"/>
      <c r="H42" s="1086"/>
      <c r="I42" s="1086"/>
      <c r="J42" s="1086"/>
      <c r="K42" s="1086"/>
      <c r="L42" s="1086"/>
      <c r="M42" s="1086"/>
      <c r="N42" s="1086"/>
      <c r="O42" s="1086"/>
      <c r="P42" s="1086"/>
      <c r="Q42" s="1086"/>
      <c r="R42" s="1086"/>
      <c r="S42" s="1086"/>
      <c r="T42" s="1086"/>
      <c r="U42" s="1086"/>
      <c r="V42" s="1086"/>
      <c r="W42" s="1086"/>
      <c r="X42" s="1086"/>
      <c r="Y42" s="1086"/>
      <c r="Z42" s="1086"/>
      <c r="AA42" s="1086"/>
      <c r="AB42" s="1086"/>
    </row>
    <row r="43">
      <c r="A43" s="1100"/>
      <c r="B43" s="1086"/>
      <c r="C43" s="1086"/>
      <c r="D43" s="1086"/>
      <c r="E43" s="1086"/>
      <c r="F43" s="1086"/>
      <c r="G43" s="1086"/>
      <c r="H43" s="1086"/>
      <c r="I43" s="1086"/>
      <c r="J43" s="1086"/>
      <c r="K43" s="1086"/>
      <c r="L43" s="1086"/>
      <c r="M43" s="1086"/>
      <c r="N43" s="1086"/>
      <c r="O43" s="1086"/>
      <c r="P43" s="1086"/>
      <c r="Q43" s="1086"/>
      <c r="R43" s="1086"/>
      <c r="S43" s="1086"/>
      <c r="T43" s="1086"/>
      <c r="U43" s="1086"/>
      <c r="V43" s="1086"/>
      <c r="W43" s="1086"/>
      <c r="X43" s="1086"/>
      <c r="Y43" s="1086"/>
      <c r="Z43" s="1086"/>
      <c r="AA43" s="1086"/>
      <c r="AB43" s="1086"/>
    </row>
    <row r="44">
      <c r="A44" s="1100"/>
      <c r="B44" s="1086"/>
      <c r="C44" s="1086"/>
      <c r="D44" s="1086"/>
      <c r="E44" s="1086"/>
      <c r="F44" s="1086"/>
      <c r="G44" s="1086"/>
      <c r="H44" s="1086"/>
      <c r="I44" s="1086"/>
      <c r="J44" s="1086"/>
      <c r="K44" s="1086"/>
      <c r="L44" s="1086"/>
      <c r="M44" s="1086"/>
      <c r="N44" s="1086"/>
      <c r="O44" s="1086"/>
      <c r="P44" s="1086"/>
      <c r="Q44" s="1086"/>
      <c r="R44" s="1086"/>
      <c r="S44" s="1086"/>
      <c r="T44" s="1086"/>
      <c r="U44" s="1086"/>
      <c r="V44" s="1086"/>
      <c r="W44" s="1086"/>
      <c r="X44" s="1086"/>
      <c r="Y44" s="1086"/>
      <c r="Z44" s="1086"/>
      <c r="AA44" s="1086"/>
      <c r="AB44" s="1086"/>
    </row>
    <row r="45">
      <c r="A45" s="1100"/>
      <c r="B45" s="1086"/>
      <c r="C45" s="1086"/>
      <c r="D45" s="1086"/>
      <c r="E45" s="1086"/>
      <c r="F45" s="1086"/>
      <c r="G45" s="1086"/>
      <c r="H45" s="1086"/>
      <c r="I45" s="1086"/>
      <c r="J45" s="1086"/>
      <c r="K45" s="1086"/>
      <c r="L45" s="1086"/>
      <c r="M45" s="1086"/>
      <c r="N45" s="1086"/>
      <c r="O45" s="1086"/>
      <c r="P45" s="1086"/>
      <c r="Q45" s="1086"/>
      <c r="R45" s="1086"/>
      <c r="S45" s="1086"/>
      <c r="T45" s="1086"/>
      <c r="U45" s="1086"/>
      <c r="V45" s="1086"/>
      <c r="W45" s="1086"/>
      <c r="X45" s="1086"/>
      <c r="Y45" s="1086"/>
      <c r="Z45" s="1086"/>
      <c r="AA45" s="1086"/>
      <c r="AB45" s="1086"/>
    </row>
    <row r="46">
      <c r="A46" s="1100"/>
      <c r="B46" s="1086"/>
      <c r="C46" s="1086"/>
      <c r="D46" s="1086"/>
      <c r="E46" s="1086"/>
      <c r="F46" s="1086"/>
      <c r="G46" s="1086"/>
      <c r="H46" s="1086"/>
      <c r="I46" s="1086"/>
      <c r="J46" s="1086"/>
      <c r="K46" s="1086"/>
      <c r="L46" s="1086"/>
      <c r="M46" s="1086"/>
      <c r="N46" s="1086"/>
      <c r="O46" s="1086"/>
      <c r="P46" s="1086"/>
      <c r="Q46" s="1086"/>
      <c r="R46" s="1086"/>
      <c r="S46" s="1086"/>
      <c r="T46" s="1086"/>
      <c r="U46" s="1086"/>
      <c r="V46" s="1086"/>
      <c r="W46" s="1086"/>
      <c r="X46" s="1086"/>
      <c r="Y46" s="1086"/>
      <c r="Z46" s="1086"/>
      <c r="AA46" s="1086"/>
      <c r="AB46" s="1086"/>
    </row>
    <row r="47">
      <c r="A47" s="1100"/>
      <c r="B47" s="1086"/>
      <c r="C47" s="1086"/>
      <c r="D47" s="1086"/>
      <c r="E47" s="1086"/>
      <c r="F47" s="1086"/>
      <c r="G47" s="1086"/>
      <c r="H47" s="1086"/>
      <c r="I47" s="1086"/>
      <c r="J47" s="1086"/>
      <c r="K47" s="1086"/>
      <c r="L47" s="1086"/>
      <c r="M47" s="1086"/>
      <c r="N47" s="1086"/>
      <c r="O47" s="1086"/>
      <c r="P47" s="1086"/>
      <c r="Q47" s="1086"/>
      <c r="R47" s="1086"/>
      <c r="S47" s="1086"/>
      <c r="T47" s="1086"/>
      <c r="U47" s="1086"/>
      <c r="V47" s="1086"/>
      <c r="W47" s="1086"/>
      <c r="X47" s="1086"/>
      <c r="Y47" s="1086"/>
      <c r="Z47" s="1086"/>
      <c r="AA47" s="1086"/>
      <c r="AB47" s="1086"/>
    </row>
    <row r="48">
      <c r="A48" s="1100"/>
      <c r="B48" s="1086"/>
      <c r="C48" s="1086"/>
      <c r="D48" s="1086"/>
      <c r="E48" s="1086"/>
      <c r="F48" s="1086"/>
      <c r="G48" s="1086"/>
      <c r="H48" s="1086"/>
      <c r="I48" s="1086"/>
      <c r="J48" s="1086"/>
      <c r="K48" s="1086"/>
      <c r="L48" s="1086"/>
      <c r="M48" s="1086"/>
      <c r="N48" s="1086"/>
      <c r="O48" s="1086"/>
      <c r="P48" s="1086"/>
      <c r="Q48" s="1086"/>
      <c r="R48" s="1086"/>
      <c r="S48" s="1086"/>
      <c r="T48" s="1086"/>
      <c r="U48" s="1086"/>
      <c r="V48" s="1086"/>
      <c r="W48" s="1086"/>
      <c r="X48" s="1086"/>
      <c r="Y48" s="1086"/>
      <c r="Z48" s="1086"/>
      <c r="AA48" s="1086"/>
      <c r="AB48" s="1086"/>
    </row>
    <row r="49">
      <c r="A49" s="1100"/>
      <c r="B49" s="1086"/>
      <c r="C49" s="1086"/>
      <c r="D49" s="1086"/>
      <c r="E49" s="1086"/>
      <c r="F49" s="1086"/>
      <c r="G49" s="1086"/>
      <c r="H49" s="1086"/>
      <c r="I49" s="1086"/>
      <c r="J49" s="1086"/>
      <c r="K49" s="1086"/>
      <c r="L49" s="1086"/>
      <c r="M49" s="1086"/>
      <c r="N49" s="1086"/>
      <c r="O49" s="1086"/>
      <c r="P49" s="1086"/>
      <c r="Q49" s="1086"/>
      <c r="R49" s="1086"/>
      <c r="S49" s="1086"/>
      <c r="T49" s="1086"/>
      <c r="U49" s="1086"/>
      <c r="V49" s="1086"/>
      <c r="W49" s="1086"/>
      <c r="X49" s="1086"/>
      <c r="Y49" s="1086"/>
      <c r="Z49" s="1086"/>
      <c r="AA49" s="1086"/>
      <c r="AB49" s="1086"/>
    </row>
    <row r="50">
      <c r="A50" s="1100"/>
      <c r="B50" s="1086"/>
      <c r="C50" s="1086"/>
      <c r="D50" s="1086"/>
      <c r="E50" s="1086"/>
      <c r="F50" s="1086"/>
      <c r="G50" s="1086"/>
      <c r="H50" s="1086"/>
      <c r="I50" s="1086"/>
      <c r="J50" s="1086"/>
      <c r="K50" s="1086"/>
      <c r="L50" s="1086"/>
      <c r="M50" s="1086"/>
      <c r="N50" s="1086"/>
      <c r="O50" s="1086"/>
      <c r="P50" s="1086"/>
      <c r="Q50" s="1086"/>
      <c r="R50" s="1086"/>
      <c r="S50" s="1086"/>
      <c r="T50" s="1086"/>
      <c r="U50" s="1086"/>
      <c r="V50" s="1086"/>
      <c r="W50" s="1086"/>
      <c r="X50" s="1086"/>
      <c r="Y50" s="1086"/>
      <c r="Z50" s="1086"/>
      <c r="AA50" s="1086"/>
      <c r="AB50" s="1086"/>
    </row>
    <row r="51">
      <c r="A51" s="1100"/>
      <c r="B51" s="1086"/>
      <c r="C51" s="1086"/>
      <c r="D51" s="1086"/>
      <c r="E51" s="1086"/>
      <c r="F51" s="1086"/>
      <c r="G51" s="1086"/>
      <c r="H51" s="1086"/>
      <c r="I51" s="1086"/>
      <c r="J51" s="1086"/>
      <c r="K51" s="1086"/>
      <c r="L51" s="1086"/>
      <c r="M51" s="1086"/>
      <c r="N51" s="1086"/>
      <c r="O51" s="1086"/>
      <c r="P51" s="1086"/>
      <c r="Q51" s="1086"/>
      <c r="R51" s="1086"/>
      <c r="S51" s="1086"/>
      <c r="T51" s="1086"/>
      <c r="U51" s="1086"/>
      <c r="V51" s="1086"/>
      <c r="W51" s="1086"/>
      <c r="X51" s="1086"/>
      <c r="Y51" s="1086"/>
      <c r="Z51" s="1086"/>
      <c r="AA51" s="1086"/>
      <c r="AB51" s="1086"/>
    </row>
    <row r="52">
      <c r="A52" s="1100"/>
      <c r="B52" s="1086"/>
      <c r="C52" s="1086"/>
      <c r="D52" s="1086"/>
      <c r="E52" s="1086"/>
      <c r="F52" s="1086"/>
      <c r="G52" s="1086"/>
      <c r="H52" s="1086"/>
      <c r="I52" s="1086"/>
      <c r="J52" s="1086"/>
      <c r="K52" s="1086"/>
      <c r="L52" s="1086"/>
      <c r="M52" s="1086"/>
      <c r="N52" s="1086"/>
      <c r="O52" s="1086"/>
      <c r="P52" s="1086"/>
      <c r="Q52" s="1086"/>
      <c r="R52" s="1086"/>
      <c r="S52" s="1086"/>
      <c r="T52" s="1086"/>
      <c r="U52" s="1086"/>
      <c r="V52" s="1086"/>
      <c r="W52" s="1086"/>
      <c r="X52" s="1086"/>
      <c r="Y52" s="1086"/>
      <c r="Z52" s="1086"/>
      <c r="AA52" s="1086"/>
      <c r="AB52" s="1086"/>
    </row>
    <row r="53">
      <c r="A53" s="1100"/>
      <c r="B53" s="1086"/>
      <c r="C53" s="1086"/>
      <c r="D53" s="1086"/>
      <c r="E53" s="1086"/>
      <c r="F53" s="1086"/>
      <c r="G53" s="1086"/>
      <c r="H53" s="1086"/>
      <c r="I53" s="1086"/>
      <c r="J53" s="1086"/>
      <c r="K53" s="1086"/>
      <c r="L53" s="1086"/>
      <c r="M53" s="1086"/>
      <c r="N53" s="1086"/>
      <c r="O53" s="1086"/>
      <c r="P53" s="1086"/>
      <c r="Q53" s="1086"/>
      <c r="R53" s="1086"/>
      <c r="S53" s="1086"/>
      <c r="T53" s="1086"/>
      <c r="U53" s="1086"/>
      <c r="V53" s="1086"/>
      <c r="W53" s="1086"/>
      <c r="X53" s="1086"/>
      <c r="Y53" s="1086"/>
      <c r="Z53" s="1086"/>
      <c r="AA53" s="1086"/>
      <c r="AB53" s="1086"/>
    </row>
    <row r="54">
      <c r="A54" s="1100"/>
      <c r="B54" s="1086"/>
      <c r="C54" s="1086"/>
      <c r="D54" s="1086"/>
      <c r="E54" s="1086"/>
      <c r="F54" s="1086"/>
      <c r="G54" s="1086"/>
      <c r="H54" s="1086"/>
      <c r="I54" s="1086"/>
      <c r="J54" s="1086"/>
      <c r="K54" s="1086"/>
      <c r="L54" s="1086"/>
      <c r="M54" s="1086"/>
      <c r="N54" s="1086"/>
      <c r="O54" s="1086"/>
      <c r="P54" s="1086"/>
      <c r="Q54" s="1086"/>
      <c r="R54" s="1086"/>
      <c r="S54" s="1086"/>
      <c r="T54" s="1086"/>
      <c r="U54" s="1086"/>
      <c r="V54" s="1086"/>
      <c r="W54" s="1086"/>
      <c r="X54" s="1086"/>
      <c r="Y54" s="1086"/>
      <c r="Z54" s="1086"/>
      <c r="AA54" s="1086"/>
      <c r="AB54" s="1086"/>
    </row>
    <row r="55">
      <c r="A55" s="1100"/>
      <c r="B55" s="1086"/>
      <c r="C55" s="1086"/>
      <c r="D55" s="1086"/>
      <c r="E55" s="1086"/>
      <c r="F55" s="1086"/>
      <c r="G55" s="1086"/>
      <c r="H55" s="1086"/>
      <c r="I55" s="1086"/>
      <c r="J55" s="1086"/>
      <c r="K55" s="1086"/>
      <c r="L55" s="1086"/>
      <c r="M55" s="1086"/>
      <c r="N55" s="1086"/>
      <c r="O55" s="1086"/>
      <c r="P55" s="1086"/>
      <c r="Q55" s="1086"/>
      <c r="R55" s="1086"/>
      <c r="S55" s="1086"/>
      <c r="T55" s="1086"/>
      <c r="U55" s="1086"/>
      <c r="V55" s="1086"/>
      <c r="W55" s="1086"/>
      <c r="X55" s="1086"/>
      <c r="Y55" s="1086"/>
      <c r="Z55" s="1086"/>
      <c r="AA55" s="1086"/>
      <c r="AB55" s="1086"/>
    </row>
    <row r="56">
      <c r="A56" s="1100"/>
      <c r="B56" s="1086"/>
      <c r="C56" s="1086"/>
      <c r="D56" s="1086"/>
      <c r="E56" s="1086"/>
      <c r="F56" s="1086"/>
      <c r="G56" s="1086"/>
      <c r="H56" s="1086"/>
      <c r="I56" s="1086"/>
      <c r="J56" s="1086"/>
      <c r="K56" s="1086"/>
      <c r="L56" s="1086"/>
      <c r="M56" s="1086"/>
      <c r="N56" s="1086"/>
      <c r="O56" s="1086"/>
      <c r="P56" s="1086"/>
      <c r="Q56" s="1086"/>
      <c r="R56" s="1086"/>
      <c r="S56" s="1086"/>
      <c r="T56" s="1086"/>
      <c r="U56" s="1086"/>
      <c r="V56" s="1086"/>
      <c r="W56" s="1086"/>
      <c r="X56" s="1086"/>
      <c r="Y56" s="1086"/>
      <c r="Z56" s="1086"/>
      <c r="AA56" s="1086"/>
      <c r="AB56" s="1086"/>
    </row>
    <row r="57">
      <c r="A57" s="1100"/>
      <c r="B57" s="1086"/>
      <c r="C57" s="1086"/>
      <c r="D57" s="1086"/>
      <c r="E57" s="1086"/>
      <c r="F57" s="1086"/>
      <c r="G57" s="1086"/>
      <c r="H57" s="1086"/>
      <c r="I57" s="1086"/>
      <c r="J57" s="1086"/>
      <c r="K57" s="1086"/>
      <c r="L57" s="1086"/>
      <c r="M57" s="1086"/>
      <c r="N57" s="1086"/>
      <c r="O57" s="1086"/>
      <c r="P57" s="1086"/>
      <c r="Q57" s="1086"/>
      <c r="R57" s="1086"/>
      <c r="S57" s="1086"/>
      <c r="T57" s="1086"/>
      <c r="U57" s="1086"/>
      <c r="V57" s="1086"/>
      <c r="W57" s="1086"/>
      <c r="X57" s="1086"/>
      <c r="Y57" s="1086"/>
      <c r="Z57" s="1086"/>
      <c r="AA57" s="1086"/>
      <c r="AB57" s="1086"/>
    </row>
    <row r="58">
      <c r="A58" s="1100"/>
      <c r="B58" s="1086"/>
      <c r="C58" s="1086"/>
      <c r="D58" s="1086"/>
      <c r="E58" s="1086"/>
      <c r="F58" s="1086"/>
      <c r="G58" s="1086"/>
      <c r="H58" s="1086"/>
      <c r="I58" s="1086"/>
      <c r="J58" s="1086"/>
      <c r="K58" s="1086"/>
      <c r="L58" s="1086"/>
      <c r="M58" s="1086"/>
      <c r="N58" s="1086"/>
      <c r="O58" s="1086"/>
      <c r="P58" s="1086"/>
      <c r="Q58" s="1086"/>
      <c r="R58" s="1086"/>
      <c r="S58" s="1086"/>
      <c r="T58" s="1086"/>
      <c r="U58" s="1086"/>
      <c r="V58" s="1086"/>
      <c r="W58" s="1086"/>
      <c r="X58" s="1086"/>
      <c r="Y58" s="1086"/>
      <c r="Z58" s="1086"/>
      <c r="AA58" s="1086"/>
      <c r="AB58" s="1086"/>
    </row>
    <row r="59">
      <c r="A59" s="1100"/>
      <c r="B59" s="1086"/>
      <c r="C59" s="1086"/>
      <c r="D59" s="1086"/>
      <c r="E59" s="1086"/>
      <c r="F59" s="1086"/>
      <c r="G59" s="1086"/>
      <c r="H59" s="1086"/>
      <c r="I59" s="1086"/>
      <c r="J59" s="1086"/>
      <c r="K59" s="1086"/>
      <c r="L59" s="1086"/>
      <c r="M59" s="1086"/>
      <c r="N59" s="1086"/>
      <c r="O59" s="1086"/>
      <c r="P59" s="1086"/>
      <c r="Q59" s="1086"/>
      <c r="R59" s="1086"/>
      <c r="S59" s="1086"/>
      <c r="T59" s="1086"/>
      <c r="U59" s="1086"/>
      <c r="V59" s="1086"/>
      <c r="W59" s="1086"/>
      <c r="X59" s="1086"/>
      <c r="Y59" s="1086"/>
      <c r="Z59" s="1086"/>
      <c r="AA59" s="1086"/>
      <c r="AB59" s="1086"/>
    </row>
    <row r="60">
      <c r="A60" s="1100"/>
      <c r="B60" s="1086"/>
      <c r="C60" s="1086"/>
      <c r="D60" s="1086"/>
      <c r="E60" s="1086"/>
      <c r="F60" s="1086"/>
      <c r="G60" s="1086"/>
      <c r="H60" s="1086"/>
      <c r="I60" s="1086"/>
      <c r="J60" s="1086"/>
      <c r="K60" s="1086"/>
      <c r="L60" s="1086"/>
      <c r="M60" s="1086"/>
      <c r="N60" s="1086"/>
      <c r="O60" s="1086"/>
      <c r="P60" s="1086"/>
      <c r="Q60" s="1086"/>
      <c r="R60" s="1086"/>
      <c r="S60" s="1086"/>
      <c r="T60" s="1086"/>
      <c r="U60" s="1086"/>
      <c r="V60" s="1086"/>
      <c r="W60" s="1086"/>
      <c r="X60" s="1086"/>
      <c r="Y60" s="1086"/>
      <c r="Z60" s="1086"/>
      <c r="AA60" s="1086"/>
      <c r="AB60" s="1086"/>
    </row>
    <row r="61">
      <c r="A61" s="1100"/>
      <c r="B61" s="1086"/>
      <c r="C61" s="1086"/>
      <c r="D61" s="1086"/>
      <c r="E61" s="1086"/>
      <c r="F61" s="1086"/>
      <c r="G61" s="1086"/>
      <c r="H61" s="1086"/>
      <c r="I61" s="1086"/>
      <c r="J61" s="1086"/>
      <c r="K61" s="1086"/>
      <c r="L61" s="1086"/>
      <c r="M61" s="1086"/>
      <c r="N61" s="1086"/>
      <c r="O61" s="1086"/>
      <c r="P61" s="1086"/>
      <c r="Q61" s="1086"/>
      <c r="R61" s="1086"/>
      <c r="S61" s="1086"/>
      <c r="T61" s="1086"/>
      <c r="U61" s="1086"/>
      <c r="V61" s="1086"/>
      <c r="W61" s="1086"/>
      <c r="X61" s="1086"/>
      <c r="Y61" s="1086"/>
      <c r="Z61" s="1086"/>
      <c r="AA61" s="1086"/>
      <c r="AB61" s="1086"/>
    </row>
    <row r="62">
      <c r="A62" s="1100"/>
      <c r="B62" s="1086"/>
      <c r="C62" s="1086"/>
      <c r="D62" s="1086"/>
      <c r="E62" s="1086"/>
      <c r="F62" s="1086"/>
      <c r="G62" s="1086"/>
      <c r="H62" s="1086"/>
      <c r="I62" s="1086"/>
      <c r="J62" s="1086"/>
      <c r="K62" s="1086"/>
      <c r="L62" s="1086"/>
      <c r="M62" s="1086"/>
      <c r="N62" s="1086"/>
      <c r="O62" s="1086"/>
      <c r="P62" s="1086"/>
      <c r="Q62" s="1086"/>
      <c r="R62" s="1086"/>
      <c r="S62" s="1086"/>
      <c r="T62" s="1086"/>
      <c r="U62" s="1086"/>
      <c r="V62" s="1086"/>
      <c r="W62" s="1086"/>
      <c r="X62" s="1086"/>
      <c r="Y62" s="1086"/>
      <c r="Z62" s="1086"/>
      <c r="AA62" s="1086"/>
      <c r="AB62" s="1086"/>
    </row>
    <row r="63">
      <c r="A63" s="1100"/>
      <c r="B63" s="1086"/>
      <c r="C63" s="1086"/>
      <c r="D63" s="1086"/>
      <c r="E63" s="1086"/>
      <c r="F63" s="1086"/>
      <c r="G63" s="1086"/>
      <c r="H63" s="1086"/>
      <c r="I63" s="1086"/>
      <c r="J63" s="1086"/>
      <c r="K63" s="1086"/>
      <c r="L63" s="1086"/>
      <c r="M63" s="1086"/>
      <c r="N63" s="1086"/>
      <c r="O63" s="1086"/>
      <c r="P63" s="1086"/>
      <c r="Q63" s="1086"/>
      <c r="R63" s="1086"/>
      <c r="S63" s="1086"/>
      <c r="T63" s="1086"/>
      <c r="U63" s="1086"/>
      <c r="V63" s="1086"/>
      <c r="W63" s="1086"/>
      <c r="X63" s="1086"/>
      <c r="Y63" s="1086"/>
      <c r="Z63" s="1086"/>
      <c r="AA63" s="1086"/>
      <c r="AB63" s="1086"/>
    </row>
    <row r="64">
      <c r="A64" s="1100"/>
      <c r="B64" s="1086"/>
      <c r="C64" s="1086"/>
      <c r="D64" s="1086"/>
      <c r="E64" s="1086"/>
      <c r="F64" s="1086"/>
      <c r="G64" s="1086"/>
      <c r="H64" s="1086"/>
      <c r="I64" s="1086"/>
      <c r="J64" s="1086"/>
      <c r="K64" s="1086"/>
      <c r="L64" s="1086"/>
      <c r="M64" s="1086"/>
      <c r="N64" s="1086"/>
      <c r="O64" s="1086"/>
      <c r="P64" s="1086"/>
      <c r="Q64" s="1086"/>
      <c r="R64" s="1086"/>
      <c r="S64" s="1086"/>
      <c r="T64" s="1086"/>
      <c r="U64" s="1086"/>
      <c r="V64" s="1086"/>
      <c r="W64" s="1086"/>
      <c r="X64" s="1086"/>
      <c r="Y64" s="1086"/>
      <c r="Z64" s="1086"/>
      <c r="AA64" s="1086"/>
      <c r="AB64" s="1086"/>
    </row>
    <row r="65">
      <c r="A65" s="1100"/>
      <c r="B65" s="1086"/>
      <c r="C65" s="1086"/>
      <c r="D65" s="1086"/>
      <c r="E65" s="1086"/>
      <c r="F65" s="1086"/>
      <c r="G65" s="1086"/>
      <c r="H65" s="1086"/>
      <c r="I65" s="1086"/>
      <c r="J65" s="1086"/>
      <c r="K65" s="1086"/>
      <c r="L65" s="1086"/>
      <c r="M65" s="1086"/>
      <c r="N65" s="1086"/>
      <c r="O65" s="1086"/>
      <c r="P65" s="1086"/>
      <c r="Q65" s="1086"/>
      <c r="R65" s="1086"/>
      <c r="S65" s="1086"/>
      <c r="T65" s="1086"/>
      <c r="U65" s="1086"/>
      <c r="V65" s="1086"/>
      <c r="W65" s="1086"/>
      <c r="X65" s="1086"/>
      <c r="Y65" s="1086"/>
      <c r="Z65" s="1086"/>
      <c r="AA65" s="1086"/>
      <c r="AB65" s="1086"/>
    </row>
    <row r="66">
      <c r="A66" s="1100"/>
      <c r="B66" s="1086"/>
      <c r="C66" s="1086"/>
      <c r="D66" s="1086"/>
      <c r="E66" s="1086"/>
      <c r="F66" s="1086"/>
      <c r="G66" s="1086"/>
      <c r="H66" s="1086"/>
      <c r="I66" s="1086"/>
      <c r="J66" s="1086"/>
      <c r="K66" s="1086"/>
      <c r="L66" s="1086"/>
      <c r="M66" s="1086"/>
      <c r="N66" s="1086"/>
      <c r="O66" s="1086"/>
      <c r="P66" s="1086"/>
      <c r="Q66" s="1086"/>
      <c r="R66" s="1086"/>
      <c r="S66" s="1086"/>
      <c r="T66" s="1086"/>
      <c r="U66" s="1086"/>
      <c r="V66" s="1086"/>
      <c r="W66" s="1086"/>
      <c r="X66" s="1086"/>
      <c r="Y66" s="1086"/>
      <c r="Z66" s="1086"/>
      <c r="AA66" s="1086"/>
      <c r="AB66" s="1086"/>
    </row>
    <row r="67">
      <c r="A67" s="1100"/>
      <c r="B67" s="1086"/>
      <c r="C67" s="1086"/>
      <c r="D67" s="1086"/>
      <c r="E67" s="1086"/>
      <c r="F67" s="1086"/>
      <c r="G67" s="1086"/>
      <c r="H67" s="1086"/>
      <c r="I67" s="1086"/>
      <c r="J67" s="1086"/>
      <c r="K67" s="1086"/>
      <c r="L67" s="1086"/>
      <c r="M67" s="1086"/>
      <c r="N67" s="1086"/>
      <c r="O67" s="1086"/>
      <c r="P67" s="1086"/>
      <c r="Q67" s="1086"/>
      <c r="R67" s="1086"/>
      <c r="S67" s="1086"/>
      <c r="T67" s="1086"/>
      <c r="U67" s="1086"/>
      <c r="V67" s="1086"/>
      <c r="W67" s="1086"/>
      <c r="X67" s="1086"/>
      <c r="Y67" s="1086"/>
      <c r="Z67" s="1086"/>
      <c r="AA67" s="1086"/>
      <c r="AB67" s="1086"/>
    </row>
    <row r="68">
      <c r="A68" s="1100"/>
      <c r="B68" s="1086"/>
      <c r="C68" s="1086"/>
      <c r="D68" s="1086"/>
      <c r="E68" s="1086"/>
      <c r="F68" s="1086"/>
      <c r="G68" s="1086"/>
      <c r="H68" s="1086"/>
      <c r="I68" s="1086"/>
      <c r="J68" s="1086"/>
      <c r="K68" s="1086"/>
      <c r="L68" s="1086"/>
      <c r="M68" s="1086"/>
      <c r="N68" s="1086"/>
      <c r="O68" s="1086"/>
      <c r="P68" s="1086"/>
      <c r="Q68" s="1086"/>
      <c r="R68" s="1086"/>
      <c r="S68" s="1086"/>
      <c r="T68" s="1086"/>
      <c r="U68" s="1086"/>
      <c r="V68" s="1086"/>
      <c r="W68" s="1086"/>
      <c r="X68" s="1086"/>
      <c r="Y68" s="1086"/>
      <c r="Z68" s="1086"/>
      <c r="AA68" s="1086"/>
      <c r="AB68" s="1086"/>
    </row>
    <row r="69">
      <c r="A69" s="1100"/>
      <c r="B69" s="1086"/>
      <c r="C69" s="1086"/>
      <c r="D69" s="1086"/>
      <c r="E69" s="1086"/>
      <c r="F69" s="1086"/>
      <c r="G69" s="1086"/>
      <c r="H69" s="1086"/>
      <c r="I69" s="1086"/>
      <c r="J69" s="1086"/>
      <c r="K69" s="1086"/>
      <c r="L69" s="1086"/>
      <c r="M69" s="1086"/>
      <c r="N69" s="1086"/>
      <c r="O69" s="1086"/>
      <c r="P69" s="1086"/>
      <c r="Q69" s="1086"/>
      <c r="R69" s="1086"/>
      <c r="S69" s="1086"/>
      <c r="T69" s="1086"/>
      <c r="U69" s="1086"/>
      <c r="V69" s="1086"/>
      <c r="W69" s="1086"/>
      <c r="X69" s="1086"/>
      <c r="Y69" s="1086"/>
      <c r="Z69" s="1086"/>
      <c r="AA69" s="1086"/>
      <c r="AB69" s="1086"/>
    </row>
    <row r="70">
      <c r="A70" s="1100"/>
      <c r="B70" s="1086"/>
      <c r="C70" s="1086"/>
      <c r="D70" s="1086"/>
      <c r="E70" s="1086"/>
      <c r="F70" s="1086"/>
      <c r="G70" s="1086"/>
      <c r="H70" s="1086"/>
      <c r="I70" s="1086"/>
      <c r="J70" s="1086"/>
      <c r="K70" s="1086"/>
      <c r="L70" s="1086"/>
      <c r="M70" s="1086"/>
      <c r="N70" s="1086"/>
      <c r="O70" s="1086"/>
      <c r="P70" s="1086"/>
      <c r="Q70" s="1086"/>
      <c r="R70" s="1086"/>
      <c r="S70" s="1086"/>
      <c r="T70" s="1086"/>
      <c r="U70" s="1086"/>
      <c r="V70" s="1086"/>
      <c r="W70" s="1086"/>
      <c r="X70" s="1086"/>
      <c r="Y70" s="1086"/>
      <c r="Z70" s="1086"/>
      <c r="AA70" s="1086"/>
      <c r="AB70" s="1086"/>
    </row>
    <row r="71">
      <c r="A71" s="1100"/>
      <c r="B71" s="1086"/>
      <c r="C71" s="1086"/>
      <c r="D71" s="1086"/>
      <c r="E71" s="1086"/>
      <c r="F71" s="1086"/>
      <c r="G71" s="1086"/>
      <c r="H71" s="1086"/>
      <c r="I71" s="1086"/>
      <c r="J71" s="1086"/>
      <c r="K71" s="1086"/>
      <c r="L71" s="1086"/>
      <c r="M71" s="1086"/>
      <c r="N71" s="1086"/>
      <c r="O71" s="1086"/>
      <c r="P71" s="1086"/>
      <c r="Q71" s="1086"/>
      <c r="R71" s="1086"/>
      <c r="S71" s="1086"/>
      <c r="T71" s="1086"/>
      <c r="U71" s="1086"/>
      <c r="V71" s="1086"/>
      <c r="W71" s="1086"/>
      <c r="X71" s="1086"/>
      <c r="Y71" s="1086"/>
      <c r="Z71" s="1086"/>
      <c r="AA71" s="1086"/>
      <c r="AB71" s="1086"/>
    </row>
    <row r="72">
      <c r="A72" s="1100"/>
      <c r="B72" s="1086"/>
      <c r="C72" s="1086"/>
      <c r="D72" s="1086"/>
      <c r="E72" s="1086"/>
      <c r="F72" s="1086"/>
      <c r="G72" s="1086"/>
      <c r="H72" s="1086"/>
      <c r="I72" s="1086"/>
      <c r="J72" s="1086"/>
      <c r="K72" s="1086"/>
      <c r="L72" s="1086"/>
      <c r="M72" s="1086"/>
      <c r="N72" s="1086"/>
      <c r="O72" s="1086"/>
      <c r="P72" s="1086"/>
      <c r="Q72" s="1086"/>
      <c r="R72" s="1086"/>
      <c r="S72" s="1086"/>
      <c r="T72" s="1086"/>
      <c r="U72" s="1086"/>
      <c r="V72" s="1086"/>
      <c r="W72" s="1086"/>
      <c r="X72" s="1086"/>
      <c r="Y72" s="1086"/>
      <c r="Z72" s="1086"/>
      <c r="AA72" s="1086"/>
      <c r="AB72" s="1086"/>
    </row>
    <row r="73">
      <c r="A73" s="1100"/>
      <c r="B73" s="1086"/>
      <c r="C73" s="1086"/>
      <c r="D73" s="1086"/>
      <c r="E73" s="1086"/>
      <c r="F73" s="1086"/>
      <c r="G73" s="1086"/>
      <c r="H73" s="1086"/>
      <c r="I73" s="1086"/>
      <c r="J73" s="1086"/>
      <c r="K73" s="1086"/>
      <c r="L73" s="1086"/>
      <c r="M73" s="1086"/>
      <c r="N73" s="1086"/>
      <c r="O73" s="1086"/>
      <c r="P73" s="1086"/>
      <c r="Q73" s="1086"/>
      <c r="R73" s="1086"/>
      <c r="S73" s="1086"/>
      <c r="T73" s="1086"/>
      <c r="U73" s="1086"/>
      <c r="V73" s="1086"/>
      <c r="W73" s="1086"/>
      <c r="X73" s="1086"/>
      <c r="Y73" s="1086"/>
      <c r="Z73" s="1086"/>
      <c r="AA73" s="1086"/>
      <c r="AB73" s="1086"/>
    </row>
    <row r="74">
      <c r="A74" s="1100"/>
      <c r="B74" s="1086"/>
      <c r="C74" s="1086"/>
      <c r="D74" s="1086"/>
      <c r="E74" s="1086"/>
      <c r="F74" s="1086"/>
      <c r="G74" s="1086"/>
      <c r="H74" s="1086"/>
      <c r="I74" s="1086"/>
      <c r="J74" s="1086"/>
      <c r="K74" s="1086"/>
      <c r="L74" s="1086"/>
      <c r="M74" s="1086"/>
      <c r="N74" s="1086"/>
      <c r="O74" s="1086"/>
      <c r="P74" s="1086"/>
      <c r="Q74" s="1086"/>
      <c r="R74" s="1086"/>
      <c r="S74" s="1086"/>
      <c r="T74" s="1086"/>
      <c r="U74" s="1086"/>
      <c r="V74" s="1086"/>
      <c r="W74" s="1086"/>
      <c r="X74" s="1086"/>
      <c r="Y74" s="1086"/>
      <c r="Z74" s="1086"/>
      <c r="AA74" s="1086"/>
      <c r="AB74" s="1086"/>
    </row>
    <row r="75">
      <c r="A75" s="1100"/>
      <c r="B75" s="1086"/>
      <c r="C75" s="1086"/>
      <c r="D75" s="1086"/>
      <c r="E75" s="1086"/>
      <c r="F75" s="1086"/>
      <c r="G75" s="1086"/>
      <c r="H75" s="1086"/>
      <c r="I75" s="1086"/>
      <c r="J75" s="1086"/>
      <c r="K75" s="1086"/>
      <c r="L75" s="1086"/>
      <c r="M75" s="1086"/>
      <c r="N75" s="1086"/>
      <c r="O75" s="1086"/>
      <c r="P75" s="1086"/>
      <c r="Q75" s="1086"/>
      <c r="R75" s="1086"/>
      <c r="S75" s="1086"/>
      <c r="T75" s="1086"/>
      <c r="U75" s="1086"/>
      <c r="V75" s="1086"/>
      <c r="W75" s="1086"/>
      <c r="X75" s="1086"/>
      <c r="Y75" s="1086"/>
      <c r="Z75" s="1086"/>
      <c r="AA75" s="1086"/>
      <c r="AB75" s="1086"/>
    </row>
    <row r="76">
      <c r="A76" s="1100"/>
      <c r="B76" s="1086"/>
      <c r="C76" s="1086"/>
      <c r="D76" s="1086"/>
      <c r="E76" s="1086"/>
      <c r="F76" s="1086"/>
      <c r="G76" s="1086"/>
      <c r="H76" s="1086"/>
      <c r="I76" s="1086"/>
      <c r="J76" s="1086"/>
      <c r="K76" s="1086"/>
      <c r="L76" s="1086"/>
      <c r="M76" s="1086"/>
      <c r="N76" s="1086"/>
      <c r="O76" s="1086"/>
      <c r="P76" s="1086"/>
      <c r="Q76" s="1086"/>
      <c r="R76" s="1086"/>
      <c r="S76" s="1086"/>
      <c r="T76" s="1086"/>
      <c r="U76" s="1086"/>
      <c r="V76" s="1086"/>
      <c r="W76" s="1086"/>
      <c r="X76" s="1086"/>
      <c r="Y76" s="1086"/>
      <c r="Z76" s="1086"/>
      <c r="AA76" s="1086"/>
      <c r="AB76" s="1086"/>
    </row>
    <row r="77">
      <c r="A77" s="1100"/>
      <c r="B77" s="1086"/>
      <c r="C77" s="1086"/>
      <c r="D77" s="1086"/>
      <c r="E77" s="1086"/>
      <c r="F77" s="1086"/>
      <c r="G77" s="1086"/>
      <c r="H77" s="1086"/>
      <c r="I77" s="1086"/>
      <c r="J77" s="1086"/>
      <c r="K77" s="1086"/>
      <c r="L77" s="1086"/>
      <c r="M77" s="1086"/>
      <c r="N77" s="1086"/>
      <c r="O77" s="1086"/>
      <c r="P77" s="1086"/>
      <c r="Q77" s="1086"/>
      <c r="R77" s="1086"/>
      <c r="S77" s="1086"/>
      <c r="T77" s="1086"/>
      <c r="U77" s="1086"/>
      <c r="V77" s="1086"/>
      <c r="W77" s="1086"/>
      <c r="X77" s="1086"/>
      <c r="Y77" s="1086"/>
      <c r="Z77" s="1086"/>
      <c r="AA77" s="1086"/>
      <c r="AB77" s="1086"/>
    </row>
    <row r="78">
      <c r="A78" s="1100"/>
      <c r="B78" s="1086"/>
      <c r="C78" s="1086"/>
      <c r="D78" s="1086"/>
      <c r="E78" s="1086"/>
      <c r="F78" s="1086"/>
      <c r="G78" s="1086"/>
      <c r="H78" s="1086"/>
      <c r="I78" s="1086"/>
      <c r="J78" s="1086"/>
      <c r="K78" s="1086"/>
      <c r="L78" s="1086"/>
      <c r="M78" s="1086"/>
      <c r="N78" s="1086"/>
      <c r="O78" s="1086"/>
      <c r="P78" s="1086"/>
      <c r="Q78" s="1086"/>
      <c r="R78" s="1086"/>
      <c r="S78" s="1086"/>
      <c r="T78" s="1086"/>
      <c r="U78" s="1086"/>
      <c r="V78" s="1086"/>
      <c r="W78" s="1086"/>
      <c r="X78" s="1086"/>
      <c r="Y78" s="1086"/>
      <c r="Z78" s="1086"/>
      <c r="AA78" s="1086"/>
      <c r="AB78" s="1086"/>
    </row>
    <row r="79">
      <c r="A79" s="1100"/>
      <c r="B79" s="1086"/>
      <c r="C79" s="1086"/>
      <c r="D79" s="1086"/>
      <c r="E79" s="1086"/>
      <c r="F79" s="1086"/>
      <c r="G79" s="1086"/>
      <c r="H79" s="1086"/>
      <c r="I79" s="1086"/>
      <c r="J79" s="1086"/>
      <c r="K79" s="1086"/>
      <c r="L79" s="1086"/>
      <c r="M79" s="1086"/>
      <c r="N79" s="1086"/>
      <c r="O79" s="1086"/>
      <c r="P79" s="1086"/>
      <c r="Q79" s="1086"/>
      <c r="R79" s="1086"/>
      <c r="S79" s="1086"/>
      <c r="T79" s="1086"/>
      <c r="U79" s="1086"/>
      <c r="V79" s="1086"/>
      <c r="W79" s="1086"/>
      <c r="X79" s="1086"/>
      <c r="Y79" s="1086"/>
      <c r="Z79" s="1086"/>
      <c r="AA79" s="1086"/>
      <c r="AB79" s="1086"/>
    </row>
    <row r="80">
      <c r="A80" s="1100"/>
      <c r="B80" s="1086"/>
      <c r="C80" s="1086"/>
      <c r="D80" s="1086"/>
      <c r="E80" s="1086"/>
      <c r="F80" s="1086"/>
      <c r="G80" s="1086"/>
      <c r="H80" s="1086"/>
      <c r="I80" s="1086"/>
      <c r="J80" s="1086"/>
      <c r="K80" s="1086"/>
      <c r="L80" s="1086"/>
      <c r="M80" s="1086"/>
      <c r="N80" s="1086"/>
      <c r="O80" s="1086"/>
      <c r="P80" s="1086"/>
      <c r="Q80" s="1086"/>
      <c r="R80" s="1086"/>
      <c r="S80" s="1086"/>
      <c r="T80" s="1086"/>
      <c r="U80" s="1086"/>
      <c r="V80" s="1086"/>
      <c r="W80" s="1086"/>
      <c r="X80" s="1086"/>
      <c r="Y80" s="1086"/>
      <c r="Z80" s="1086"/>
      <c r="AA80" s="1086"/>
      <c r="AB80" s="1086"/>
    </row>
    <row r="81">
      <c r="A81" s="1100"/>
      <c r="B81" s="1086"/>
      <c r="C81" s="1086"/>
      <c r="D81" s="1086"/>
      <c r="E81" s="1086"/>
      <c r="F81" s="1086"/>
      <c r="G81" s="1086"/>
      <c r="H81" s="1086"/>
      <c r="I81" s="1086"/>
      <c r="J81" s="1086"/>
      <c r="K81" s="1086"/>
      <c r="L81" s="1086"/>
      <c r="M81" s="1086"/>
      <c r="N81" s="1086"/>
      <c r="O81" s="1086"/>
      <c r="P81" s="1086"/>
      <c r="Q81" s="1086"/>
      <c r="R81" s="1086"/>
      <c r="S81" s="1086"/>
      <c r="T81" s="1086"/>
      <c r="U81" s="1086"/>
      <c r="V81" s="1086"/>
      <c r="W81" s="1086"/>
      <c r="X81" s="1086"/>
      <c r="Y81" s="1086"/>
      <c r="Z81" s="1086"/>
      <c r="AA81" s="1086"/>
      <c r="AB81" s="1086"/>
    </row>
    <row r="82">
      <c r="A82" s="1100"/>
      <c r="B82" s="1086"/>
      <c r="C82" s="1086"/>
      <c r="D82" s="1086"/>
      <c r="E82" s="1086"/>
      <c r="F82" s="1086"/>
      <c r="G82" s="1086"/>
      <c r="H82" s="1086"/>
      <c r="I82" s="1086"/>
      <c r="J82" s="1086"/>
      <c r="K82" s="1086"/>
      <c r="L82" s="1086"/>
      <c r="M82" s="1086"/>
      <c r="N82" s="1086"/>
      <c r="O82" s="1086"/>
      <c r="P82" s="1086"/>
      <c r="Q82" s="1086"/>
      <c r="R82" s="1086"/>
      <c r="S82" s="1086"/>
      <c r="T82" s="1086"/>
      <c r="U82" s="1086"/>
      <c r="V82" s="1086"/>
      <c r="W82" s="1086"/>
      <c r="X82" s="1086"/>
      <c r="Y82" s="1086"/>
      <c r="Z82" s="1086"/>
      <c r="AA82" s="1086"/>
      <c r="AB82" s="1086"/>
    </row>
    <row r="83">
      <c r="A83" s="1100"/>
      <c r="B83" s="1086"/>
      <c r="C83" s="1086"/>
      <c r="D83" s="1086"/>
      <c r="E83" s="1086"/>
      <c r="F83" s="1086"/>
      <c r="G83" s="1086"/>
      <c r="H83" s="1086"/>
      <c r="I83" s="1086"/>
      <c r="J83" s="1086"/>
      <c r="K83" s="1086"/>
      <c r="L83" s="1086"/>
      <c r="M83" s="1086"/>
      <c r="N83" s="1086"/>
      <c r="O83" s="1086"/>
      <c r="P83" s="1086"/>
      <c r="Q83" s="1086"/>
      <c r="R83" s="1086"/>
      <c r="S83" s="1086"/>
      <c r="T83" s="1086"/>
      <c r="U83" s="1086"/>
      <c r="V83" s="1086"/>
      <c r="W83" s="1086"/>
      <c r="X83" s="1086"/>
      <c r="Y83" s="1086"/>
      <c r="Z83" s="1086"/>
      <c r="AA83" s="1086"/>
      <c r="AB83" s="1086"/>
    </row>
    <row r="84">
      <c r="A84" s="1100"/>
      <c r="B84" s="1086"/>
      <c r="C84" s="1086"/>
      <c r="D84" s="1086"/>
      <c r="E84" s="1086"/>
      <c r="F84" s="1086"/>
      <c r="G84" s="1086"/>
      <c r="H84" s="1086"/>
      <c r="I84" s="1086"/>
      <c r="J84" s="1086"/>
      <c r="K84" s="1086"/>
      <c r="L84" s="1086"/>
      <c r="M84" s="1086"/>
      <c r="N84" s="1086"/>
      <c r="O84" s="1086"/>
      <c r="P84" s="1086"/>
      <c r="Q84" s="1086"/>
      <c r="R84" s="1086"/>
      <c r="S84" s="1086"/>
      <c r="T84" s="1086"/>
      <c r="U84" s="1086"/>
      <c r="V84" s="1086"/>
      <c r="W84" s="1086"/>
      <c r="X84" s="1086"/>
      <c r="Y84" s="1086"/>
      <c r="Z84" s="1086"/>
      <c r="AA84" s="1086"/>
      <c r="AB84" s="1086"/>
    </row>
    <row r="85">
      <c r="A85" s="1100"/>
      <c r="B85" s="1086"/>
      <c r="C85" s="1086"/>
      <c r="D85" s="1086"/>
      <c r="E85" s="1086"/>
      <c r="F85" s="1086"/>
      <c r="G85" s="1086"/>
      <c r="H85" s="1086"/>
      <c r="I85" s="1086"/>
      <c r="J85" s="1086"/>
      <c r="K85" s="1086"/>
      <c r="L85" s="1086"/>
      <c r="M85" s="1086"/>
      <c r="N85" s="1086"/>
      <c r="O85" s="1086"/>
      <c r="P85" s="1086"/>
      <c r="Q85" s="1086"/>
      <c r="R85" s="1086"/>
      <c r="S85" s="1086"/>
      <c r="T85" s="1086"/>
      <c r="U85" s="1086"/>
      <c r="V85" s="1086"/>
      <c r="W85" s="1086"/>
      <c r="X85" s="1086"/>
      <c r="Y85" s="1086"/>
      <c r="Z85" s="1086"/>
      <c r="AA85" s="1086"/>
      <c r="AB85" s="1086"/>
    </row>
    <row r="86">
      <c r="A86" s="1100"/>
      <c r="B86" s="1086"/>
      <c r="C86" s="1086"/>
      <c r="D86" s="1086"/>
      <c r="E86" s="1086"/>
      <c r="F86" s="1086"/>
      <c r="G86" s="1086"/>
      <c r="H86" s="1086"/>
      <c r="I86" s="1086"/>
      <c r="J86" s="1086"/>
      <c r="K86" s="1086"/>
      <c r="L86" s="1086"/>
      <c r="M86" s="1086"/>
      <c r="N86" s="1086"/>
      <c r="O86" s="1086"/>
      <c r="P86" s="1086"/>
      <c r="Q86" s="1086"/>
      <c r="R86" s="1086"/>
      <c r="S86" s="1086"/>
      <c r="T86" s="1086"/>
      <c r="U86" s="1086"/>
      <c r="V86" s="1086"/>
      <c r="W86" s="1086"/>
      <c r="X86" s="1086"/>
      <c r="Y86" s="1086"/>
      <c r="Z86" s="1086"/>
      <c r="AA86" s="1086"/>
      <c r="AB86" s="1086"/>
    </row>
    <row r="87">
      <c r="A87" s="1100"/>
      <c r="B87" s="1086"/>
      <c r="C87" s="1086"/>
      <c r="D87" s="1086"/>
      <c r="E87" s="1086"/>
      <c r="F87" s="1086"/>
      <c r="G87" s="1086"/>
      <c r="H87" s="1086"/>
      <c r="I87" s="1086"/>
      <c r="J87" s="1086"/>
      <c r="K87" s="1086"/>
      <c r="L87" s="1086"/>
      <c r="M87" s="1086"/>
      <c r="N87" s="1086"/>
      <c r="O87" s="1086"/>
      <c r="P87" s="1086"/>
      <c r="Q87" s="1086"/>
      <c r="R87" s="1086"/>
      <c r="S87" s="1086"/>
      <c r="T87" s="1086"/>
      <c r="U87" s="1086"/>
      <c r="V87" s="1086"/>
      <c r="W87" s="1086"/>
      <c r="X87" s="1086"/>
      <c r="Y87" s="1086"/>
      <c r="Z87" s="1086"/>
      <c r="AA87" s="1086"/>
      <c r="AB87" s="1086"/>
    </row>
    <row r="88">
      <c r="A88" s="1100"/>
      <c r="B88" s="1086"/>
      <c r="C88" s="1086"/>
      <c r="D88" s="1086"/>
      <c r="E88" s="1086"/>
      <c r="F88" s="1086"/>
      <c r="G88" s="1086"/>
      <c r="H88" s="1086"/>
      <c r="I88" s="1086"/>
      <c r="J88" s="1086"/>
      <c r="K88" s="1086"/>
      <c r="L88" s="1086"/>
      <c r="M88" s="1086"/>
      <c r="N88" s="1086"/>
      <c r="O88" s="1086"/>
      <c r="P88" s="1086"/>
      <c r="Q88" s="1086"/>
      <c r="R88" s="1086"/>
      <c r="S88" s="1086"/>
      <c r="T88" s="1086"/>
      <c r="U88" s="1086"/>
      <c r="V88" s="1086"/>
      <c r="W88" s="1086"/>
      <c r="X88" s="1086"/>
      <c r="Y88" s="1086"/>
      <c r="Z88" s="1086"/>
      <c r="AA88" s="1086"/>
      <c r="AB88" s="1086"/>
    </row>
    <row r="89">
      <c r="A89" s="1100"/>
      <c r="B89" s="1086"/>
      <c r="C89" s="1086"/>
      <c r="D89" s="1086"/>
      <c r="E89" s="1086"/>
      <c r="F89" s="1086"/>
      <c r="G89" s="1086"/>
      <c r="H89" s="1086"/>
      <c r="I89" s="1086"/>
      <c r="J89" s="1086"/>
      <c r="K89" s="1086"/>
      <c r="L89" s="1086"/>
      <c r="M89" s="1086"/>
      <c r="N89" s="1086"/>
      <c r="O89" s="1086"/>
      <c r="P89" s="1086"/>
      <c r="Q89" s="1086"/>
      <c r="R89" s="1086"/>
      <c r="S89" s="1086"/>
      <c r="T89" s="1086"/>
      <c r="U89" s="1086"/>
      <c r="V89" s="1086"/>
      <c r="W89" s="1086"/>
      <c r="X89" s="1086"/>
      <c r="Y89" s="1086"/>
      <c r="Z89" s="1086"/>
      <c r="AA89" s="1086"/>
      <c r="AB89" s="1086"/>
    </row>
    <row r="90">
      <c r="A90" s="1100"/>
      <c r="B90" s="1086"/>
      <c r="C90" s="1086"/>
      <c r="D90" s="1086"/>
      <c r="E90" s="1086"/>
      <c r="F90" s="1086"/>
      <c r="G90" s="1086"/>
      <c r="H90" s="1086"/>
      <c r="I90" s="1086"/>
      <c r="J90" s="1086"/>
      <c r="K90" s="1086"/>
      <c r="L90" s="1086"/>
      <c r="M90" s="1086"/>
      <c r="N90" s="1086"/>
      <c r="O90" s="1086"/>
      <c r="P90" s="1086"/>
      <c r="Q90" s="1086"/>
      <c r="R90" s="1086"/>
      <c r="S90" s="1086"/>
      <c r="T90" s="1086"/>
      <c r="U90" s="1086"/>
      <c r="V90" s="1086"/>
      <c r="W90" s="1086"/>
      <c r="X90" s="1086"/>
      <c r="Y90" s="1086"/>
      <c r="Z90" s="1086"/>
      <c r="AA90" s="1086"/>
      <c r="AB90" s="1086"/>
    </row>
    <row r="91">
      <c r="A91" s="1100"/>
      <c r="B91" s="1086"/>
      <c r="C91" s="1086"/>
      <c r="D91" s="1086"/>
      <c r="E91" s="1086"/>
      <c r="F91" s="1086"/>
      <c r="G91" s="1086"/>
      <c r="H91" s="1086"/>
      <c r="I91" s="1086"/>
      <c r="J91" s="1086"/>
      <c r="K91" s="1086"/>
      <c r="L91" s="1086"/>
      <c r="M91" s="1086"/>
      <c r="N91" s="1086"/>
      <c r="O91" s="1086"/>
      <c r="P91" s="1086"/>
      <c r="Q91" s="1086"/>
      <c r="R91" s="1086"/>
      <c r="S91" s="1086"/>
      <c r="T91" s="1086"/>
      <c r="U91" s="1086"/>
      <c r="V91" s="1086"/>
      <c r="W91" s="1086"/>
      <c r="X91" s="1086"/>
      <c r="Y91" s="1086"/>
      <c r="Z91" s="1086"/>
      <c r="AA91" s="1086"/>
      <c r="AB91" s="1086"/>
    </row>
    <row r="92">
      <c r="A92" s="1100"/>
      <c r="B92" s="1086"/>
      <c r="C92" s="1086"/>
      <c r="D92" s="1086"/>
      <c r="E92" s="1086"/>
      <c r="F92" s="1086"/>
      <c r="G92" s="1086"/>
      <c r="H92" s="1086"/>
      <c r="I92" s="1086"/>
      <c r="J92" s="1086"/>
      <c r="K92" s="1086"/>
      <c r="L92" s="1086"/>
      <c r="M92" s="1086"/>
      <c r="N92" s="1086"/>
      <c r="O92" s="1086"/>
      <c r="P92" s="1086"/>
      <c r="Q92" s="1086"/>
      <c r="R92" s="1086"/>
      <c r="S92" s="1086"/>
      <c r="T92" s="1086"/>
      <c r="U92" s="1086"/>
      <c r="V92" s="1086"/>
      <c r="W92" s="1086"/>
      <c r="X92" s="1086"/>
      <c r="Y92" s="1086"/>
      <c r="Z92" s="1086"/>
      <c r="AA92" s="1086"/>
      <c r="AB92" s="1086"/>
    </row>
    <row r="93">
      <c r="A93" s="1100"/>
      <c r="B93" s="1086"/>
      <c r="C93" s="1086"/>
      <c r="D93" s="1086"/>
      <c r="E93" s="1086"/>
      <c r="F93" s="1086"/>
      <c r="G93" s="1086"/>
      <c r="H93" s="1086"/>
      <c r="I93" s="1086"/>
      <c r="J93" s="1086"/>
      <c r="K93" s="1086"/>
      <c r="L93" s="1086"/>
      <c r="M93" s="1086"/>
      <c r="N93" s="1086"/>
      <c r="O93" s="1086"/>
      <c r="P93" s="1086"/>
      <c r="Q93" s="1086"/>
      <c r="R93" s="1086"/>
      <c r="S93" s="1086"/>
      <c r="T93" s="1086"/>
      <c r="U93" s="1086"/>
      <c r="V93" s="1086"/>
      <c r="W93" s="1086"/>
      <c r="X93" s="1086"/>
      <c r="Y93" s="1086"/>
      <c r="Z93" s="1086"/>
      <c r="AA93" s="1086"/>
      <c r="AB93" s="1086"/>
    </row>
    <row r="94">
      <c r="A94" s="1100"/>
      <c r="B94" s="1086"/>
      <c r="C94" s="1086"/>
      <c r="D94" s="1086"/>
      <c r="E94" s="1086"/>
      <c r="F94" s="1086"/>
      <c r="G94" s="1086"/>
      <c r="H94" s="1086"/>
      <c r="I94" s="1086"/>
      <c r="J94" s="1086"/>
      <c r="K94" s="1086"/>
      <c r="L94" s="1086"/>
      <c r="M94" s="1086"/>
      <c r="N94" s="1086"/>
      <c r="O94" s="1086"/>
      <c r="P94" s="1086"/>
      <c r="Q94" s="1086"/>
      <c r="R94" s="1086"/>
      <c r="S94" s="1086"/>
      <c r="T94" s="1086"/>
      <c r="U94" s="1086"/>
      <c r="V94" s="1086"/>
      <c r="W94" s="1086"/>
      <c r="X94" s="1086"/>
      <c r="Y94" s="1086"/>
      <c r="Z94" s="1086"/>
      <c r="AA94" s="1086"/>
      <c r="AB94" s="1086"/>
    </row>
    <row r="95">
      <c r="A95" s="1100"/>
      <c r="B95" s="1086"/>
      <c r="C95" s="1086"/>
      <c r="D95" s="1086"/>
      <c r="E95" s="1086"/>
      <c r="F95" s="1086"/>
      <c r="G95" s="1086"/>
      <c r="H95" s="1086"/>
      <c r="I95" s="1086"/>
      <c r="J95" s="1086"/>
      <c r="K95" s="1086"/>
      <c r="L95" s="1086"/>
      <c r="M95" s="1086"/>
      <c r="N95" s="1086"/>
      <c r="O95" s="1086"/>
      <c r="P95" s="1086"/>
      <c r="Q95" s="1086"/>
      <c r="R95" s="1086"/>
      <c r="S95" s="1086"/>
      <c r="T95" s="1086"/>
      <c r="U95" s="1086"/>
      <c r="V95" s="1086"/>
      <c r="W95" s="1086"/>
      <c r="X95" s="1086"/>
      <c r="Y95" s="1086"/>
      <c r="Z95" s="1086"/>
      <c r="AA95" s="1086"/>
      <c r="AB95" s="1086"/>
    </row>
    <row r="96">
      <c r="A96" s="1100"/>
      <c r="B96" s="1086"/>
      <c r="C96" s="1086"/>
      <c r="D96" s="1086"/>
      <c r="E96" s="1086"/>
      <c r="F96" s="1086"/>
      <c r="G96" s="1086"/>
      <c r="H96" s="1086"/>
      <c r="I96" s="1086"/>
      <c r="J96" s="1086"/>
      <c r="K96" s="1086"/>
      <c r="L96" s="1086"/>
      <c r="M96" s="1086"/>
      <c r="N96" s="1086"/>
      <c r="O96" s="1086"/>
      <c r="P96" s="1086"/>
      <c r="Q96" s="1086"/>
      <c r="R96" s="1086"/>
      <c r="S96" s="1086"/>
      <c r="T96" s="1086"/>
      <c r="U96" s="1086"/>
      <c r="V96" s="1086"/>
      <c r="W96" s="1086"/>
      <c r="X96" s="1086"/>
      <c r="Y96" s="1086"/>
      <c r="Z96" s="1086"/>
      <c r="AA96" s="1086"/>
      <c r="AB96" s="1086"/>
    </row>
    <row r="97">
      <c r="A97" s="1100"/>
      <c r="B97" s="1086"/>
      <c r="C97" s="1086"/>
      <c r="D97" s="1086"/>
      <c r="E97" s="1086"/>
      <c r="F97" s="1086"/>
      <c r="G97" s="1086"/>
      <c r="H97" s="1086"/>
      <c r="I97" s="1086"/>
      <c r="J97" s="1086"/>
      <c r="K97" s="1086"/>
      <c r="L97" s="1086"/>
      <c r="M97" s="1086"/>
      <c r="N97" s="1086"/>
      <c r="O97" s="1086"/>
      <c r="P97" s="1086"/>
      <c r="Q97" s="1086"/>
      <c r="R97" s="1086"/>
      <c r="S97" s="1086"/>
      <c r="T97" s="1086"/>
      <c r="U97" s="1086"/>
      <c r="V97" s="1086"/>
      <c r="W97" s="1086"/>
      <c r="X97" s="1086"/>
      <c r="Y97" s="1086"/>
      <c r="Z97" s="1086"/>
      <c r="AA97" s="1086"/>
      <c r="AB97" s="1086"/>
    </row>
    <row r="98">
      <c r="A98" s="1100"/>
      <c r="B98" s="1086"/>
      <c r="C98" s="1086"/>
      <c r="D98" s="1086"/>
      <c r="E98" s="1086"/>
      <c r="F98" s="1086"/>
      <c r="G98" s="1086"/>
      <c r="H98" s="1086"/>
      <c r="I98" s="1086"/>
      <c r="J98" s="1086"/>
      <c r="K98" s="1086"/>
      <c r="L98" s="1086"/>
      <c r="M98" s="1086"/>
      <c r="N98" s="1086"/>
      <c r="O98" s="1086"/>
      <c r="P98" s="1086"/>
      <c r="Q98" s="1086"/>
      <c r="R98" s="1086"/>
      <c r="S98" s="1086"/>
      <c r="T98" s="1086"/>
      <c r="U98" s="1086"/>
      <c r="V98" s="1086"/>
      <c r="W98" s="1086"/>
      <c r="X98" s="1086"/>
      <c r="Y98" s="1086"/>
      <c r="Z98" s="1086"/>
      <c r="AA98" s="1086"/>
      <c r="AB98" s="1086"/>
    </row>
    <row r="99">
      <c r="A99" s="1100"/>
      <c r="B99" s="1086"/>
      <c r="C99" s="1086"/>
      <c r="D99" s="1086"/>
      <c r="E99" s="1086"/>
      <c r="F99" s="1086"/>
      <c r="G99" s="1086"/>
      <c r="H99" s="1086"/>
      <c r="I99" s="1086"/>
      <c r="J99" s="1086"/>
      <c r="K99" s="1086"/>
      <c r="L99" s="1086"/>
      <c r="M99" s="1086"/>
      <c r="N99" s="1086"/>
      <c r="O99" s="1086"/>
      <c r="P99" s="1086"/>
      <c r="Q99" s="1086"/>
      <c r="R99" s="1086"/>
      <c r="S99" s="1086"/>
      <c r="T99" s="1086"/>
      <c r="U99" s="1086"/>
      <c r="V99" s="1086"/>
      <c r="W99" s="1086"/>
      <c r="X99" s="1086"/>
      <c r="Y99" s="1086"/>
      <c r="Z99" s="1086"/>
      <c r="AA99" s="1086"/>
      <c r="AB99" s="1086"/>
    </row>
    <row r="100">
      <c r="A100" s="1100"/>
      <c r="B100" s="1086"/>
      <c r="C100" s="1086"/>
      <c r="D100" s="1086"/>
      <c r="E100" s="1086"/>
      <c r="F100" s="1086"/>
      <c r="G100" s="1086"/>
      <c r="H100" s="1086"/>
      <c r="I100" s="1086"/>
      <c r="J100" s="1086"/>
      <c r="K100" s="1086"/>
      <c r="L100" s="1086"/>
      <c r="M100" s="1086"/>
      <c r="N100" s="1086"/>
      <c r="O100" s="1086"/>
      <c r="P100" s="1086"/>
      <c r="Q100" s="1086"/>
      <c r="R100" s="1086"/>
      <c r="S100" s="1086"/>
      <c r="T100" s="1086"/>
      <c r="U100" s="1086"/>
      <c r="V100" s="1086"/>
      <c r="W100" s="1086"/>
      <c r="X100" s="1086"/>
      <c r="Y100" s="1086"/>
      <c r="Z100" s="1086"/>
      <c r="AA100" s="1086"/>
      <c r="AB100" s="1086"/>
    </row>
    <row r="101">
      <c r="A101" s="1100"/>
      <c r="B101" s="1086"/>
      <c r="C101" s="1086"/>
      <c r="D101" s="1086"/>
      <c r="E101" s="1086"/>
      <c r="F101" s="1086"/>
      <c r="G101" s="1086"/>
      <c r="H101" s="1086"/>
      <c r="I101" s="1086"/>
      <c r="J101" s="1086"/>
      <c r="K101" s="1086"/>
      <c r="L101" s="1086"/>
      <c r="M101" s="1086"/>
      <c r="N101" s="1086"/>
      <c r="O101" s="1086"/>
      <c r="P101" s="1086"/>
      <c r="Q101" s="1086"/>
      <c r="R101" s="1086"/>
      <c r="S101" s="1086"/>
      <c r="T101" s="1086"/>
      <c r="U101" s="1086"/>
      <c r="V101" s="1086"/>
      <c r="W101" s="1086"/>
      <c r="X101" s="1086"/>
      <c r="Y101" s="1086"/>
      <c r="Z101" s="1086"/>
      <c r="AA101" s="1086"/>
      <c r="AB101" s="1086"/>
    </row>
    <row r="102">
      <c r="A102" s="1100"/>
      <c r="B102" s="1086"/>
      <c r="C102" s="1086"/>
      <c r="D102" s="1086"/>
      <c r="E102" s="1086"/>
      <c r="F102" s="1086"/>
      <c r="G102" s="1086"/>
      <c r="H102" s="1086"/>
      <c r="I102" s="1086"/>
      <c r="J102" s="1086"/>
      <c r="K102" s="1086"/>
      <c r="L102" s="1086"/>
      <c r="M102" s="1086"/>
      <c r="N102" s="1086"/>
      <c r="O102" s="1086"/>
      <c r="P102" s="1086"/>
      <c r="Q102" s="1086"/>
      <c r="R102" s="1086"/>
      <c r="S102" s="1086"/>
      <c r="T102" s="1086"/>
      <c r="U102" s="1086"/>
      <c r="V102" s="1086"/>
      <c r="W102" s="1086"/>
      <c r="X102" s="1086"/>
      <c r="Y102" s="1086"/>
      <c r="Z102" s="1086"/>
      <c r="AA102" s="1086"/>
      <c r="AB102" s="1086"/>
    </row>
    <row r="103">
      <c r="A103" s="1100"/>
      <c r="B103" s="1086"/>
      <c r="C103" s="1086"/>
      <c r="D103" s="1086"/>
      <c r="E103" s="1086"/>
      <c r="F103" s="1086"/>
      <c r="G103" s="1086"/>
      <c r="H103" s="1086"/>
      <c r="I103" s="1086"/>
      <c r="J103" s="1086"/>
      <c r="K103" s="1086"/>
      <c r="L103" s="1086"/>
      <c r="M103" s="1086"/>
      <c r="N103" s="1086"/>
      <c r="O103" s="1086"/>
      <c r="P103" s="1086"/>
      <c r="Q103" s="1086"/>
      <c r="R103" s="1086"/>
      <c r="S103" s="1086"/>
      <c r="T103" s="1086"/>
      <c r="U103" s="1086"/>
      <c r="V103" s="1086"/>
      <c r="W103" s="1086"/>
      <c r="X103" s="1086"/>
      <c r="Y103" s="1086"/>
      <c r="Z103" s="1086"/>
      <c r="AA103" s="1086"/>
      <c r="AB103" s="1086"/>
    </row>
    <row r="104">
      <c r="A104" s="1100"/>
      <c r="B104" s="1086"/>
      <c r="C104" s="1086"/>
      <c r="D104" s="1086"/>
      <c r="E104" s="1086"/>
      <c r="F104" s="1086"/>
      <c r="G104" s="1086"/>
      <c r="H104" s="1086"/>
      <c r="I104" s="1086"/>
      <c r="J104" s="1086"/>
      <c r="K104" s="1086"/>
      <c r="L104" s="1086"/>
      <c r="M104" s="1086"/>
      <c r="N104" s="1086"/>
      <c r="O104" s="1086"/>
      <c r="P104" s="1086"/>
      <c r="Q104" s="1086"/>
      <c r="R104" s="1086"/>
      <c r="S104" s="1086"/>
      <c r="T104" s="1086"/>
      <c r="U104" s="1086"/>
      <c r="V104" s="1086"/>
      <c r="W104" s="1086"/>
      <c r="X104" s="1086"/>
      <c r="Y104" s="1086"/>
      <c r="Z104" s="1086"/>
      <c r="AA104" s="1086"/>
      <c r="AB104" s="1086"/>
    </row>
    <row r="105">
      <c r="A105" s="1100"/>
      <c r="B105" s="1086"/>
      <c r="C105" s="1086"/>
      <c r="D105" s="1086"/>
      <c r="E105" s="1086"/>
      <c r="F105" s="1086"/>
      <c r="G105" s="1086"/>
      <c r="H105" s="1086"/>
      <c r="I105" s="1086"/>
      <c r="J105" s="1086"/>
      <c r="K105" s="1086"/>
      <c r="L105" s="1086"/>
      <c r="M105" s="1086"/>
      <c r="N105" s="1086"/>
      <c r="O105" s="1086"/>
      <c r="P105" s="1086"/>
      <c r="Q105" s="1086"/>
      <c r="R105" s="1086"/>
      <c r="S105" s="1086"/>
      <c r="T105" s="1086"/>
      <c r="U105" s="1086"/>
      <c r="V105" s="1086"/>
      <c r="W105" s="1086"/>
      <c r="X105" s="1086"/>
      <c r="Y105" s="1086"/>
      <c r="Z105" s="1086"/>
      <c r="AA105" s="1086"/>
      <c r="AB105" s="1086"/>
    </row>
    <row r="106">
      <c r="A106" s="1100"/>
      <c r="B106" s="1086"/>
      <c r="C106" s="1086"/>
      <c r="D106" s="1086"/>
      <c r="E106" s="1086"/>
      <c r="F106" s="1086"/>
      <c r="G106" s="1086"/>
      <c r="H106" s="1086"/>
      <c r="I106" s="1086"/>
      <c r="J106" s="1086"/>
      <c r="K106" s="1086"/>
      <c r="L106" s="1086"/>
      <c r="M106" s="1086"/>
      <c r="N106" s="1086"/>
      <c r="O106" s="1086"/>
      <c r="P106" s="1086"/>
      <c r="Q106" s="1086"/>
      <c r="R106" s="1086"/>
      <c r="S106" s="1086"/>
      <c r="T106" s="1086"/>
      <c r="U106" s="1086"/>
      <c r="V106" s="1086"/>
      <c r="W106" s="1086"/>
      <c r="X106" s="1086"/>
      <c r="Y106" s="1086"/>
      <c r="Z106" s="1086"/>
      <c r="AA106" s="1086"/>
      <c r="AB106" s="1086"/>
    </row>
    <row r="107">
      <c r="A107" s="1100"/>
      <c r="B107" s="1086"/>
      <c r="C107" s="1086"/>
      <c r="D107" s="1086"/>
      <c r="E107" s="1086"/>
      <c r="F107" s="1086"/>
      <c r="G107" s="1086"/>
      <c r="H107" s="1086"/>
      <c r="I107" s="1086"/>
      <c r="J107" s="1086"/>
      <c r="K107" s="1086"/>
      <c r="L107" s="1086"/>
      <c r="M107" s="1086"/>
      <c r="N107" s="1086"/>
      <c r="O107" s="1086"/>
      <c r="P107" s="1086"/>
      <c r="Q107" s="1086"/>
      <c r="R107" s="1086"/>
      <c r="S107" s="1086"/>
      <c r="T107" s="1086"/>
      <c r="U107" s="1086"/>
      <c r="V107" s="1086"/>
      <c r="W107" s="1086"/>
      <c r="X107" s="1086"/>
      <c r="Y107" s="1086"/>
      <c r="Z107" s="1086"/>
      <c r="AA107" s="1086"/>
      <c r="AB107" s="1086"/>
    </row>
    <row r="108">
      <c r="A108" s="1100"/>
      <c r="B108" s="1086"/>
      <c r="C108" s="1086"/>
      <c r="D108" s="1086"/>
      <c r="E108" s="1086"/>
      <c r="F108" s="1086"/>
      <c r="G108" s="1086"/>
      <c r="H108" s="1086"/>
      <c r="I108" s="1086"/>
      <c r="J108" s="1086"/>
      <c r="K108" s="1086"/>
      <c r="L108" s="1086"/>
      <c r="M108" s="1086"/>
      <c r="N108" s="1086"/>
      <c r="O108" s="1086"/>
      <c r="P108" s="1086"/>
      <c r="Q108" s="1086"/>
      <c r="R108" s="1086"/>
      <c r="S108" s="1086"/>
      <c r="T108" s="1086"/>
      <c r="U108" s="1086"/>
      <c r="V108" s="1086"/>
      <c r="W108" s="1086"/>
      <c r="X108" s="1086"/>
      <c r="Y108" s="1086"/>
      <c r="Z108" s="1086"/>
      <c r="AA108" s="1086"/>
      <c r="AB108" s="1086"/>
    </row>
    <row r="109">
      <c r="A109" s="1100"/>
      <c r="B109" s="1086"/>
      <c r="C109" s="1086"/>
      <c r="D109" s="1086"/>
      <c r="E109" s="1086"/>
      <c r="F109" s="1086"/>
      <c r="G109" s="1086"/>
      <c r="H109" s="1086"/>
      <c r="I109" s="1086"/>
      <c r="J109" s="1086"/>
      <c r="K109" s="1086"/>
      <c r="L109" s="1086"/>
      <c r="M109" s="1086"/>
      <c r="N109" s="1086"/>
      <c r="O109" s="1086"/>
      <c r="P109" s="1086"/>
      <c r="Q109" s="1086"/>
      <c r="R109" s="1086"/>
      <c r="S109" s="1086"/>
      <c r="T109" s="1086"/>
      <c r="U109" s="1086"/>
      <c r="V109" s="1086"/>
      <c r="W109" s="1086"/>
      <c r="X109" s="1086"/>
      <c r="Y109" s="1086"/>
      <c r="Z109" s="1086"/>
      <c r="AA109" s="1086"/>
      <c r="AB109" s="1086"/>
    </row>
    <row r="110">
      <c r="A110" s="1100"/>
      <c r="B110" s="1086"/>
      <c r="C110" s="1086"/>
      <c r="D110" s="1086"/>
      <c r="E110" s="1086"/>
      <c r="F110" s="1086"/>
      <c r="G110" s="1086"/>
      <c r="H110" s="1086"/>
      <c r="I110" s="1086"/>
      <c r="J110" s="1086"/>
      <c r="K110" s="1086"/>
      <c r="L110" s="1086"/>
      <c r="M110" s="1086"/>
      <c r="N110" s="1086"/>
      <c r="O110" s="1086"/>
      <c r="P110" s="1086"/>
      <c r="Q110" s="1086"/>
      <c r="R110" s="1086"/>
      <c r="S110" s="1086"/>
      <c r="T110" s="1086"/>
      <c r="U110" s="1086"/>
      <c r="V110" s="1086"/>
      <c r="W110" s="1086"/>
      <c r="X110" s="1086"/>
      <c r="Y110" s="1086"/>
      <c r="Z110" s="1086"/>
      <c r="AA110" s="1086"/>
      <c r="AB110" s="1086"/>
    </row>
    <row r="111">
      <c r="A111" s="1100"/>
      <c r="B111" s="1086"/>
      <c r="C111" s="1086"/>
      <c r="D111" s="1086"/>
      <c r="E111" s="1086"/>
      <c r="F111" s="1086"/>
      <c r="G111" s="1086"/>
      <c r="H111" s="1086"/>
      <c r="I111" s="1086"/>
      <c r="J111" s="1086"/>
      <c r="K111" s="1086"/>
      <c r="L111" s="1086"/>
      <c r="M111" s="1086"/>
      <c r="N111" s="1086"/>
      <c r="O111" s="1086"/>
      <c r="P111" s="1086"/>
      <c r="Q111" s="1086"/>
      <c r="R111" s="1086"/>
      <c r="S111" s="1086"/>
      <c r="T111" s="1086"/>
      <c r="U111" s="1086"/>
      <c r="V111" s="1086"/>
      <c r="W111" s="1086"/>
      <c r="X111" s="1086"/>
      <c r="Y111" s="1086"/>
      <c r="Z111" s="1086"/>
      <c r="AA111" s="1086"/>
      <c r="AB111" s="1086"/>
    </row>
    <row r="112">
      <c r="A112" s="1100"/>
      <c r="B112" s="1086"/>
      <c r="C112" s="1086"/>
      <c r="D112" s="1086"/>
      <c r="E112" s="1086"/>
      <c r="F112" s="1086"/>
      <c r="G112" s="1086"/>
      <c r="H112" s="1086"/>
      <c r="I112" s="1086"/>
      <c r="J112" s="1086"/>
      <c r="K112" s="1086"/>
      <c r="L112" s="1086"/>
      <c r="M112" s="1086"/>
      <c r="N112" s="1086"/>
      <c r="O112" s="1086"/>
      <c r="P112" s="1086"/>
      <c r="Q112" s="1086"/>
      <c r="R112" s="1086"/>
      <c r="S112" s="1086"/>
      <c r="T112" s="1086"/>
      <c r="U112" s="1086"/>
      <c r="V112" s="1086"/>
      <c r="W112" s="1086"/>
      <c r="X112" s="1086"/>
      <c r="Y112" s="1086"/>
      <c r="Z112" s="1086"/>
      <c r="AA112" s="1086"/>
      <c r="AB112" s="1086"/>
    </row>
    <row r="113">
      <c r="A113" s="1100"/>
      <c r="B113" s="1086"/>
      <c r="C113" s="1086"/>
      <c r="D113" s="1086"/>
      <c r="E113" s="1086"/>
      <c r="F113" s="1086"/>
      <c r="G113" s="1086"/>
      <c r="H113" s="1086"/>
      <c r="I113" s="1086"/>
      <c r="J113" s="1086"/>
      <c r="K113" s="1086"/>
      <c r="L113" s="1086"/>
      <c r="M113" s="1086"/>
      <c r="N113" s="1086"/>
      <c r="O113" s="1086"/>
      <c r="P113" s="1086"/>
      <c r="Q113" s="1086"/>
      <c r="R113" s="1086"/>
      <c r="S113" s="1086"/>
      <c r="T113" s="1086"/>
      <c r="U113" s="1086"/>
      <c r="V113" s="1086"/>
      <c r="W113" s="1086"/>
      <c r="X113" s="1086"/>
      <c r="Y113" s="1086"/>
      <c r="Z113" s="1086"/>
      <c r="AA113" s="1086"/>
      <c r="AB113" s="1086"/>
    </row>
    <row r="114">
      <c r="A114" s="1100"/>
      <c r="B114" s="1086"/>
      <c r="C114" s="1086"/>
      <c r="D114" s="1086"/>
      <c r="E114" s="1086"/>
      <c r="F114" s="1086"/>
      <c r="G114" s="1086"/>
      <c r="H114" s="1086"/>
      <c r="I114" s="1086"/>
      <c r="J114" s="1086"/>
      <c r="K114" s="1086"/>
      <c r="L114" s="1086"/>
      <c r="M114" s="1086"/>
      <c r="N114" s="1086"/>
      <c r="O114" s="1086"/>
      <c r="P114" s="1086"/>
      <c r="Q114" s="1086"/>
      <c r="R114" s="1086"/>
      <c r="S114" s="1086"/>
      <c r="T114" s="1086"/>
      <c r="U114" s="1086"/>
      <c r="V114" s="1086"/>
      <c r="W114" s="1086"/>
      <c r="X114" s="1086"/>
      <c r="Y114" s="1086"/>
      <c r="Z114" s="1086"/>
      <c r="AA114" s="1086"/>
      <c r="AB114" s="1086"/>
    </row>
    <row r="115">
      <c r="A115" s="1100"/>
      <c r="B115" s="1086"/>
      <c r="C115" s="1086"/>
      <c r="D115" s="1086"/>
      <c r="E115" s="1086"/>
      <c r="F115" s="1086"/>
      <c r="G115" s="1086"/>
      <c r="H115" s="1086"/>
      <c r="I115" s="1086"/>
      <c r="J115" s="1086"/>
      <c r="K115" s="1086"/>
      <c r="L115" s="1086"/>
      <c r="M115" s="1086"/>
      <c r="N115" s="1086"/>
      <c r="O115" s="1086"/>
      <c r="P115" s="1086"/>
      <c r="Q115" s="1086"/>
      <c r="R115" s="1086"/>
      <c r="S115" s="1086"/>
      <c r="T115" s="1086"/>
      <c r="U115" s="1086"/>
      <c r="V115" s="1086"/>
      <c r="W115" s="1086"/>
      <c r="X115" s="1086"/>
      <c r="Y115" s="1086"/>
      <c r="Z115" s="1086"/>
      <c r="AA115" s="1086"/>
      <c r="AB115" s="1086"/>
    </row>
    <row r="116">
      <c r="A116" s="1100"/>
      <c r="B116" s="1086"/>
      <c r="C116" s="1086"/>
      <c r="D116" s="1086"/>
      <c r="E116" s="1086"/>
      <c r="F116" s="1086"/>
      <c r="G116" s="1086"/>
      <c r="H116" s="1086"/>
      <c r="I116" s="1086"/>
      <c r="J116" s="1086"/>
      <c r="K116" s="1086"/>
      <c r="L116" s="1086"/>
      <c r="M116" s="1086"/>
      <c r="N116" s="1086"/>
      <c r="O116" s="1086"/>
      <c r="P116" s="1086"/>
      <c r="Q116" s="1086"/>
      <c r="R116" s="1086"/>
      <c r="S116" s="1086"/>
      <c r="T116" s="1086"/>
      <c r="U116" s="1086"/>
      <c r="V116" s="1086"/>
      <c r="W116" s="1086"/>
      <c r="X116" s="1086"/>
      <c r="Y116" s="1086"/>
      <c r="Z116" s="1086"/>
      <c r="AA116" s="1086"/>
      <c r="AB116" s="1086"/>
    </row>
    <row r="117">
      <c r="A117" s="1100"/>
      <c r="B117" s="1086"/>
      <c r="C117" s="1086"/>
      <c r="D117" s="1086"/>
      <c r="E117" s="1086"/>
      <c r="F117" s="1086"/>
      <c r="G117" s="1086"/>
      <c r="H117" s="1086"/>
      <c r="I117" s="1086"/>
      <c r="J117" s="1086"/>
      <c r="K117" s="1086"/>
      <c r="L117" s="1086"/>
      <c r="M117" s="1086"/>
      <c r="N117" s="1086"/>
      <c r="O117" s="1086"/>
      <c r="P117" s="1086"/>
      <c r="Q117" s="1086"/>
      <c r="R117" s="1086"/>
      <c r="S117" s="1086"/>
      <c r="T117" s="1086"/>
      <c r="U117" s="1086"/>
      <c r="V117" s="1086"/>
      <c r="W117" s="1086"/>
      <c r="X117" s="1086"/>
      <c r="Y117" s="1086"/>
      <c r="Z117" s="1086"/>
      <c r="AA117" s="1086"/>
      <c r="AB117" s="1086"/>
    </row>
    <row r="118">
      <c r="A118" s="1100"/>
      <c r="B118" s="1086"/>
      <c r="C118" s="1086"/>
      <c r="D118" s="1086"/>
      <c r="E118" s="1086"/>
      <c r="F118" s="1086"/>
      <c r="G118" s="1086"/>
      <c r="H118" s="1086"/>
      <c r="I118" s="1086"/>
      <c r="J118" s="1086"/>
      <c r="K118" s="1086"/>
      <c r="L118" s="1086"/>
      <c r="M118" s="1086"/>
      <c r="N118" s="1086"/>
      <c r="O118" s="1086"/>
      <c r="P118" s="1086"/>
      <c r="Q118" s="1086"/>
      <c r="R118" s="1086"/>
      <c r="S118" s="1086"/>
      <c r="T118" s="1086"/>
      <c r="U118" s="1086"/>
      <c r="V118" s="1086"/>
      <c r="W118" s="1086"/>
      <c r="X118" s="1086"/>
      <c r="Y118" s="1086"/>
      <c r="Z118" s="1086"/>
      <c r="AA118" s="1086"/>
      <c r="AB118" s="1086"/>
    </row>
    <row r="119">
      <c r="A119" s="1100"/>
      <c r="B119" s="1086"/>
      <c r="C119" s="1086"/>
      <c r="D119" s="1086"/>
      <c r="E119" s="1086"/>
      <c r="F119" s="1086"/>
      <c r="G119" s="1086"/>
      <c r="H119" s="1086"/>
      <c r="I119" s="1086"/>
      <c r="J119" s="1086"/>
      <c r="K119" s="1086"/>
      <c r="L119" s="1086"/>
      <c r="M119" s="1086"/>
      <c r="N119" s="1086"/>
      <c r="O119" s="1086"/>
      <c r="P119" s="1086"/>
      <c r="Q119" s="1086"/>
      <c r="R119" s="1086"/>
      <c r="S119" s="1086"/>
      <c r="T119" s="1086"/>
      <c r="U119" s="1086"/>
      <c r="V119" s="1086"/>
      <c r="W119" s="1086"/>
      <c r="X119" s="1086"/>
      <c r="Y119" s="1086"/>
      <c r="Z119" s="1086"/>
      <c r="AA119" s="1086"/>
      <c r="AB119" s="1086"/>
    </row>
    <row r="120">
      <c r="A120" s="1100"/>
      <c r="B120" s="1086"/>
      <c r="C120" s="1086"/>
      <c r="D120" s="1086"/>
      <c r="E120" s="1086"/>
      <c r="F120" s="1086"/>
      <c r="G120" s="1086"/>
      <c r="H120" s="1086"/>
      <c r="I120" s="1086"/>
      <c r="J120" s="1086"/>
      <c r="K120" s="1086"/>
      <c r="L120" s="1086"/>
      <c r="M120" s="1086"/>
      <c r="N120" s="1086"/>
      <c r="O120" s="1086"/>
      <c r="P120" s="1086"/>
      <c r="Q120" s="1086"/>
      <c r="R120" s="1086"/>
      <c r="S120" s="1086"/>
      <c r="T120" s="1086"/>
      <c r="U120" s="1086"/>
      <c r="V120" s="1086"/>
      <c r="W120" s="1086"/>
      <c r="X120" s="1086"/>
      <c r="Y120" s="1086"/>
      <c r="Z120" s="1086"/>
      <c r="AA120" s="1086"/>
      <c r="AB120" s="1086"/>
    </row>
    <row r="121">
      <c r="A121" s="1100"/>
      <c r="B121" s="1086"/>
      <c r="C121" s="1086"/>
      <c r="D121" s="1086"/>
      <c r="E121" s="1086"/>
      <c r="F121" s="1086"/>
      <c r="G121" s="1086"/>
      <c r="H121" s="1086"/>
      <c r="I121" s="1086"/>
      <c r="J121" s="1086"/>
      <c r="K121" s="1086"/>
      <c r="L121" s="1086"/>
      <c r="M121" s="1086"/>
      <c r="N121" s="1086"/>
      <c r="O121" s="1086"/>
      <c r="P121" s="1086"/>
      <c r="Q121" s="1086"/>
      <c r="R121" s="1086"/>
      <c r="S121" s="1086"/>
      <c r="T121" s="1086"/>
      <c r="U121" s="1086"/>
      <c r="V121" s="1086"/>
      <c r="W121" s="1086"/>
      <c r="X121" s="1086"/>
      <c r="Y121" s="1086"/>
      <c r="Z121" s="1086"/>
      <c r="AA121" s="1086"/>
      <c r="AB121" s="1086"/>
    </row>
    <row r="122">
      <c r="A122" s="1100"/>
      <c r="B122" s="1086"/>
      <c r="C122" s="1086"/>
      <c r="D122" s="1086"/>
      <c r="E122" s="1086"/>
      <c r="F122" s="1086"/>
      <c r="G122" s="1086"/>
      <c r="H122" s="1086"/>
      <c r="I122" s="1086"/>
      <c r="J122" s="1086"/>
      <c r="K122" s="1086"/>
      <c r="L122" s="1086"/>
      <c r="M122" s="1086"/>
      <c r="N122" s="1086"/>
      <c r="O122" s="1086"/>
      <c r="P122" s="1086"/>
      <c r="Q122" s="1086"/>
      <c r="R122" s="1086"/>
      <c r="S122" s="1086"/>
      <c r="T122" s="1086"/>
      <c r="U122" s="1086"/>
      <c r="V122" s="1086"/>
      <c r="W122" s="1086"/>
      <c r="X122" s="1086"/>
      <c r="Y122" s="1086"/>
      <c r="Z122" s="1086"/>
      <c r="AA122" s="1086"/>
      <c r="AB122" s="1086"/>
    </row>
    <row r="123">
      <c r="A123" s="1100"/>
      <c r="B123" s="1086"/>
      <c r="C123" s="1086"/>
      <c r="D123" s="1086"/>
      <c r="E123" s="1086"/>
      <c r="F123" s="1086"/>
      <c r="G123" s="1086"/>
      <c r="H123" s="1086"/>
      <c r="I123" s="1086"/>
      <c r="J123" s="1086"/>
      <c r="K123" s="1086"/>
      <c r="L123" s="1086"/>
      <c r="M123" s="1086"/>
      <c r="N123" s="1086"/>
      <c r="O123" s="1086"/>
      <c r="P123" s="1086"/>
      <c r="Q123" s="1086"/>
      <c r="R123" s="1086"/>
      <c r="S123" s="1086"/>
      <c r="T123" s="1086"/>
      <c r="U123" s="1086"/>
      <c r="V123" s="1086"/>
      <c r="W123" s="1086"/>
      <c r="X123" s="1086"/>
      <c r="Y123" s="1086"/>
      <c r="Z123" s="1086"/>
      <c r="AA123" s="1086"/>
      <c r="AB123" s="1086"/>
    </row>
    <row r="124">
      <c r="A124" s="1100"/>
      <c r="B124" s="1086"/>
      <c r="C124" s="1086"/>
      <c r="D124" s="1086"/>
      <c r="E124" s="1086"/>
      <c r="F124" s="1086"/>
      <c r="G124" s="1086"/>
      <c r="H124" s="1086"/>
      <c r="I124" s="1086"/>
      <c r="J124" s="1086"/>
      <c r="K124" s="1086"/>
      <c r="L124" s="1086"/>
      <c r="M124" s="1086"/>
      <c r="N124" s="1086"/>
      <c r="O124" s="1086"/>
      <c r="P124" s="1086"/>
      <c r="Q124" s="1086"/>
      <c r="R124" s="1086"/>
      <c r="S124" s="1086"/>
      <c r="T124" s="1086"/>
      <c r="U124" s="1086"/>
      <c r="V124" s="1086"/>
      <c r="W124" s="1086"/>
      <c r="X124" s="1086"/>
      <c r="Y124" s="1086"/>
      <c r="Z124" s="1086"/>
      <c r="AA124" s="1086"/>
      <c r="AB124" s="1086"/>
    </row>
    <row r="125">
      <c r="A125" s="1100"/>
      <c r="B125" s="1086"/>
      <c r="C125" s="1086"/>
      <c r="D125" s="1086"/>
      <c r="E125" s="1086"/>
      <c r="F125" s="1086"/>
      <c r="G125" s="1086"/>
      <c r="H125" s="1086"/>
      <c r="I125" s="1086"/>
      <c r="J125" s="1086"/>
      <c r="K125" s="1086"/>
      <c r="L125" s="1086"/>
      <c r="M125" s="1086"/>
      <c r="N125" s="1086"/>
      <c r="O125" s="1086"/>
      <c r="P125" s="1086"/>
      <c r="Q125" s="1086"/>
      <c r="R125" s="1086"/>
      <c r="S125" s="1086"/>
      <c r="T125" s="1086"/>
      <c r="U125" s="1086"/>
      <c r="V125" s="1086"/>
      <c r="W125" s="1086"/>
      <c r="X125" s="1086"/>
      <c r="Y125" s="1086"/>
      <c r="Z125" s="1086"/>
      <c r="AA125" s="1086"/>
      <c r="AB125" s="1086"/>
    </row>
    <row r="126">
      <c r="A126" s="1100"/>
      <c r="B126" s="1086"/>
      <c r="C126" s="1086"/>
      <c r="D126" s="1086"/>
      <c r="E126" s="1086"/>
      <c r="F126" s="1086"/>
      <c r="G126" s="1086"/>
      <c r="H126" s="1086"/>
      <c r="I126" s="1086"/>
      <c r="J126" s="1086"/>
      <c r="K126" s="1086"/>
      <c r="L126" s="1086"/>
      <c r="M126" s="1086"/>
      <c r="N126" s="1086"/>
      <c r="O126" s="1086"/>
      <c r="P126" s="1086"/>
      <c r="Q126" s="1086"/>
      <c r="R126" s="1086"/>
      <c r="S126" s="1086"/>
      <c r="T126" s="1086"/>
      <c r="U126" s="1086"/>
      <c r="V126" s="1086"/>
      <c r="W126" s="1086"/>
      <c r="X126" s="1086"/>
      <c r="Y126" s="1086"/>
      <c r="Z126" s="1086"/>
      <c r="AA126" s="1086"/>
      <c r="AB126" s="1086"/>
    </row>
    <row r="127">
      <c r="A127" s="1100"/>
      <c r="B127" s="1086"/>
      <c r="C127" s="1086"/>
      <c r="D127" s="1086"/>
      <c r="E127" s="1086"/>
      <c r="F127" s="1086"/>
      <c r="G127" s="1086"/>
      <c r="H127" s="1086"/>
      <c r="I127" s="1086"/>
      <c r="J127" s="1086"/>
      <c r="K127" s="1086"/>
      <c r="L127" s="1086"/>
      <c r="M127" s="1086"/>
      <c r="N127" s="1086"/>
      <c r="O127" s="1086"/>
      <c r="P127" s="1086"/>
      <c r="Q127" s="1086"/>
      <c r="R127" s="1086"/>
      <c r="S127" s="1086"/>
      <c r="T127" s="1086"/>
      <c r="U127" s="1086"/>
      <c r="V127" s="1086"/>
      <c r="W127" s="1086"/>
      <c r="X127" s="1086"/>
      <c r="Y127" s="1086"/>
      <c r="Z127" s="1086"/>
      <c r="AA127" s="1086"/>
      <c r="AB127" s="1086"/>
    </row>
    <row r="128">
      <c r="A128" s="1100"/>
      <c r="B128" s="1086"/>
      <c r="C128" s="1086"/>
      <c r="D128" s="1086"/>
      <c r="E128" s="1086"/>
      <c r="F128" s="1086"/>
      <c r="G128" s="1086"/>
      <c r="H128" s="1086"/>
      <c r="I128" s="1086"/>
      <c r="J128" s="1086"/>
      <c r="K128" s="1086"/>
      <c r="L128" s="1086"/>
      <c r="M128" s="1086"/>
      <c r="N128" s="1086"/>
      <c r="O128" s="1086"/>
      <c r="P128" s="1086"/>
      <c r="Q128" s="1086"/>
      <c r="R128" s="1086"/>
      <c r="S128" s="1086"/>
      <c r="T128" s="1086"/>
      <c r="U128" s="1086"/>
      <c r="V128" s="1086"/>
      <c r="W128" s="1086"/>
      <c r="X128" s="1086"/>
      <c r="Y128" s="1086"/>
      <c r="Z128" s="1086"/>
      <c r="AA128" s="1086"/>
      <c r="AB128" s="1086"/>
    </row>
    <row r="129">
      <c r="A129" s="1100"/>
      <c r="B129" s="1086"/>
      <c r="C129" s="1086"/>
      <c r="D129" s="1086"/>
      <c r="E129" s="1086"/>
      <c r="F129" s="1086"/>
      <c r="G129" s="1086"/>
      <c r="H129" s="1086"/>
      <c r="I129" s="1086"/>
      <c r="J129" s="1086"/>
      <c r="K129" s="1086"/>
      <c r="L129" s="1086"/>
      <c r="M129" s="1086"/>
      <c r="N129" s="1086"/>
      <c r="O129" s="1086"/>
      <c r="P129" s="1086"/>
      <c r="Q129" s="1086"/>
      <c r="R129" s="1086"/>
      <c r="S129" s="1086"/>
      <c r="T129" s="1086"/>
      <c r="U129" s="1086"/>
      <c r="V129" s="1086"/>
      <c r="W129" s="1086"/>
      <c r="X129" s="1086"/>
      <c r="Y129" s="1086"/>
      <c r="Z129" s="1086"/>
      <c r="AA129" s="1086"/>
      <c r="AB129" s="1086"/>
    </row>
    <row r="130">
      <c r="A130" s="1100"/>
      <c r="B130" s="1086"/>
      <c r="C130" s="1086"/>
      <c r="D130" s="1086"/>
      <c r="E130" s="1086"/>
      <c r="F130" s="1086"/>
      <c r="G130" s="1086"/>
      <c r="H130" s="1086"/>
      <c r="I130" s="1086"/>
      <c r="J130" s="1086"/>
      <c r="K130" s="1086"/>
      <c r="L130" s="1086"/>
      <c r="M130" s="1086"/>
      <c r="N130" s="1086"/>
      <c r="O130" s="1086"/>
      <c r="P130" s="1086"/>
      <c r="Q130" s="1086"/>
      <c r="R130" s="1086"/>
      <c r="S130" s="1086"/>
      <c r="T130" s="1086"/>
      <c r="U130" s="1086"/>
      <c r="V130" s="1086"/>
      <c r="W130" s="1086"/>
      <c r="X130" s="1086"/>
      <c r="Y130" s="1086"/>
      <c r="Z130" s="1086"/>
      <c r="AA130" s="1086"/>
      <c r="AB130" s="1086"/>
    </row>
    <row r="131">
      <c r="A131" s="1100"/>
      <c r="B131" s="1086"/>
      <c r="C131" s="1086"/>
      <c r="D131" s="1086"/>
      <c r="E131" s="1086"/>
      <c r="F131" s="1086"/>
      <c r="G131" s="1086"/>
      <c r="H131" s="1086"/>
      <c r="I131" s="1086"/>
      <c r="J131" s="1086"/>
      <c r="K131" s="1086"/>
      <c r="L131" s="1086"/>
      <c r="M131" s="1086"/>
      <c r="N131" s="1086"/>
      <c r="O131" s="1086"/>
      <c r="P131" s="1086"/>
      <c r="Q131" s="1086"/>
      <c r="R131" s="1086"/>
      <c r="S131" s="1086"/>
      <c r="T131" s="1086"/>
      <c r="U131" s="1086"/>
      <c r="V131" s="1086"/>
      <c r="W131" s="1086"/>
      <c r="X131" s="1086"/>
      <c r="Y131" s="1086"/>
      <c r="Z131" s="1086"/>
      <c r="AA131" s="1086"/>
      <c r="AB131" s="1086"/>
    </row>
    <row r="132">
      <c r="A132" s="1100"/>
      <c r="B132" s="1086"/>
      <c r="C132" s="1086"/>
      <c r="D132" s="1086"/>
      <c r="E132" s="1086"/>
      <c r="F132" s="1086"/>
      <c r="G132" s="1086"/>
      <c r="H132" s="1086"/>
      <c r="I132" s="1086"/>
      <c r="J132" s="1086"/>
      <c r="K132" s="1086"/>
      <c r="L132" s="1086"/>
      <c r="M132" s="1086"/>
      <c r="N132" s="1086"/>
      <c r="O132" s="1086"/>
      <c r="P132" s="1086"/>
      <c r="Q132" s="1086"/>
      <c r="R132" s="1086"/>
      <c r="S132" s="1086"/>
      <c r="T132" s="1086"/>
      <c r="U132" s="1086"/>
      <c r="V132" s="1086"/>
      <c r="W132" s="1086"/>
      <c r="X132" s="1086"/>
      <c r="Y132" s="1086"/>
      <c r="Z132" s="1086"/>
      <c r="AA132" s="1086"/>
      <c r="AB132" s="1086"/>
    </row>
    <row r="133">
      <c r="A133" s="1100"/>
      <c r="B133" s="1086"/>
      <c r="C133" s="1086"/>
      <c r="D133" s="1086"/>
      <c r="E133" s="1086"/>
      <c r="F133" s="1086"/>
      <c r="G133" s="1086"/>
      <c r="H133" s="1086"/>
      <c r="I133" s="1086"/>
      <c r="J133" s="1086"/>
      <c r="K133" s="1086"/>
      <c r="L133" s="1086"/>
      <c r="M133" s="1086"/>
      <c r="N133" s="1086"/>
      <c r="O133" s="1086"/>
      <c r="P133" s="1086"/>
      <c r="Q133" s="1086"/>
      <c r="R133" s="1086"/>
      <c r="S133" s="1086"/>
      <c r="T133" s="1086"/>
      <c r="U133" s="1086"/>
      <c r="V133" s="1086"/>
      <c r="W133" s="1086"/>
      <c r="X133" s="1086"/>
      <c r="Y133" s="1086"/>
      <c r="Z133" s="1086"/>
      <c r="AA133" s="1086"/>
      <c r="AB133" s="1086"/>
    </row>
    <row r="134">
      <c r="A134" s="1100"/>
      <c r="B134" s="1086"/>
      <c r="C134" s="1086"/>
      <c r="D134" s="1086"/>
      <c r="E134" s="1086"/>
      <c r="F134" s="1086"/>
      <c r="G134" s="1086"/>
      <c r="H134" s="1086"/>
      <c r="I134" s="1086"/>
      <c r="J134" s="1086"/>
      <c r="K134" s="1086"/>
      <c r="L134" s="1086"/>
      <c r="M134" s="1086"/>
      <c r="N134" s="1086"/>
      <c r="O134" s="1086"/>
      <c r="P134" s="1086"/>
      <c r="Q134" s="1086"/>
      <c r="R134" s="1086"/>
      <c r="S134" s="1086"/>
      <c r="T134" s="1086"/>
      <c r="U134" s="1086"/>
      <c r="V134" s="1086"/>
      <c r="W134" s="1086"/>
      <c r="X134" s="1086"/>
      <c r="Y134" s="1086"/>
      <c r="Z134" s="1086"/>
      <c r="AA134" s="1086"/>
      <c r="AB134" s="1086"/>
    </row>
    <row r="135">
      <c r="A135" s="1100"/>
      <c r="B135" s="1086"/>
      <c r="C135" s="1086"/>
      <c r="D135" s="1086"/>
      <c r="E135" s="1086"/>
      <c r="F135" s="1086"/>
      <c r="G135" s="1086"/>
      <c r="H135" s="1086"/>
      <c r="I135" s="1086"/>
      <c r="J135" s="1086"/>
      <c r="K135" s="1086"/>
      <c r="L135" s="1086"/>
      <c r="M135" s="1086"/>
      <c r="N135" s="1086"/>
      <c r="O135" s="1086"/>
      <c r="P135" s="1086"/>
      <c r="Q135" s="1086"/>
      <c r="R135" s="1086"/>
      <c r="S135" s="1086"/>
      <c r="T135" s="1086"/>
      <c r="U135" s="1086"/>
      <c r="V135" s="1086"/>
      <c r="W135" s="1086"/>
      <c r="X135" s="1086"/>
      <c r="Y135" s="1086"/>
      <c r="Z135" s="1086"/>
      <c r="AA135" s="1086"/>
      <c r="AB135" s="1086"/>
    </row>
    <row r="136">
      <c r="A136" s="1100"/>
      <c r="B136" s="1086"/>
      <c r="C136" s="1086"/>
      <c r="D136" s="1086"/>
      <c r="E136" s="1086"/>
      <c r="F136" s="1086"/>
      <c r="G136" s="1086"/>
      <c r="H136" s="1086"/>
      <c r="I136" s="1086"/>
      <c r="J136" s="1086"/>
      <c r="K136" s="1086"/>
      <c r="L136" s="1086"/>
      <c r="M136" s="1086"/>
      <c r="N136" s="1086"/>
      <c r="O136" s="1086"/>
      <c r="P136" s="1086"/>
      <c r="Q136" s="1086"/>
      <c r="R136" s="1086"/>
      <c r="S136" s="1086"/>
      <c r="T136" s="1086"/>
      <c r="U136" s="1086"/>
      <c r="V136" s="1086"/>
      <c r="W136" s="1086"/>
      <c r="X136" s="1086"/>
      <c r="Y136" s="1086"/>
      <c r="Z136" s="1086"/>
      <c r="AA136" s="1086"/>
      <c r="AB136" s="1086"/>
    </row>
    <row r="137">
      <c r="A137" s="1100"/>
      <c r="B137" s="1086"/>
      <c r="C137" s="1086"/>
      <c r="D137" s="1086"/>
      <c r="E137" s="1086"/>
      <c r="F137" s="1086"/>
      <c r="G137" s="1086"/>
      <c r="H137" s="1086"/>
      <c r="I137" s="1086"/>
      <c r="J137" s="1086"/>
      <c r="K137" s="1086"/>
      <c r="L137" s="1086"/>
      <c r="M137" s="1086"/>
      <c r="N137" s="1086"/>
      <c r="O137" s="1086"/>
      <c r="P137" s="1086"/>
      <c r="Q137" s="1086"/>
      <c r="R137" s="1086"/>
      <c r="S137" s="1086"/>
      <c r="T137" s="1086"/>
      <c r="U137" s="1086"/>
      <c r="V137" s="1086"/>
      <c r="W137" s="1086"/>
      <c r="X137" s="1086"/>
      <c r="Y137" s="1086"/>
      <c r="Z137" s="1086"/>
      <c r="AA137" s="1086"/>
      <c r="AB137" s="1086"/>
    </row>
    <row r="138">
      <c r="A138" s="1100"/>
      <c r="B138" s="1086"/>
      <c r="C138" s="1086"/>
      <c r="D138" s="1086"/>
      <c r="E138" s="1086"/>
      <c r="F138" s="1086"/>
      <c r="G138" s="1086"/>
      <c r="H138" s="1086"/>
      <c r="I138" s="1086"/>
      <c r="J138" s="1086"/>
      <c r="K138" s="1086"/>
      <c r="L138" s="1086"/>
      <c r="M138" s="1086"/>
      <c r="N138" s="1086"/>
      <c r="O138" s="1086"/>
      <c r="P138" s="1086"/>
      <c r="Q138" s="1086"/>
      <c r="R138" s="1086"/>
      <c r="S138" s="1086"/>
      <c r="T138" s="1086"/>
      <c r="U138" s="1086"/>
      <c r="V138" s="1086"/>
      <c r="W138" s="1086"/>
      <c r="X138" s="1086"/>
      <c r="Y138" s="1086"/>
      <c r="Z138" s="1086"/>
      <c r="AA138" s="1086"/>
      <c r="AB138" s="1086"/>
    </row>
    <row r="139">
      <c r="A139" s="1100"/>
      <c r="B139" s="1086"/>
      <c r="C139" s="1086"/>
      <c r="D139" s="1086"/>
      <c r="E139" s="1086"/>
      <c r="F139" s="1086"/>
      <c r="G139" s="1086"/>
      <c r="H139" s="1086"/>
      <c r="I139" s="1086"/>
      <c r="J139" s="1086"/>
      <c r="K139" s="1086"/>
      <c r="L139" s="1086"/>
      <c r="M139" s="1086"/>
      <c r="N139" s="1086"/>
      <c r="O139" s="1086"/>
      <c r="P139" s="1086"/>
      <c r="Q139" s="1086"/>
      <c r="R139" s="1086"/>
      <c r="S139" s="1086"/>
      <c r="T139" s="1086"/>
      <c r="U139" s="1086"/>
      <c r="V139" s="1086"/>
      <c r="W139" s="1086"/>
      <c r="X139" s="1086"/>
      <c r="Y139" s="1086"/>
      <c r="Z139" s="1086"/>
      <c r="AA139" s="1086"/>
      <c r="AB139" s="1086"/>
    </row>
    <row r="140">
      <c r="A140" s="1100"/>
      <c r="B140" s="1086"/>
      <c r="C140" s="1086"/>
      <c r="D140" s="1086"/>
      <c r="E140" s="1086"/>
      <c r="F140" s="1086"/>
      <c r="G140" s="1086"/>
      <c r="H140" s="1086"/>
      <c r="I140" s="1086"/>
      <c r="J140" s="1086"/>
      <c r="K140" s="1086"/>
      <c r="L140" s="1086"/>
      <c r="M140" s="1086"/>
      <c r="N140" s="1086"/>
      <c r="O140" s="1086"/>
      <c r="P140" s="1086"/>
      <c r="Q140" s="1086"/>
      <c r="R140" s="1086"/>
      <c r="S140" s="1086"/>
      <c r="T140" s="1086"/>
      <c r="U140" s="1086"/>
      <c r="V140" s="1086"/>
      <c r="W140" s="1086"/>
      <c r="X140" s="1086"/>
      <c r="Y140" s="1086"/>
      <c r="Z140" s="1086"/>
      <c r="AA140" s="1086"/>
      <c r="AB140" s="1086"/>
    </row>
    <row r="141">
      <c r="A141" s="1100"/>
      <c r="B141" s="1086"/>
      <c r="C141" s="1086"/>
      <c r="D141" s="1086"/>
      <c r="E141" s="1086"/>
      <c r="F141" s="1086"/>
      <c r="G141" s="1086"/>
      <c r="H141" s="1086"/>
      <c r="I141" s="1086"/>
      <c r="J141" s="1086"/>
      <c r="K141" s="1086"/>
      <c r="L141" s="1086"/>
      <c r="M141" s="1086"/>
      <c r="N141" s="1086"/>
      <c r="O141" s="1086"/>
      <c r="P141" s="1086"/>
      <c r="Q141" s="1086"/>
      <c r="R141" s="1086"/>
      <c r="S141" s="1086"/>
      <c r="T141" s="1086"/>
      <c r="U141" s="1086"/>
      <c r="V141" s="1086"/>
      <c r="W141" s="1086"/>
      <c r="X141" s="1086"/>
      <c r="Y141" s="1086"/>
      <c r="Z141" s="1086"/>
      <c r="AA141" s="1086"/>
      <c r="AB141" s="1086"/>
    </row>
    <row r="142">
      <c r="A142" s="1100"/>
      <c r="B142" s="1086"/>
      <c r="C142" s="1086"/>
      <c r="D142" s="1086"/>
      <c r="E142" s="1086"/>
      <c r="F142" s="1086"/>
      <c r="G142" s="1086"/>
      <c r="H142" s="1086"/>
      <c r="I142" s="1086"/>
      <c r="J142" s="1086"/>
      <c r="K142" s="1086"/>
      <c r="L142" s="1086"/>
      <c r="M142" s="1086"/>
      <c r="N142" s="1086"/>
      <c r="O142" s="1086"/>
      <c r="P142" s="1086"/>
      <c r="Q142" s="1086"/>
      <c r="R142" s="1086"/>
      <c r="S142" s="1086"/>
      <c r="T142" s="1086"/>
      <c r="U142" s="1086"/>
      <c r="V142" s="1086"/>
      <c r="W142" s="1086"/>
      <c r="X142" s="1086"/>
      <c r="Y142" s="1086"/>
      <c r="Z142" s="1086"/>
      <c r="AA142" s="1086"/>
      <c r="AB142" s="1086"/>
    </row>
    <row r="143">
      <c r="A143" s="1100"/>
      <c r="B143" s="1086"/>
      <c r="C143" s="1086"/>
      <c r="D143" s="1086"/>
      <c r="E143" s="1086"/>
      <c r="F143" s="1086"/>
      <c r="G143" s="1086"/>
      <c r="H143" s="1086"/>
      <c r="I143" s="1086"/>
      <c r="J143" s="1086"/>
      <c r="K143" s="1086"/>
      <c r="L143" s="1086"/>
      <c r="M143" s="1086"/>
      <c r="N143" s="1086"/>
      <c r="O143" s="1086"/>
      <c r="P143" s="1086"/>
      <c r="Q143" s="1086"/>
      <c r="R143" s="1086"/>
      <c r="S143" s="1086"/>
      <c r="T143" s="1086"/>
      <c r="U143" s="1086"/>
      <c r="V143" s="1086"/>
      <c r="W143" s="1086"/>
      <c r="X143" s="1086"/>
      <c r="Y143" s="1086"/>
      <c r="Z143" s="1086"/>
      <c r="AA143" s="1086"/>
      <c r="AB143" s="1086"/>
    </row>
    <row r="144">
      <c r="A144" s="1100"/>
      <c r="B144" s="1086"/>
      <c r="C144" s="1086"/>
      <c r="D144" s="1086"/>
      <c r="E144" s="1086"/>
      <c r="F144" s="1086"/>
      <c r="G144" s="1086"/>
      <c r="H144" s="1086"/>
      <c r="I144" s="1086"/>
      <c r="J144" s="1086"/>
      <c r="K144" s="1086"/>
      <c r="L144" s="1086"/>
      <c r="M144" s="1086"/>
      <c r="N144" s="1086"/>
      <c r="O144" s="1086"/>
      <c r="P144" s="1086"/>
      <c r="Q144" s="1086"/>
      <c r="R144" s="1086"/>
      <c r="S144" s="1086"/>
      <c r="T144" s="1086"/>
      <c r="U144" s="1086"/>
      <c r="V144" s="1086"/>
      <c r="W144" s="1086"/>
      <c r="X144" s="1086"/>
      <c r="Y144" s="1086"/>
      <c r="Z144" s="1086"/>
      <c r="AA144" s="1086"/>
      <c r="AB144" s="1086"/>
    </row>
    <row r="145">
      <c r="A145" s="1100"/>
      <c r="B145" s="1086"/>
      <c r="C145" s="1086"/>
      <c r="D145" s="1086"/>
      <c r="E145" s="1086"/>
      <c r="F145" s="1086"/>
      <c r="G145" s="1086"/>
      <c r="H145" s="1086"/>
      <c r="I145" s="1086"/>
      <c r="J145" s="1086"/>
      <c r="K145" s="1086"/>
      <c r="L145" s="1086"/>
      <c r="M145" s="1086"/>
      <c r="N145" s="1086"/>
      <c r="O145" s="1086"/>
      <c r="P145" s="1086"/>
      <c r="Q145" s="1086"/>
      <c r="R145" s="1086"/>
      <c r="S145" s="1086"/>
      <c r="T145" s="1086"/>
      <c r="U145" s="1086"/>
      <c r="V145" s="1086"/>
      <c r="W145" s="1086"/>
      <c r="X145" s="1086"/>
      <c r="Y145" s="1086"/>
      <c r="Z145" s="1086"/>
      <c r="AA145" s="1086"/>
      <c r="AB145" s="1086"/>
    </row>
    <row r="146">
      <c r="A146" s="1100"/>
      <c r="B146" s="1086"/>
      <c r="C146" s="1086"/>
      <c r="D146" s="1086"/>
      <c r="E146" s="1086"/>
      <c r="F146" s="1086"/>
      <c r="G146" s="1086"/>
      <c r="H146" s="1086"/>
      <c r="I146" s="1086"/>
      <c r="J146" s="1086"/>
      <c r="K146" s="1086"/>
      <c r="L146" s="1086"/>
      <c r="M146" s="1086"/>
      <c r="N146" s="1086"/>
      <c r="O146" s="1086"/>
      <c r="P146" s="1086"/>
      <c r="Q146" s="1086"/>
      <c r="R146" s="1086"/>
      <c r="S146" s="1086"/>
      <c r="T146" s="1086"/>
      <c r="U146" s="1086"/>
      <c r="V146" s="1086"/>
      <c r="W146" s="1086"/>
      <c r="X146" s="1086"/>
      <c r="Y146" s="1086"/>
      <c r="Z146" s="1086"/>
      <c r="AA146" s="1086"/>
      <c r="AB146" s="1086"/>
    </row>
    <row r="147">
      <c r="A147" s="1100"/>
      <c r="B147" s="1086"/>
      <c r="C147" s="1086"/>
      <c r="D147" s="1086"/>
      <c r="E147" s="1086"/>
      <c r="F147" s="1086"/>
      <c r="G147" s="1086"/>
      <c r="H147" s="1086"/>
      <c r="I147" s="1086"/>
      <c r="J147" s="1086"/>
      <c r="K147" s="1086"/>
      <c r="L147" s="1086"/>
      <c r="M147" s="1086"/>
      <c r="N147" s="1086"/>
      <c r="O147" s="1086"/>
      <c r="P147" s="1086"/>
      <c r="Q147" s="1086"/>
      <c r="R147" s="1086"/>
      <c r="S147" s="1086"/>
      <c r="T147" s="1086"/>
      <c r="U147" s="1086"/>
      <c r="V147" s="1086"/>
      <c r="W147" s="1086"/>
      <c r="X147" s="1086"/>
      <c r="Y147" s="1086"/>
      <c r="Z147" s="1086"/>
      <c r="AA147" s="1086"/>
      <c r="AB147" s="1086"/>
    </row>
    <row r="148">
      <c r="A148" s="1100"/>
      <c r="B148" s="1086"/>
      <c r="C148" s="1086"/>
      <c r="D148" s="1086"/>
      <c r="E148" s="1086"/>
      <c r="F148" s="1086"/>
      <c r="G148" s="1086"/>
      <c r="H148" s="1086"/>
      <c r="I148" s="1086"/>
      <c r="J148" s="1086"/>
      <c r="K148" s="1086"/>
      <c r="L148" s="1086"/>
      <c r="M148" s="1086"/>
      <c r="N148" s="1086"/>
      <c r="O148" s="1086"/>
      <c r="P148" s="1086"/>
      <c r="Q148" s="1086"/>
      <c r="R148" s="1086"/>
      <c r="S148" s="1086"/>
      <c r="T148" s="1086"/>
      <c r="U148" s="1086"/>
      <c r="V148" s="1086"/>
      <c r="W148" s="1086"/>
      <c r="X148" s="1086"/>
      <c r="Y148" s="1086"/>
      <c r="Z148" s="1086"/>
      <c r="AA148" s="1086"/>
      <c r="AB148" s="1086"/>
    </row>
    <row r="149">
      <c r="A149" s="1100"/>
      <c r="B149" s="1086"/>
      <c r="C149" s="1086"/>
      <c r="D149" s="1086"/>
      <c r="E149" s="1086"/>
      <c r="F149" s="1086"/>
      <c r="G149" s="1086"/>
      <c r="H149" s="1086"/>
      <c r="I149" s="1086"/>
      <c r="J149" s="1086"/>
      <c r="K149" s="1086"/>
      <c r="L149" s="1086"/>
      <c r="M149" s="1086"/>
      <c r="N149" s="1086"/>
      <c r="O149" s="1086"/>
      <c r="P149" s="1086"/>
      <c r="Q149" s="1086"/>
      <c r="R149" s="1086"/>
      <c r="S149" s="1086"/>
      <c r="T149" s="1086"/>
      <c r="U149" s="1086"/>
      <c r="V149" s="1086"/>
      <c r="W149" s="1086"/>
      <c r="X149" s="1086"/>
      <c r="Y149" s="1086"/>
      <c r="Z149" s="1086"/>
      <c r="AA149" s="1086"/>
      <c r="AB149" s="1086"/>
    </row>
    <row r="150">
      <c r="A150" s="1100"/>
      <c r="B150" s="1086"/>
      <c r="C150" s="1086"/>
      <c r="D150" s="1086"/>
      <c r="E150" s="1086"/>
      <c r="F150" s="1086"/>
      <c r="G150" s="1086"/>
      <c r="H150" s="1086"/>
      <c r="I150" s="1086"/>
      <c r="J150" s="1086"/>
      <c r="K150" s="1086"/>
      <c r="L150" s="1086"/>
      <c r="M150" s="1086"/>
      <c r="N150" s="1086"/>
      <c r="O150" s="1086"/>
      <c r="P150" s="1086"/>
      <c r="Q150" s="1086"/>
      <c r="R150" s="1086"/>
      <c r="S150" s="1086"/>
      <c r="T150" s="1086"/>
      <c r="U150" s="1086"/>
      <c r="V150" s="1086"/>
      <c r="W150" s="1086"/>
      <c r="X150" s="1086"/>
      <c r="Y150" s="1086"/>
      <c r="Z150" s="1086"/>
      <c r="AA150" s="1086"/>
      <c r="AB150" s="1086"/>
    </row>
    <row r="151">
      <c r="A151" s="1100"/>
      <c r="B151" s="1086"/>
      <c r="C151" s="1086"/>
      <c r="D151" s="1086"/>
      <c r="E151" s="1086"/>
      <c r="F151" s="1086"/>
      <c r="G151" s="1086"/>
      <c r="H151" s="1086"/>
      <c r="I151" s="1086"/>
      <c r="J151" s="1086"/>
      <c r="K151" s="1086"/>
      <c r="L151" s="1086"/>
      <c r="M151" s="1086"/>
      <c r="N151" s="1086"/>
      <c r="O151" s="1086"/>
      <c r="P151" s="1086"/>
      <c r="Q151" s="1086"/>
      <c r="R151" s="1086"/>
      <c r="S151" s="1086"/>
      <c r="T151" s="1086"/>
      <c r="U151" s="1086"/>
      <c r="V151" s="1086"/>
      <c r="W151" s="1086"/>
      <c r="X151" s="1086"/>
      <c r="Y151" s="1086"/>
      <c r="Z151" s="1086"/>
      <c r="AA151" s="1086"/>
      <c r="AB151" s="1086"/>
    </row>
    <row r="152">
      <c r="A152" s="1100"/>
      <c r="B152" s="1086"/>
      <c r="C152" s="1086"/>
      <c r="D152" s="1086"/>
      <c r="E152" s="1086"/>
      <c r="F152" s="1086"/>
      <c r="G152" s="1086"/>
      <c r="H152" s="1086"/>
      <c r="I152" s="1086"/>
      <c r="J152" s="1086"/>
      <c r="K152" s="1086"/>
      <c r="L152" s="1086"/>
      <c r="M152" s="1086"/>
      <c r="N152" s="1086"/>
      <c r="O152" s="1086"/>
      <c r="P152" s="1086"/>
      <c r="Q152" s="1086"/>
      <c r="R152" s="1086"/>
      <c r="S152" s="1086"/>
      <c r="T152" s="1086"/>
      <c r="U152" s="1086"/>
      <c r="V152" s="1086"/>
      <c r="W152" s="1086"/>
      <c r="X152" s="1086"/>
      <c r="Y152" s="1086"/>
      <c r="Z152" s="1086"/>
      <c r="AA152" s="1086"/>
      <c r="AB152" s="1086"/>
    </row>
    <row r="153">
      <c r="A153" s="1100"/>
      <c r="B153" s="1086"/>
      <c r="C153" s="1086"/>
      <c r="D153" s="1086"/>
      <c r="E153" s="1086"/>
      <c r="F153" s="1086"/>
      <c r="G153" s="1086"/>
      <c r="H153" s="1086"/>
      <c r="I153" s="1086"/>
      <c r="J153" s="1086"/>
      <c r="K153" s="1086"/>
      <c r="L153" s="1086"/>
      <c r="M153" s="1086"/>
      <c r="N153" s="1086"/>
      <c r="O153" s="1086"/>
      <c r="P153" s="1086"/>
      <c r="Q153" s="1086"/>
      <c r="R153" s="1086"/>
      <c r="S153" s="1086"/>
      <c r="T153" s="1086"/>
      <c r="U153" s="1086"/>
      <c r="V153" s="1086"/>
      <c r="W153" s="1086"/>
      <c r="X153" s="1086"/>
      <c r="Y153" s="1086"/>
      <c r="Z153" s="1086"/>
      <c r="AA153" s="1086"/>
      <c r="AB153" s="1086"/>
    </row>
    <row r="154">
      <c r="A154" s="1100"/>
      <c r="B154" s="1086"/>
      <c r="C154" s="1086"/>
      <c r="D154" s="1086"/>
      <c r="E154" s="1086"/>
      <c r="F154" s="1086"/>
      <c r="G154" s="1086"/>
      <c r="H154" s="1086"/>
      <c r="I154" s="1086"/>
      <c r="J154" s="1086"/>
      <c r="K154" s="1086"/>
      <c r="L154" s="1086"/>
      <c r="M154" s="1086"/>
      <c r="N154" s="1086"/>
      <c r="O154" s="1086"/>
      <c r="P154" s="1086"/>
      <c r="Q154" s="1086"/>
      <c r="R154" s="1086"/>
      <c r="S154" s="1086"/>
      <c r="T154" s="1086"/>
      <c r="U154" s="1086"/>
      <c r="V154" s="1086"/>
      <c r="W154" s="1086"/>
      <c r="X154" s="1086"/>
      <c r="Y154" s="1086"/>
      <c r="Z154" s="1086"/>
      <c r="AA154" s="1086"/>
      <c r="AB154" s="1086"/>
    </row>
    <row r="155">
      <c r="A155" s="1100"/>
      <c r="B155" s="1086"/>
      <c r="C155" s="1086"/>
      <c r="D155" s="1086"/>
      <c r="E155" s="1086"/>
      <c r="F155" s="1086"/>
      <c r="G155" s="1086"/>
      <c r="H155" s="1086"/>
      <c r="I155" s="1086"/>
      <c r="J155" s="1086"/>
      <c r="K155" s="1086"/>
      <c r="L155" s="1086"/>
      <c r="M155" s="1086"/>
      <c r="N155" s="1086"/>
      <c r="O155" s="1086"/>
      <c r="P155" s="1086"/>
      <c r="Q155" s="1086"/>
      <c r="R155" s="1086"/>
      <c r="S155" s="1086"/>
      <c r="T155" s="1086"/>
      <c r="U155" s="1086"/>
      <c r="V155" s="1086"/>
      <c r="W155" s="1086"/>
      <c r="X155" s="1086"/>
      <c r="Y155" s="1086"/>
      <c r="Z155" s="1086"/>
      <c r="AA155" s="1086"/>
      <c r="AB155" s="1086"/>
    </row>
    <row r="156">
      <c r="A156" s="1100"/>
      <c r="B156" s="1086"/>
      <c r="C156" s="1086"/>
      <c r="D156" s="1086"/>
      <c r="E156" s="1086"/>
      <c r="F156" s="1086"/>
      <c r="G156" s="1086"/>
      <c r="H156" s="1086"/>
      <c r="I156" s="1086"/>
      <c r="J156" s="1086"/>
      <c r="K156" s="1086"/>
      <c r="L156" s="1086"/>
      <c r="M156" s="1086"/>
      <c r="N156" s="1086"/>
      <c r="O156" s="1086"/>
      <c r="P156" s="1086"/>
      <c r="Q156" s="1086"/>
      <c r="R156" s="1086"/>
      <c r="S156" s="1086"/>
      <c r="T156" s="1086"/>
      <c r="U156" s="1086"/>
      <c r="V156" s="1086"/>
      <c r="W156" s="1086"/>
      <c r="X156" s="1086"/>
      <c r="Y156" s="1086"/>
      <c r="Z156" s="1086"/>
      <c r="AA156" s="1086"/>
      <c r="AB156" s="1086"/>
    </row>
    <row r="157">
      <c r="A157" s="1100"/>
      <c r="B157" s="1086"/>
      <c r="C157" s="1086"/>
      <c r="D157" s="1086"/>
      <c r="E157" s="1086"/>
      <c r="F157" s="1086"/>
      <c r="G157" s="1086"/>
      <c r="H157" s="1086"/>
      <c r="I157" s="1086"/>
      <c r="J157" s="1086"/>
      <c r="K157" s="1086"/>
      <c r="L157" s="1086"/>
      <c r="M157" s="1086"/>
      <c r="N157" s="1086"/>
      <c r="O157" s="1086"/>
      <c r="P157" s="1086"/>
      <c r="Q157" s="1086"/>
      <c r="R157" s="1086"/>
      <c r="S157" s="1086"/>
      <c r="T157" s="1086"/>
      <c r="U157" s="1086"/>
      <c r="V157" s="1086"/>
      <c r="W157" s="1086"/>
      <c r="X157" s="1086"/>
      <c r="Y157" s="1086"/>
      <c r="Z157" s="1086"/>
      <c r="AA157" s="1086"/>
      <c r="AB157" s="1086"/>
    </row>
    <row r="158">
      <c r="A158" s="1100"/>
      <c r="B158" s="1086"/>
      <c r="C158" s="1086"/>
      <c r="D158" s="1086"/>
      <c r="E158" s="1086"/>
      <c r="F158" s="1086"/>
      <c r="G158" s="1086"/>
      <c r="H158" s="1086"/>
      <c r="I158" s="1086"/>
      <c r="J158" s="1086"/>
      <c r="K158" s="1086"/>
      <c r="L158" s="1086"/>
      <c r="M158" s="1086"/>
      <c r="N158" s="1086"/>
      <c r="O158" s="1086"/>
      <c r="P158" s="1086"/>
      <c r="Q158" s="1086"/>
      <c r="R158" s="1086"/>
      <c r="S158" s="1086"/>
      <c r="T158" s="1086"/>
      <c r="U158" s="1086"/>
      <c r="V158" s="1086"/>
      <c r="W158" s="1086"/>
      <c r="X158" s="1086"/>
      <c r="Y158" s="1086"/>
      <c r="Z158" s="1086"/>
      <c r="AA158" s="1086"/>
      <c r="AB158" s="1086"/>
    </row>
    <row r="159">
      <c r="A159" s="1100"/>
      <c r="B159" s="1086"/>
      <c r="C159" s="1086"/>
      <c r="D159" s="1086"/>
      <c r="E159" s="1086"/>
      <c r="F159" s="1086"/>
      <c r="G159" s="1086"/>
      <c r="H159" s="1086"/>
      <c r="I159" s="1086"/>
      <c r="J159" s="1086"/>
      <c r="K159" s="1086"/>
      <c r="L159" s="1086"/>
      <c r="M159" s="1086"/>
      <c r="N159" s="1086"/>
      <c r="O159" s="1086"/>
      <c r="P159" s="1086"/>
      <c r="Q159" s="1086"/>
      <c r="R159" s="1086"/>
      <c r="S159" s="1086"/>
      <c r="T159" s="1086"/>
      <c r="U159" s="1086"/>
      <c r="V159" s="1086"/>
      <c r="W159" s="1086"/>
      <c r="X159" s="1086"/>
      <c r="Y159" s="1086"/>
      <c r="Z159" s="1086"/>
      <c r="AA159" s="1086"/>
      <c r="AB159" s="1086"/>
    </row>
    <row r="160">
      <c r="A160" s="1100"/>
      <c r="B160" s="1086"/>
      <c r="C160" s="1086"/>
      <c r="D160" s="1086"/>
      <c r="E160" s="1086"/>
      <c r="F160" s="1086"/>
      <c r="G160" s="1086"/>
      <c r="H160" s="1086"/>
      <c r="I160" s="1086"/>
      <c r="J160" s="1086"/>
      <c r="K160" s="1086"/>
      <c r="L160" s="1086"/>
      <c r="M160" s="1086"/>
      <c r="N160" s="1086"/>
      <c r="O160" s="1086"/>
      <c r="P160" s="1086"/>
      <c r="Q160" s="1086"/>
      <c r="R160" s="1086"/>
      <c r="S160" s="1086"/>
      <c r="T160" s="1086"/>
      <c r="U160" s="1086"/>
      <c r="V160" s="1086"/>
      <c r="W160" s="1086"/>
      <c r="X160" s="1086"/>
      <c r="Y160" s="1086"/>
      <c r="Z160" s="1086"/>
      <c r="AA160" s="1086"/>
      <c r="AB160" s="1086"/>
    </row>
    <row r="161">
      <c r="A161" s="1100"/>
      <c r="B161" s="1086"/>
      <c r="C161" s="1086"/>
      <c r="D161" s="1086"/>
      <c r="E161" s="1086"/>
      <c r="F161" s="1086"/>
      <c r="G161" s="1086"/>
      <c r="H161" s="1086"/>
      <c r="I161" s="1086"/>
      <c r="J161" s="1086"/>
      <c r="K161" s="1086"/>
      <c r="L161" s="1086"/>
      <c r="M161" s="1086"/>
      <c r="N161" s="1086"/>
      <c r="O161" s="1086"/>
      <c r="P161" s="1086"/>
      <c r="Q161" s="1086"/>
      <c r="R161" s="1086"/>
      <c r="S161" s="1086"/>
      <c r="T161" s="1086"/>
      <c r="U161" s="1086"/>
      <c r="V161" s="1086"/>
      <c r="W161" s="1086"/>
      <c r="X161" s="1086"/>
      <c r="Y161" s="1086"/>
      <c r="Z161" s="1086"/>
      <c r="AA161" s="1086"/>
      <c r="AB161" s="1086"/>
    </row>
    <row r="162">
      <c r="A162" s="1100"/>
      <c r="B162" s="1086"/>
      <c r="C162" s="1086"/>
      <c r="D162" s="1086"/>
      <c r="E162" s="1086"/>
      <c r="F162" s="1086"/>
      <c r="G162" s="1086"/>
      <c r="H162" s="1086"/>
      <c r="I162" s="1086"/>
      <c r="J162" s="1086"/>
      <c r="K162" s="1086"/>
      <c r="L162" s="1086"/>
      <c r="M162" s="1086"/>
      <c r="N162" s="1086"/>
      <c r="O162" s="1086"/>
      <c r="P162" s="1086"/>
      <c r="Q162" s="1086"/>
      <c r="R162" s="1086"/>
      <c r="S162" s="1086"/>
      <c r="T162" s="1086"/>
      <c r="U162" s="1086"/>
      <c r="V162" s="1086"/>
      <c r="W162" s="1086"/>
      <c r="X162" s="1086"/>
      <c r="Y162" s="1086"/>
      <c r="Z162" s="1086"/>
      <c r="AA162" s="1086"/>
      <c r="AB162" s="1086"/>
    </row>
    <row r="163">
      <c r="A163" s="1100"/>
      <c r="B163" s="1086"/>
      <c r="C163" s="1086"/>
      <c r="D163" s="1086"/>
      <c r="E163" s="1086"/>
      <c r="F163" s="1086"/>
      <c r="G163" s="1086"/>
      <c r="H163" s="1086"/>
      <c r="I163" s="1086"/>
      <c r="J163" s="1086"/>
      <c r="K163" s="1086"/>
      <c r="L163" s="1086"/>
      <c r="M163" s="1086"/>
      <c r="N163" s="1086"/>
      <c r="O163" s="1086"/>
      <c r="P163" s="1086"/>
      <c r="Q163" s="1086"/>
      <c r="R163" s="1086"/>
      <c r="S163" s="1086"/>
      <c r="T163" s="1086"/>
      <c r="U163" s="1086"/>
      <c r="V163" s="1086"/>
      <c r="W163" s="1086"/>
      <c r="X163" s="1086"/>
      <c r="Y163" s="1086"/>
      <c r="Z163" s="1086"/>
      <c r="AA163" s="1086"/>
      <c r="AB163" s="1086"/>
    </row>
    <row r="164">
      <c r="A164" s="1100"/>
      <c r="B164" s="1086"/>
      <c r="C164" s="1086"/>
      <c r="D164" s="1086"/>
      <c r="E164" s="1086"/>
      <c r="F164" s="1086"/>
      <c r="G164" s="1086"/>
      <c r="H164" s="1086"/>
      <c r="I164" s="1086"/>
      <c r="J164" s="1086"/>
      <c r="K164" s="1086"/>
      <c r="L164" s="1086"/>
      <c r="M164" s="1086"/>
      <c r="N164" s="1086"/>
      <c r="O164" s="1086"/>
      <c r="P164" s="1086"/>
      <c r="Q164" s="1086"/>
      <c r="R164" s="1086"/>
      <c r="S164" s="1086"/>
      <c r="T164" s="1086"/>
      <c r="U164" s="1086"/>
      <c r="V164" s="1086"/>
      <c r="W164" s="1086"/>
      <c r="X164" s="1086"/>
      <c r="Y164" s="1086"/>
      <c r="Z164" s="1086"/>
      <c r="AA164" s="1086"/>
      <c r="AB164" s="1086"/>
    </row>
    <row r="165">
      <c r="A165" s="1100"/>
      <c r="B165" s="1086"/>
      <c r="C165" s="1086"/>
      <c r="D165" s="1086"/>
      <c r="E165" s="1086"/>
      <c r="F165" s="1086"/>
      <c r="G165" s="1086"/>
      <c r="H165" s="1086"/>
      <c r="I165" s="1086"/>
      <c r="J165" s="1086"/>
      <c r="K165" s="1086"/>
      <c r="L165" s="1086"/>
      <c r="M165" s="1086"/>
      <c r="N165" s="1086"/>
      <c r="O165" s="1086"/>
      <c r="P165" s="1086"/>
      <c r="Q165" s="1086"/>
      <c r="R165" s="1086"/>
      <c r="S165" s="1086"/>
      <c r="T165" s="1086"/>
      <c r="U165" s="1086"/>
      <c r="V165" s="1086"/>
      <c r="W165" s="1086"/>
      <c r="X165" s="1086"/>
      <c r="Y165" s="1086"/>
      <c r="Z165" s="1086"/>
      <c r="AA165" s="1086"/>
      <c r="AB165" s="1086"/>
    </row>
    <row r="166">
      <c r="A166" s="1100"/>
      <c r="B166" s="1086"/>
      <c r="C166" s="1086"/>
      <c r="D166" s="1086"/>
      <c r="E166" s="1086"/>
      <c r="F166" s="1086"/>
      <c r="G166" s="1086"/>
      <c r="H166" s="1086"/>
      <c r="I166" s="1086"/>
      <c r="J166" s="1086"/>
      <c r="K166" s="1086"/>
      <c r="L166" s="1086"/>
      <c r="M166" s="1086"/>
      <c r="N166" s="1086"/>
      <c r="O166" s="1086"/>
      <c r="P166" s="1086"/>
      <c r="Q166" s="1086"/>
      <c r="R166" s="1086"/>
      <c r="S166" s="1086"/>
      <c r="T166" s="1086"/>
      <c r="U166" s="1086"/>
      <c r="V166" s="1086"/>
      <c r="W166" s="1086"/>
      <c r="X166" s="1086"/>
      <c r="Y166" s="1086"/>
      <c r="Z166" s="1086"/>
      <c r="AA166" s="1086"/>
      <c r="AB166" s="1086"/>
    </row>
    <row r="167">
      <c r="A167" s="1100"/>
      <c r="B167" s="1086"/>
      <c r="C167" s="1086"/>
      <c r="D167" s="1086"/>
      <c r="E167" s="1086"/>
      <c r="F167" s="1086"/>
      <c r="G167" s="1086"/>
      <c r="H167" s="1086"/>
      <c r="I167" s="1086"/>
      <c r="J167" s="1086"/>
      <c r="K167" s="1086"/>
      <c r="L167" s="1086"/>
      <c r="M167" s="1086"/>
      <c r="N167" s="1086"/>
      <c r="O167" s="1086"/>
      <c r="P167" s="1086"/>
      <c r="Q167" s="1086"/>
      <c r="R167" s="1086"/>
      <c r="S167" s="1086"/>
      <c r="T167" s="1086"/>
      <c r="U167" s="1086"/>
      <c r="V167" s="1086"/>
      <c r="W167" s="1086"/>
      <c r="X167" s="1086"/>
      <c r="Y167" s="1086"/>
      <c r="Z167" s="1086"/>
      <c r="AA167" s="1086"/>
      <c r="AB167" s="1086"/>
    </row>
    <row r="168">
      <c r="A168" s="1100"/>
      <c r="B168" s="1086"/>
      <c r="C168" s="1086"/>
      <c r="D168" s="1086"/>
      <c r="E168" s="1086"/>
      <c r="F168" s="1086"/>
      <c r="G168" s="1086"/>
      <c r="H168" s="1086"/>
      <c r="I168" s="1086"/>
      <c r="J168" s="1086"/>
      <c r="K168" s="1086"/>
      <c r="L168" s="1086"/>
      <c r="M168" s="1086"/>
      <c r="N168" s="1086"/>
      <c r="O168" s="1086"/>
      <c r="P168" s="1086"/>
      <c r="Q168" s="1086"/>
      <c r="R168" s="1086"/>
      <c r="S168" s="1086"/>
      <c r="T168" s="1086"/>
      <c r="U168" s="1086"/>
      <c r="V168" s="1086"/>
      <c r="W168" s="1086"/>
      <c r="X168" s="1086"/>
      <c r="Y168" s="1086"/>
      <c r="Z168" s="1086"/>
      <c r="AA168" s="1086"/>
      <c r="AB168" s="1086"/>
    </row>
    <row r="169">
      <c r="A169" s="1100"/>
      <c r="B169" s="1086"/>
      <c r="C169" s="1086"/>
      <c r="D169" s="1086"/>
      <c r="E169" s="1086"/>
      <c r="F169" s="1086"/>
      <c r="G169" s="1086"/>
      <c r="H169" s="1086"/>
      <c r="I169" s="1086"/>
      <c r="J169" s="1086"/>
      <c r="K169" s="1086"/>
      <c r="L169" s="1086"/>
      <c r="M169" s="1086"/>
      <c r="N169" s="1086"/>
      <c r="O169" s="1086"/>
      <c r="P169" s="1086"/>
      <c r="Q169" s="1086"/>
      <c r="R169" s="1086"/>
      <c r="S169" s="1086"/>
      <c r="T169" s="1086"/>
      <c r="U169" s="1086"/>
      <c r="V169" s="1086"/>
      <c r="W169" s="1086"/>
      <c r="X169" s="1086"/>
      <c r="Y169" s="1086"/>
      <c r="Z169" s="1086"/>
      <c r="AA169" s="1086"/>
      <c r="AB169" s="1086"/>
    </row>
    <row r="170">
      <c r="A170" s="1100"/>
      <c r="B170" s="1086"/>
      <c r="C170" s="1086"/>
      <c r="D170" s="1086"/>
      <c r="E170" s="1086"/>
      <c r="F170" s="1086"/>
      <c r="G170" s="1086"/>
      <c r="H170" s="1086"/>
      <c r="I170" s="1086"/>
      <c r="J170" s="1086"/>
      <c r="K170" s="1086"/>
      <c r="L170" s="1086"/>
      <c r="M170" s="1086"/>
      <c r="N170" s="1086"/>
      <c r="O170" s="1086"/>
      <c r="P170" s="1086"/>
      <c r="Q170" s="1086"/>
      <c r="R170" s="1086"/>
      <c r="S170" s="1086"/>
      <c r="T170" s="1086"/>
      <c r="U170" s="1086"/>
      <c r="V170" s="1086"/>
      <c r="W170" s="1086"/>
      <c r="X170" s="1086"/>
      <c r="Y170" s="1086"/>
      <c r="Z170" s="1086"/>
      <c r="AA170" s="1086"/>
      <c r="AB170" s="1086"/>
    </row>
    <row r="171">
      <c r="A171" s="1100"/>
      <c r="B171" s="1086"/>
      <c r="C171" s="1086"/>
      <c r="D171" s="1086"/>
      <c r="E171" s="1086"/>
      <c r="F171" s="1086"/>
      <c r="G171" s="1086"/>
      <c r="H171" s="1086"/>
      <c r="I171" s="1086"/>
      <c r="J171" s="1086"/>
      <c r="K171" s="1086"/>
      <c r="L171" s="1086"/>
      <c r="M171" s="1086"/>
      <c r="N171" s="1086"/>
      <c r="O171" s="1086"/>
      <c r="P171" s="1086"/>
      <c r="Q171" s="1086"/>
      <c r="R171" s="1086"/>
      <c r="S171" s="1086"/>
      <c r="T171" s="1086"/>
      <c r="U171" s="1086"/>
      <c r="V171" s="1086"/>
      <c r="W171" s="1086"/>
      <c r="X171" s="1086"/>
      <c r="Y171" s="1086"/>
      <c r="Z171" s="1086"/>
      <c r="AA171" s="1086"/>
      <c r="AB171" s="1086"/>
    </row>
    <row r="172">
      <c r="A172" s="1100"/>
      <c r="B172" s="1086"/>
      <c r="C172" s="1086"/>
      <c r="D172" s="1086"/>
      <c r="E172" s="1086"/>
      <c r="F172" s="1086"/>
      <c r="G172" s="1086"/>
      <c r="H172" s="1086"/>
      <c r="I172" s="1086"/>
      <c r="J172" s="1086"/>
      <c r="K172" s="1086"/>
      <c r="L172" s="1086"/>
      <c r="M172" s="1086"/>
      <c r="N172" s="1086"/>
      <c r="O172" s="1086"/>
      <c r="P172" s="1086"/>
      <c r="Q172" s="1086"/>
      <c r="R172" s="1086"/>
      <c r="S172" s="1086"/>
      <c r="T172" s="1086"/>
      <c r="U172" s="1086"/>
      <c r="V172" s="1086"/>
      <c r="W172" s="1086"/>
      <c r="X172" s="1086"/>
      <c r="Y172" s="1086"/>
      <c r="Z172" s="1086"/>
      <c r="AA172" s="1086"/>
      <c r="AB172" s="1086"/>
    </row>
    <row r="173">
      <c r="A173" s="1100"/>
      <c r="B173" s="1086"/>
      <c r="C173" s="1086"/>
      <c r="D173" s="1086"/>
      <c r="E173" s="1086"/>
      <c r="F173" s="1086"/>
      <c r="G173" s="1086"/>
      <c r="H173" s="1086"/>
      <c r="I173" s="1086"/>
      <c r="J173" s="1086"/>
      <c r="K173" s="1086"/>
      <c r="L173" s="1086"/>
      <c r="M173" s="1086"/>
      <c r="N173" s="1086"/>
      <c r="O173" s="1086"/>
      <c r="P173" s="1086"/>
      <c r="Q173" s="1086"/>
      <c r="R173" s="1086"/>
      <c r="S173" s="1086"/>
      <c r="T173" s="1086"/>
      <c r="U173" s="1086"/>
      <c r="V173" s="1086"/>
      <c r="W173" s="1086"/>
      <c r="X173" s="1086"/>
      <c r="Y173" s="1086"/>
      <c r="Z173" s="1086"/>
      <c r="AA173" s="1086"/>
      <c r="AB173" s="1086"/>
    </row>
    <row r="174">
      <c r="A174" s="1100"/>
      <c r="B174" s="1086"/>
      <c r="C174" s="1086"/>
      <c r="D174" s="1086"/>
      <c r="E174" s="1086"/>
      <c r="F174" s="1086"/>
      <c r="G174" s="1086"/>
      <c r="H174" s="1086"/>
      <c r="I174" s="1086"/>
      <c r="J174" s="1086"/>
      <c r="K174" s="1086"/>
      <c r="L174" s="1086"/>
      <c r="M174" s="1086"/>
      <c r="N174" s="1086"/>
      <c r="O174" s="1086"/>
      <c r="P174" s="1086"/>
      <c r="Q174" s="1086"/>
      <c r="R174" s="1086"/>
      <c r="S174" s="1086"/>
      <c r="T174" s="1086"/>
      <c r="U174" s="1086"/>
      <c r="V174" s="1086"/>
      <c r="W174" s="1086"/>
      <c r="X174" s="1086"/>
      <c r="Y174" s="1086"/>
      <c r="Z174" s="1086"/>
      <c r="AA174" s="1086"/>
      <c r="AB174" s="1086"/>
    </row>
    <row r="175">
      <c r="A175" s="1100"/>
      <c r="B175" s="1086"/>
      <c r="C175" s="1086"/>
      <c r="D175" s="1086"/>
      <c r="E175" s="1086"/>
      <c r="F175" s="1086"/>
      <c r="G175" s="1086"/>
      <c r="H175" s="1086"/>
      <c r="I175" s="1086"/>
      <c r="J175" s="1086"/>
      <c r="K175" s="1086"/>
      <c r="L175" s="1086"/>
      <c r="M175" s="1086"/>
      <c r="N175" s="1086"/>
      <c r="O175" s="1086"/>
      <c r="P175" s="1086"/>
      <c r="Q175" s="1086"/>
      <c r="R175" s="1086"/>
      <c r="S175" s="1086"/>
      <c r="T175" s="1086"/>
      <c r="U175" s="1086"/>
      <c r="V175" s="1086"/>
      <c r="W175" s="1086"/>
      <c r="X175" s="1086"/>
      <c r="Y175" s="1086"/>
      <c r="Z175" s="1086"/>
      <c r="AA175" s="1086"/>
      <c r="AB175" s="1086"/>
    </row>
    <row r="176">
      <c r="A176" s="1100"/>
      <c r="B176" s="1086"/>
      <c r="C176" s="1086"/>
      <c r="D176" s="1086"/>
      <c r="E176" s="1086"/>
      <c r="F176" s="1086"/>
      <c r="G176" s="1086"/>
      <c r="H176" s="1086"/>
      <c r="I176" s="1086"/>
      <c r="J176" s="1086"/>
      <c r="K176" s="1086"/>
      <c r="L176" s="1086"/>
      <c r="M176" s="1086"/>
      <c r="N176" s="1086"/>
      <c r="O176" s="1086"/>
      <c r="P176" s="1086"/>
      <c r="Q176" s="1086"/>
      <c r="R176" s="1086"/>
      <c r="S176" s="1086"/>
      <c r="T176" s="1086"/>
      <c r="U176" s="1086"/>
      <c r="V176" s="1086"/>
      <c r="W176" s="1086"/>
      <c r="X176" s="1086"/>
      <c r="Y176" s="1086"/>
      <c r="Z176" s="1086"/>
      <c r="AA176" s="1086"/>
      <c r="AB176" s="1086"/>
    </row>
    <row r="177">
      <c r="A177" s="1100"/>
      <c r="B177" s="1086"/>
      <c r="C177" s="1086"/>
      <c r="D177" s="1086"/>
      <c r="E177" s="1086"/>
      <c r="F177" s="1086"/>
      <c r="G177" s="1086"/>
      <c r="H177" s="1086"/>
      <c r="I177" s="1086"/>
      <c r="J177" s="1086"/>
      <c r="K177" s="1086"/>
      <c r="L177" s="1086"/>
      <c r="M177" s="1086"/>
      <c r="N177" s="1086"/>
      <c r="O177" s="1086"/>
      <c r="P177" s="1086"/>
      <c r="Q177" s="1086"/>
      <c r="R177" s="1086"/>
      <c r="S177" s="1086"/>
      <c r="T177" s="1086"/>
      <c r="U177" s="1086"/>
      <c r="V177" s="1086"/>
      <c r="W177" s="1086"/>
      <c r="X177" s="1086"/>
      <c r="Y177" s="1086"/>
      <c r="Z177" s="1086"/>
      <c r="AA177" s="1086"/>
      <c r="AB177" s="1086"/>
    </row>
    <row r="178">
      <c r="A178" s="1100"/>
      <c r="B178" s="1086"/>
      <c r="C178" s="1086"/>
      <c r="D178" s="1086"/>
      <c r="E178" s="1086"/>
      <c r="F178" s="1086"/>
      <c r="G178" s="1086"/>
      <c r="H178" s="1086"/>
      <c r="I178" s="1086"/>
      <c r="J178" s="1086"/>
      <c r="K178" s="1086"/>
      <c r="L178" s="1086"/>
      <c r="M178" s="1086"/>
      <c r="N178" s="1086"/>
      <c r="O178" s="1086"/>
      <c r="P178" s="1086"/>
      <c r="Q178" s="1086"/>
      <c r="R178" s="1086"/>
      <c r="S178" s="1086"/>
      <c r="T178" s="1086"/>
      <c r="U178" s="1086"/>
      <c r="V178" s="1086"/>
      <c r="W178" s="1086"/>
      <c r="X178" s="1086"/>
      <c r="Y178" s="1086"/>
      <c r="Z178" s="1086"/>
      <c r="AA178" s="1086"/>
      <c r="AB178" s="1086"/>
    </row>
    <row r="179">
      <c r="A179" s="1100"/>
      <c r="B179" s="1086"/>
      <c r="C179" s="1086"/>
      <c r="D179" s="1086"/>
      <c r="E179" s="1086"/>
      <c r="F179" s="1086"/>
      <c r="G179" s="1086"/>
      <c r="H179" s="1086"/>
      <c r="I179" s="1086"/>
      <c r="J179" s="1086"/>
      <c r="K179" s="1086"/>
      <c r="L179" s="1086"/>
      <c r="M179" s="1086"/>
      <c r="N179" s="1086"/>
      <c r="O179" s="1086"/>
      <c r="P179" s="1086"/>
      <c r="Q179" s="1086"/>
      <c r="R179" s="1086"/>
      <c r="S179" s="1086"/>
      <c r="T179" s="1086"/>
      <c r="U179" s="1086"/>
      <c r="V179" s="1086"/>
      <c r="W179" s="1086"/>
      <c r="X179" s="1086"/>
      <c r="Y179" s="1086"/>
      <c r="Z179" s="1086"/>
      <c r="AA179" s="1086"/>
      <c r="AB179" s="1086"/>
    </row>
    <row r="180">
      <c r="A180" s="1100"/>
      <c r="B180" s="1086"/>
      <c r="C180" s="1086"/>
      <c r="D180" s="1086"/>
      <c r="E180" s="1086"/>
      <c r="F180" s="1086"/>
      <c r="G180" s="1086"/>
      <c r="H180" s="1086"/>
      <c r="I180" s="1086"/>
      <c r="J180" s="1086"/>
      <c r="K180" s="1086"/>
      <c r="L180" s="1086"/>
      <c r="M180" s="1086"/>
      <c r="N180" s="1086"/>
      <c r="O180" s="1086"/>
      <c r="P180" s="1086"/>
      <c r="Q180" s="1086"/>
      <c r="R180" s="1086"/>
      <c r="S180" s="1086"/>
      <c r="T180" s="1086"/>
      <c r="U180" s="1086"/>
      <c r="V180" s="1086"/>
      <c r="W180" s="1086"/>
      <c r="X180" s="1086"/>
      <c r="Y180" s="1086"/>
      <c r="Z180" s="1086"/>
      <c r="AA180" s="1086"/>
      <c r="AB180" s="1086"/>
    </row>
    <row r="181">
      <c r="A181" s="1100"/>
      <c r="B181" s="1086"/>
      <c r="C181" s="1086"/>
      <c r="D181" s="1086"/>
      <c r="E181" s="1086"/>
      <c r="F181" s="1086"/>
      <c r="G181" s="1086"/>
      <c r="H181" s="1086"/>
      <c r="I181" s="1086"/>
      <c r="J181" s="1086"/>
      <c r="K181" s="1086"/>
      <c r="L181" s="1086"/>
      <c r="M181" s="1086"/>
      <c r="N181" s="1086"/>
      <c r="O181" s="1086"/>
      <c r="P181" s="1086"/>
      <c r="Q181" s="1086"/>
      <c r="R181" s="1086"/>
      <c r="S181" s="1086"/>
      <c r="T181" s="1086"/>
      <c r="U181" s="1086"/>
      <c r="V181" s="1086"/>
      <c r="W181" s="1086"/>
      <c r="X181" s="1086"/>
      <c r="Y181" s="1086"/>
      <c r="Z181" s="1086"/>
      <c r="AA181" s="1086"/>
      <c r="AB181" s="1086"/>
    </row>
    <row r="182">
      <c r="A182" s="1100"/>
      <c r="B182" s="1086"/>
      <c r="C182" s="1086"/>
      <c r="D182" s="1086"/>
      <c r="E182" s="1086"/>
      <c r="F182" s="1086"/>
      <c r="G182" s="1086"/>
      <c r="H182" s="1086"/>
      <c r="I182" s="1086"/>
      <c r="J182" s="1086"/>
      <c r="K182" s="1086"/>
      <c r="L182" s="1086"/>
      <c r="M182" s="1086"/>
      <c r="N182" s="1086"/>
      <c r="O182" s="1086"/>
      <c r="P182" s="1086"/>
      <c r="Q182" s="1086"/>
      <c r="R182" s="1086"/>
      <c r="S182" s="1086"/>
      <c r="T182" s="1086"/>
      <c r="U182" s="1086"/>
      <c r="V182" s="1086"/>
      <c r="W182" s="1086"/>
      <c r="X182" s="1086"/>
      <c r="Y182" s="1086"/>
      <c r="Z182" s="1086"/>
      <c r="AA182" s="1086"/>
      <c r="AB182" s="1086"/>
    </row>
    <row r="183">
      <c r="A183" s="1100"/>
      <c r="B183" s="1086"/>
      <c r="C183" s="1086"/>
      <c r="D183" s="1086"/>
      <c r="E183" s="1086"/>
      <c r="F183" s="1086"/>
      <c r="G183" s="1086"/>
      <c r="H183" s="1086"/>
      <c r="I183" s="1086"/>
      <c r="J183" s="1086"/>
      <c r="K183" s="1086"/>
      <c r="L183" s="1086"/>
      <c r="M183" s="1086"/>
      <c r="N183" s="1086"/>
      <c r="O183" s="1086"/>
      <c r="P183" s="1086"/>
      <c r="Q183" s="1086"/>
      <c r="R183" s="1086"/>
      <c r="S183" s="1086"/>
      <c r="T183" s="1086"/>
      <c r="U183" s="1086"/>
      <c r="V183" s="1086"/>
      <c r="W183" s="1086"/>
      <c r="X183" s="1086"/>
      <c r="Y183" s="1086"/>
      <c r="Z183" s="1086"/>
      <c r="AA183" s="1086"/>
      <c r="AB183" s="1086"/>
    </row>
    <row r="184">
      <c r="A184" s="1100"/>
      <c r="B184" s="1086"/>
      <c r="C184" s="1086"/>
      <c r="D184" s="1086"/>
      <c r="E184" s="1086"/>
      <c r="F184" s="1086"/>
      <c r="G184" s="1086"/>
      <c r="H184" s="1086"/>
      <c r="I184" s="1086"/>
      <c r="J184" s="1086"/>
      <c r="K184" s="1086"/>
      <c r="L184" s="1086"/>
      <c r="M184" s="1086"/>
      <c r="N184" s="1086"/>
      <c r="O184" s="1086"/>
      <c r="P184" s="1086"/>
      <c r="Q184" s="1086"/>
      <c r="R184" s="1086"/>
      <c r="S184" s="1086"/>
      <c r="T184" s="1086"/>
      <c r="U184" s="1086"/>
      <c r="V184" s="1086"/>
      <c r="W184" s="1086"/>
      <c r="X184" s="1086"/>
      <c r="Y184" s="1086"/>
      <c r="Z184" s="1086"/>
      <c r="AA184" s="1086"/>
      <c r="AB184" s="1086"/>
    </row>
    <row r="185">
      <c r="A185" s="1100"/>
      <c r="B185" s="1086"/>
      <c r="C185" s="1086"/>
      <c r="D185" s="1086"/>
      <c r="E185" s="1086"/>
      <c r="F185" s="1086"/>
      <c r="G185" s="1086"/>
      <c r="H185" s="1086"/>
      <c r="I185" s="1086"/>
      <c r="J185" s="1086"/>
      <c r="K185" s="1086"/>
      <c r="L185" s="1086"/>
      <c r="M185" s="1086"/>
      <c r="N185" s="1086"/>
      <c r="O185" s="1086"/>
      <c r="P185" s="1086"/>
      <c r="Q185" s="1086"/>
      <c r="R185" s="1086"/>
      <c r="S185" s="1086"/>
      <c r="T185" s="1086"/>
      <c r="U185" s="1086"/>
      <c r="V185" s="1086"/>
      <c r="W185" s="1086"/>
      <c r="X185" s="1086"/>
      <c r="Y185" s="1086"/>
      <c r="Z185" s="1086"/>
      <c r="AA185" s="1086"/>
      <c r="AB185" s="1086"/>
    </row>
    <row r="186">
      <c r="A186" s="1100"/>
      <c r="B186" s="1086"/>
      <c r="C186" s="1086"/>
      <c r="D186" s="1086"/>
      <c r="E186" s="1086"/>
      <c r="F186" s="1086"/>
      <c r="G186" s="1086"/>
      <c r="H186" s="1086"/>
      <c r="I186" s="1086"/>
      <c r="J186" s="1086"/>
      <c r="K186" s="1086"/>
      <c r="L186" s="1086"/>
      <c r="M186" s="1086"/>
      <c r="N186" s="1086"/>
      <c r="O186" s="1086"/>
      <c r="P186" s="1086"/>
      <c r="Q186" s="1086"/>
      <c r="R186" s="1086"/>
      <c r="S186" s="1086"/>
      <c r="T186" s="1086"/>
      <c r="U186" s="1086"/>
      <c r="V186" s="1086"/>
      <c r="W186" s="1086"/>
      <c r="X186" s="1086"/>
      <c r="Y186" s="1086"/>
      <c r="Z186" s="1086"/>
      <c r="AA186" s="1086"/>
      <c r="AB186" s="1086"/>
    </row>
    <row r="187">
      <c r="A187" s="1100"/>
      <c r="B187" s="1086"/>
      <c r="C187" s="1086"/>
      <c r="D187" s="1086"/>
      <c r="E187" s="1086"/>
      <c r="F187" s="1086"/>
      <c r="G187" s="1086"/>
      <c r="H187" s="1086"/>
      <c r="I187" s="1086"/>
      <c r="J187" s="1086"/>
      <c r="K187" s="1086"/>
      <c r="L187" s="1086"/>
      <c r="M187" s="1086"/>
      <c r="N187" s="1086"/>
      <c r="O187" s="1086"/>
      <c r="P187" s="1086"/>
      <c r="Q187" s="1086"/>
      <c r="R187" s="1086"/>
      <c r="S187" s="1086"/>
      <c r="T187" s="1086"/>
      <c r="U187" s="1086"/>
      <c r="V187" s="1086"/>
      <c r="W187" s="1086"/>
      <c r="X187" s="1086"/>
      <c r="Y187" s="1086"/>
      <c r="Z187" s="1086"/>
      <c r="AA187" s="1086"/>
      <c r="AB187" s="1086"/>
    </row>
    <row r="188">
      <c r="A188" s="1100"/>
      <c r="B188" s="1086"/>
      <c r="C188" s="1086"/>
      <c r="D188" s="1086"/>
      <c r="E188" s="1086"/>
      <c r="F188" s="1086"/>
      <c r="G188" s="1086"/>
      <c r="H188" s="1086"/>
      <c r="I188" s="1086"/>
      <c r="J188" s="1086"/>
      <c r="K188" s="1086"/>
      <c r="L188" s="1086"/>
      <c r="M188" s="1086"/>
      <c r="N188" s="1086"/>
      <c r="O188" s="1086"/>
      <c r="P188" s="1086"/>
      <c r="Q188" s="1086"/>
      <c r="R188" s="1086"/>
      <c r="S188" s="1086"/>
      <c r="T188" s="1086"/>
      <c r="U188" s="1086"/>
      <c r="V188" s="1086"/>
      <c r="W188" s="1086"/>
      <c r="X188" s="1086"/>
      <c r="Y188" s="1086"/>
      <c r="Z188" s="1086"/>
      <c r="AA188" s="1086"/>
      <c r="AB188" s="1086"/>
    </row>
    <row r="189">
      <c r="A189" s="1100"/>
      <c r="B189" s="1086"/>
      <c r="C189" s="1086"/>
      <c r="D189" s="1086"/>
      <c r="E189" s="1086"/>
      <c r="F189" s="1086"/>
      <c r="G189" s="1086"/>
      <c r="H189" s="1086"/>
      <c r="I189" s="1086"/>
      <c r="J189" s="1086"/>
      <c r="K189" s="1086"/>
      <c r="L189" s="1086"/>
      <c r="M189" s="1086"/>
      <c r="N189" s="1086"/>
      <c r="O189" s="1086"/>
      <c r="P189" s="1086"/>
      <c r="Q189" s="1086"/>
      <c r="R189" s="1086"/>
      <c r="S189" s="1086"/>
      <c r="T189" s="1086"/>
      <c r="U189" s="1086"/>
      <c r="V189" s="1086"/>
      <c r="W189" s="1086"/>
      <c r="X189" s="1086"/>
      <c r="Y189" s="1086"/>
      <c r="Z189" s="1086"/>
      <c r="AA189" s="1086"/>
      <c r="AB189" s="1086"/>
    </row>
    <row r="190">
      <c r="A190" s="1100"/>
      <c r="B190" s="1086"/>
      <c r="C190" s="1086"/>
      <c r="D190" s="1086"/>
      <c r="E190" s="1086"/>
      <c r="F190" s="1086"/>
      <c r="G190" s="1086"/>
      <c r="H190" s="1086"/>
      <c r="I190" s="1086"/>
      <c r="J190" s="1086"/>
      <c r="K190" s="1086"/>
      <c r="L190" s="1086"/>
      <c r="M190" s="1086"/>
      <c r="N190" s="1086"/>
      <c r="O190" s="1086"/>
      <c r="P190" s="1086"/>
      <c r="Q190" s="1086"/>
      <c r="R190" s="1086"/>
      <c r="S190" s="1086"/>
      <c r="T190" s="1086"/>
      <c r="U190" s="1086"/>
      <c r="V190" s="1086"/>
      <c r="W190" s="1086"/>
      <c r="X190" s="1086"/>
      <c r="Y190" s="1086"/>
      <c r="Z190" s="1086"/>
      <c r="AA190" s="1086"/>
      <c r="AB190" s="1086"/>
    </row>
    <row r="191">
      <c r="A191" s="1100"/>
      <c r="B191" s="1086"/>
      <c r="C191" s="1086"/>
      <c r="D191" s="1086"/>
      <c r="E191" s="1086"/>
      <c r="F191" s="1086"/>
      <c r="G191" s="1086"/>
      <c r="H191" s="1086"/>
      <c r="I191" s="1086"/>
      <c r="J191" s="1086"/>
      <c r="K191" s="1086"/>
      <c r="L191" s="1086"/>
      <c r="M191" s="1086"/>
      <c r="N191" s="1086"/>
      <c r="O191" s="1086"/>
      <c r="P191" s="1086"/>
      <c r="Q191" s="1086"/>
      <c r="R191" s="1086"/>
      <c r="S191" s="1086"/>
      <c r="T191" s="1086"/>
      <c r="U191" s="1086"/>
      <c r="V191" s="1086"/>
      <c r="W191" s="1086"/>
      <c r="X191" s="1086"/>
      <c r="Y191" s="1086"/>
      <c r="Z191" s="1086"/>
      <c r="AA191" s="1086"/>
      <c r="AB191" s="1086"/>
    </row>
    <row r="192">
      <c r="A192" s="1100"/>
      <c r="B192" s="1086"/>
      <c r="C192" s="1086"/>
      <c r="D192" s="1086"/>
      <c r="E192" s="1086"/>
      <c r="F192" s="1086"/>
      <c r="G192" s="1086"/>
      <c r="H192" s="1086"/>
      <c r="I192" s="1086"/>
      <c r="J192" s="1086"/>
      <c r="K192" s="1086"/>
      <c r="L192" s="1086"/>
      <c r="M192" s="1086"/>
      <c r="N192" s="1086"/>
      <c r="O192" s="1086"/>
      <c r="P192" s="1086"/>
      <c r="Q192" s="1086"/>
      <c r="R192" s="1086"/>
      <c r="S192" s="1086"/>
      <c r="T192" s="1086"/>
      <c r="U192" s="1086"/>
      <c r="V192" s="1086"/>
      <c r="W192" s="1086"/>
      <c r="X192" s="1086"/>
      <c r="Y192" s="1086"/>
      <c r="Z192" s="1086"/>
      <c r="AA192" s="1086"/>
      <c r="AB192" s="1086"/>
    </row>
    <row r="193">
      <c r="A193" s="1100"/>
      <c r="B193" s="1086"/>
      <c r="C193" s="1086"/>
      <c r="D193" s="1086"/>
      <c r="E193" s="1086"/>
      <c r="F193" s="1086"/>
      <c r="G193" s="1086"/>
      <c r="H193" s="1086"/>
      <c r="I193" s="1086"/>
      <c r="J193" s="1086"/>
      <c r="K193" s="1086"/>
      <c r="L193" s="1086"/>
      <c r="M193" s="1086"/>
      <c r="N193" s="1086"/>
      <c r="O193" s="1086"/>
      <c r="P193" s="1086"/>
      <c r="Q193" s="1086"/>
      <c r="R193" s="1086"/>
      <c r="S193" s="1086"/>
      <c r="T193" s="1086"/>
      <c r="U193" s="1086"/>
      <c r="V193" s="1086"/>
      <c r="W193" s="1086"/>
      <c r="X193" s="1086"/>
      <c r="Y193" s="1086"/>
      <c r="Z193" s="1086"/>
      <c r="AA193" s="1086"/>
      <c r="AB193" s="1086"/>
    </row>
    <row r="194">
      <c r="A194" s="1100"/>
      <c r="B194" s="1086"/>
      <c r="C194" s="1086"/>
      <c r="D194" s="1086"/>
      <c r="E194" s="1086"/>
      <c r="F194" s="1086"/>
      <c r="G194" s="1086"/>
      <c r="H194" s="1086"/>
      <c r="I194" s="1086"/>
      <c r="J194" s="1086"/>
      <c r="K194" s="1086"/>
      <c r="L194" s="1086"/>
      <c r="M194" s="1086"/>
      <c r="N194" s="1086"/>
      <c r="O194" s="1086"/>
      <c r="P194" s="1086"/>
      <c r="Q194" s="1086"/>
      <c r="R194" s="1086"/>
      <c r="S194" s="1086"/>
      <c r="T194" s="1086"/>
      <c r="U194" s="1086"/>
      <c r="V194" s="1086"/>
      <c r="W194" s="1086"/>
      <c r="X194" s="1086"/>
      <c r="Y194" s="1086"/>
      <c r="Z194" s="1086"/>
      <c r="AA194" s="1086"/>
      <c r="AB194" s="1086"/>
    </row>
    <row r="195">
      <c r="A195" s="1100"/>
      <c r="B195" s="1086"/>
      <c r="C195" s="1086"/>
      <c r="D195" s="1086"/>
      <c r="E195" s="1086"/>
      <c r="F195" s="1086"/>
      <c r="G195" s="1086"/>
      <c r="H195" s="1086"/>
      <c r="I195" s="1086"/>
      <c r="J195" s="1086"/>
      <c r="K195" s="1086"/>
      <c r="L195" s="1086"/>
      <c r="M195" s="1086"/>
      <c r="N195" s="1086"/>
      <c r="O195" s="1086"/>
      <c r="P195" s="1086"/>
      <c r="Q195" s="1086"/>
      <c r="R195" s="1086"/>
      <c r="S195" s="1086"/>
      <c r="T195" s="1086"/>
      <c r="U195" s="1086"/>
      <c r="V195" s="1086"/>
      <c r="W195" s="1086"/>
      <c r="X195" s="1086"/>
      <c r="Y195" s="1086"/>
      <c r="Z195" s="1086"/>
      <c r="AA195" s="1086"/>
      <c r="AB195" s="1086"/>
    </row>
    <row r="196">
      <c r="A196" s="1100"/>
      <c r="B196" s="1086"/>
      <c r="C196" s="1086"/>
      <c r="D196" s="1086"/>
      <c r="E196" s="1086"/>
      <c r="F196" s="1086"/>
      <c r="G196" s="1086"/>
      <c r="H196" s="1086"/>
      <c r="I196" s="1086"/>
      <c r="J196" s="1086"/>
      <c r="K196" s="1086"/>
      <c r="L196" s="1086"/>
      <c r="M196" s="1086"/>
      <c r="N196" s="1086"/>
      <c r="O196" s="1086"/>
      <c r="P196" s="1086"/>
      <c r="Q196" s="1086"/>
      <c r="R196" s="1086"/>
      <c r="S196" s="1086"/>
      <c r="T196" s="1086"/>
      <c r="U196" s="1086"/>
      <c r="V196" s="1086"/>
      <c r="W196" s="1086"/>
      <c r="X196" s="1086"/>
      <c r="Y196" s="1086"/>
      <c r="Z196" s="1086"/>
      <c r="AA196" s="1086"/>
      <c r="AB196" s="1086"/>
    </row>
    <row r="197">
      <c r="A197" s="1100"/>
      <c r="B197" s="1086"/>
      <c r="C197" s="1086"/>
      <c r="D197" s="1086"/>
      <c r="E197" s="1086"/>
      <c r="F197" s="1086"/>
      <c r="G197" s="1086"/>
      <c r="H197" s="1086"/>
      <c r="I197" s="1086"/>
      <c r="J197" s="1086"/>
      <c r="K197" s="1086"/>
      <c r="L197" s="1086"/>
      <c r="M197" s="1086"/>
      <c r="N197" s="1086"/>
      <c r="O197" s="1086"/>
      <c r="P197" s="1086"/>
      <c r="Q197" s="1086"/>
      <c r="R197" s="1086"/>
      <c r="S197" s="1086"/>
      <c r="T197" s="1086"/>
      <c r="U197" s="1086"/>
      <c r="V197" s="1086"/>
      <c r="W197" s="1086"/>
      <c r="X197" s="1086"/>
      <c r="Y197" s="1086"/>
      <c r="Z197" s="1086"/>
      <c r="AA197" s="1086"/>
      <c r="AB197" s="1086"/>
    </row>
    <row r="198">
      <c r="A198" s="1100"/>
      <c r="B198" s="1086"/>
      <c r="C198" s="1086"/>
      <c r="D198" s="1086"/>
      <c r="E198" s="1086"/>
      <c r="F198" s="1086"/>
      <c r="G198" s="1086"/>
      <c r="H198" s="1086"/>
      <c r="I198" s="1086"/>
      <c r="J198" s="1086"/>
      <c r="K198" s="1086"/>
      <c r="L198" s="1086"/>
      <c r="M198" s="1086"/>
      <c r="N198" s="1086"/>
      <c r="O198" s="1086"/>
      <c r="P198" s="1086"/>
      <c r="Q198" s="1086"/>
      <c r="R198" s="1086"/>
      <c r="S198" s="1086"/>
      <c r="T198" s="1086"/>
      <c r="U198" s="1086"/>
      <c r="V198" s="1086"/>
      <c r="W198" s="1086"/>
      <c r="X198" s="1086"/>
      <c r="Y198" s="1086"/>
      <c r="Z198" s="1086"/>
      <c r="AA198" s="1086"/>
      <c r="AB198" s="1086"/>
    </row>
    <row r="199">
      <c r="A199" s="1100"/>
      <c r="B199" s="1086"/>
      <c r="C199" s="1086"/>
      <c r="D199" s="1086"/>
      <c r="E199" s="1086"/>
      <c r="F199" s="1086"/>
      <c r="G199" s="1086"/>
      <c r="H199" s="1086"/>
      <c r="I199" s="1086"/>
      <c r="J199" s="1086"/>
      <c r="K199" s="1086"/>
      <c r="L199" s="1086"/>
      <c r="M199" s="1086"/>
      <c r="N199" s="1086"/>
      <c r="O199" s="1086"/>
      <c r="P199" s="1086"/>
      <c r="Q199" s="1086"/>
      <c r="R199" s="1086"/>
      <c r="S199" s="1086"/>
      <c r="T199" s="1086"/>
      <c r="U199" s="1086"/>
      <c r="V199" s="1086"/>
      <c r="W199" s="1086"/>
      <c r="X199" s="1086"/>
      <c r="Y199" s="1086"/>
      <c r="Z199" s="1086"/>
      <c r="AA199" s="1086"/>
      <c r="AB199" s="1086"/>
    </row>
    <row r="200">
      <c r="A200" s="1100"/>
      <c r="B200" s="1086"/>
      <c r="C200" s="1086"/>
      <c r="D200" s="1086"/>
      <c r="E200" s="1086"/>
      <c r="F200" s="1086"/>
      <c r="G200" s="1086"/>
      <c r="H200" s="1086"/>
      <c r="I200" s="1086"/>
      <c r="J200" s="1086"/>
      <c r="K200" s="1086"/>
      <c r="L200" s="1086"/>
      <c r="M200" s="1086"/>
      <c r="N200" s="1086"/>
      <c r="O200" s="1086"/>
      <c r="P200" s="1086"/>
      <c r="Q200" s="1086"/>
      <c r="R200" s="1086"/>
      <c r="S200" s="1086"/>
      <c r="T200" s="1086"/>
      <c r="U200" s="1086"/>
      <c r="V200" s="1086"/>
      <c r="W200" s="1086"/>
      <c r="X200" s="1086"/>
      <c r="Y200" s="1086"/>
      <c r="Z200" s="1086"/>
      <c r="AA200" s="1086"/>
      <c r="AB200" s="1086"/>
    </row>
    <row r="201">
      <c r="A201" s="1100"/>
      <c r="B201" s="1086"/>
      <c r="C201" s="1086"/>
      <c r="D201" s="1086"/>
      <c r="E201" s="1086"/>
      <c r="F201" s="1086"/>
      <c r="G201" s="1086"/>
      <c r="H201" s="1086"/>
      <c r="I201" s="1086"/>
      <c r="J201" s="1086"/>
      <c r="K201" s="1086"/>
      <c r="L201" s="1086"/>
      <c r="M201" s="1086"/>
      <c r="N201" s="1086"/>
      <c r="O201" s="1086"/>
      <c r="P201" s="1086"/>
      <c r="Q201" s="1086"/>
      <c r="R201" s="1086"/>
      <c r="S201" s="1086"/>
      <c r="T201" s="1086"/>
      <c r="U201" s="1086"/>
      <c r="V201" s="1086"/>
      <c r="W201" s="1086"/>
      <c r="X201" s="1086"/>
      <c r="Y201" s="1086"/>
      <c r="Z201" s="1086"/>
      <c r="AA201" s="1086"/>
      <c r="AB201" s="1086"/>
    </row>
    <row r="202">
      <c r="A202" s="1100"/>
      <c r="B202" s="1086"/>
      <c r="C202" s="1086"/>
      <c r="D202" s="1086"/>
      <c r="E202" s="1086"/>
      <c r="F202" s="1086"/>
      <c r="G202" s="1086"/>
      <c r="H202" s="1086"/>
      <c r="I202" s="1086"/>
      <c r="J202" s="1086"/>
      <c r="K202" s="1086"/>
      <c r="L202" s="1086"/>
      <c r="M202" s="1086"/>
      <c r="N202" s="1086"/>
      <c r="O202" s="1086"/>
      <c r="P202" s="1086"/>
      <c r="Q202" s="1086"/>
      <c r="R202" s="1086"/>
      <c r="S202" s="1086"/>
      <c r="T202" s="1086"/>
      <c r="U202" s="1086"/>
      <c r="V202" s="1086"/>
      <c r="W202" s="1086"/>
      <c r="X202" s="1086"/>
      <c r="Y202" s="1086"/>
      <c r="Z202" s="1086"/>
      <c r="AA202" s="1086"/>
      <c r="AB202" s="1086"/>
    </row>
    <row r="203">
      <c r="A203" s="1100"/>
      <c r="B203" s="1086"/>
      <c r="C203" s="1086"/>
      <c r="D203" s="1086"/>
      <c r="E203" s="1086"/>
      <c r="F203" s="1086"/>
      <c r="G203" s="1086"/>
      <c r="H203" s="1086"/>
      <c r="I203" s="1086"/>
      <c r="J203" s="1086"/>
      <c r="K203" s="1086"/>
      <c r="L203" s="1086"/>
      <c r="M203" s="1086"/>
      <c r="N203" s="1086"/>
      <c r="O203" s="1086"/>
      <c r="P203" s="1086"/>
      <c r="Q203" s="1086"/>
      <c r="R203" s="1086"/>
      <c r="S203" s="1086"/>
      <c r="T203" s="1086"/>
      <c r="U203" s="1086"/>
      <c r="V203" s="1086"/>
      <c r="W203" s="1086"/>
      <c r="X203" s="1086"/>
      <c r="Y203" s="1086"/>
      <c r="Z203" s="1086"/>
      <c r="AA203" s="1086"/>
      <c r="AB203" s="1086"/>
    </row>
    <row r="204">
      <c r="A204" s="1100"/>
      <c r="B204" s="1086"/>
      <c r="C204" s="1086"/>
      <c r="D204" s="1086"/>
      <c r="E204" s="1086"/>
      <c r="F204" s="1086"/>
      <c r="G204" s="1086"/>
      <c r="H204" s="1086"/>
      <c r="I204" s="1086"/>
      <c r="J204" s="1086"/>
      <c r="K204" s="1086"/>
      <c r="L204" s="1086"/>
      <c r="M204" s="1086"/>
      <c r="N204" s="1086"/>
      <c r="O204" s="1086"/>
      <c r="P204" s="1086"/>
      <c r="Q204" s="1086"/>
      <c r="R204" s="1086"/>
      <c r="S204" s="1086"/>
      <c r="T204" s="1086"/>
      <c r="U204" s="1086"/>
      <c r="V204" s="1086"/>
      <c r="W204" s="1086"/>
      <c r="X204" s="1086"/>
      <c r="Y204" s="1086"/>
      <c r="Z204" s="1086"/>
      <c r="AA204" s="1086"/>
      <c r="AB204" s="1086"/>
    </row>
    <row r="205">
      <c r="A205" s="1100"/>
      <c r="B205" s="1086"/>
      <c r="C205" s="1086"/>
      <c r="D205" s="1086"/>
      <c r="E205" s="1086"/>
      <c r="F205" s="1086"/>
      <c r="G205" s="1086"/>
      <c r="H205" s="1086"/>
      <c r="I205" s="1086"/>
      <c r="J205" s="1086"/>
      <c r="K205" s="1086"/>
      <c r="L205" s="1086"/>
      <c r="M205" s="1086"/>
      <c r="N205" s="1086"/>
      <c r="O205" s="1086"/>
      <c r="P205" s="1086"/>
      <c r="Q205" s="1086"/>
      <c r="R205" s="1086"/>
      <c r="S205" s="1086"/>
      <c r="T205" s="1086"/>
      <c r="U205" s="1086"/>
      <c r="V205" s="1086"/>
      <c r="W205" s="1086"/>
      <c r="X205" s="1086"/>
      <c r="Y205" s="1086"/>
      <c r="Z205" s="1086"/>
      <c r="AA205" s="1086"/>
      <c r="AB205" s="1086"/>
    </row>
    <row r="206">
      <c r="A206" s="1100"/>
      <c r="B206" s="1086"/>
      <c r="C206" s="1086"/>
      <c r="D206" s="1086"/>
      <c r="E206" s="1086"/>
      <c r="F206" s="1086"/>
      <c r="G206" s="1086"/>
      <c r="H206" s="1086"/>
      <c r="I206" s="1086"/>
      <c r="J206" s="1086"/>
      <c r="K206" s="1086"/>
      <c r="L206" s="1086"/>
      <c r="M206" s="1086"/>
      <c r="N206" s="1086"/>
      <c r="O206" s="1086"/>
      <c r="P206" s="1086"/>
      <c r="Q206" s="1086"/>
      <c r="R206" s="1086"/>
      <c r="S206" s="1086"/>
      <c r="T206" s="1086"/>
      <c r="U206" s="1086"/>
      <c r="V206" s="1086"/>
      <c r="W206" s="1086"/>
      <c r="X206" s="1086"/>
      <c r="Y206" s="1086"/>
      <c r="Z206" s="1086"/>
      <c r="AA206" s="1086"/>
      <c r="AB206" s="1086"/>
    </row>
    <row r="207">
      <c r="A207" s="1100"/>
      <c r="B207" s="1086"/>
      <c r="C207" s="1086"/>
      <c r="D207" s="1086"/>
      <c r="E207" s="1086"/>
      <c r="F207" s="1086"/>
      <c r="G207" s="1086"/>
      <c r="H207" s="1086"/>
      <c r="I207" s="1086"/>
      <c r="J207" s="1086"/>
      <c r="K207" s="1086"/>
      <c r="L207" s="1086"/>
      <c r="M207" s="1086"/>
      <c r="N207" s="1086"/>
      <c r="O207" s="1086"/>
      <c r="P207" s="1086"/>
      <c r="Q207" s="1086"/>
      <c r="R207" s="1086"/>
      <c r="S207" s="1086"/>
      <c r="T207" s="1086"/>
      <c r="U207" s="1086"/>
      <c r="V207" s="1086"/>
      <c r="W207" s="1086"/>
      <c r="X207" s="1086"/>
      <c r="Y207" s="1086"/>
      <c r="Z207" s="1086"/>
      <c r="AA207" s="1086"/>
      <c r="AB207" s="1086"/>
    </row>
    <row r="208">
      <c r="A208" s="1100"/>
      <c r="B208" s="1086"/>
      <c r="C208" s="1086"/>
      <c r="D208" s="1086"/>
      <c r="E208" s="1086"/>
      <c r="F208" s="1086"/>
      <c r="G208" s="1086"/>
      <c r="H208" s="1086"/>
      <c r="I208" s="1086"/>
      <c r="J208" s="1086"/>
      <c r="K208" s="1086"/>
      <c r="L208" s="1086"/>
      <c r="M208" s="1086"/>
      <c r="N208" s="1086"/>
      <c r="O208" s="1086"/>
      <c r="P208" s="1086"/>
      <c r="Q208" s="1086"/>
      <c r="R208" s="1086"/>
      <c r="S208" s="1086"/>
      <c r="T208" s="1086"/>
      <c r="U208" s="1086"/>
      <c r="V208" s="1086"/>
      <c r="W208" s="1086"/>
      <c r="X208" s="1086"/>
      <c r="Y208" s="1086"/>
      <c r="Z208" s="1086"/>
      <c r="AA208" s="1086"/>
      <c r="AB208" s="1086"/>
    </row>
    <row r="209">
      <c r="A209" s="1100"/>
      <c r="B209" s="1086"/>
      <c r="C209" s="1086"/>
      <c r="D209" s="1086"/>
      <c r="E209" s="1086"/>
      <c r="F209" s="1086"/>
      <c r="G209" s="1086"/>
      <c r="H209" s="1086"/>
      <c r="I209" s="1086"/>
      <c r="J209" s="1086"/>
      <c r="K209" s="1086"/>
      <c r="L209" s="1086"/>
      <c r="M209" s="1086"/>
      <c r="N209" s="1086"/>
      <c r="O209" s="1086"/>
      <c r="P209" s="1086"/>
      <c r="Q209" s="1086"/>
      <c r="R209" s="1086"/>
      <c r="S209" s="1086"/>
      <c r="T209" s="1086"/>
      <c r="U209" s="1086"/>
      <c r="V209" s="1086"/>
      <c r="W209" s="1086"/>
      <c r="X209" s="1086"/>
      <c r="Y209" s="1086"/>
      <c r="Z209" s="1086"/>
      <c r="AA209" s="1086"/>
      <c r="AB209" s="1086"/>
    </row>
    <row r="210">
      <c r="A210" s="1100"/>
      <c r="B210" s="1086"/>
      <c r="C210" s="1086"/>
      <c r="D210" s="1086"/>
      <c r="E210" s="1086"/>
      <c r="F210" s="1086"/>
      <c r="G210" s="1086"/>
      <c r="H210" s="1086"/>
      <c r="I210" s="1086"/>
      <c r="J210" s="1086"/>
      <c r="K210" s="1086"/>
      <c r="L210" s="1086"/>
      <c r="M210" s="1086"/>
      <c r="N210" s="1086"/>
      <c r="O210" s="1086"/>
      <c r="P210" s="1086"/>
      <c r="Q210" s="1086"/>
      <c r="R210" s="1086"/>
      <c r="S210" s="1086"/>
      <c r="T210" s="1086"/>
      <c r="U210" s="1086"/>
      <c r="V210" s="1086"/>
      <c r="W210" s="1086"/>
      <c r="X210" s="1086"/>
      <c r="Y210" s="1086"/>
      <c r="Z210" s="1086"/>
      <c r="AA210" s="1086"/>
      <c r="AB210" s="1086"/>
    </row>
    <row r="211">
      <c r="A211" s="1100"/>
      <c r="B211" s="1086"/>
      <c r="C211" s="1086"/>
      <c r="D211" s="1086"/>
      <c r="E211" s="1086"/>
      <c r="F211" s="1086"/>
      <c r="G211" s="1086"/>
      <c r="H211" s="1086"/>
      <c r="I211" s="1086"/>
      <c r="J211" s="1086"/>
      <c r="K211" s="1086"/>
      <c r="L211" s="1086"/>
      <c r="M211" s="1086"/>
      <c r="N211" s="1086"/>
      <c r="O211" s="1086"/>
      <c r="P211" s="1086"/>
      <c r="Q211" s="1086"/>
      <c r="R211" s="1086"/>
      <c r="S211" s="1086"/>
      <c r="T211" s="1086"/>
      <c r="U211" s="1086"/>
      <c r="V211" s="1086"/>
      <c r="W211" s="1086"/>
      <c r="X211" s="1086"/>
      <c r="Y211" s="1086"/>
      <c r="Z211" s="1086"/>
      <c r="AA211" s="1086"/>
      <c r="AB211" s="1086"/>
    </row>
    <row r="212">
      <c r="A212" s="1100"/>
      <c r="B212" s="1086"/>
      <c r="C212" s="1086"/>
      <c r="D212" s="1086"/>
      <c r="E212" s="1086"/>
      <c r="F212" s="1086"/>
      <c r="G212" s="1086"/>
      <c r="H212" s="1086"/>
      <c r="I212" s="1086"/>
      <c r="J212" s="1086"/>
      <c r="K212" s="1086"/>
      <c r="L212" s="1086"/>
      <c r="M212" s="1086"/>
      <c r="N212" s="1086"/>
      <c r="O212" s="1086"/>
      <c r="P212" s="1086"/>
      <c r="Q212" s="1086"/>
      <c r="R212" s="1086"/>
      <c r="S212" s="1086"/>
      <c r="T212" s="1086"/>
      <c r="U212" s="1086"/>
      <c r="V212" s="1086"/>
      <c r="W212" s="1086"/>
      <c r="X212" s="1086"/>
      <c r="Y212" s="1086"/>
      <c r="Z212" s="1086"/>
      <c r="AA212" s="1086"/>
      <c r="AB212" s="1086"/>
    </row>
    <row r="213">
      <c r="A213" s="1100"/>
      <c r="B213" s="1086"/>
      <c r="C213" s="1086"/>
      <c r="D213" s="1086"/>
      <c r="E213" s="1086"/>
      <c r="F213" s="1086"/>
      <c r="G213" s="1086"/>
      <c r="H213" s="1086"/>
      <c r="I213" s="1086"/>
      <c r="J213" s="1086"/>
      <c r="K213" s="1086"/>
      <c r="L213" s="1086"/>
      <c r="M213" s="1086"/>
      <c r="N213" s="1086"/>
      <c r="O213" s="1086"/>
      <c r="P213" s="1086"/>
      <c r="Q213" s="1086"/>
      <c r="R213" s="1086"/>
      <c r="S213" s="1086"/>
      <c r="T213" s="1086"/>
      <c r="U213" s="1086"/>
      <c r="V213" s="1086"/>
      <c r="W213" s="1086"/>
      <c r="X213" s="1086"/>
      <c r="Y213" s="1086"/>
      <c r="Z213" s="1086"/>
      <c r="AA213" s="1086"/>
      <c r="AB213" s="1086"/>
    </row>
    <row r="214">
      <c r="A214" s="1100"/>
      <c r="B214" s="1086"/>
      <c r="C214" s="1086"/>
      <c r="D214" s="1086"/>
      <c r="E214" s="1086"/>
      <c r="F214" s="1086"/>
      <c r="G214" s="1086"/>
      <c r="H214" s="1086"/>
      <c r="I214" s="1086"/>
      <c r="J214" s="1086"/>
      <c r="K214" s="1086"/>
      <c r="L214" s="1086"/>
      <c r="M214" s="1086"/>
      <c r="N214" s="1086"/>
      <c r="O214" s="1086"/>
      <c r="P214" s="1086"/>
      <c r="Q214" s="1086"/>
      <c r="R214" s="1086"/>
      <c r="S214" s="1086"/>
      <c r="T214" s="1086"/>
      <c r="U214" s="1086"/>
      <c r="V214" s="1086"/>
      <c r="W214" s="1086"/>
      <c r="X214" s="1086"/>
      <c r="Y214" s="1086"/>
      <c r="Z214" s="1086"/>
      <c r="AA214" s="1086"/>
      <c r="AB214" s="1086"/>
    </row>
    <row r="215">
      <c r="A215" s="1100"/>
      <c r="B215" s="1086"/>
      <c r="C215" s="1086"/>
      <c r="D215" s="1086"/>
      <c r="E215" s="1086"/>
      <c r="F215" s="1086"/>
      <c r="G215" s="1086"/>
      <c r="H215" s="1086"/>
      <c r="I215" s="1086"/>
      <c r="J215" s="1086"/>
      <c r="K215" s="1086"/>
      <c r="L215" s="1086"/>
      <c r="M215" s="1086"/>
      <c r="N215" s="1086"/>
      <c r="O215" s="1086"/>
      <c r="P215" s="1086"/>
      <c r="Q215" s="1086"/>
      <c r="R215" s="1086"/>
      <c r="S215" s="1086"/>
      <c r="T215" s="1086"/>
      <c r="U215" s="1086"/>
      <c r="V215" s="1086"/>
      <c r="W215" s="1086"/>
      <c r="X215" s="1086"/>
      <c r="Y215" s="1086"/>
      <c r="Z215" s="1086"/>
      <c r="AA215" s="1086"/>
      <c r="AB215" s="1086"/>
    </row>
    <row r="216">
      <c r="A216" s="1100"/>
      <c r="B216" s="1086"/>
      <c r="C216" s="1086"/>
      <c r="D216" s="1086"/>
      <c r="E216" s="1086"/>
      <c r="F216" s="1086"/>
      <c r="G216" s="1086"/>
      <c r="H216" s="1086"/>
      <c r="I216" s="1086"/>
      <c r="J216" s="1086"/>
      <c r="K216" s="1086"/>
      <c r="L216" s="1086"/>
      <c r="M216" s="1086"/>
      <c r="N216" s="1086"/>
      <c r="O216" s="1086"/>
      <c r="P216" s="1086"/>
      <c r="Q216" s="1086"/>
      <c r="R216" s="1086"/>
      <c r="S216" s="1086"/>
      <c r="T216" s="1086"/>
      <c r="U216" s="1086"/>
      <c r="V216" s="1086"/>
      <c r="W216" s="1086"/>
      <c r="X216" s="1086"/>
      <c r="Y216" s="1086"/>
      <c r="Z216" s="1086"/>
      <c r="AA216" s="1086"/>
      <c r="AB216" s="1086"/>
    </row>
    <row r="217">
      <c r="A217" s="1100"/>
      <c r="B217" s="1086"/>
      <c r="C217" s="1086"/>
      <c r="D217" s="1086"/>
      <c r="E217" s="1086"/>
      <c r="F217" s="1086"/>
      <c r="G217" s="1086"/>
      <c r="H217" s="1086"/>
      <c r="I217" s="1086"/>
      <c r="J217" s="1086"/>
      <c r="K217" s="1086"/>
      <c r="L217" s="1086"/>
      <c r="M217" s="1086"/>
      <c r="N217" s="1086"/>
      <c r="O217" s="1086"/>
      <c r="P217" s="1086"/>
      <c r="Q217" s="1086"/>
      <c r="R217" s="1086"/>
      <c r="S217" s="1086"/>
      <c r="T217" s="1086"/>
      <c r="U217" s="1086"/>
      <c r="V217" s="1086"/>
      <c r="W217" s="1086"/>
      <c r="X217" s="1086"/>
      <c r="Y217" s="1086"/>
      <c r="Z217" s="1086"/>
      <c r="AA217" s="1086"/>
      <c r="AB217" s="1086"/>
    </row>
    <row r="218">
      <c r="A218" s="1100"/>
      <c r="B218" s="1086"/>
      <c r="C218" s="1086"/>
      <c r="D218" s="1086"/>
      <c r="E218" s="1086"/>
      <c r="F218" s="1086"/>
      <c r="G218" s="1086"/>
      <c r="H218" s="1086"/>
      <c r="I218" s="1086"/>
      <c r="J218" s="1086"/>
      <c r="K218" s="1086"/>
      <c r="L218" s="1086"/>
      <c r="M218" s="1086"/>
      <c r="N218" s="1086"/>
      <c r="O218" s="1086"/>
      <c r="P218" s="1086"/>
      <c r="Q218" s="1086"/>
      <c r="R218" s="1086"/>
      <c r="S218" s="1086"/>
      <c r="T218" s="1086"/>
      <c r="U218" s="1086"/>
      <c r="V218" s="1086"/>
      <c r="W218" s="1086"/>
      <c r="X218" s="1086"/>
      <c r="Y218" s="1086"/>
      <c r="Z218" s="1086"/>
      <c r="AA218" s="1086"/>
      <c r="AB218" s="1086"/>
    </row>
    <row r="219">
      <c r="A219" s="1100"/>
      <c r="B219" s="1086"/>
      <c r="C219" s="1086"/>
      <c r="D219" s="1086"/>
      <c r="E219" s="1086"/>
      <c r="F219" s="1086"/>
      <c r="G219" s="1086"/>
      <c r="H219" s="1086"/>
      <c r="I219" s="1086"/>
      <c r="J219" s="1086"/>
      <c r="K219" s="1086"/>
      <c r="L219" s="1086"/>
      <c r="M219" s="1086"/>
      <c r="N219" s="1086"/>
      <c r="O219" s="1086"/>
      <c r="P219" s="1086"/>
      <c r="Q219" s="1086"/>
      <c r="R219" s="1086"/>
      <c r="S219" s="1086"/>
      <c r="T219" s="1086"/>
      <c r="U219" s="1086"/>
      <c r="V219" s="1086"/>
      <c r="W219" s="1086"/>
      <c r="X219" s="1086"/>
      <c r="Y219" s="1086"/>
      <c r="Z219" s="1086"/>
      <c r="AA219" s="1086"/>
      <c r="AB219" s="1086"/>
    </row>
    <row r="220">
      <c r="A220" s="1100"/>
      <c r="B220" s="1086"/>
      <c r="C220" s="1086"/>
      <c r="D220" s="1086"/>
      <c r="E220" s="1086"/>
      <c r="F220" s="1086"/>
      <c r="G220" s="1086"/>
      <c r="H220" s="1086"/>
      <c r="I220" s="1086"/>
      <c r="J220" s="1086"/>
      <c r="K220" s="1086"/>
      <c r="L220" s="1086"/>
      <c r="M220" s="1086"/>
      <c r="N220" s="1086"/>
      <c r="O220" s="1086"/>
      <c r="P220" s="1086"/>
      <c r="Q220" s="1086"/>
      <c r="R220" s="1086"/>
      <c r="S220" s="1086"/>
      <c r="T220" s="1086"/>
      <c r="U220" s="1086"/>
      <c r="V220" s="1086"/>
      <c r="W220" s="1086"/>
      <c r="X220" s="1086"/>
      <c r="Y220" s="1086"/>
      <c r="Z220" s="1086"/>
      <c r="AA220" s="1086"/>
      <c r="AB220" s="1086"/>
    </row>
    <row r="221">
      <c r="A221" s="1100"/>
      <c r="B221" s="1086"/>
      <c r="C221" s="1086"/>
      <c r="D221" s="1086"/>
      <c r="E221" s="1086"/>
      <c r="F221" s="1086"/>
      <c r="G221" s="1086"/>
      <c r="H221" s="1086"/>
      <c r="I221" s="1086"/>
      <c r="J221" s="1086"/>
      <c r="K221" s="1086"/>
      <c r="L221" s="1086"/>
      <c r="M221" s="1086"/>
      <c r="N221" s="1086"/>
      <c r="O221" s="1086"/>
      <c r="P221" s="1086"/>
      <c r="Q221" s="1086"/>
      <c r="R221" s="1086"/>
      <c r="S221" s="1086"/>
      <c r="T221" s="1086"/>
      <c r="U221" s="1086"/>
      <c r="V221" s="1086"/>
      <c r="W221" s="1086"/>
      <c r="X221" s="1086"/>
      <c r="Y221" s="1086"/>
      <c r="Z221" s="1086"/>
      <c r="AA221" s="1086"/>
      <c r="AB221" s="1086"/>
    </row>
    <row r="222">
      <c r="A222" s="1100"/>
      <c r="B222" s="1086"/>
      <c r="C222" s="1086"/>
      <c r="D222" s="1086"/>
      <c r="E222" s="1086"/>
      <c r="F222" s="1086"/>
      <c r="G222" s="1086"/>
      <c r="H222" s="1086"/>
      <c r="I222" s="1086"/>
      <c r="J222" s="1086"/>
      <c r="K222" s="1086"/>
      <c r="L222" s="1086"/>
      <c r="M222" s="1086"/>
      <c r="N222" s="1086"/>
      <c r="O222" s="1086"/>
      <c r="P222" s="1086"/>
      <c r="Q222" s="1086"/>
      <c r="R222" s="1086"/>
      <c r="S222" s="1086"/>
      <c r="T222" s="1086"/>
      <c r="U222" s="1086"/>
      <c r="V222" s="1086"/>
      <c r="W222" s="1086"/>
      <c r="X222" s="1086"/>
      <c r="Y222" s="1086"/>
      <c r="Z222" s="1086"/>
      <c r="AA222" s="1086"/>
      <c r="AB222" s="1086"/>
    </row>
    <row r="223">
      <c r="A223" s="1100"/>
      <c r="B223" s="1086"/>
      <c r="C223" s="1086"/>
      <c r="D223" s="1086"/>
      <c r="E223" s="1086"/>
      <c r="F223" s="1086"/>
      <c r="G223" s="1086"/>
      <c r="H223" s="1086"/>
      <c r="I223" s="1086"/>
      <c r="J223" s="1086"/>
      <c r="K223" s="1086"/>
      <c r="L223" s="1086"/>
      <c r="M223" s="1086"/>
      <c r="N223" s="1086"/>
      <c r="O223" s="1086"/>
      <c r="P223" s="1086"/>
      <c r="Q223" s="1086"/>
      <c r="R223" s="1086"/>
      <c r="S223" s="1086"/>
      <c r="T223" s="1086"/>
      <c r="U223" s="1086"/>
      <c r="V223" s="1086"/>
      <c r="W223" s="1086"/>
      <c r="X223" s="1086"/>
      <c r="Y223" s="1086"/>
      <c r="Z223" s="1086"/>
      <c r="AA223" s="1086"/>
      <c r="AB223" s="1086"/>
    </row>
    <row r="224">
      <c r="A224" s="1100"/>
      <c r="B224" s="1086"/>
      <c r="C224" s="1086"/>
      <c r="D224" s="1086"/>
      <c r="E224" s="1086"/>
      <c r="F224" s="1086"/>
      <c r="G224" s="1086"/>
      <c r="H224" s="1086"/>
      <c r="I224" s="1086"/>
      <c r="J224" s="1086"/>
      <c r="K224" s="1086"/>
      <c r="L224" s="1086"/>
      <c r="M224" s="1086"/>
      <c r="N224" s="1086"/>
      <c r="O224" s="1086"/>
      <c r="P224" s="1086"/>
      <c r="Q224" s="1086"/>
      <c r="R224" s="1086"/>
      <c r="S224" s="1086"/>
      <c r="T224" s="1086"/>
      <c r="U224" s="1086"/>
      <c r="V224" s="1086"/>
      <c r="W224" s="1086"/>
      <c r="X224" s="1086"/>
      <c r="Y224" s="1086"/>
      <c r="Z224" s="1086"/>
      <c r="AA224" s="1086"/>
      <c r="AB224" s="1086"/>
    </row>
    <row r="225">
      <c r="A225" s="1100"/>
      <c r="B225" s="1086"/>
      <c r="C225" s="1086"/>
      <c r="D225" s="1086"/>
      <c r="E225" s="1086"/>
      <c r="F225" s="1086"/>
      <c r="G225" s="1086"/>
      <c r="H225" s="1086"/>
      <c r="I225" s="1086"/>
      <c r="J225" s="1086"/>
      <c r="K225" s="1086"/>
      <c r="L225" s="1086"/>
      <c r="M225" s="1086"/>
      <c r="N225" s="1086"/>
      <c r="O225" s="1086"/>
      <c r="P225" s="1086"/>
      <c r="Q225" s="1086"/>
      <c r="R225" s="1086"/>
      <c r="S225" s="1086"/>
      <c r="T225" s="1086"/>
      <c r="U225" s="1086"/>
      <c r="V225" s="1086"/>
      <c r="W225" s="1086"/>
      <c r="X225" s="1086"/>
      <c r="Y225" s="1086"/>
      <c r="Z225" s="1086"/>
      <c r="AA225" s="1086"/>
      <c r="AB225" s="1086"/>
    </row>
    <row r="226">
      <c r="A226" s="1100"/>
      <c r="B226" s="1086"/>
      <c r="C226" s="1086"/>
      <c r="D226" s="1086"/>
      <c r="E226" s="1086"/>
      <c r="F226" s="1086"/>
      <c r="G226" s="1086"/>
      <c r="H226" s="1086"/>
      <c r="I226" s="1086"/>
      <c r="J226" s="1086"/>
      <c r="K226" s="1086"/>
      <c r="L226" s="1086"/>
      <c r="M226" s="1086"/>
      <c r="N226" s="1086"/>
      <c r="O226" s="1086"/>
      <c r="P226" s="1086"/>
      <c r="Q226" s="1086"/>
      <c r="R226" s="1086"/>
      <c r="S226" s="1086"/>
      <c r="T226" s="1086"/>
      <c r="U226" s="1086"/>
      <c r="V226" s="1086"/>
      <c r="W226" s="1086"/>
      <c r="X226" s="1086"/>
      <c r="Y226" s="1086"/>
      <c r="Z226" s="1086"/>
      <c r="AA226" s="1086"/>
      <c r="AB226" s="1086"/>
    </row>
    <row r="227">
      <c r="A227" s="1100"/>
      <c r="B227" s="1086"/>
      <c r="C227" s="1086"/>
      <c r="D227" s="1086"/>
      <c r="E227" s="1086"/>
      <c r="F227" s="1086"/>
      <c r="G227" s="1086"/>
      <c r="H227" s="1086"/>
      <c r="I227" s="1086"/>
      <c r="J227" s="1086"/>
      <c r="K227" s="1086"/>
      <c r="L227" s="1086"/>
      <c r="M227" s="1086"/>
      <c r="N227" s="1086"/>
      <c r="O227" s="1086"/>
      <c r="P227" s="1086"/>
      <c r="Q227" s="1086"/>
      <c r="R227" s="1086"/>
      <c r="S227" s="1086"/>
      <c r="T227" s="1086"/>
      <c r="U227" s="1086"/>
      <c r="V227" s="1086"/>
      <c r="W227" s="1086"/>
      <c r="X227" s="1086"/>
      <c r="Y227" s="1086"/>
      <c r="Z227" s="1086"/>
      <c r="AA227" s="1086"/>
      <c r="AB227" s="1086"/>
    </row>
    <row r="228">
      <c r="A228" s="1100"/>
      <c r="B228" s="1086"/>
      <c r="C228" s="1086"/>
      <c r="D228" s="1086"/>
      <c r="E228" s="1086"/>
      <c r="F228" s="1086"/>
      <c r="G228" s="1086"/>
      <c r="H228" s="1086"/>
      <c r="I228" s="1086"/>
      <c r="J228" s="1086"/>
      <c r="K228" s="1086"/>
      <c r="L228" s="1086"/>
      <c r="M228" s="1086"/>
      <c r="N228" s="1086"/>
      <c r="O228" s="1086"/>
      <c r="P228" s="1086"/>
      <c r="Q228" s="1086"/>
      <c r="R228" s="1086"/>
      <c r="S228" s="1086"/>
      <c r="T228" s="1086"/>
      <c r="U228" s="1086"/>
      <c r="V228" s="1086"/>
      <c r="W228" s="1086"/>
      <c r="X228" s="1086"/>
      <c r="Y228" s="1086"/>
      <c r="Z228" s="1086"/>
      <c r="AA228" s="1086"/>
      <c r="AB228" s="1086"/>
    </row>
    <row r="229">
      <c r="A229" s="1100"/>
      <c r="B229" s="1086"/>
      <c r="C229" s="1086"/>
      <c r="D229" s="1086"/>
      <c r="E229" s="1086"/>
      <c r="F229" s="1086"/>
      <c r="G229" s="1086"/>
      <c r="H229" s="1086"/>
      <c r="I229" s="1086"/>
      <c r="J229" s="1086"/>
      <c r="K229" s="1086"/>
      <c r="L229" s="1086"/>
      <c r="M229" s="1086"/>
      <c r="N229" s="1086"/>
      <c r="O229" s="1086"/>
      <c r="P229" s="1086"/>
      <c r="Q229" s="1086"/>
      <c r="R229" s="1086"/>
      <c r="S229" s="1086"/>
      <c r="T229" s="1086"/>
      <c r="U229" s="1086"/>
      <c r="V229" s="1086"/>
      <c r="W229" s="1086"/>
      <c r="X229" s="1086"/>
      <c r="Y229" s="1086"/>
      <c r="Z229" s="1086"/>
      <c r="AA229" s="1086"/>
      <c r="AB229" s="1086"/>
    </row>
    <row r="230">
      <c r="A230" s="1100"/>
      <c r="B230" s="1086"/>
      <c r="C230" s="1086"/>
      <c r="D230" s="1086"/>
      <c r="E230" s="1086"/>
      <c r="F230" s="1086"/>
      <c r="G230" s="1086"/>
      <c r="H230" s="1086"/>
      <c r="I230" s="1086"/>
      <c r="J230" s="1086"/>
      <c r="K230" s="1086"/>
      <c r="L230" s="1086"/>
      <c r="M230" s="1086"/>
      <c r="N230" s="1086"/>
      <c r="O230" s="1086"/>
      <c r="P230" s="1086"/>
      <c r="Q230" s="1086"/>
      <c r="R230" s="1086"/>
      <c r="S230" s="1086"/>
      <c r="T230" s="1086"/>
      <c r="U230" s="1086"/>
      <c r="V230" s="1086"/>
      <c r="W230" s="1086"/>
      <c r="X230" s="1086"/>
      <c r="Y230" s="1086"/>
      <c r="Z230" s="1086"/>
      <c r="AA230" s="1086"/>
      <c r="AB230" s="1086"/>
    </row>
    <row r="231">
      <c r="A231" s="1100"/>
      <c r="B231" s="1086"/>
      <c r="C231" s="1086"/>
      <c r="D231" s="1086"/>
      <c r="E231" s="1086"/>
      <c r="F231" s="1086"/>
      <c r="G231" s="1086"/>
      <c r="H231" s="1086"/>
      <c r="I231" s="1086"/>
      <c r="J231" s="1086"/>
      <c r="K231" s="1086"/>
      <c r="L231" s="1086"/>
      <c r="M231" s="1086"/>
      <c r="N231" s="1086"/>
      <c r="O231" s="1086"/>
      <c r="P231" s="1086"/>
      <c r="Q231" s="1086"/>
      <c r="R231" s="1086"/>
      <c r="S231" s="1086"/>
      <c r="T231" s="1086"/>
      <c r="U231" s="1086"/>
      <c r="V231" s="1086"/>
      <c r="W231" s="1086"/>
      <c r="X231" s="1086"/>
      <c r="Y231" s="1086"/>
      <c r="Z231" s="1086"/>
      <c r="AA231" s="1086"/>
      <c r="AB231" s="1086"/>
    </row>
    <row r="232">
      <c r="A232" s="1100"/>
      <c r="B232" s="1086"/>
      <c r="C232" s="1086"/>
      <c r="D232" s="1086"/>
      <c r="E232" s="1086"/>
      <c r="F232" s="1086"/>
      <c r="G232" s="1086"/>
      <c r="H232" s="1086"/>
      <c r="I232" s="1086"/>
      <c r="J232" s="1086"/>
      <c r="K232" s="1086"/>
      <c r="L232" s="1086"/>
      <c r="M232" s="1086"/>
      <c r="N232" s="1086"/>
      <c r="O232" s="1086"/>
      <c r="P232" s="1086"/>
      <c r="Q232" s="1086"/>
      <c r="R232" s="1086"/>
      <c r="S232" s="1086"/>
      <c r="T232" s="1086"/>
      <c r="U232" s="1086"/>
      <c r="V232" s="1086"/>
      <c r="W232" s="1086"/>
      <c r="X232" s="1086"/>
      <c r="Y232" s="1086"/>
      <c r="Z232" s="1086"/>
      <c r="AA232" s="1086"/>
      <c r="AB232" s="1086"/>
    </row>
    <row r="233">
      <c r="A233" s="1100"/>
      <c r="B233" s="1086"/>
      <c r="C233" s="1086"/>
      <c r="D233" s="1086"/>
      <c r="E233" s="1086"/>
      <c r="F233" s="1086"/>
      <c r="G233" s="1086"/>
      <c r="H233" s="1086"/>
      <c r="I233" s="1086"/>
      <c r="J233" s="1086"/>
      <c r="K233" s="1086"/>
      <c r="L233" s="1086"/>
      <c r="M233" s="1086"/>
      <c r="N233" s="1086"/>
      <c r="O233" s="1086"/>
      <c r="P233" s="1086"/>
      <c r="Q233" s="1086"/>
      <c r="R233" s="1086"/>
      <c r="S233" s="1086"/>
      <c r="T233" s="1086"/>
      <c r="U233" s="1086"/>
      <c r="V233" s="1086"/>
      <c r="W233" s="1086"/>
      <c r="X233" s="1086"/>
      <c r="Y233" s="1086"/>
      <c r="Z233" s="1086"/>
      <c r="AA233" s="1086"/>
      <c r="AB233" s="1086"/>
    </row>
    <row r="234">
      <c r="A234" s="1100"/>
      <c r="B234" s="1086"/>
      <c r="C234" s="1086"/>
      <c r="D234" s="1086"/>
      <c r="E234" s="1086"/>
      <c r="F234" s="1086"/>
      <c r="G234" s="1086"/>
      <c r="H234" s="1086"/>
      <c r="I234" s="1086"/>
      <c r="J234" s="1086"/>
      <c r="K234" s="1086"/>
      <c r="L234" s="1086"/>
      <c r="M234" s="1086"/>
      <c r="N234" s="1086"/>
      <c r="O234" s="1086"/>
      <c r="P234" s="1086"/>
      <c r="Q234" s="1086"/>
      <c r="R234" s="1086"/>
      <c r="S234" s="1086"/>
      <c r="T234" s="1086"/>
      <c r="U234" s="1086"/>
      <c r="V234" s="1086"/>
      <c r="W234" s="1086"/>
      <c r="X234" s="1086"/>
      <c r="Y234" s="1086"/>
      <c r="Z234" s="1086"/>
      <c r="AA234" s="1086"/>
      <c r="AB234" s="1086"/>
    </row>
    <row r="235">
      <c r="A235" s="1100"/>
      <c r="B235" s="1086"/>
      <c r="C235" s="1086"/>
      <c r="D235" s="1086"/>
      <c r="E235" s="1086"/>
      <c r="F235" s="1086"/>
      <c r="G235" s="1086"/>
      <c r="H235" s="1086"/>
      <c r="I235" s="1086"/>
      <c r="J235" s="1086"/>
      <c r="K235" s="1086"/>
      <c r="L235" s="1086"/>
      <c r="M235" s="1086"/>
      <c r="N235" s="1086"/>
      <c r="O235" s="1086"/>
      <c r="P235" s="1086"/>
      <c r="Q235" s="1086"/>
      <c r="R235" s="1086"/>
      <c r="S235" s="1086"/>
      <c r="T235" s="1086"/>
      <c r="U235" s="1086"/>
      <c r="V235" s="1086"/>
      <c r="W235" s="1086"/>
      <c r="X235" s="1086"/>
      <c r="Y235" s="1086"/>
      <c r="Z235" s="1086"/>
      <c r="AA235" s="1086"/>
      <c r="AB235" s="1086"/>
    </row>
    <row r="236">
      <c r="A236" s="1100"/>
      <c r="B236" s="1086"/>
      <c r="C236" s="1086"/>
      <c r="D236" s="1086"/>
      <c r="E236" s="1086"/>
      <c r="F236" s="1086"/>
      <c r="G236" s="1086"/>
      <c r="H236" s="1086"/>
      <c r="I236" s="1086"/>
      <c r="J236" s="1086"/>
      <c r="K236" s="1086"/>
      <c r="L236" s="1086"/>
      <c r="M236" s="1086"/>
      <c r="N236" s="1086"/>
      <c r="O236" s="1086"/>
      <c r="P236" s="1086"/>
      <c r="Q236" s="1086"/>
      <c r="R236" s="1086"/>
      <c r="S236" s="1086"/>
      <c r="T236" s="1086"/>
      <c r="U236" s="1086"/>
      <c r="V236" s="1086"/>
      <c r="W236" s="1086"/>
      <c r="X236" s="1086"/>
      <c r="Y236" s="1086"/>
      <c r="Z236" s="1086"/>
      <c r="AA236" s="1086"/>
      <c r="AB236" s="1086"/>
    </row>
    <row r="237">
      <c r="A237" s="1100"/>
      <c r="B237" s="1086"/>
      <c r="C237" s="1086"/>
      <c r="D237" s="1086"/>
      <c r="E237" s="1086"/>
      <c r="F237" s="1086"/>
      <c r="G237" s="1086"/>
      <c r="H237" s="1086"/>
      <c r="I237" s="1086"/>
      <c r="J237" s="1086"/>
      <c r="K237" s="1086"/>
      <c r="L237" s="1086"/>
      <c r="M237" s="1086"/>
      <c r="N237" s="1086"/>
      <c r="O237" s="1086"/>
      <c r="P237" s="1086"/>
      <c r="Q237" s="1086"/>
      <c r="R237" s="1086"/>
      <c r="S237" s="1086"/>
      <c r="T237" s="1086"/>
      <c r="U237" s="1086"/>
      <c r="V237" s="1086"/>
      <c r="W237" s="1086"/>
      <c r="X237" s="1086"/>
      <c r="Y237" s="1086"/>
      <c r="Z237" s="1086"/>
      <c r="AA237" s="1086"/>
      <c r="AB237" s="1086"/>
    </row>
    <row r="238">
      <c r="A238" s="1100"/>
      <c r="B238" s="1086"/>
      <c r="C238" s="1086"/>
      <c r="D238" s="1086"/>
      <c r="E238" s="1086"/>
      <c r="F238" s="1086"/>
      <c r="G238" s="1086"/>
      <c r="H238" s="1086"/>
      <c r="I238" s="1086"/>
      <c r="J238" s="1086"/>
      <c r="K238" s="1086"/>
      <c r="L238" s="1086"/>
      <c r="M238" s="1086"/>
      <c r="N238" s="1086"/>
      <c r="O238" s="1086"/>
      <c r="P238" s="1086"/>
      <c r="Q238" s="1086"/>
      <c r="R238" s="1086"/>
      <c r="S238" s="1086"/>
      <c r="T238" s="1086"/>
      <c r="U238" s="1086"/>
      <c r="V238" s="1086"/>
      <c r="W238" s="1086"/>
      <c r="X238" s="1086"/>
      <c r="Y238" s="1086"/>
      <c r="Z238" s="1086"/>
      <c r="AA238" s="1086"/>
      <c r="AB238" s="1086"/>
    </row>
    <row r="239">
      <c r="A239" s="1100"/>
      <c r="B239" s="1086"/>
      <c r="C239" s="1086"/>
      <c r="D239" s="1086"/>
      <c r="E239" s="1086"/>
      <c r="F239" s="1086"/>
      <c r="G239" s="1086"/>
      <c r="H239" s="1086"/>
      <c r="I239" s="1086"/>
      <c r="J239" s="1086"/>
      <c r="K239" s="1086"/>
      <c r="L239" s="1086"/>
      <c r="M239" s="1086"/>
      <c r="N239" s="1086"/>
      <c r="O239" s="1086"/>
      <c r="P239" s="1086"/>
      <c r="Q239" s="1086"/>
      <c r="R239" s="1086"/>
      <c r="S239" s="1086"/>
      <c r="T239" s="1086"/>
      <c r="U239" s="1086"/>
      <c r="V239" s="1086"/>
      <c r="W239" s="1086"/>
      <c r="X239" s="1086"/>
      <c r="Y239" s="1086"/>
      <c r="Z239" s="1086"/>
      <c r="AA239" s="1086"/>
      <c r="AB239" s="1086"/>
    </row>
    <row r="240">
      <c r="A240" s="1100"/>
      <c r="B240" s="1086"/>
      <c r="C240" s="1086"/>
      <c r="D240" s="1086"/>
      <c r="E240" s="1086"/>
      <c r="F240" s="1086"/>
      <c r="G240" s="1086"/>
      <c r="H240" s="1086"/>
      <c r="I240" s="1086"/>
      <c r="J240" s="1086"/>
      <c r="K240" s="1086"/>
      <c r="L240" s="1086"/>
      <c r="M240" s="1086"/>
      <c r="N240" s="1086"/>
      <c r="O240" s="1086"/>
      <c r="P240" s="1086"/>
      <c r="Q240" s="1086"/>
      <c r="R240" s="1086"/>
      <c r="S240" s="1086"/>
      <c r="T240" s="1086"/>
      <c r="U240" s="1086"/>
      <c r="V240" s="1086"/>
      <c r="W240" s="1086"/>
      <c r="X240" s="1086"/>
      <c r="Y240" s="1086"/>
      <c r="Z240" s="1086"/>
      <c r="AA240" s="1086"/>
      <c r="AB240" s="1086"/>
    </row>
    <row r="241">
      <c r="A241" s="1100"/>
      <c r="B241" s="1086"/>
      <c r="C241" s="1086"/>
      <c r="D241" s="1086"/>
      <c r="E241" s="1086"/>
      <c r="F241" s="1086"/>
      <c r="G241" s="1086"/>
      <c r="H241" s="1086"/>
      <c r="I241" s="1086"/>
      <c r="J241" s="1086"/>
      <c r="K241" s="1086"/>
      <c r="L241" s="1086"/>
      <c r="M241" s="1086"/>
      <c r="N241" s="1086"/>
      <c r="O241" s="1086"/>
      <c r="P241" s="1086"/>
      <c r="Q241" s="1086"/>
      <c r="R241" s="1086"/>
      <c r="S241" s="1086"/>
      <c r="T241" s="1086"/>
      <c r="U241" s="1086"/>
      <c r="V241" s="1086"/>
      <c r="W241" s="1086"/>
      <c r="X241" s="1086"/>
      <c r="Y241" s="1086"/>
      <c r="Z241" s="1086"/>
      <c r="AA241" s="1086"/>
      <c r="AB241" s="1086"/>
    </row>
    <row r="242">
      <c r="A242" s="1100"/>
      <c r="B242" s="1086"/>
      <c r="C242" s="1086"/>
      <c r="D242" s="1086"/>
      <c r="E242" s="1086"/>
      <c r="F242" s="1086"/>
      <c r="G242" s="1086"/>
      <c r="H242" s="1086"/>
      <c r="I242" s="1086"/>
      <c r="J242" s="1086"/>
      <c r="K242" s="1086"/>
      <c r="L242" s="1086"/>
      <c r="M242" s="1086"/>
      <c r="N242" s="1086"/>
      <c r="O242" s="1086"/>
      <c r="P242" s="1086"/>
      <c r="Q242" s="1086"/>
      <c r="R242" s="1086"/>
      <c r="S242" s="1086"/>
      <c r="T242" s="1086"/>
      <c r="U242" s="1086"/>
      <c r="V242" s="1086"/>
      <c r="W242" s="1086"/>
      <c r="X242" s="1086"/>
      <c r="Y242" s="1086"/>
      <c r="Z242" s="1086"/>
      <c r="AA242" s="1086"/>
      <c r="AB242" s="1086"/>
    </row>
    <row r="243">
      <c r="A243" s="1100"/>
      <c r="B243" s="1086"/>
      <c r="C243" s="1086"/>
      <c r="D243" s="1086"/>
      <c r="E243" s="1086"/>
      <c r="F243" s="1086"/>
      <c r="G243" s="1086"/>
      <c r="H243" s="1086"/>
      <c r="I243" s="1086"/>
      <c r="J243" s="1086"/>
      <c r="K243" s="1086"/>
      <c r="L243" s="1086"/>
      <c r="M243" s="1086"/>
      <c r="N243" s="1086"/>
      <c r="O243" s="1086"/>
      <c r="P243" s="1086"/>
      <c r="Q243" s="1086"/>
      <c r="R243" s="1086"/>
      <c r="S243" s="1086"/>
      <c r="T243" s="1086"/>
      <c r="U243" s="1086"/>
      <c r="V243" s="1086"/>
      <c r="W243" s="1086"/>
      <c r="X243" s="1086"/>
      <c r="Y243" s="1086"/>
      <c r="Z243" s="1086"/>
      <c r="AA243" s="1086"/>
      <c r="AB243" s="1086"/>
    </row>
    <row r="244">
      <c r="A244" s="1100"/>
      <c r="B244" s="1086"/>
      <c r="C244" s="1086"/>
      <c r="D244" s="1086"/>
      <c r="E244" s="1086"/>
      <c r="F244" s="1086"/>
      <c r="G244" s="1086"/>
      <c r="H244" s="1086"/>
      <c r="I244" s="1086"/>
      <c r="J244" s="1086"/>
      <c r="K244" s="1086"/>
      <c r="L244" s="1086"/>
      <c r="M244" s="1086"/>
      <c r="N244" s="1086"/>
      <c r="O244" s="1086"/>
      <c r="P244" s="1086"/>
      <c r="Q244" s="1086"/>
      <c r="R244" s="1086"/>
      <c r="S244" s="1086"/>
      <c r="T244" s="1086"/>
      <c r="U244" s="1086"/>
      <c r="V244" s="1086"/>
      <c r="W244" s="1086"/>
      <c r="X244" s="1086"/>
      <c r="Y244" s="1086"/>
      <c r="Z244" s="1086"/>
      <c r="AA244" s="1086"/>
      <c r="AB244" s="1086"/>
    </row>
    <row r="245">
      <c r="A245" s="1100"/>
      <c r="B245" s="1086"/>
      <c r="C245" s="1086"/>
      <c r="D245" s="1086"/>
      <c r="E245" s="1086"/>
      <c r="F245" s="1086"/>
      <c r="G245" s="1086"/>
      <c r="H245" s="1086"/>
      <c r="I245" s="1086"/>
      <c r="J245" s="1086"/>
      <c r="K245" s="1086"/>
      <c r="L245" s="1086"/>
      <c r="M245" s="1086"/>
      <c r="N245" s="1086"/>
      <c r="O245" s="1086"/>
      <c r="P245" s="1086"/>
      <c r="Q245" s="1086"/>
      <c r="R245" s="1086"/>
      <c r="S245" s="1086"/>
      <c r="T245" s="1086"/>
      <c r="U245" s="1086"/>
      <c r="V245" s="1086"/>
      <c r="W245" s="1086"/>
      <c r="X245" s="1086"/>
      <c r="Y245" s="1086"/>
      <c r="Z245" s="1086"/>
      <c r="AA245" s="1086"/>
      <c r="AB245" s="1086"/>
    </row>
    <row r="246">
      <c r="A246" s="1100"/>
      <c r="B246" s="1086"/>
      <c r="C246" s="1086"/>
      <c r="D246" s="1086"/>
      <c r="E246" s="1086"/>
      <c r="F246" s="1086"/>
      <c r="G246" s="1086"/>
      <c r="H246" s="1086"/>
      <c r="I246" s="1086"/>
      <c r="J246" s="1086"/>
      <c r="K246" s="1086"/>
      <c r="L246" s="1086"/>
      <c r="M246" s="1086"/>
      <c r="N246" s="1086"/>
      <c r="O246" s="1086"/>
      <c r="P246" s="1086"/>
      <c r="Q246" s="1086"/>
      <c r="R246" s="1086"/>
      <c r="S246" s="1086"/>
      <c r="T246" s="1086"/>
      <c r="U246" s="1086"/>
      <c r="V246" s="1086"/>
      <c r="W246" s="1086"/>
      <c r="X246" s="1086"/>
      <c r="Y246" s="1086"/>
      <c r="Z246" s="1086"/>
      <c r="AA246" s="1086"/>
      <c r="AB246" s="1086"/>
    </row>
    <row r="247">
      <c r="A247" s="1100"/>
      <c r="B247" s="1086"/>
      <c r="C247" s="1086"/>
      <c r="D247" s="1086"/>
      <c r="E247" s="1086"/>
      <c r="F247" s="1086"/>
      <c r="G247" s="1086"/>
      <c r="H247" s="1086"/>
      <c r="I247" s="1086"/>
      <c r="J247" s="1086"/>
      <c r="K247" s="1086"/>
      <c r="L247" s="1086"/>
      <c r="M247" s="1086"/>
      <c r="N247" s="1086"/>
      <c r="O247" s="1086"/>
      <c r="P247" s="1086"/>
      <c r="Q247" s="1086"/>
      <c r="R247" s="1086"/>
      <c r="S247" s="1086"/>
      <c r="T247" s="1086"/>
      <c r="U247" s="1086"/>
      <c r="V247" s="1086"/>
      <c r="W247" s="1086"/>
      <c r="X247" s="1086"/>
      <c r="Y247" s="1086"/>
      <c r="Z247" s="1086"/>
      <c r="AA247" s="1086"/>
      <c r="AB247" s="1086"/>
    </row>
    <row r="248">
      <c r="A248" s="1100"/>
      <c r="B248" s="1086"/>
      <c r="C248" s="1086"/>
      <c r="D248" s="1086"/>
      <c r="E248" s="1086"/>
      <c r="F248" s="1086"/>
      <c r="G248" s="1086"/>
      <c r="H248" s="1086"/>
      <c r="I248" s="1086"/>
      <c r="J248" s="1086"/>
      <c r="K248" s="1086"/>
      <c r="L248" s="1086"/>
      <c r="M248" s="1086"/>
      <c r="N248" s="1086"/>
      <c r="O248" s="1086"/>
      <c r="P248" s="1086"/>
      <c r="Q248" s="1086"/>
      <c r="R248" s="1086"/>
      <c r="S248" s="1086"/>
      <c r="T248" s="1086"/>
      <c r="U248" s="1086"/>
      <c r="V248" s="1086"/>
      <c r="W248" s="1086"/>
      <c r="X248" s="1086"/>
      <c r="Y248" s="1086"/>
      <c r="Z248" s="1086"/>
      <c r="AA248" s="1086"/>
      <c r="AB248" s="1086"/>
    </row>
    <row r="249">
      <c r="A249" s="1100"/>
      <c r="B249" s="1086"/>
      <c r="C249" s="1086"/>
      <c r="D249" s="1086"/>
      <c r="E249" s="1086"/>
      <c r="F249" s="1086"/>
      <c r="G249" s="1086"/>
      <c r="H249" s="1086"/>
      <c r="I249" s="1086"/>
      <c r="J249" s="1086"/>
      <c r="K249" s="1086"/>
      <c r="L249" s="1086"/>
      <c r="M249" s="1086"/>
      <c r="N249" s="1086"/>
      <c r="O249" s="1086"/>
      <c r="P249" s="1086"/>
      <c r="Q249" s="1086"/>
      <c r="R249" s="1086"/>
      <c r="S249" s="1086"/>
      <c r="T249" s="1086"/>
      <c r="U249" s="1086"/>
      <c r="V249" s="1086"/>
      <c r="W249" s="1086"/>
      <c r="X249" s="1086"/>
      <c r="Y249" s="1086"/>
      <c r="Z249" s="1086"/>
      <c r="AA249" s="1086"/>
      <c r="AB249" s="1086"/>
    </row>
    <row r="250">
      <c r="A250" s="1100"/>
      <c r="B250" s="1086"/>
      <c r="C250" s="1086"/>
      <c r="D250" s="1086"/>
      <c r="E250" s="1086"/>
      <c r="F250" s="1086"/>
      <c r="G250" s="1086"/>
      <c r="H250" s="1086"/>
      <c r="I250" s="1086"/>
      <c r="J250" s="1086"/>
      <c r="K250" s="1086"/>
      <c r="L250" s="1086"/>
      <c r="M250" s="1086"/>
      <c r="N250" s="1086"/>
      <c r="O250" s="1086"/>
      <c r="P250" s="1086"/>
      <c r="Q250" s="1086"/>
      <c r="R250" s="1086"/>
      <c r="S250" s="1086"/>
      <c r="T250" s="1086"/>
      <c r="U250" s="1086"/>
      <c r="V250" s="1086"/>
      <c r="W250" s="1086"/>
      <c r="X250" s="1086"/>
      <c r="Y250" s="1086"/>
      <c r="Z250" s="1086"/>
      <c r="AA250" s="1086"/>
      <c r="AB250" s="1086"/>
    </row>
    <row r="251">
      <c r="A251" s="1100"/>
      <c r="B251" s="1086"/>
      <c r="C251" s="1086"/>
      <c r="D251" s="1086"/>
      <c r="E251" s="1086"/>
      <c r="F251" s="1086"/>
      <c r="G251" s="1086"/>
      <c r="H251" s="1086"/>
      <c r="I251" s="1086"/>
      <c r="J251" s="1086"/>
      <c r="K251" s="1086"/>
      <c r="L251" s="1086"/>
      <c r="M251" s="1086"/>
      <c r="N251" s="1086"/>
      <c r="O251" s="1086"/>
      <c r="P251" s="1086"/>
      <c r="Q251" s="1086"/>
      <c r="R251" s="1086"/>
      <c r="S251" s="1086"/>
      <c r="T251" s="1086"/>
      <c r="U251" s="1086"/>
      <c r="V251" s="1086"/>
      <c r="W251" s="1086"/>
      <c r="X251" s="1086"/>
      <c r="Y251" s="1086"/>
      <c r="Z251" s="1086"/>
      <c r="AA251" s="1086"/>
      <c r="AB251" s="1086"/>
    </row>
    <row r="252">
      <c r="A252" s="1100"/>
      <c r="B252" s="1086"/>
      <c r="C252" s="1086"/>
      <c r="D252" s="1086"/>
      <c r="E252" s="1086"/>
      <c r="F252" s="1086"/>
      <c r="G252" s="1086"/>
      <c r="H252" s="1086"/>
      <c r="I252" s="1086"/>
      <c r="J252" s="1086"/>
      <c r="K252" s="1086"/>
      <c r="L252" s="1086"/>
      <c r="M252" s="1086"/>
      <c r="N252" s="1086"/>
      <c r="O252" s="1086"/>
      <c r="P252" s="1086"/>
      <c r="Q252" s="1086"/>
      <c r="R252" s="1086"/>
      <c r="S252" s="1086"/>
      <c r="T252" s="1086"/>
      <c r="U252" s="1086"/>
      <c r="V252" s="1086"/>
      <c r="W252" s="1086"/>
      <c r="X252" s="1086"/>
      <c r="Y252" s="1086"/>
      <c r="Z252" s="1086"/>
      <c r="AA252" s="1086"/>
      <c r="AB252" s="1086"/>
    </row>
    <row r="253">
      <c r="A253" s="1100"/>
      <c r="B253" s="1086"/>
      <c r="C253" s="1086"/>
      <c r="D253" s="1086"/>
      <c r="E253" s="1086"/>
      <c r="F253" s="1086"/>
      <c r="G253" s="1086"/>
      <c r="H253" s="1086"/>
      <c r="I253" s="1086"/>
      <c r="J253" s="1086"/>
      <c r="K253" s="1086"/>
      <c r="L253" s="1086"/>
      <c r="M253" s="1086"/>
      <c r="N253" s="1086"/>
      <c r="O253" s="1086"/>
      <c r="P253" s="1086"/>
      <c r="Q253" s="1086"/>
      <c r="R253" s="1086"/>
      <c r="S253" s="1086"/>
      <c r="T253" s="1086"/>
      <c r="U253" s="1086"/>
      <c r="V253" s="1086"/>
      <c r="W253" s="1086"/>
      <c r="X253" s="1086"/>
      <c r="Y253" s="1086"/>
      <c r="Z253" s="1086"/>
      <c r="AA253" s="1086"/>
      <c r="AB253" s="1086"/>
    </row>
    <row r="254">
      <c r="A254" s="1100"/>
      <c r="B254" s="1086"/>
      <c r="C254" s="1086"/>
      <c r="D254" s="1086"/>
      <c r="E254" s="1086"/>
      <c r="F254" s="1086"/>
      <c r="G254" s="1086"/>
      <c r="H254" s="1086"/>
      <c r="I254" s="1086"/>
      <c r="J254" s="1086"/>
      <c r="K254" s="1086"/>
      <c r="L254" s="1086"/>
      <c r="M254" s="1086"/>
      <c r="N254" s="1086"/>
      <c r="O254" s="1086"/>
      <c r="P254" s="1086"/>
      <c r="Q254" s="1086"/>
      <c r="R254" s="1086"/>
      <c r="S254" s="1086"/>
      <c r="T254" s="1086"/>
      <c r="U254" s="1086"/>
      <c r="V254" s="1086"/>
      <c r="W254" s="1086"/>
      <c r="X254" s="1086"/>
      <c r="Y254" s="1086"/>
      <c r="Z254" s="1086"/>
      <c r="AA254" s="1086"/>
      <c r="AB254" s="1086"/>
    </row>
    <row r="255">
      <c r="A255" s="1100"/>
      <c r="B255" s="1086"/>
      <c r="C255" s="1086"/>
      <c r="D255" s="1086"/>
      <c r="E255" s="1086"/>
      <c r="F255" s="1086"/>
      <c r="G255" s="1086"/>
      <c r="H255" s="1086"/>
      <c r="I255" s="1086"/>
      <c r="J255" s="1086"/>
      <c r="K255" s="1086"/>
      <c r="L255" s="1086"/>
      <c r="M255" s="1086"/>
      <c r="N255" s="1086"/>
      <c r="O255" s="1086"/>
      <c r="P255" s="1086"/>
      <c r="Q255" s="1086"/>
      <c r="R255" s="1086"/>
      <c r="S255" s="1086"/>
      <c r="T255" s="1086"/>
      <c r="U255" s="1086"/>
      <c r="V255" s="1086"/>
      <c r="W255" s="1086"/>
      <c r="X255" s="1086"/>
      <c r="Y255" s="1086"/>
      <c r="Z255" s="1086"/>
      <c r="AA255" s="1086"/>
      <c r="AB255" s="1086"/>
    </row>
    <row r="256">
      <c r="A256" s="1100"/>
      <c r="B256" s="1086"/>
      <c r="C256" s="1086"/>
      <c r="D256" s="1086"/>
      <c r="E256" s="1086"/>
      <c r="F256" s="1086"/>
      <c r="G256" s="1086"/>
      <c r="H256" s="1086"/>
      <c r="I256" s="1086"/>
      <c r="J256" s="1086"/>
      <c r="K256" s="1086"/>
      <c r="L256" s="1086"/>
      <c r="M256" s="1086"/>
      <c r="N256" s="1086"/>
      <c r="O256" s="1086"/>
      <c r="P256" s="1086"/>
      <c r="Q256" s="1086"/>
      <c r="R256" s="1086"/>
      <c r="S256" s="1086"/>
      <c r="T256" s="1086"/>
      <c r="U256" s="1086"/>
      <c r="V256" s="1086"/>
      <c r="W256" s="1086"/>
      <c r="X256" s="1086"/>
      <c r="Y256" s="1086"/>
      <c r="Z256" s="1086"/>
      <c r="AA256" s="1086"/>
      <c r="AB256" s="1086"/>
    </row>
    <row r="257">
      <c r="A257" s="1100"/>
      <c r="B257" s="1086"/>
      <c r="C257" s="1086"/>
      <c r="D257" s="1086"/>
      <c r="E257" s="1086"/>
      <c r="F257" s="1086"/>
      <c r="G257" s="1086"/>
      <c r="H257" s="1086"/>
      <c r="I257" s="1086"/>
      <c r="J257" s="1086"/>
      <c r="K257" s="1086"/>
      <c r="L257" s="1086"/>
      <c r="M257" s="1086"/>
      <c r="N257" s="1086"/>
      <c r="O257" s="1086"/>
      <c r="P257" s="1086"/>
      <c r="Q257" s="1086"/>
      <c r="R257" s="1086"/>
      <c r="S257" s="1086"/>
      <c r="T257" s="1086"/>
      <c r="U257" s="1086"/>
      <c r="V257" s="1086"/>
      <c r="W257" s="1086"/>
      <c r="X257" s="1086"/>
      <c r="Y257" s="1086"/>
      <c r="Z257" s="1086"/>
      <c r="AA257" s="1086"/>
      <c r="AB257" s="1086"/>
    </row>
    <row r="258">
      <c r="A258" s="1100"/>
      <c r="B258" s="1086"/>
      <c r="C258" s="1086"/>
      <c r="D258" s="1086"/>
      <c r="E258" s="1086"/>
      <c r="F258" s="1086"/>
      <c r="G258" s="1086"/>
      <c r="H258" s="1086"/>
      <c r="I258" s="1086"/>
      <c r="J258" s="1086"/>
      <c r="K258" s="1086"/>
      <c r="L258" s="1086"/>
      <c r="M258" s="1086"/>
      <c r="N258" s="1086"/>
      <c r="O258" s="1086"/>
      <c r="P258" s="1086"/>
      <c r="Q258" s="1086"/>
      <c r="R258" s="1086"/>
      <c r="S258" s="1086"/>
      <c r="T258" s="1086"/>
      <c r="U258" s="1086"/>
      <c r="V258" s="1086"/>
      <c r="W258" s="1086"/>
      <c r="X258" s="1086"/>
      <c r="Y258" s="1086"/>
      <c r="Z258" s="1086"/>
      <c r="AA258" s="1086"/>
      <c r="AB258" s="1086"/>
    </row>
    <row r="259">
      <c r="A259" s="1100"/>
      <c r="B259" s="1086"/>
      <c r="C259" s="1086"/>
      <c r="D259" s="1086"/>
      <c r="E259" s="1086"/>
      <c r="F259" s="1086"/>
      <c r="G259" s="1086"/>
      <c r="H259" s="1086"/>
      <c r="I259" s="1086"/>
      <c r="J259" s="1086"/>
      <c r="K259" s="1086"/>
      <c r="L259" s="1086"/>
      <c r="M259" s="1086"/>
      <c r="N259" s="1086"/>
      <c r="O259" s="1086"/>
      <c r="P259" s="1086"/>
      <c r="Q259" s="1086"/>
      <c r="R259" s="1086"/>
      <c r="S259" s="1086"/>
      <c r="T259" s="1086"/>
      <c r="U259" s="1086"/>
      <c r="V259" s="1086"/>
      <c r="W259" s="1086"/>
      <c r="X259" s="1086"/>
      <c r="Y259" s="1086"/>
      <c r="Z259" s="1086"/>
      <c r="AA259" s="1086"/>
      <c r="AB259" s="1086"/>
    </row>
    <row r="260">
      <c r="A260" s="1100"/>
      <c r="B260" s="1086"/>
      <c r="C260" s="1086"/>
      <c r="D260" s="1086"/>
      <c r="E260" s="1086"/>
      <c r="F260" s="1086"/>
      <c r="G260" s="1086"/>
      <c r="H260" s="1086"/>
      <c r="I260" s="1086"/>
      <c r="J260" s="1086"/>
      <c r="K260" s="1086"/>
      <c r="L260" s="1086"/>
      <c r="M260" s="1086"/>
      <c r="N260" s="1086"/>
      <c r="O260" s="1086"/>
      <c r="P260" s="1086"/>
      <c r="Q260" s="1086"/>
      <c r="R260" s="1086"/>
      <c r="S260" s="1086"/>
      <c r="T260" s="1086"/>
      <c r="U260" s="1086"/>
      <c r="V260" s="1086"/>
      <c r="W260" s="1086"/>
      <c r="X260" s="1086"/>
      <c r="Y260" s="1086"/>
      <c r="Z260" s="1086"/>
      <c r="AA260" s="1086"/>
      <c r="AB260" s="1086"/>
    </row>
    <row r="261">
      <c r="A261" s="1100"/>
      <c r="B261" s="1086"/>
      <c r="C261" s="1086"/>
      <c r="D261" s="1086"/>
      <c r="E261" s="1086"/>
      <c r="F261" s="1086"/>
      <c r="G261" s="1086"/>
      <c r="H261" s="1086"/>
      <c r="I261" s="1086"/>
      <c r="J261" s="1086"/>
      <c r="K261" s="1086"/>
      <c r="L261" s="1086"/>
      <c r="M261" s="1086"/>
      <c r="N261" s="1086"/>
      <c r="O261" s="1086"/>
      <c r="P261" s="1086"/>
      <c r="Q261" s="1086"/>
      <c r="R261" s="1086"/>
      <c r="S261" s="1086"/>
      <c r="T261" s="1086"/>
      <c r="U261" s="1086"/>
      <c r="V261" s="1086"/>
      <c r="W261" s="1086"/>
      <c r="X261" s="1086"/>
      <c r="Y261" s="1086"/>
      <c r="Z261" s="1086"/>
      <c r="AA261" s="1086"/>
      <c r="AB261" s="1086"/>
    </row>
    <row r="262">
      <c r="A262" s="1100"/>
      <c r="B262" s="1086"/>
      <c r="C262" s="1086"/>
      <c r="D262" s="1086"/>
      <c r="E262" s="1086"/>
      <c r="F262" s="1086"/>
      <c r="G262" s="1086"/>
      <c r="H262" s="1086"/>
      <c r="I262" s="1086"/>
      <c r="J262" s="1086"/>
      <c r="K262" s="1086"/>
      <c r="L262" s="1086"/>
      <c r="M262" s="1086"/>
      <c r="N262" s="1086"/>
      <c r="O262" s="1086"/>
      <c r="P262" s="1086"/>
      <c r="Q262" s="1086"/>
      <c r="R262" s="1086"/>
      <c r="S262" s="1086"/>
      <c r="T262" s="1086"/>
      <c r="U262" s="1086"/>
      <c r="V262" s="1086"/>
      <c r="W262" s="1086"/>
      <c r="X262" s="1086"/>
      <c r="Y262" s="1086"/>
      <c r="Z262" s="1086"/>
      <c r="AA262" s="1086"/>
      <c r="AB262" s="1086"/>
    </row>
    <row r="263">
      <c r="A263" s="1100"/>
      <c r="B263" s="1086"/>
      <c r="C263" s="1086"/>
      <c r="D263" s="1086"/>
      <c r="E263" s="1086"/>
      <c r="F263" s="1086"/>
      <c r="G263" s="1086"/>
      <c r="H263" s="1086"/>
      <c r="I263" s="1086"/>
      <c r="J263" s="1086"/>
      <c r="K263" s="1086"/>
      <c r="L263" s="1086"/>
      <c r="M263" s="1086"/>
      <c r="N263" s="1086"/>
      <c r="O263" s="1086"/>
      <c r="P263" s="1086"/>
      <c r="Q263" s="1086"/>
      <c r="R263" s="1086"/>
      <c r="S263" s="1086"/>
      <c r="T263" s="1086"/>
      <c r="U263" s="1086"/>
      <c r="V263" s="1086"/>
      <c r="W263" s="1086"/>
      <c r="X263" s="1086"/>
      <c r="Y263" s="1086"/>
      <c r="Z263" s="1086"/>
      <c r="AA263" s="1086"/>
      <c r="AB263" s="1086"/>
    </row>
    <row r="264">
      <c r="A264" s="1100"/>
      <c r="B264" s="1086"/>
      <c r="C264" s="1086"/>
      <c r="D264" s="1086"/>
      <c r="E264" s="1086"/>
      <c r="F264" s="1086"/>
      <c r="G264" s="1086"/>
      <c r="H264" s="1086"/>
      <c r="I264" s="1086"/>
      <c r="J264" s="1086"/>
      <c r="K264" s="1086"/>
      <c r="L264" s="1086"/>
      <c r="M264" s="1086"/>
      <c r="N264" s="1086"/>
      <c r="O264" s="1086"/>
      <c r="P264" s="1086"/>
      <c r="Q264" s="1086"/>
      <c r="R264" s="1086"/>
      <c r="S264" s="1086"/>
      <c r="T264" s="1086"/>
      <c r="U264" s="1086"/>
      <c r="V264" s="1086"/>
      <c r="W264" s="1086"/>
      <c r="X264" s="1086"/>
      <c r="Y264" s="1086"/>
      <c r="Z264" s="1086"/>
      <c r="AA264" s="1086"/>
      <c r="AB264" s="1086"/>
    </row>
    <row r="265">
      <c r="A265" s="1100"/>
      <c r="B265" s="1086"/>
      <c r="C265" s="1086"/>
      <c r="D265" s="1086"/>
      <c r="E265" s="1086"/>
      <c r="F265" s="1086"/>
      <c r="G265" s="1086"/>
      <c r="H265" s="1086"/>
      <c r="I265" s="1086"/>
      <c r="J265" s="1086"/>
      <c r="K265" s="1086"/>
      <c r="L265" s="1086"/>
      <c r="M265" s="1086"/>
      <c r="N265" s="1086"/>
      <c r="O265" s="1086"/>
      <c r="P265" s="1086"/>
      <c r="Q265" s="1086"/>
      <c r="R265" s="1086"/>
      <c r="S265" s="1086"/>
      <c r="T265" s="1086"/>
      <c r="U265" s="1086"/>
      <c r="V265" s="1086"/>
      <c r="W265" s="1086"/>
      <c r="X265" s="1086"/>
      <c r="Y265" s="1086"/>
      <c r="Z265" s="1086"/>
      <c r="AA265" s="1086"/>
      <c r="AB265" s="1086"/>
    </row>
    <row r="266">
      <c r="A266" s="1100"/>
      <c r="B266" s="1086"/>
      <c r="C266" s="1086"/>
      <c r="D266" s="1086"/>
      <c r="E266" s="1086"/>
      <c r="F266" s="1086"/>
      <c r="G266" s="1086"/>
      <c r="H266" s="1086"/>
      <c r="I266" s="1086"/>
      <c r="J266" s="1086"/>
      <c r="K266" s="1086"/>
      <c r="L266" s="1086"/>
      <c r="M266" s="1086"/>
      <c r="N266" s="1086"/>
      <c r="O266" s="1086"/>
      <c r="P266" s="1086"/>
      <c r="Q266" s="1086"/>
      <c r="R266" s="1086"/>
      <c r="S266" s="1086"/>
      <c r="T266" s="1086"/>
      <c r="U266" s="1086"/>
      <c r="V266" s="1086"/>
      <c r="W266" s="1086"/>
      <c r="X266" s="1086"/>
      <c r="Y266" s="1086"/>
      <c r="Z266" s="1086"/>
      <c r="AA266" s="1086"/>
      <c r="AB266" s="1086"/>
    </row>
    <row r="267">
      <c r="A267" s="1100"/>
      <c r="B267" s="1086"/>
      <c r="C267" s="1086"/>
      <c r="D267" s="1086"/>
      <c r="E267" s="1086"/>
      <c r="F267" s="1086"/>
      <c r="G267" s="1086"/>
      <c r="H267" s="1086"/>
      <c r="I267" s="1086"/>
      <c r="J267" s="1086"/>
      <c r="K267" s="1086"/>
      <c r="L267" s="1086"/>
      <c r="M267" s="1086"/>
      <c r="N267" s="1086"/>
      <c r="O267" s="1086"/>
      <c r="P267" s="1086"/>
      <c r="Q267" s="1086"/>
      <c r="R267" s="1086"/>
      <c r="S267" s="1086"/>
      <c r="T267" s="1086"/>
      <c r="U267" s="1086"/>
      <c r="V267" s="1086"/>
      <c r="W267" s="1086"/>
      <c r="X267" s="1086"/>
      <c r="Y267" s="1086"/>
      <c r="Z267" s="1086"/>
      <c r="AA267" s="1086"/>
      <c r="AB267" s="1086"/>
    </row>
    <row r="268">
      <c r="A268" s="1100"/>
      <c r="B268" s="1086"/>
      <c r="C268" s="1086"/>
      <c r="D268" s="1086"/>
      <c r="E268" s="1086"/>
      <c r="F268" s="1086"/>
      <c r="G268" s="1086"/>
      <c r="H268" s="1086"/>
      <c r="I268" s="1086"/>
      <c r="J268" s="1086"/>
      <c r="K268" s="1086"/>
      <c r="L268" s="1086"/>
      <c r="M268" s="1086"/>
      <c r="N268" s="1086"/>
      <c r="O268" s="1086"/>
      <c r="P268" s="1086"/>
      <c r="Q268" s="1086"/>
      <c r="R268" s="1086"/>
      <c r="S268" s="1086"/>
      <c r="T268" s="1086"/>
      <c r="U268" s="1086"/>
      <c r="V268" s="1086"/>
      <c r="W268" s="1086"/>
      <c r="X268" s="1086"/>
      <c r="Y268" s="1086"/>
      <c r="Z268" s="1086"/>
      <c r="AA268" s="1086"/>
      <c r="AB268" s="1086"/>
    </row>
    <row r="269">
      <c r="A269" s="1100"/>
      <c r="B269" s="1086"/>
      <c r="C269" s="1086"/>
      <c r="D269" s="1086"/>
      <c r="E269" s="1086"/>
      <c r="F269" s="1086"/>
      <c r="G269" s="1086"/>
      <c r="H269" s="1086"/>
      <c r="I269" s="1086"/>
      <c r="J269" s="1086"/>
      <c r="K269" s="1086"/>
      <c r="L269" s="1086"/>
      <c r="M269" s="1086"/>
      <c r="N269" s="1086"/>
      <c r="O269" s="1086"/>
      <c r="P269" s="1086"/>
      <c r="Q269" s="1086"/>
      <c r="R269" s="1086"/>
      <c r="S269" s="1086"/>
      <c r="T269" s="1086"/>
      <c r="U269" s="1086"/>
      <c r="V269" s="1086"/>
      <c r="W269" s="1086"/>
      <c r="X269" s="1086"/>
      <c r="Y269" s="1086"/>
      <c r="Z269" s="1086"/>
      <c r="AA269" s="1086"/>
      <c r="AB269" s="1086"/>
    </row>
    <row r="270">
      <c r="A270" s="1100"/>
      <c r="B270" s="1086"/>
      <c r="C270" s="1086"/>
      <c r="D270" s="1086"/>
      <c r="E270" s="1086"/>
      <c r="F270" s="1086"/>
      <c r="G270" s="1086"/>
      <c r="H270" s="1086"/>
      <c r="I270" s="1086"/>
      <c r="J270" s="1086"/>
      <c r="K270" s="1086"/>
      <c r="L270" s="1086"/>
      <c r="M270" s="1086"/>
      <c r="N270" s="1086"/>
      <c r="O270" s="1086"/>
      <c r="P270" s="1086"/>
      <c r="Q270" s="1086"/>
      <c r="R270" s="1086"/>
      <c r="S270" s="1086"/>
      <c r="T270" s="1086"/>
      <c r="U270" s="1086"/>
      <c r="V270" s="1086"/>
      <c r="W270" s="1086"/>
      <c r="X270" s="1086"/>
      <c r="Y270" s="1086"/>
      <c r="Z270" s="1086"/>
      <c r="AA270" s="1086"/>
      <c r="AB270" s="1086"/>
    </row>
    <row r="271">
      <c r="A271" s="1100"/>
      <c r="B271" s="1086"/>
      <c r="C271" s="1086"/>
      <c r="D271" s="1086"/>
      <c r="E271" s="1086"/>
      <c r="F271" s="1086"/>
      <c r="G271" s="1086"/>
      <c r="H271" s="1086"/>
      <c r="I271" s="1086"/>
      <c r="J271" s="1086"/>
      <c r="K271" s="1086"/>
      <c r="L271" s="1086"/>
      <c r="M271" s="1086"/>
      <c r="N271" s="1086"/>
      <c r="O271" s="1086"/>
      <c r="P271" s="1086"/>
      <c r="Q271" s="1086"/>
      <c r="R271" s="1086"/>
      <c r="S271" s="1086"/>
      <c r="T271" s="1086"/>
      <c r="U271" s="1086"/>
      <c r="V271" s="1086"/>
      <c r="W271" s="1086"/>
      <c r="X271" s="1086"/>
      <c r="Y271" s="1086"/>
      <c r="Z271" s="1086"/>
      <c r="AA271" s="1086"/>
      <c r="AB271" s="1086"/>
    </row>
    <row r="272">
      <c r="A272" s="1100"/>
      <c r="B272" s="1086"/>
      <c r="C272" s="1086"/>
      <c r="D272" s="1086"/>
      <c r="E272" s="1086"/>
      <c r="F272" s="1086"/>
      <c r="G272" s="1086"/>
      <c r="H272" s="1086"/>
      <c r="I272" s="1086"/>
      <c r="J272" s="1086"/>
      <c r="K272" s="1086"/>
      <c r="L272" s="1086"/>
      <c r="M272" s="1086"/>
      <c r="N272" s="1086"/>
      <c r="O272" s="1086"/>
      <c r="P272" s="1086"/>
      <c r="Q272" s="1086"/>
      <c r="R272" s="1086"/>
      <c r="S272" s="1086"/>
      <c r="T272" s="1086"/>
      <c r="U272" s="1086"/>
      <c r="V272" s="1086"/>
      <c r="W272" s="1086"/>
      <c r="X272" s="1086"/>
      <c r="Y272" s="1086"/>
      <c r="Z272" s="1086"/>
      <c r="AA272" s="1086"/>
      <c r="AB272" s="1086"/>
    </row>
    <row r="273">
      <c r="A273" s="1100"/>
      <c r="B273" s="1086"/>
      <c r="C273" s="1086"/>
      <c r="D273" s="1086"/>
      <c r="E273" s="1086"/>
      <c r="F273" s="1086"/>
      <c r="G273" s="1086"/>
      <c r="H273" s="1086"/>
      <c r="I273" s="1086"/>
      <c r="J273" s="1086"/>
      <c r="K273" s="1086"/>
      <c r="L273" s="1086"/>
      <c r="M273" s="1086"/>
      <c r="N273" s="1086"/>
      <c r="O273" s="1086"/>
      <c r="P273" s="1086"/>
      <c r="Q273" s="1086"/>
      <c r="R273" s="1086"/>
      <c r="S273" s="1086"/>
      <c r="T273" s="1086"/>
      <c r="U273" s="1086"/>
      <c r="V273" s="1086"/>
      <c r="W273" s="1086"/>
      <c r="X273" s="1086"/>
      <c r="Y273" s="1086"/>
      <c r="Z273" s="1086"/>
      <c r="AA273" s="1086"/>
      <c r="AB273" s="1086"/>
    </row>
    <row r="274">
      <c r="A274" s="1100"/>
      <c r="B274" s="1086"/>
      <c r="C274" s="1086"/>
      <c r="D274" s="1086"/>
      <c r="E274" s="1086"/>
      <c r="F274" s="1086"/>
      <c r="G274" s="1086"/>
      <c r="H274" s="1086"/>
      <c r="I274" s="1086"/>
      <c r="J274" s="1086"/>
      <c r="K274" s="1086"/>
      <c r="L274" s="1086"/>
      <c r="M274" s="1086"/>
      <c r="N274" s="1086"/>
      <c r="O274" s="1086"/>
      <c r="P274" s="1086"/>
      <c r="Q274" s="1086"/>
      <c r="R274" s="1086"/>
      <c r="S274" s="1086"/>
      <c r="T274" s="1086"/>
      <c r="U274" s="1086"/>
      <c r="V274" s="1086"/>
      <c r="W274" s="1086"/>
      <c r="X274" s="1086"/>
      <c r="Y274" s="1086"/>
      <c r="Z274" s="1086"/>
      <c r="AA274" s="1086"/>
      <c r="AB274" s="1086"/>
    </row>
    <row r="275">
      <c r="A275" s="1100"/>
      <c r="B275" s="1086"/>
      <c r="C275" s="1086"/>
      <c r="D275" s="1086"/>
      <c r="E275" s="1086"/>
      <c r="F275" s="1086"/>
      <c r="G275" s="1086"/>
      <c r="H275" s="1086"/>
      <c r="I275" s="1086"/>
      <c r="J275" s="1086"/>
      <c r="K275" s="1086"/>
      <c r="L275" s="1086"/>
      <c r="M275" s="1086"/>
      <c r="N275" s="1086"/>
      <c r="O275" s="1086"/>
      <c r="P275" s="1086"/>
      <c r="Q275" s="1086"/>
      <c r="R275" s="1086"/>
      <c r="S275" s="1086"/>
      <c r="T275" s="1086"/>
      <c r="U275" s="1086"/>
      <c r="V275" s="1086"/>
      <c r="W275" s="1086"/>
      <c r="X275" s="1086"/>
      <c r="Y275" s="1086"/>
      <c r="Z275" s="1086"/>
      <c r="AA275" s="1086"/>
      <c r="AB275" s="1086"/>
    </row>
    <row r="276">
      <c r="A276" s="1100"/>
      <c r="B276" s="1086"/>
      <c r="C276" s="1086"/>
      <c r="D276" s="1086"/>
      <c r="E276" s="1086"/>
      <c r="F276" s="1086"/>
      <c r="G276" s="1086"/>
      <c r="H276" s="1086"/>
      <c r="I276" s="1086"/>
      <c r="J276" s="1086"/>
      <c r="K276" s="1086"/>
      <c r="L276" s="1086"/>
      <c r="M276" s="1086"/>
      <c r="N276" s="1086"/>
      <c r="O276" s="1086"/>
      <c r="P276" s="1086"/>
      <c r="Q276" s="1086"/>
      <c r="R276" s="1086"/>
      <c r="S276" s="1086"/>
      <c r="T276" s="1086"/>
      <c r="U276" s="1086"/>
      <c r="V276" s="1086"/>
      <c r="W276" s="1086"/>
      <c r="X276" s="1086"/>
      <c r="Y276" s="1086"/>
      <c r="Z276" s="1086"/>
      <c r="AA276" s="1086"/>
      <c r="AB276" s="1086"/>
    </row>
    <row r="277">
      <c r="A277" s="1100"/>
      <c r="B277" s="1086"/>
      <c r="C277" s="1086"/>
      <c r="D277" s="1086"/>
      <c r="E277" s="1086"/>
      <c r="F277" s="1086"/>
      <c r="G277" s="1086"/>
      <c r="H277" s="1086"/>
      <c r="I277" s="1086"/>
      <c r="J277" s="1086"/>
      <c r="K277" s="1086"/>
      <c r="L277" s="1086"/>
      <c r="M277" s="1086"/>
      <c r="N277" s="1086"/>
      <c r="O277" s="1086"/>
      <c r="P277" s="1086"/>
      <c r="Q277" s="1086"/>
      <c r="R277" s="1086"/>
      <c r="S277" s="1086"/>
      <c r="T277" s="1086"/>
      <c r="U277" s="1086"/>
      <c r="V277" s="1086"/>
      <c r="W277" s="1086"/>
      <c r="X277" s="1086"/>
      <c r="Y277" s="1086"/>
      <c r="Z277" s="1086"/>
      <c r="AA277" s="1086"/>
      <c r="AB277" s="1086"/>
    </row>
    <row r="278">
      <c r="A278" s="1100"/>
      <c r="B278" s="1086"/>
      <c r="C278" s="1086"/>
      <c r="D278" s="1086"/>
      <c r="E278" s="1086"/>
      <c r="F278" s="1086"/>
      <c r="G278" s="1086"/>
      <c r="H278" s="1086"/>
      <c r="I278" s="1086"/>
      <c r="J278" s="1086"/>
      <c r="K278" s="1086"/>
      <c r="L278" s="1086"/>
      <c r="M278" s="1086"/>
      <c r="N278" s="1086"/>
      <c r="O278" s="1086"/>
      <c r="P278" s="1086"/>
      <c r="Q278" s="1086"/>
      <c r="R278" s="1086"/>
      <c r="S278" s="1086"/>
      <c r="T278" s="1086"/>
      <c r="U278" s="1086"/>
      <c r="V278" s="1086"/>
      <c r="W278" s="1086"/>
      <c r="X278" s="1086"/>
      <c r="Y278" s="1086"/>
      <c r="Z278" s="1086"/>
      <c r="AA278" s="1086"/>
      <c r="AB278" s="1086"/>
    </row>
    <row r="279">
      <c r="A279" s="1100"/>
      <c r="B279" s="1086"/>
      <c r="C279" s="1086"/>
      <c r="D279" s="1086"/>
      <c r="E279" s="1086"/>
      <c r="F279" s="1086"/>
      <c r="G279" s="1086"/>
      <c r="H279" s="1086"/>
      <c r="I279" s="1086"/>
      <c r="J279" s="1086"/>
      <c r="K279" s="1086"/>
      <c r="L279" s="1086"/>
      <c r="M279" s="1086"/>
      <c r="N279" s="1086"/>
      <c r="O279" s="1086"/>
      <c r="P279" s="1086"/>
      <c r="Q279" s="1086"/>
      <c r="R279" s="1086"/>
      <c r="S279" s="1086"/>
      <c r="T279" s="1086"/>
      <c r="U279" s="1086"/>
      <c r="V279" s="1086"/>
      <c r="W279" s="1086"/>
      <c r="X279" s="1086"/>
      <c r="Y279" s="1086"/>
      <c r="Z279" s="1086"/>
      <c r="AA279" s="1086"/>
      <c r="AB279" s="1086"/>
    </row>
    <row r="280">
      <c r="A280" s="1100"/>
      <c r="B280" s="1086"/>
      <c r="C280" s="1086"/>
      <c r="D280" s="1086"/>
      <c r="E280" s="1086"/>
      <c r="F280" s="1086"/>
      <c r="G280" s="1086"/>
      <c r="H280" s="1086"/>
      <c r="I280" s="1086"/>
      <c r="J280" s="1086"/>
      <c r="K280" s="1086"/>
      <c r="L280" s="1086"/>
      <c r="M280" s="1086"/>
      <c r="N280" s="1086"/>
      <c r="O280" s="1086"/>
      <c r="P280" s="1086"/>
      <c r="Q280" s="1086"/>
      <c r="R280" s="1086"/>
      <c r="S280" s="1086"/>
      <c r="T280" s="1086"/>
      <c r="U280" s="1086"/>
      <c r="V280" s="1086"/>
      <c r="W280" s="1086"/>
      <c r="X280" s="1086"/>
      <c r="Y280" s="1086"/>
      <c r="Z280" s="1086"/>
      <c r="AA280" s="1086"/>
      <c r="AB280" s="1086"/>
    </row>
    <row r="281">
      <c r="A281" s="1100"/>
      <c r="B281" s="1086"/>
      <c r="C281" s="1086"/>
      <c r="D281" s="1086"/>
      <c r="E281" s="1086"/>
      <c r="F281" s="1086"/>
      <c r="G281" s="1086"/>
      <c r="H281" s="1086"/>
      <c r="I281" s="1086"/>
      <c r="J281" s="1086"/>
      <c r="K281" s="1086"/>
      <c r="L281" s="1086"/>
      <c r="M281" s="1086"/>
      <c r="N281" s="1086"/>
      <c r="O281" s="1086"/>
      <c r="P281" s="1086"/>
      <c r="Q281" s="1086"/>
      <c r="R281" s="1086"/>
      <c r="S281" s="1086"/>
      <c r="T281" s="1086"/>
      <c r="U281" s="1086"/>
      <c r="V281" s="1086"/>
      <c r="W281" s="1086"/>
      <c r="X281" s="1086"/>
      <c r="Y281" s="1086"/>
      <c r="Z281" s="1086"/>
      <c r="AA281" s="1086"/>
      <c r="AB281" s="1086"/>
    </row>
    <row r="282">
      <c r="A282" s="1100"/>
      <c r="B282" s="1086"/>
      <c r="C282" s="1086"/>
      <c r="D282" s="1086"/>
      <c r="E282" s="1086"/>
      <c r="F282" s="1086"/>
      <c r="G282" s="1086"/>
      <c r="H282" s="1086"/>
      <c r="I282" s="1086"/>
      <c r="J282" s="1086"/>
      <c r="K282" s="1086"/>
      <c r="L282" s="1086"/>
      <c r="M282" s="1086"/>
      <c r="N282" s="1086"/>
      <c r="O282" s="1086"/>
      <c r="P282" s="1086"/>
      <c r="Q282" s="1086"/>
      <c r="R282" s="1086"/>
      <c r="S282" s="1086"/>
      <c r="T282" s="1086"/>
      <c r="U282" s="1086"/>
      <c r="V282" s="1086"/>
      <c r="W282" s="1086"/>
      <c r="X282" s="1086"/>
      <c r="Y282" s="1086"/>
      <c r="Z282" s="1086"/>
      <c r="AA282" s="1086"/>
      <c r="AB282" s="1086"/>
    </row>
    <row r="283">
      <c r="A283" s="1100"/>
      <c r="B283" s="1086"/>
      <c r="C283" s="1086"/>
      <c r="D283" s="1086"/>
      <c r="E283" s="1086"/>
      <c r="F283" s="1086"/>
      <c r="G283" s="1086"/>
      <c r="H283" s="1086"/>
      <c r="I283" s="1086"/>
      <c r="J283" s="1086"/>
      <c r="K283" s="1086"/>
      <c r="L283" s="1086"/>
      <c r="M283" s="1086"/>
      <c r="N283" s="1086"/>
      <c r="O283" s="1086"/>
      <c r="P283" s="1086"/>
      <c r="Q283" s="1086"/>
      <c r="R283" s="1086"/>
      <c r="S283" s="1086"/>
      <c r="T283" s="1086"/>
      <c r="U283" s="1086"/>
      <c r="V283" s="1086"/>
      <c r="W283" s="1086"/>
      <c r="X283" s="1086"/>
      <c r="Y283" s="1086"/>
      <c r="Z283" s="1086"/>
      <c r="AA283" s="1086"/>
      <c r="AB283" s="1086"/>
    </row>
    <row r="284">
      <c r="A284" s="1100"/>
      <c r="B284" s="1086"/>
      <c r="C284" s="1086"/>
      <c r="D284" s="1086"/>
      <c r="E284" s="1086"/>
      <c r="F284" s="1086"/>
      <c r="G284" s="1086"/>
      <c r="H284" s="1086"/>
      <c r="I284" s="1086"/>
      <c r="J284" s="1086"/>
      <c r="K284" s="1086"/>
      <c r="L284" s="1086"/>
      <c r="M284" s="1086"/>
      <c r="N284" s="1086"/>
      <c r="O284" s="1086"/>
      <c r="P284" s="1086"/>
      <c r="Q284" s="1086"/>
      <c r="R284" s="1086"/>
      <c r="S284" s="1086"/>
      <c r="T284" s="1086"/>
      <c r="U284" s="1086"/>
      <c r="V284" s="1086"/>
      <c r="W284" s="1086"/>
      <c r="X284" s="1086"/>
      <c r="Y284" s="1086"/>
      <c r="Z284" s="1086"/>
      <c r="AA284" s="1086"/>
      <c r="AB284" s="1086"/>
    </row>
    <row r="285">
      <c r="A285" s="1100"/>
      <c r="B285" s="1086"/>
      <c r="C285" s="1086"/>
      <c r="D285" s="1086"/>
      <c r="E285" s="1086"/>
      <c r="F285" s="1086"/>
      <c r="G285" s="1086"/>
      <c r="H285" s="1086"/>
      <c r="I285" s="1086"/>
      <c r="J285" s="1086"/>
      <c r="K285" s="1086"/>
      <c r="L285" s="1086"/>
      <c r="M285" s="1086"/>
      <c r="N285" s="1086"/>
      <c r="O285" s="1086"/>
      <c r="P285" s="1086"/>
      <c r="Q285" s="1086"/>
      <c r="R285" s="1086"/>
      <c r="S285" s="1086"/>
      <c r="T285" s="1086"/>
      <c r="U285" s="1086"/>
      <c r="V285" s="1086"/>
      <c r="W285" s="1086"/>
      <c r="X285" s="1086"/>
      <c r="Y285" s="1086"/>
      <c r="Z285" s="1086"/>
      <c r="AA285" s="1086"/>
      <c r="AB285" s="1086"/>
    </row>
    <row r="286">
      <c r="A286" s="1100"/>
      <c r="B286" s="1086"/>
      <c r="C286" s="1086"/>
      <c r="D286" s="1086"/>
      <c r="E286" s="1086"/>
      <c r="F286" s="1086"/>
      <c r="G286" s="1086"/>
      <c r="H286" s="1086"/>
      <c r="I286" s="1086"/>
      <c r="J286" s="1086"/>
      <c r="K286" s="1086"/>
      <c r="L286" s="1086"/>
      <c r="M286" s="1086"/>
      <c r="N286" s="1086"/>
      <c r="O286" s="1086"/>
      <c r="P286" s="1086"/>
      <c r="Q286" s="1086"/>
      <c r="R286" s="1086"/>
      <c r="S286" s="1086"/>
      <c r="T286" s="1086"/>
      <c r="U286" s="1086"/>
      <c r="V286" s="1086"/>
      <c r="W286" s="1086"/>
      <c r="X286" s="1086"/>
      <c r="Y286" s="1086"/>
      <c r="Z286" s="1086"/>
      <c r="AA286" s="1086"/>
      <c r="AB286" s="1086"/>
    </row>
    <row r="287">
      <c r="A287" s="1100"/>
      <c r="B287" s="1086"/>
      <c r="C287" s="1086"/>
      <c r="D287" s="1086"/>
      <c r="E287" s="1086"/>
      <c r="F287" s="1086"/>
      <c r="G287" s="1086"/>
      <c r="H287" s="1086"/>
      <c r="I287" s="1086"/>
      <c r="J287" s="1086"/>
      <c r="K287" s="1086"/>
      <c r="L287" s="1086"/>
      <c r="M287" s="1086"/>
      <c r="N287" s="1086"/>
      <c r="O287" s="1086"/>
      <c r="P287" s="1086"/>
      <c r="Q287" s="1086"/>
      <c r="R287" s="1086"/>
      <c r="S287" s="1086"/>
      <c r="T287" s="1086"/>
      <c r="U287" s="1086"/>
      <c r="V287" s="1086"/>
      <c r="W287" s="1086"/>
      <c r="X287" s="1086"/>
      <c r="Y287" s="1086"/>
      <c r="Z287" s="1086"/>
      <c r="AA287" s="1086"/>
      <c r="AB287" s="1086"/>
    </row>
    <row r="288">
      <c r="A288" s="1100"/>
      <c r="B288" s="1086"/>
      <c r="C288" s="1086"/>
      <c r="D288" s="1086"/>
      <c r="E288" s="1086"/>
      <c r="F288" s="1086"/>
      <c r="G288" s="1086"/>
      <c r="H288" s="1086"/>
      <c r="I288" s="1086"/>
      <c r="J288" s="1086"/>
      <c r="K288" s="1086"/>
      <c r="L288" s="1086"/>
      <c r="M288" s="1086"/>
      <c r="N288" s="1086"/>
      <c r="O288" s="1086"/>
      <c r="P288" s="1086"/>
      <c r="Q288" s="1086"/>
      <c r="R288" s="1086"/>
      <c r="S288" s="1086"/>
      <c r="T288" s="1086"/>
      <c r="U288" s="1086"/>
      <c r="V288" s="1086"/>
      <c r="W288" s="1086"/>
      <c r="X288" s="1086"/>
      <c r="Y288" s="1086"/>
      <c r="Z288" s="1086"/>
      <c r="AA288" s="1086"/>
      <c r="AB288" s="1086"/>
    </row>
    <row r="289">
      <c r="A289" s="1100"/>
      <c r="B289" s="1086"/>
      <c r="C289" s="1086"/>
      <c r="D289" s="1086"/>
      <c r="E289" s="1086"/>
      <c r="F289" s="1086"/>
      <c r="G289" s="1086"/>
      <c r="H289" s="1086"/>
      <c r="I289" s="1086"/>
      <c r="J289" s="1086"/>
      <c r="K289" s="1086"/>
      <c r="L289" s="1086"/>
      <c r="M289" s="1086"/>
      <c r="N289" s="1086"/>
      <c r="O289" s="1086"/>
      <c r="P289" s="1086"/>
      <c r="Q289" s="1086"/>
      <c r="R289" s="1086"/>
      <c r="S289" s="1086"/>
      <c r="T289" s="1086"/>
      <c r="U289" s="1086"/>
      <c r="V289" s="1086"/>
      <c r="W289" s="1086"/>
      <c r="X289" s="1086"/>
      <c r="Y289" s="1086"/>
      <c r="Z289" s="1086"/>
      <c r="AA289" s="1086"/>
      <c r="AB289" s="1086"/>
    </row>
    <row r="290">
      <c r="A290" s="1100"/>
      <c r="B290" s="1086"/>
      <c r="C290" s="1086"/>
      <c r="D290" s="1086"/>
      <c r="E290" s="1086"/>
      <c r="F290" s="1086"/>
      <c r="G290" s="1086"/>
      <c r="H290" s="1086"/>
      <c r="I290" s="1086"/>
      <c r="J290" s="1086"/>
      <c r="K290" s="1086"/>
      <c r="L290" s="1086"/>
      <c r="M290" s="1086"/>
      <c r="N290" s="1086"/>
      <c r="O290" s="1086"/>
      <c r="P290" s="1086"/>
      <c r="Q290" s="1086"/>
      <c r="R290" s="1086"/>
      <c r="S290" s="1086"/>
      <c r="T290" s="1086"/>
      <c r="U290" s="1086"/>
      <c r="V290" s="1086"/>
      <c r="W290" s="1086"/>
      <c r="X290" s="1086"/>
      <c r="Y290" s="1086"/>
      <c r="Z290" s="1086"/>
      <c r="AA290" s="1086"/>
      <c r="AB290" s="1086"/>
    </row>
    <row r="291">
      <c r="A291" s="1100"/>
      <c r="B291" s="1086"/>
      <c r="C291" s="1086"/>
      <c r="D291" s="1086"/>
      <c r="E291" s="1086"/>
      <c r="F291" s="1086"/>
      <c r="G291" s="1086"/>
      <c r="H291" s="1086"/>
      <c r="I291" s="1086"/>
      <c r="J291" s="1086"/>
      <c r="K291" s="1086"/>
      <c r="L291" s="1086"/>
      <c r="M291" s="1086"/>
      <c r="N291" s="1086"/>
      <c r="O291" s="1086"/>
      <c r="P291" s="1086"/>
      <c r="Q291" s="1086"/>
      <c r="R291" s="1086"/>
      <c r="S291" s="1086"/>
      <c r="T291" s="1086"/>
      <c r="U291" s="1086"/>
      <c r="V291" s="1086"/>
      <c r="W291" s="1086"/>
      <c r="X291" s="1086"/>
      <c r="Y291" s="1086"/>
      <c r="Z291" s="1086"/>
      <c r="AA291" s="1086"/>
      <c r="AB291" s="1086"/>
    </row>
    <row r="292">
      <c r="A292" s="1100"/>
      <c r="B292" s="1086"/>
      <c r="C292" s="1086"/>
      <c r="D292" s="1086"/>
      <c r="E292" s="1086"/>
      <c r="F292" s="1086"/>
      <c r="G292" s="1086"/>
      <c r="H292" s="1086"/>
      <c r="I292" s="1086"/>
      <c r="J292" s="1086"/>
      <c r="K292" s="1086"/>
      <c r="L292" s="1086"/>
      <c r="M292" s="1086"/>
      <c r="N292" s="1086"/>
      <c r="O292" s="1086"/>
      <c r="P292" s="1086"/>
      <c r="Q292" s="1086"/>
      <c r="R292" s="1086"/>
      <c r="S292" s="1086"/>
      <c r="T292" s="1086"/>
      <c r="U292" s="1086"/>
      <c r="V292" s="1086"/>
      <c r="W292" s="1086"/>
      <c r="X292" s="1086"/>
      <c r="Y292" s="1086"/>
      <c r="Z292" s="1086"/>
      <c r="AA292" s="1086"/>
      <c r="AB292" s="1086"/>
    </row>
    <row r="293">
      <c r="A293" s="1100"/>
      <c r="B293" s="1086"/>
      <c r="C293" s="1086"/>
      <c r="D293" s="1086"/>
      <c r="E293" s="1086"/>
      <c r="F293" s="1086"/>
      <c r="G293" s="1086"/>
      <c r="H293" s="1086"/>
      <c r="I293" s="1086"/>
      <c r="J293" s="1086"/>
      <c r="K293" s="1086"/>
      <c r="L293" s="1086"/>
      <c r="M293" s="1086"/>
      <c r="N293" s="1086"/>
      <c r="O293" s="1086"/>
      <c r="P293" s="1086"/>
      <c r="Q293" s="1086"/>
      <c r="R293" s="1086"/>
      <c r="S293" s="1086"/>
      <c r="T293" s="1086"/>
      <c r="U293" s="1086"/>
      <c r="V293" s="1086"/>
      <c r="W293" s="1086"/>
      <c r="X293" s="1086"/>
      <c r="Y293" s="1086"/>
      <c r="Z293" s="1086"/>
      <c r="AA293" s="1086"/>
      <c r="AB293" s="1086"/>
    </row>
    <row r="294">
      <c r="A294" s="1100"/>
      <c r="B294" s="1086"/>
      <c r="C294" s="1086"/>
      <c r="D294" s="1086"/>
      <c r="E294" s="1086"/>
      <c r="F294" s="1086"/>
      <c r="G294" s="1086"/>
      <c r="H294" s="1086"/>
      <c r="I294" s="1086"/>
      <c r="J294" s="1086"/>
      <c r="K294" s="1086"/>
      <c r="L294" s="1086"/>
      <c r="M294" s="1086"/>
      <c r="N294" s="1086"/>
      <c r="O294" s="1086"/>
      <c r="P294" s="1086"/>
      <c r="Q294" s="1086"/>
      <c r="R294" s="1086"/>
      <c r="S294" s="1086"/>
      <c r="T294" s="1086"/>
      <c r="U294" s="1086"/>
      <c r="V294" s="1086"/>
      <c r="W294" s="1086"/>
      <c r="X294" s="1086"/>
      <c r="Y294" s="1086"/>
      <c r="Z294" s="1086"/>
      <c r="AA294" s="1086"/>
      <c r="AB294" s="1086"/>
    </row>
    <row r="295">
      <c r="A295" s="1100"/>
      <c r="B295" s="1086"/>
      <c r="C295" s="1086"/>
      <c r="D295" s="1086"/>
      <c r="E295" s="1086"/>
      <c r="F295" s="1086"/>
      <c r="G295" s="1086"/>
      <c r="H295" s="1086"/>
      <c r="I295" s="1086"/>
      <c r="J295" s="1086"/>
      <c r="K295" s="1086"/>
      <c r="L295" s="1086"/>
      <c r="M295" s="1086"/>
      <c r="N295" s="1086"/>
      <c r="O295" s="1086"/>
      <c r="P295" s="1086"/>
      <c r="Q295" s="1086"/>
      <c r="R295" s="1086"/>
      <c r="S295" s="1086"/>
      <c r="T295" s="1086"/>
      <c r="U295" s="1086"/>
      <c r="V295" s="1086"/>
      <c r="W295" s="1086"/>
      <c r="X295" s="1086"/>
      <c r="Y295" s="1086"/>
      <c r="Z295" s="1086"/>
      <c r="AA295" s="1086"/>
      <c r="AB295" s="1086"/>
    </row>
    <row r="296">
      <c r="A296" s="1100"/>
      <c r="B296" s="1086"/>
      <c r="C296" s="1086"/>
      <c r="D296" s="1086"/>
      <c r="E296" s="1086"/>
      <c r="F296" s="1086"/>
      <c r="G296" s="1086"/>
      <c r="H296" s="1086"/>
      <c r="I296" s="1086"/>
      <c r="J296" s="1086"/>
      <c r="K296" s="1086"/>
      <c r="L296" s="1086"/>
      <c r="M296" s="1086"/>
      <c r="N296" s="1086"/>
      <c r="O296" s="1086"/>
      <c r="P296" s="1086"/>
      <c r="Q296" s="1086"/>
      <c r="R296" s="1086"/>
      <c r="S296" s="1086"/>
      <c r="T296" s="1086"/>
      <c r="U296" s="1086"/>
      <c r="V296" s="1086"/>
      <c r="W296" s="1086"/>
      <c r="X296" s="1086"/>
      <c r="Y296" s="1086"/>
      <c r="Z296" s="1086"/>
      <c r="AA296" s="1086"/>
      <c r="AB296" s="1086"/>
    </row>
    <row r="297">
      <c r="A297" s="1100"/>
      <c r="B297" s="1086"/>
      <c r="C297" s="1086"/>
      <c r="D297" s="1086"/>
      <c r="E297" s="1086"/>
      <c r="F297" s="1086"/>
      <c r="G297" s="1086"/>
      <c r="H297" s="1086"/>
      <c r="I297" s="1086"/>
      <c r="J297" s="1086"/>
      <c r="K297" s="1086"/>
      <c r="L297" s="1086"/>
      <c r="M297" s="1086"/>
      <c r="N297" s="1086"/>
      <c r="O297" s="1086"/>
      <c r="P297" s="1086"/>
      <c r="Q297" s="1086"/>
      <c r="R297" s="1086"/>
      <c r="S297" s="1086"/>
      <c r="T297" s="1086"/>
      <c r="U297" s="1086"/>
      <c r="V297" s="1086"/>
      <c r="W297" s="1086"/>
      <c r="X297" s="1086"/>
      <c r="Y297" s="1086"/>
      <c r="Z297" s="1086"/>
      <c r="AA297" s="1086"/>
      <c r="AB297" s="1086"/>
    </row>
    <row r="298">
      <c r="A298" s="1100"/>
      <c r="B298" s="1086"/>
      <c r="C298" s="1086"/>
      <c r="D298" s="1086"/>
      <c r="E298" s="1086"/>
      <c r="F298" s="1086"/>
      <c r="G298" s="1086"/>
      <c r="H298" s="1086"/>
      <c r="I298" s="1086"/>
      <c r="J298" s="1086"/>
      <c r="K298" s="1086"/>
      <c r="L298" s="1086"/>
      <c r="M298" s="1086"/>
      <c r="N298" s="1086"/>
      <c r="O298" s="1086"/>
      <c r="P298" s="1086"/>
      <c r="Q298" s="1086"/>
      <c r="R298" s="1086"/>
      <c r="S298" s="1086"/>
      <c r="T298" s="1086"/>
      <c r="U298" s="1086"/>
      <c r="V298" s="1086"/>
      <c r="W298" s="1086"/>
      <c r="X298" s="1086"/>
      <c r="Y298" s="1086"/>
      <c r="Z298" s="1086"/>
      <c r="AA298" s="1086"/>
      <c r="AB298" s="1086"/>
    </row>
    <row r="299">
      <c r="A299" s="1100"/>
      <c r="B299" s="1086"/>
      <c r="C299" s="1086"/>
      <c r="D299" s="1086"/>
      <c r="E299" s="1086"/>
      <c r="F299" s="1086"/>
      <c r="G299" s="1086"/>
      <c r="H299" s="1086"/>
      <c r="I299" s="1086"/>
      <c r="J299" s="1086"/>
      <c r="K299" s="1086"/>
      <c r="L299" s="1086"/>
      <c r="M299" s="1086"/>
      <c r="N299" s="1086"/>
      <c r="O299" s="1086"/>
      <c r="P299" s="1086"/>
      <c r="Q299" s="1086"/>
      <c r="R299" s="1086"/>
      <c r="S299" s="1086"/>
      <c r="T299" s="1086"/>
      <c r="U299" s="1086"/>
      <c r="V299" s="1086"/>
      <c r="W299" s="1086"/>
      <c r="X299" s="1086"/>
      <c r="Y299" s="1086"/>
      <c r="Z299" s="1086"/>
      <c r="AA299" s="1086"/>
      <c r="AB299" s="1086"/>
    </row>
    <row r="300">
      <c r="A300" s="1100"/>
      <c r="B300" s="1086"/>
      <c r="C300" s="1086"/>
      <c r="D300" s="1086"/>
      <c r="E300" s="1086"/>
      <c r="F300" s="1086"/>
      <c r="G300" s="1086"/>
      <c r="H300" s="1086"/>
      <c r="I300" s="1086"/>
      <c r="J300" s="1086"/>
      <c r="K300" s="1086"/>
      <c r="L300" s="1086"/>
      <c r="M300" s="1086"/>
      <c r="N300" s="1086"/>
      <c r="O300" s="1086"/>
      <c r="P300" s="1086"/>
      <c r="Q300" s="1086"/>
      <c r="R300" s="1086"/>
      <c r="S300" s="1086"/>
      <c r="T300" s="1086"/>
      <c r="U300" s="1086"/>
      <c r="V300" s="1086"/>
      <c r="W300" s="1086"/>
      <c r="X300" s="1086"/>
      <c r="Y300" s="1086"/>
      <c r="Z300" s="1086"/>
      <c r="AA300" s="1086"/>
      <c r="AB300" s="1086"/>
    </row>
    <row r="301">
      <c r="A301" s="1100"/>
      <c r="B301" s="1086"/>
      <c r="C301" s="1086"/>
      <c r="D301" s="1086"/>
      <c r="E301" s="1086"/>
      <c r="F301" s="1086"/>
      <c r="G301" s="1086"/>
      <c r="H301" s="1086"/>
      <c r="I301" s="1086"/>
      <c r="J301" s="1086"/>
      <c r="K301" s="1086"/>
      <c r="L301" s="1086"/>
      <c r="M301" s="1086"/>
      <c r="N301" s="1086"/>
      <c r="O301" s="1086"/>
      <c r="P301" s="1086"/>
      <c r="Q301" s="1086"/>
      <c r="R301" s="1086"/>
      <c r="S301" s="1086"/>
      <c r="T301" s="1086"/>
      <c r="U301" s="1086"/>
      <c r="V301" s="1086"/>
      <c r="W301" s="1086"/>
      <c r="X301" s="1086"/>
      <c r="Y301" s="1086"/>
      <c r="Z301" s="1086"/>
      <c r="AA301" s="1086"/>
      <c r="AB301" s="1086"/>
    </row>
    <row r="302">
      <c r="A302" s="1100"/>
      <c r="B302" s="1086"/>
      <c r="C302" s="1086"/>
      <c r="D302" s="1086"/>
      <c r="E302" s="1086"/>
      <c r="F302" s="1086"/>
      <c r="G302" s="1086"/>
      <c r="H302" s="1086"/>
      <c r="I302" s="1086"/>
      <c r="J302" s="1086"/>
      <c r="K302" s="1086"/>
      <c r="L302" s="1086"/>
      <c r="M302" s="1086"/>
      <c r="N302" s="1086"/>
      <c r="O302" s="1086"/>
      <c r="P302" s="1086"/>
      <c r="Q302" s="1086"/>
      <c r="R302" s="1086"/>
      <c r="S302" s="1086"/>
      <c r="T302" s="1086"/>
      <c r="U302" s="1086"/>
      <c r="V302" s="1086"/>
      <c r="W302" s="1086"/>
      <c r="X302" s="1086"/>
      <c r="Y302" s="1086"/>
      <c r="Z302" s="1086"/>
      <c r="AA302" s="1086"/>
      <c r="AB302" s="1086"/>
    </row>
    <row r="303">
      <c r="A303" s="1100"/>
      <c r="B303" s="1086"/>
      <c r="C303" s="1086"/>
      <c r="D303" s="1086"/>
      <c r="E303" s="1086"/>
      <c r="F303" s="1086"/>
      <c r="G303" s="1086"/>
      <c r="H303" s="1086"/>
      <c r="I303" s="1086"/>
      <c r="J303" s="1086"/>
      <c r="K303" s="1086"/>
      <c r="L303" s="1086"/>
      <c r="M303" s="1086"/>
      <c r="N303" s="1086"/>
      <c r="O303" s="1086"/>
      <c r="P303" s="1086"/>
      <c r="Q303" s="1086"/>
      <c r="R303" s="1086"/>
      <c r="S303" s="1086"/>
      <c r="T303" s="1086"/>
      <c r="U303" s="1086"/>
      <c r="V303" s="1086"/>
      <c r="W303" s="1086"/>
      <c r="X303" s="1086"/>
      <c r="Y303" s="1086"/>
      <c r="Z303" s="1086"/>
      <c r="AA303" s="1086"/>
      <c r="AB303" s="1086"/>
    </row>
    <row r="304">
      <c r="A304" s="1100"/>
      <c r="B304" s="1086"/>
      <c r="C304" s="1086"/>
      <c r="D304" s="1086"/>
      <c r="E304" s="1086"/>
      <c r="F304" s="1086"/>
      <c r="G304" s="1086"/>
      <c r="H304" s="1086"/>
      <c r="I304" s="1086"/>
      <c r="J304" s="1086"/>
      <c r="K304" s="1086"/>
      <c r="L304" s="1086"/>
      <c r="M304" s="1086"/>
      <c r="N304" s="1086"/>
      <c r="O304" s="1086"/>
      <c r="P304" s="1086"/>
      <c r="Q304" s="1086"/>
      <c r="R304" s="1086"/>
      <c r="S304" s="1086"/>
      <c r="T304" s="1086"/>
      <c r="U304" s="1086"/>
      <c r="V304" s="1086"/>
      <c r="W304" s="1086"/>
      <c r="X304" s="1086"/>
      <c r="Y304" s="1086"/>
      <c r="Z304" s="1086"/>
      <c r="AA304" s="1086"/>
      <c r="AB304" s="1086"/>
    </row>
    <row r="305">
      <c r="A305" s="1100"/>
      <c r="B305" s="1086"/>
      <c r="C305" s="1086"/>
      <c r="D305" s="1086"/>
      <c r="E305" s="1086"/>
      <c r="F305" s="1086"/>
      <c r="G305" s="1086"/>
      <c r="H305" s="1086"/>
      <c r="I305" s="1086"/>
      <c r="J305" s="1086"/>
      <c r="K305" s="1086"/>
      <c r="L305" s="1086"/>
      <c r="M305" s="1086"/>
      <c r="N305" s="1086"/>
      <c r="O305" s="1086"/>
      <c r="P305" s="1086"/>
      <c r="Q305" s="1086"/>
      <c r="R305" s="1086"/>
      <c r="S305" s="1086"/>
      <c r="T305" s="1086"/>
      <c r="U305" s="1086"/>
      <c r="V305" s="1086"/>
      <c r="W305" s="1086"/>
      <c r="X305" s="1086"/>
      <c r="Y305" s="1086"/>
      <c r="Z305" s="1086"/>
      <c r="AA305" s="1086"/>
      <c r="AB305" s="1086"/>
    </row>
    <row r="306">
      <c r="A306" s="1100"/>
      <c r="B306" s="1086"/>
      <c r="C306" s="1086"/>
      <c r="D306" s="1086"/>
      <c r="E306" s="1086"/>
      <c r="F306" s="1086"/>
      <c r="G306" s="1086"/>
      <c r="H306" s="1086"/>
      <c r="I306" s="1086"/>
      <c r="J306" s="1086"/>
      <c r="K306" s="1086"/>
      <c r="L306" s="1086"/>
      <c r="M306" s="1086"/>
      <c r="N306" s="1086"/>
      <c r="O306" s="1086"/>
      <c r="P306" s="1086"/>
      <c r="Q306" s="1086"/>
      <c r="R306" s="1086"/>
      <c r="S306" s="1086"/>
      <c r="T306" s="1086"/>
      <c r="U306" s="1086"/>
      <c r="V306" s="1086"/>
      <c r="W306" s="1086"/>
      <c r="X306" s="1086"/>
      <c r="Y306" s="1086"/>
      <c r="Z306" s="1086"/>
      <c r="AA306" s="1086"/>
      <c r="AB306" s="1086"/>
    </row>
    <row r="307">
      <c r="A307" s="1100"/>
      <c r="B307" s="1086"/>
      <c r="C307" s="1086"/>
      <c r="D307" s="1086"/>
      <c r="E307" s="1086"/>
      <c r="F307" s="1086"/>
      <c r="G307" s="1086"/>
      <c r="H307" s="1086"/>
      <c r="I307" s="1086"/>
      <c r="J307" s="1086"/>
      <c r="K307" s="1086"/>
      <c r="L307" s="1086"/>
      <c r="M307" s="1086"/>
      <c r="N307" s="1086"/>
      <c r="O307" s="1086"/>
      <c r="P307" s="1086"/>
      <c r="Q307" s="1086"/>
      <c r="R307" s="1086"/>
      <c r="S307" s="1086"/>
      <c r="T307" s="1086"/>
      <c r="U307" s="1086"/>
      <c r="V307" s="1086"/>
      <c r="W307" s="1086"/>
      <c r="X307" s="1086"/>
      <c r="Y307" s="1086"/>
      <c r="Z307" s="1086"/>
      <c r="AA307" s="1086"/>
      <c r="AB307" s="1086"/>
    </row>
    <row r="308">
      <c r="A308" s="1100"/>
      <c r="B308" s="1086"/>
      <c r="C308" s="1086"/>
      <c r="D308" s="1086"/>
      <c r="E308" s="1086"/>
      <c r="F308" s="1086"/>
      <c r="G308" s="1086"/>
      <c r="H308" s="1086"/>
      <c r="I308" s="1086"/>
      <c r="J308" s="1086"/>
      <c r="K308" s="1086"/>
      <c r="L308" s="1086"/>
      <c r="M308" s="1086"/>
      <c r="N308" s="1086"/>
      <c r="O308" s="1086"/>
      <c r="P308" s="1086"/>
      <c r="Q308" s="1086"/>
      <c r="R308" s="1086"/>
      <c r="S308" s="1086"/>
      <c r="T308" s="1086"/>
      <c r="U308" s="1086"/>
      <c r="V308" s="1086"/>
      <c r="W308" s="1086"/>
      <c r="X308" s="1086"/>
      <c r="Y308" s="1086"/>
      <c r="Z308" s="1086"/>
      <c r="AA308" s="1086"/>
      <c r="AB308" s="1086"/>
    </row>
    <row r="309">
      <c r="A309" s="1100"/>
      <c r="B309" s="1086"/>
      <c r="C309" s="1086"/>
      <c r="D309" s="1086"/>
      <c r="E309" s="1086"/>
      <c r="F309" s="1086"/>
      <c r="G309" s="1086"/>
      <c r="H309" s="1086"/>
      <c r="I309" s="1086"/>
      <c r="J309" s="1086"/>
      <c r="K309" s="1086"/>
      <c r="L309" s="1086"/>
      <c r="M309" s="1086"/>
      <c r="N309" s="1086"/>
      <c r="O309" s="1086"/>
      <c r="P309" s="1086"/>
      <c r="Q309" s="1086"/>
      <c r="R309" s="1086"/>
      <c r="S309" s="1086"/>
      <c r="T309" s="1086"/>
      <c r="U309" s="1086"/>
      <c r="V309" s="1086"/>
      <c r="W309" s="1086"/>
      <c r="X309" s="1086"/>
      <c r="Y309" s="1086"/>
      <c r="Z309" s="1086"/>
      <c r="AA309" s="1086"/>
      <c r="AB309" s="1086"/>
    </row>
    <row r="310">
      <c r="A310" s="1100"/>
      <c r="B310" s="1086"/>
      <c r="C310" s="1086"/>
      <c r="D310" s="1086"/>
      <c r="E310" s="1086"/>
      <c r="F310" s="1086"/>
      <c r="G310" s="1086"/>
      <c r="H310" s="1086"/>
      <c r="I310" s="1086"/>
      <c r="J310" s="1086"/>
      <c r="K310" s="1086"/>
      <c r="L310" s="1086"/>
      <c r="M310" s="1086"/>
      <c r="N310" s="1086"/>
      <c r="O310" s="1086"/>
      <c r="P310" s="1086"/>
      <c r="Q310" s="1086"/>
      <c r="R310" s="1086"/>
      <c r="S310" s="1086"/>
      <c r="T310" s="1086"/>
      <c r="U310" s="1086"/>
      <c r="V310" s="1086"/>
      <c r="W310" s="1086"/>
      <c r="X310" s="1086"/>
      <c r="Y310" s="1086"/>
      <c r="Z310" s="1086"/>
      <c r="AA310" s="1086"/>
      <c r="AB310" s="1086"/>
    </row>
    <row r="311">
      <c r="A311" s="1100"/>
      <c r="B311" s="1086"/>
      <c r="C311" s="1086"/>
      <c r="D311" s="1086"/>
      <c r="E311" s="1086"/>
      <c r="F311" s="1086"/>
      <c r="G311" s="1086"/>
      <c r="H311" s="1086"/>
      <c r="I311" s="1086"/>
      <c r="J311" s="1086"/>
      <c r="K311" s="1086"/>
      <c r="L311" s="1086"/>
      <c r="M311" s="1086"/>
      <c r="N311" s="1086"/>
      <c r="O311" s="1086"/>
      <c r="P311" s="1086"/>
      <c r="Q311" s="1086"/>
      <c r="R311" s="1086"/>
      <c r="S311" s="1086"/>
      <c r="T311" s="1086"/>
      <c r="U311" s="1086"/>
      <c r="V311" s="1086"/>
      <c r="W311" s="1086"/>
      <c r="X311" s="1086"/>
      <c r="Y311" s="1086"/>
      <c r="Z311" s="1086"/>
      <c r="AA311" s="1086"/>
      <c r="AB311" s="1086"/>
    </row>
    <row r="312">
      <c r="A312" s="1100"/>
      <c r="B312" s="1086"/>
      <c r="C312" s="1086"/>
      <c r="D312" s="1086"/>
      <c r="E312" s="1086"/>
      <c r="F312" s="1086"/>
      <c r="G312" s="1086"/>
      <c r="H312" s="1086"/>
      <c r="I312" s="1086"/>
      <c r="J312" s="1086"/>
      <c r="K312" s="1086"/>
      <c r="L312" s="1086"/>
      <c r="M312" s="1086"/>
      <c r="N312" s="1086"/>
      <c r="O312" s="1086"/>
      <c r="P312" s="1086"/>
      <c r="Q312" s="1086"/>
      <c r="R312" s="1086"/>
      <c r="S312" s="1086"/>
      <c r="T312" s="1086"/>
      <c r="U312" s="1086"/>
      <c r="V312" s="1086"/>
      <c r="W312" s="1086"/>
      <c r="X312" s="1086"/>
      <c r="Y312" s="1086"/>
      <c r="Z312" s="1086"/>
      <c r="AA312" s="1086"/>
      <c r="AB312" s="1086"/>
    </row>
    <row r="313">
      <c r="A313" s="1100"/>
      <c r="B313" s="1086"/>
      <c r="C313" s="1086"/>
      <c r="D313" s="1086"/>
      <c r="E313" s="1086"/>
      <c r="F313" s="1086"/>
      <c r="G313" s="1086"/>
      <c r="H313" s="1086"/>
      <c r="I313" s="1086"/>
      <c r="J313" s="1086"/>
      <c r="K313" s="1086"/>
      <c r="L313" s="1086"/>
      <c r="M313" s="1086"/>
      <c r="N313" s="1086"/>
      <c r="O313" s="1086"/>
      <c r="P313" s="1086"/>
      <c r="Q313" s="1086"/>
      <c r="R313" s="1086"/>
      <c r="S313" s="1086"/>
      <c r="T313" s="1086"/>
      <c r="U313" s="1086"/>
      <c r="V313" s="1086"/>
      <c r="W313" s="1086"/>
      <c r="X313" s="1086"/>
      <c r="Y313" s="1086"/>
      <c r="Z313" s="1086"/>
      <c r="AA313" s="1086"/>
      <c r="AB313" s="1086"/>
    </row>
    <row r="314">
      <c r="A314" s="1100"/>
      <c r="B314" s="1086"/>
      <c r="C314" s="1086"/>
      <c r="D314" s="1086"/>
      <c r="E314" s="1086"/>
      <c r="F314" s="1086"/>
      <c r="G314" s="1086"/>
      <c r="H314" s="1086"/>
      <c r="I314" s="1086"/>
      <c r="J314" s="1086"/>
      <c r="K314" s="1086"/>
      <c r="L314" s="1086"/>
      <c r="M314" s="1086"/>
      <c r="N314" s="1086"/>
      <c r="O314" s="1086"/>
      <c r="P314" s="1086"/>
      <c r="Q314" s="1086"/>
      <c r="R314" s="1086"/>
      <c r="S314" s="1086"/>
      <c r="T314" s="1086"/>
      <c r="U314" s="1086"/>
      <c r="V314" s="1086"/>
      <c r="W314" s="1086"/>
      <c r="X314" s="1086"/>
      <c r="Y314" s="1086"/>
      <c r="Z314" s="1086"/>
      <c r="AA314" s="1086"/>
      <c r="AB314" s="1086"/>
    </row>
    <row r="315">
      <c r="A315" s="1100"/>
      <c r="B315" s="1086"/>
      <c r="C315" s="1086"/>
      <c r="D315" s="1086"/>
      <c r="E315" s="1086"/>
      <c r="F315" s="1086"/>
      <c r="G315" s="1086"/>
      <c r="H315" s="1086"/>
      <c r="I315" s="1086"/>
      <c r="J315" s="1086"/>
      <c r="K315" s="1086"/>
      <c r="L315" s="1086"/>
      <c r="M315" s="1086"/>
      <c r="N315" s="1086"/>
      <c r="O315" s="1086"/>
      <c r="P315" s="1086"/>
      <c r="Q315" s="1086"/>
      <c r="R315" s="1086"/>
      <c r="S315" s="1086"/>
      <c r="T315" s="1086"/>
      <c r="U315" s="1086"/>
      <c r="V315" s="1086"/>
      <c r="W315" s="1086"/>
      <c r="X315" s="1086"/>
      <c r="Y315" s="1086"/>
      <c r="Z315" s="1086"/>
      <c r="AA315" s="1086"/>
      <c r="AB315" s="1086"/>
    </row>
    <row r="316">
      <c r="A316" s="1100"/>
      <c r="B316" s="1086"/>
      <c r="C316" s="1086"/>
      <c r="D316" s="1086"/>
      <c r="E316" s="1086"/>
      <c r="F316" s="1086"/>
      <c r="G316" s="1086"/>
      <c r="H316" s="1086"/>
      <c r="I316" s="1086"/>
      <c r="J316" s="1086"/>
      <c r="K316" s="1086"/>
      <c r="L316" s="1086"/>
      <c r="M316" s="1086"/>
      <c r="N316" s="1086"/>
      <c r="O316" s="1086"/>
      <c r="P316" s="1086"/>
      <c r="Q316" s="1086"/>
      <c r="R316" s="1086"/>
      <c r="S316" s="1086"/>
      <c r="T316" s="1086"/>
      <c r="U316" s="1086"/>
      <c r="V316" s="1086"/>
      <c r="W316" s="1086"/>
      <c r="X316" s="1086"/>
      <c r="Y316" s="1086"/>
      <c r="Z316" s="1086"/>
      <c r="AA316" s="1086"/>
      <c r="AB316" s="1086"/>
    </row>
    <row r="317">
      <c r="A317" s="1100"/>
      <c r="B317" s="1086"/>
      <c r="C317" s="1086"/>
      <c r="D317" s="1086"/>
      <c r="E317" s="1086"/>
      <c r="F317" s="1086"/>
      <c r="G317" s="1086"/>
      <c r="H317" s="1086"/>
      <c r="I317" s="1086"/>
      <c r="J317" s="1086"/>
      <c r="K317" s="1086"/>
      <c r="L317" s="1086"/>
      <c r="M317" s="1086"/>
      <c r="N317" s="1086"/>
      <c r="O317" s="1086"/>
      <c r="P317" s="1086"/>
      <c r="Q317" s="1086"/>
      <c r="R317" s="1086"/>
      <c r="S317" s="1086"/>
      <c r="T317" s="1086"/>
      <c r="U317" s="1086"/>
      <c r="V317" s="1086"/>
      <c r="W317" s="1086"/>
      <c r="X317" s="1086"/>
      <c r="Y317" s="1086"/>
      <c r="Z317" s="1086"/>
      <c r="AA317" s="1086"/>
      <c r="AB317" s="1086"/>
    </row>
    <row r="318">
      <c r="A318" s="1100"/>
      <c r="B318" s="1086"/>
      <c r="C318" s="1086"/>
      <c r="D318" s="1086"/>
      <c r="E318" s="1086"/>
      <c r="F318" s="1086"/>
      <c r="G318" s="1086"/>
      <c r="H318" s="1086"/>
      <c r="I318" s="1086"/>
      <c r="J318" s="1086"/>
      <c r="K318" s="1086"/>
      <c r="L318" s="1086"/>
      <c r="M318" s="1086"/>
      <c r="N318" s="1086"/>
      <c r="O318" s="1086"/>
      <c r="P318" s="1086"/>
      <c r="Q318" s="1086"/>
      <c r="R318" s="1086"/>
      <c r="S318" s="1086"/>
      <c r="T318" s="1086"/>
      <c r="U318" s="1086"/>
      <c r="V318" s="1086"/>
      <c r="W318" s="1086"/>
      <c r="X318" s="1086"/>
      <c r="Y318" s="1086"/>
      <c r="Z318" s="1086"/>
      <c r="AA318" s="1086"/>
      <c r="AB318" s="1086"/>
    </row>
    <row r="319">
      <c r="A319" s="1100"/>
      <c r="B319" s="1086"/>
      <c r="C319" s="1086"/>
      <c r="D319" s="1086"/>
      <c r="E319" s="1086"/>
      <c r="F319" s="1086"/>
      <c r="G319" s="1086"/>
      <c r="H319" s="1086"/>
      <c r="I319" s="1086"/>
      <c r="J319" s="1086"/>
      <c r="K319" s="1086"/>
      <c r="L319" s="1086"/>
      <c r="M319" s="1086"/>
      <c r="N319" s="1086"/>
      <c r="O319" s="1086"/>
      <c r="P319" s="1086"/>
      <c r="Q319" s="1086"/>
      <c r="R319" s="1086"/>
      <c r="S319" s="1086"/>
      <c r="T319" s="1086"/>
      <c r="U319" s="1086"/>
      <c r="V319" s="1086"/>
      <c r="W319" s="1086"/>
      <c r="X319" s="1086"/>
      <c r="Y319" s="1086"/>
      <c r="Z319" s="1086"/>
      <c r="AA319" s="1086"/>
      <c r="AB319" s="1086"/>
    </row>
    <row r="320">
      <c r="A320" s="1100"/>
      <c r="B320" s="1086"/>
      <c r="C320" s="1086"/>
      <c r="D320" s="1086"/>
      <c r="E320" s="1086"/>
      <c r="F320" s="1086"/>
      <c r="G320" s="1086"/>
      <c r="H320" s="1086"/>
      <c r="I320" s="1086"/>
      <c r="J320" s="1086"/>
      <c r="K320" s="1086"/>
      <c r="L320" s="1086"/>
      <c r="M320" s="1086"/>
      <c r="N320" s="1086"/>
      <c r="O320" s="1086"/>
      <c r="P320" s="1086"/>
      <c r="Q320" s="1086"/>
      <c r="R320" s="1086"/>
      <c r="S320" s="1086"/>
      <c r="T320" s="1086"/>
      <c r="U320" s="1086"/>
      <c r="V320" s="1086"/>
      <c r="W320" s="1086"/>
      <c r="X320" s="1086"/>
      <c r="Y320" s="1086"/>
      <c r="Z320" s="1086"/>
      <c r="AA320" s="1086"/>
      <c r="AB320" s="1086"/>
    </row>
    <row r="321">
      <c r="A321" s="1100"/>
      <c r="B321" s="1086"/>
      <c r="C321" s="1086"/>
      <c r="D321" s="1086"/>
      <c r="E321" s="1086"/>
      <c r="F321" s="1086"/>
      <c r="G321" s="1086"/>
      <c r="H321" s="1086"/>
      <c r="I321" s="1086"/>
      <c r="J321" s="1086"/>
      <c r="K321" s="1086"/>
      <c r="L321" s="1086"/>
      <c r="M321" s="1086"/>
      <c r="N321" s="1086"/>
      <c r="O321" s="1086"/>
      <c r="P321" s="1086"/>
      <c r="Q321" s="1086"/>
      <c r="R321" s="1086"/>
      <c r="S321" s="1086"/>
      <c r="T321" s="1086"/>
      <c r="U321" s="1086"/>
      <c r="V321" s="1086"/>
      <c r="W321" s="1086"/>
      <c r="X321" s="1086"/>
      <c r="Y321" s="1086"/>
      <c r="Z321" s="1086"/>
      <c r="AA321" s="1086"/>
      <c r="AB321" s="1086"/>
    </row>
    <row r="322">
      <c r="A322" s="1100"/>
      <c r="B322" s="1086"/>
      <c r="C322" s="1086"/>
      <c r="D322" s="1086"/>
      <c r="E322" s="1086"/>
      <c r="F322" s="1086"/>
      <c r="G322" s="1086"/>
      <c r="H322" s="1086"/>
      <c r="I322" s="1086"/>
      <c r="J322" s="1086"/>
      <c r="K322" s="1086"/>
      <c r="L322" s="1086"/>
      <c r="M322" s="1086"/>
      <c r="N322" s="1086"/>
      <c r="O322" s="1086"/>
      <c r="P322" s="1086"/>
      <c r="Q322" s="1086"/>
      <c r="R322" s="1086"/>
      <c r="S322" s="1086"/>
      <c r="T322" s="1086"/>
      <c r="U322" s="1086"/>
      <c r="V322" s="1086"/>
      <c r="W322" s="1086"/>
      <c r="X322" s="1086"/>
      <c r="Y322" s="1086"/>
      <c r="Z322" s="1086"/>
      <c r="AA322" s="1086"/>
      <c r="AB322" s="1086"/>
    </row>
    <row r="323">
      <c r="A323" s="1100"/>
      <c r="B323" s="1086"/>
      <c r="C323" s="1086"/>
      <c r="D323" s="1086"/>
      <c r="E323" s="1086"/>
      <c r="F323" s="1086"/>
      <c r="G323" s="1086"/>
      <c r="H323" s="1086"/>
      <c r="I323" s="1086"/>
      <c r="J323" s="1086"/>
      <c r="K323" s="1086"/>
      <c r="L323" s="1086"/>
      <c r="M323" s="1086"/>
      <c r="N323" s="1086"/>
      <c r="O323" s="1086"/>
      <c r="P323" s="1086"/>
      <c r="Q323" s="1086"/>
      <c r="R323" s="1086"/>
      <c r="S323" s="1086"/>
      <c r="T323" s="1086"/>
      <c r="U323" s="1086"/>
      <c r="V323" s="1086"/>
      <c r="W323" s="1086"/>
      <c r="X323" s="1086"/>
      <c r="Y323" s="1086"/>
      <c r="Z323" s="1086"/>
      <c r="AA323" s="1086"/>
      <c r="AB323" s="1086"/>
    </row>
    <row r="324">
      <c r="A324" s="1100"/>
      <c r="B324" s="1086"/>
      <c r="C324" s="1086"/>
      <c r="D324" s="1086"/>
      <c r="E324" s="1086"/>
      <c r="F324" s="1086"/>
      <c r="G324" s="1086"/>
      <c r="H324" s="1086"/>
      <c r="I324" s="1086"/>
      <c r="J324" s="1086"/>
      <c r="K324" s="1086"/>
      <c r="L324" s="1086"/>
      <c r="M324" s="1086"/>
      <c r="N324" s="1086"/>
      <c r="O324" s="1086"/>
      <c r="P324" s="1086"/>
      <c r="Q324" s="1086"/>
      <c r="R324" s="1086"/>
      <c r="S324" s="1086"/>
      <c r="T324" s="1086"/>
      <c r="U324" s="1086"/>
      <c r="V324" s="1086"/>
      <c r="W324" s="1086"/>
      <c r="X324" s="1086"/>
      <c r="Y324" s="1086"/>
      <c r="Z324" s="1086"/>
      <c r="AA324" s="1086"/>
      <c r="AB324" s="1086"/>
    </row>
    <row r="325">
      <c r="A325" s="1100"/>
      <c r="B325" s="1086"/>
      <c r="C325" s="1086"/>
      <c r="D325" s="1086"/>
      <c r="E325" s="1086"/>
      <c r="F325" s="1086"/>
      <c r="G325" s="1086"/>
      <c r="H325" s="1086"/>
      <c r="I325" s="1086"/>
      <c r="J325" s="1086"/>
      <c r="K325" s="1086"/>
      <c r="L325" s="1086"/>
      <c r="M325" s="1086"/>
      <c r="N325" s="1086"/>
      <c r="O325" s="1086"/>
      <c r="P325" s="1086"/>
      <c r="Q325" s="1086"/>
      <c r="R325" s="1086"/>
      <c r="S325" s="1086"/>
      <c r="T325" s="1086"/>
      <c r="U325" s="1086"/>
      <c r="V325" s="1086"/>
      <c r="W325" s="1086"/>
      <c r="X325" s="1086"/>
      <c r="Y325" s="1086"/>
      <c r="Z325" s="1086"/>
      <c r="AA325" s="1086"/>
      <c r="AB325" s="1086"/>
    </row>
    <row r="326">
      <c r="A326" s="1100"/>
      <c r="B326" s="1086"/>
      <c r="C326" s="1086"/>
      <c r="D326" s="1086"/>
      <c r="E326" s="1086"/>
      <c r="F326" s="1086"/>
      <c r="G326" s="1086"/>
      <c r="H326" s="1086"/>
      <c r="I326" s="1086"/>
      <c r="J326" s="1086"/>
      <c r="K326" s="1086"/>
      <c r="L326" s="1086"/>
      <c r="M326" s="1086"/>
      <c r="N326" s="1086"/>
      <c r="O326" s="1086"/>
      <c r="P326" s="1086"/>
      <c r="Q326" s="1086"/>
      <c r="R326" s="1086"/>
      <c r="S326" s="1086"/>
      <c r="T326" s="1086"/>
      <c r="U326" s="1086"/>
      <c r="V326" s="1086"/>
      <c r="W326" s="1086"/>
      <c r="X326" s="1086"/>
      <c r="Y326" s="1086"/>
      <c r="Z326" s="1086"/>
      <c r="AA326" s="1086"/>
      <c r="AB326" s="1086"/>
    </row>
    <row r="327">
      <c r="A327" s="1100"/>
      <c r="B327" s="1086"/>
      <c r="C327" s="1086"/>
      <c r="D327" s="1086"/>
      <c r="E327" s="1086"/>
      <c r="F327" s="1086"/>
      <c r="G327" s="1086"/>
      <c r="H327" s="1086"/>
      <c r="I327" s="1086"/>
      <c r="J327" s="1086"/>
      <c r="K327" s="1086"/>
      <c r="L327" s="1086"/>
      <c r="M327" s="1086"/>
      <c r="N327" s="1086"/>
      <c r="O327" s="1086"/>
      <c r="P327" s="1086"/>
      <c r="Q327" s="1086"/>
      <c r="R327" s="1086"/>
      <c r="S327" s="1086"/>
      <c r="T327" s="1086"/>
      <c r="U327" s="1086"/>
      <c r="V327" s="1086"/>
      <c r="W327" s="1086"/>
      <c r="X327" s="1086"/>
      <c r="Y327" s="1086"/>
      <c r="Z327" s="1086"/>
      <c r="AA327" s="1086"/>
      <c r="AB327" s="1086"/>
    </row>
    <row r="328">
      <c r="A328" s="1100"/>
      <c r="B328" s="1086"/>
      <c r="C328" s="1086"/>
      <c r="D328" s="1086"/>
      <c r="E328" s="1086"/>
      <c r="F328" s="1086"/>
      <c r="G328" s="1086"/>
      <c r="H328" s="1086"/>
      <c r="I328" s="1086"/>
      <c r="J328" s="1086"/>
      <c r="K328" s="1086"/>
      <c r="L328" s="1086"/>
      <c r="M328" s="1086"/>
      <c r="N328" s="1086"/>
      <c r="O328" s="1086"/>
      <c r="P328" s="1086"/>
      <c r="Q328" s="1086"/>
      <c r="R328" s="1086"/>
      <c r="S328" s="1086"/>
      <c r="T328" s="1086"/>
      <c r="U328" s="1086"/>
      <c r="V328" s="1086"/>
      <c r="W328" s="1086"/>
      <c r="X328" s="1086"/>
      <c r="Y328" s="1086"/>
      <c r="Z328" s="1086"/>
      <c r="AA328" s="1086"/>
      <c r="AB328" s="1086"/>
    </row>
    <row r="329">
      <c r="A329" s="1100"/>
      <c r="B329" s="1086"/>
      <c r="C329" s="1086"/>
      <c r="D329" s="1086"/>
      <c r="E329" s="1086"/>
      <c r="F329" s="1086"/>
      <c r="G329" s="1086"/>
      <c r="H329" s="1086"/>
      <c r="I329" s="1086"/>
      <c r="J329" s="1086"/>
      <c r="K329" s="1086"/>
      <c r="L329" s="1086"/>
      <c r="M329" s="1086"/>
      <c r="N329" s="1086"/>
      <c r="O329" s="1086"/>
      <c r="P329" s="1086"/>
      <c r="Q329" s="1086"/>
      <c r="R329" s="1086"/>
      <c r="S329" s="1086"/>
      <c r="T329" s="1086"/>
      <c r="U329" s="1086"/>
      <c r="V329" s="1086"/>
      <c r="W329" s="1086"/>
      <c r="X329" s="1086"/>
      <c r="Y329" s="1086"/>
      <c r="Z329" s="1086"/>
      <c r="AA329" s="1086"/>
      <c r="AB329" s="1086"/>
    </row>
    <row r="330">
      <c r="A330" s="1100"/>
      <c r="B330" s="1086"/>
      <c r="C330" s="1086"/>
      <c r="D330" s="1086"/>
      <c r="E330" s="1086"/>
      <c r="F330" s="1086"/>
      <c r="G330" s="1086"/>
      <c r="H330" s="1086"/>
      <c r="I330" s="1086"/>
      <c r="J330" s="1086"/>
      <c r="K330" s="1086"/>
      <c r="L330" s="1086"/>
      <c r="M330" s="1086"/>
      <c r="N330" s="1086"/>
      <c r="O330" s="1086"/>
      <c r="P330" s="1086"/>
      <c r="Q330" s="1086"/>
      <c r="R330" s="1086"/>
      <c r="S330" s="1086"/>
      <c r="T330" s="1086"/>
      <c r="U330" s="1086"/>
      <c r="V330" s="1086"/>
      <c r="W330" s="1086"/>
      <c r="X330" s="1086"/>
      <c r="Y330" s="1086"/>
      <c r="Z330" s="1086"/>
      <c r="AA330" s="1086"/>
      <c r="AB330" s="1086"/>
    </row>
    <row r="331">
      <c r="A331" s="1100"/>
      <c r="B331" s="1086"/>
      <c r="C331" s="1086"/>
      <c r="D331" s="1086"/>
      <c r="E331" s="1086"/>
      <c r="F331" s="1086"/>
      <c r="G331" s="1086"/>
      <c r="H331" s="1086"/>
      <c r="I331" s="1086"/>
      <c r="J331" s="1086"/>
      <c r="K331" s="1086"/>
      <c r="L331" s="1086"/>
      <c r="M331" s="1086"/>
      <c r="N331" s="1086"/>
      <c r="O331" s="1086"/>
      <c r="P331" s="1086"/>
      <c r="Q331" s="1086"/>
      <c r="R331" s="1086"/>
      <c r="S331" s="1086"/>
      <c r="T331" s="1086"/>
      <c r="U331" s="1086"/>
      <c r="V331" s="1086"/>
      <c r="W331" s="1086"/>
      <c r="X331" s="1086"/>
      <c r="Y331" s="1086"/>
      <c r="Z331" s="1086"/>
      <c r="AA331" s="1086"/>
      <c r="AB331" s="1086"/>
    </row>
    <row r="332">
      <c r="A332" s="1100"/>
      <c r="B332" s="1086"/>
      <c r="C332" s="1086"/>
      <c r="D332" s="1086"/>
      <c r="E332" s="1086"/>
      <c r="F332" s="1086"/>
      <c r="G332" s="1086"/>
      <c r="H332" s="1086"/>
      <c r="I332" s="1086"/>
      <c r="J332" s="1086"/>
      <c r="K332" s="1086"/>
      <c r="L332" s="1086"/>
      <c r="M332" s="1086"/>
      <c r="N332" s="1086"/>
      <c r="O332" s="1086"/>
      <c r="P332" s="1086"/>
      <c r="Q332" s="1086"/>
      <c r="R332" s="1086"/>
      <c r="S332" s="1086"/>
      <c r="T332" s="1086"/>
      <c r="U332" s="1086"/>
      <c r="V332" s="1086"/>
      <c r="W332" s="1086"/>
      <c r="X332" s="1086"/>
      <c r="Y332" s="1086"/>
      <c r="Z332" s="1086"/>
      <c r="AA332" s="1086"/>
      <c r="AB332" s="1086"/>
    </row>
    <row r="333">
      <c r="A333" s="1100"/>
      <c r="B333" s="1086"/>
      <c r="C333" s="1086"/>
      <c r="D333" s="1086"/>
      <c r="E333" s="1086"/>
      <c r="F333" s="1086"/>
      <c r="G333" s="1086"/>
      <c r="H333" s="1086"/>
      <c r="I333" s="1086"/>
      <c r="J333" s="1086"/>
      <c r="K333" s="1086"/>
      <c r="L333" s="1086"/>
      <c r="M333" s="1086"/>
      <c r="N333" s="1086"/>
      <c r="O333" s="1086"/>
      <c r="P333" s="1086"/>
      <c r="Q333" s="1086"/>
      <c r="R333" s="1086"/>
      <c r="S333" s="1086"/>
      <c r="T333" s="1086"/>
      <c r="U333" s="1086"/>
      <c r="V333" s="1086"/>
      <c r="W333" s="1086"/>
      <c r="X333" s="1086"/>
      <c r="Y333" s="1086"/>
      <c r="Z333" s="1086"/>
      <c r="AA333" s="1086"/>
      <c r="AB333" s="1086"/>
    </row>
    <row r="334">
      <c r="A334" s="1100"/>
      <c r="B334" s="1086"/>
      <c r="C334" s="1086"/>
      <c r="D334" s="1086"/>
      <c r="E334" s="1086"/>
      <c r="F334" s="1086"/>
      <c r="G334" s="1086"/>
      <c r="H334" s="1086"/>
      <c r="I334" s="1086"/>
      <c r="J334" s="1086"/>
      <c r="K334" s="1086"/>
      <c r="L334" s="1086"/>
      <c r="M334" s="1086"/>
      <c r="N334" s="1086"/>
      <c r="O334" s="1086"/>
      <c r="P334" s="1086"/>
      <c r="Q334" s="1086"/>
      <c r="R334" s="1086"/>
      <c r="S334" s="1086"/>
      <c r="T334" s="1086"/>
      <c r="U334" s="1086"/>
      <c r="V334" s="1086"/>
      <c r="W334" s="1086"/>
      <c r="X334" s="1086"/>
      <c r="Y334" s="1086"/>
      <c r="Z334" s="1086"/>
      <c r="AA334" s="1086"/>
      <c r="AB334" s="1086"/>
    </row>
    <row r="335">
      <c r="A335" s="1100"/>
      <c r="B335" s="1086"/>
      <c r="C335" s="1086"/>
      <c r="D335" s="1086"/>
      <c r="E335" s="1086"/>
      <c r="F335" s="1086"/>
      <c r="G335" s="1086"/>
      <c r="H335" s="1086"/>
      <c r="I335" s="1086"/>
      <c r="J335" s="1086"/>
      <c r="K335" s="1086"/>
      <c r="L335" s="1086"/>
      <c r="M335" s="1086"/>
      <c r="N335" s="1086"/>
      <c r="O335" s="1086"/>
      <c r="P335" s="1086"/>
      <c r="Q335" s="1086"/>
      <c r="R335" s="1086"/>
      <c r="S335" s="1086"/>
      <c r="T335" s="1086"/>
      <c r="U335" s="1086"/>
      <c r="V335" s="1086"/>
      <c r="W335" s="1086"/>
      <c r="X335" s="1086"/>
      <c r="Y335" s="1086"/>
      <c r="Z335" s="1086"/>
      <c r="AA335" s="1086"/>
      <c r="AB335" s="1086"/>
    </row>
    <row r="336">
      <c r="A336" s="1100"/>
      <c r="B336" s="1086"/>
      <c r="C336" s="1086"/>
      <c r="D336" s="1086"/>
      <c r="E336" s="1086"/>
      <c r="F336" s="1086"/>
      <c r="G336" s="1086"/>
      <c r="H336" s="1086"/>
      <c r="I336" s="1086"/>
      <c r="J336" s="1086"/>
      <c r="K336" s="1086"/>
      <c r="L336" s="1086"/>
      <c r="M336" s="1086"/>
      <c r="N336" s="1086"/>
      <c r="O336" s="1086"/>
      <c r="P336" s="1086"/>
      <c r="Q336" s="1086"/>
      <c r="R336" s="1086"/>
      <c r="S336" s="1086"/>
      <c r="T336" s="1086"/>
      <c r="U336" s="1086"/>
      <c r="V336" s="1086"/>
      <c r="W336" s="1086"/>
      <c r="X336" s="1086"/>
      <c r="Y336" s="1086"/>
      <c r="Z336" s="1086"/>
      <c r="AA336" s="1086"/>
      <c r="AB336" s="1086"/>
    </row>
    <row r="337">
      <c r="A337" s="1100"/>
      <c r="B337" s="1086"/>
      <c r="C337" s="1086"/>
      <c r="D337" s="1086"/>
      <c r="E337" s="1086"/>
      <c r="F337" s="1086"/>
      <c r="G337" s="1086"/>
      <c r="H337" s="1086"/>
      <c r="I337" s="1086"/>
      <c r="J337" s="1086"/>
      <c r="K337" s="1086"/>
      <c r="L337" s="1086"/>
      <c r="M337" s="1086"/>
      <c r="N337" s="1086"/>
      <c r="O337" s="1086"/>
      <c r="P337" s="1086"/>
      <c r="Q337" s="1086"/>
      <c r="R337" s="1086"/>
      <c r="S337" s="1086"/>
      <c r="T337" s="1086"/>
      <c r="U337" s="1086"/>
      <c r="V337" s="1086"/>
      <c r="W337" s="1086"/>
      <c r="X337" s="1086"/>
      <c r="Y337" s="1086"/>
      <c r="Z337" s="1086"/>
      <c r="AA337" s="1086"/>
      <c r="AB337" s="1086"/>
    </row>
    <row r="338">
      <c r="A338" s="1100"/>
      <c r="B338" s="1086"/>
      <c r="C338" s="1086"/>
      <c r="D338" s="1086"/>
      <c r="E338" s="1086"/>
      <c r="F338" s="1086"/>
      <c r="G338" s="1086"/>
      <c r="H338" s="1086"/>
      <c r="I338" s="1086"/>
      <c r="J338" s="1086"/>
      <c r="K338" s="1086"/>
      <c r="L338" s="1086"/>
      <c r="M338" s="1086"/>
      <c r="N338" s="1086"/>
      <c r="O338" s="1086"/>
      <c r="P338" s="1086"/>
      <c r="Q338" s="1086"/>
      <c r="R338" s="1086"/>
      <c r="S338" s="1086"/>
      <c r="T338" s="1086"/>
      <c r="U338" s="1086"/>
      <c r="V338" s="1086"/>
      <c r="W338" s="1086"/>
      <c r="X338" s="1086"/>
      <c r="Y338" s="1086"/>
      <c r="Z338" s="1086"/>
      <c r="AA338" s="1086"/>
      <c r="AB338" s="1086"/>
    </row>
    <row r="339">
      <c r="A339" s="1100"/>
      <c r="B339" s="1086"/>
      <c r="C339" s="1086"/>
      <c r="D339" s="1086"/>
      <c r="E339" s="1086"/>
      <c r="F339" s="1086"/>
      <c r="G339" s="1086"/>
      <c r="H339" s="1086"/>
      <c r="I339" s="1086"/>
      <c r="J339" s="1086"/>
      <c r="K339" s="1086"/>
      <c r="L339" s="1086"/>
      <c r="M339" s="1086"/>
      <c r="N339" s="1086"/>
      <c r="O339" s="1086"/>
      <c r="P339" s="1086"/>
      <c r="Q339" s="1086"/>
      <c r="R339" s="1086"/>
      <c r="S339" s="1086"/>
      <c r="T339" s="1086"/>
      <c r="U339" s="1086"/>
      <c r="V339" s="1086"/>
      <c r="W339" s="1086"/>
      <c r="X339" s="1086"/>
      <c r="Y339" s="1086"/>
      <c r="Z339" s="1086"/>
      <c r="AA339" s="1086"/>
      <c r="AB339" s="1086"/>
    </row>
    <row r="340">
      <c r="A340" s="1100"/>
      <c r="B340" s="1086"/>
      <c r="C340" s="1086"/>
      <c r="D340" s="1086"/>
      <c r="E340" s="1086"/>
      <c r="F340" s="1086"/>
      <c r="G340" s="1086"/>
      <c r="H340" s="1086"/>
      <c r="I340" s="1086"/>
      <c r="J340" s="1086"/>
      <c r="K340" s="1086"/>
      <c r="L340" s="1086"/>
      <c r="M340" s="1086"/>
      <c r="N340" s="1086"/>
      <c r="O340" s="1086"/>
      <c r="P340" s="1086"/>
      <c r="Q340" s="1086"/>
      <c r="R340" s="1086"/>
      <c r="S340" s="1086"/>
      <c r="T340" s="1086"/>
      <c r="U340" s="1086"/>
      <c r="V340" s="1086"/>
      <c r="W340" s="1086"/>
      <c r="X340" s="1086"/>
      <c r="Y340" s="1086"/>
      <c r="Z340" s="1086"/>
      <c r="AA340" s="1086"/>
      <c r="AB340" s="1086"/>
    </row>
    <row r="341">
      <c r="A341" s="1100"/>
      <c r="B341" s="1086"/>
      <c r="C341" s="1086"/>
      <c r="D341" s="1086"/>
      <c r="E341" s="1086"/>
      <c r="F341" s="1086"/>
      <c r="G341" s="1086"/>
      <c r="H341" s="1086"/>
      <c r="I341" s="1086"/>
      <c r="J341" s="1086"/>
      <c r="K341" s="1086"/>
      <c r="L341" s="1086"/>
      <c r="M341" s="1086"/>
      <c r="N341" s="1086"/>
      <c r="O341" s="1086"/>
      <c r="P341" s="1086"/>
      <c r="Q341" s="1086"/>
      <c r="R341" s="1086"/>
      <c r="S341" s="1086"/>
      <c r="T341" s="1086"/>
      <c r="U341" s="1086"/>
      <c r="V341" s="1086"/>
      <c r="W341" s="1086"/>
      <c r="X341" s="1086"/>
      <c r="Y341" s="1086"/>
      <c r="Z341" s="1086"/>
      <c r="AA341" s="1086"/>
      <c r="AB341" s="1086"/>
    </row>
    <row r="342">
      <c r="A342" s="1100"/>
      <c r="B342" s="1086"/>
      <c r="C342" s="1086"/>
      <c r="D342" s="1086"/>
      <c r="E342" s="1086"/>
      <c r="F342" s="1086"/>
      <c r="G342" s="1086"/>
      <c r="H342" s="1086"/>
      <c r="I342" s="1086"/>
      <c r="J342" s="1086"/>
      <c r="K342" s="1086"/>
      <c r="L342" s="1086"/>
      <c r="M342" s="1086"/>
      <c r="N342" s="1086"/>
      <c r="O342" s="1086"/>
      <c r="P342" s="1086"/>
      <c r="Q342" s="1086"/>
      <c r="R342" s="1086"/>
      <c r="S342" s="1086"/>
      <c r="T342" s="1086"/>
      <c r="U342" s="1086"/>
      <c r="V342" s="1086"/>
      <c r="W342" s="1086"/>
      <c r="X342" s="1086"/>
      <c r="Y342" s="1086"/>
      <c r="Z342" s="1086"/>
      <c r="AA342" s="1086"/>
      <c r="AB342" s="1086"/>
    </row>
    <row r="343">
      <c r="A343" s="1100"/>
      <c r="B343" s="1086"/>
      <c r="C343" s="1086"/>
      <c r="D343" s="1086"/>
      <c r="E343" s="1086"/>
      <c r="F343" s="1086"/>
      <c r="G343" s="1086"/>
      <c r="H343" s="1086"/>
      <c r="I343" s="1086"/>
      <c r="J343" s="1086"/>
      <c r="K343" s="1086"/>
      <c r="L343" s="1086"/>
      <c r="M343" s="1086"/>
      <c r="N343" s="1086"/>
      <c r="O343" s="1086"/>
      <c r="P343" s="1086"/>
      <c r="Q343" s="1086"/>
      <c r="R343" s="1086"/>
      <c r="S343" s="1086"/>
      <c r="T343" s="1086"/>
      <c r="U343" s="1086"/>
      <c r="V343" s="1086"/>
      <c r="W343" s="1086"/>
      <c r="X343" s="1086"/>
      <c r="Y343" s="1086"/>
      <c r="Z343" s="1086"/>
      <c r="AA343" s="1086"/>
      <c r="AB343" s="1086"/>
    </row>
    <row r="344">
      <c r="A344" s="1100"/>
      <c r="B344" s="1086"/>
      <c r="C344" s="1086"/>
      <c r="D344" s="1086"/>
      <c r="E344" s="1086"/>
      <c r="F344" s="1086"/>
      <c r="G344" s="1086"/>
      <c r="H344" s="1086"/>
      <c r="I344" s="1086"/>
      <c r="J344" s="1086"/>
      <c r="K344" s="1086"/>
      <c r="L344" s="1086"/>
      <c r="M344" s="1086"/>
      <c r="N344" s="1086"/>
      <c r="O344" s="1086"/>
      <c r="P344" s="1086"/>
      <c r="Q344" s="1086"/>
      <c r="R344" s="1086"/>
      <c r="S344" s="1086"/>
      <c r="T344" s="1086"/>
      <c r="U344" s="1086"/>
      <c r="V344" s="1086"/>
      <c r="W344" s="1086"/>
      <c r="X344" s="1086"/>
      <c r="Y344" s="1086"/>
      <c r="Z344" s="1086"/>
      <c r="AA344" s="1086"/>
      <c r="AB344" s="1086"/>
    </row>
    <row r="345">
      <c r="A345" s="1100"/>
      <c r="B345" s="1086"/>
      <c r="C345" s="1086"/>
      <c r="D345" s="1086"/>
      <c r="E345" s="1086"/>
      <c r="F345" s="1086"/>
      <c r="G345" s="1086"/>
      <c r="H345" s="1086"/>
      <c r="I345" s="1086"/>
      <c r="J345" s="1086"/>
      <c r="K345" s="1086"/>
      <c r="L345" s="1086"/>
      <c r="M345" s="1086"/>
      <c r="N345" s="1086"/>
      <c r="O345" s="1086"/>
      <c r="P345" s="1086"/>
      <c r="Q345" s="1086"/>
      <c r="R345" s="1086"/>
      <c r="S345" s="1086"/>
      <c r="T345" s="1086"/>
      <c r="U345" s="1086"/>
      <c r="V345" s="1086"/>
      <c r="W345" s="1086"/>
      <c r="X345" s="1086"/>
      <c r="Y345" s="1086"/>
      <c r="Z345" s="1086"/>
      <c r="AA345" s="1086"/>
      <c r="AB345" s="1086"/>
    </row>
    <row r="346">
      <c r="A346" s="1100"/>
      <c r="B346" s="1086"/>
      <c r="C346" s="1086"/>
      <c r="D346" s="1086"/>
      <c r="E346" s="1086"/>
      <c r="F346" s="1086"/>
      <c r="G346" s="1086"/>
      <c r="H346" s="1086"/>
      <c r="I346" s="1086"/>
      <c r="J346" s="1086"/>
      <c r="K346" s="1086"/>
      <c r="L346" s="1086"/>
      <c r="M346" s="1086"/>
      <c r="N346" s="1086"/>
      <c r="O346" s="1086"/>
      <c r="P346" s="1086"/>
      <c r="Q346" s="1086"/>
      <c r="R346" s="1086"/>
      <c r="S346" s="1086"/>
      <c r="T346" s="1086"/>
      <c r="U346" s="1086"/>
      <c r="V346" s="1086"/>
      <c r="W346" s="1086"/>
      <c r="X346" s="1086"/>
      <c r="Y346" s="1086"/>
      <c r="Z346" s="1086"/>
      <c r="AA346" s="1086"/>
      <c r="AB346" s="1086"/>
    </row>
    <row r="347">
      <c r="A347" s="1100"/>
      <c r="B347" s="1086"/>
      <c r="C347" s="1086"/>
      <c r="D347" s="1086"/>
      <c r="E347" s="1086"/>
      <c r="F347" s="1086"/>
      <c r="G347" s="1086"/>
      <c r="H347" s="1086"/>
      <c r="I347" s="1086"/>
      <c r="J347" s="1086"/>
      <c r="K347" s="1086"/>
      <c r="L347" s="1086"/>
      <c r="M347" s="1086"/>
      <c r="N347" s="1086"/>
      <c r="O347" s="1086"/>
      <c r="P347" s="1086"/>
      <c r="Q347" s="1086"/>
      <c r="R347" s="1086"/>
      <c r="S347" s="1086"/>
      <c r="T347" s="1086"/>
      <c r="U347" s="1086"/>
      <c r="V347" s="1086"/>
      <c r="W347" s="1086"/>
      <c r="X347" s="1086"/>
      <c r="Y347" s="1086"/>
      <c r="Z347" s="1086"/>
      <c r="AA347" s="1086"/>
      <c r="AB347" s="1086"/>
    </row>
    <row r="348">
      <c r="A348" s="1100"/>
      <c r="B348" s="1086"/>
      <c r="C348" s="1086"/>
      <c r="D348" s="1086"/>
      <c r="E348" s="1086"/>
      <c r="F348" s="1086"/>
      <c r="G348" s="1086"/>
      <c r="H348" s="1086"/>
      <c r="I348" s="1086"/>
      <c r="J348" s="1086"/>
      <c r="K348" s="1086"/>
      <c r="L348" s="1086"/>
      <c r="M348" s="1086"/>
      <c r="N348" s="1086"/>
      <c r="O348" s="1086"/>
      <c r="P348" s="1086"/>
      <c r="Q348" s="1086"/>
      <c r="R348" s="1086"/>
      <c r="S348" s="1086"/>
      <c r="T348" s="1086"/>
      <c r="U348" s="1086"/>
      <c r="V348" s="1086"/>
      <c r="W348" s="1086"/>
      <c r="X348" s="1086"/>
      <c r="Y348" s="1086"/>
      <c r="Z348" s="1086"/>
      <c r="AA348" s="1086"/>
      <c r="AB348" s="1086"/>
    </row>
    <row r="349">
      <c r="A349" s="1100"/>
      <c r="B349" s="1086"/>
      <c r="C349" s="1086"/>
      <c r="D349" s="1086"/>
      <c r="E349" s="1086"/>
      <c r="F349" s="1086"/>
      <c r="G349" s="1086"/>
      <c r="H349" s="1086"/>
      <c r="I349" s="1086"/>
      <c r="J349" s="1086"/>
      <c r="K349" s="1086"/>
      <c r="L349" s="1086"/>
      <c r="M349" s="1086"/>
      <c r="N349" s="1086"/>
      <c r="O349" s="1086"/>
      <c r="P349" s="1086"/>
      <c r="Q349" s="1086"/>
      <c r="R349" s="1086"/>
      <c r="S349" s="1086"/>
      <c r="T349" s="1086"/>
      <c r="U349" s="1086"/>
      <c r="V349" s="1086"/>
      <c r="W349" s="1086"/>
      <c r="X349" s="1086"/>
      <c r="Y349" s="1086"/>
      <c r="Z349" s="1086"/>
      <c r="AA349" s="1086"/>
      <c r="AB349" s="1086"/>
    </row>
    <row r="350">
      <c r="A350" s="1100"/>
      <c r="B350" s="1086"/>
      <c r="C350" s="1086"/>
      <c r="D350" s="1086"/>
      <c r="E350" s="1086"/>
      <c r="F350" s="1086"/>
      <c r="G350" s="1086"/>
      <c r="H350" s="1086"/>
      <c r="I350" s="1086"/>
      <c r="J350" s="1086"/>
      <c r="K350" s="1086"/>
      <c r="L350" s="1086"/>
      <c r="M350" s="1086"/>
      <c r="N350" s="1086"/>
      <c r="O350" s="1086"/>
      <c r="P350" s="1086"/>
      <c r="Q350" s="1086"/>
      <c r="R350" s="1086"/>
      <c r="S350" s="1086"/>
      <c r="T350" s="1086"/>
      <c r="U350" s="1086"/>
      <c r="V350" s="1086"/>
      <c r="W350" s="1086"/>
      <c r="X350" s="1086"/>
      <c r="Y350" s="1086"/>
      <c r="Z350" s="1086"/>
      <c r="AA350" s="1086"/>
      <c r="AB350" s="1086"/>
    </row>
    <row r="351">
      <c r="A351" s="1100"/>
      <c r="B351" s="1086"/>
      <c r="C351" s="1086"/>
      <c r="D351" s="1086"/>
      <c r="E351" s="1086"/>
      <c r="F351" s="1086"/>
      <c r="G351" s="1086"/>
      <c r="H351" s="1086"/>
      <c r="I351" s="1086"/>
      <c r="J351" s="1086"/>
      <c r="K351" s="1086"/>
      <c r="L351" s="1086"/>
      <c r="M351" s="1086"/>
      <c r="N351" s="1086"/>
      <c r="O351" s="1086"/>
      <c r="P351" s="1086"/>
      <c r="Q351" s="1086"/>
      <c r="R351" s="1086"/>
      <c r="S351" s="1086"/>
      <c r="T351" s="1086"/>
      <c r="U351" s="1086"/>
      <c r="V351" s="1086"/>
      <c r="W351" s="1086"/>
      <c r="X351" s="1086"/>
      <c r="Y351" s="1086"/>
      <c r="Z351" s="1086"/>
      <c r="AA351" s="1086"/>
      <c r="AB351" s="1086"/>
    </row>
    <row r="352">
      <c r="A352" s="1100"/>
      <c r="B352" s="1086"/>
      <c r="C352" s="1086"/>
      <c r="D352" s="1086"/>
      <c r="E352" s="1086"/>
      <c r="F352" s="1086"/>
      <c r="G352" s="1086"/>
      <c r="H352" s="1086"/>
      <c r="I352" s="1086"/>
      <c r="J352" s="1086"/>
      <c r="K352" s="1086"/>
      <c r="L352" s="1086"/>
      <c r="M352" s="1086"/>
      <c r="N352" s="1086"/>
      <c r="O352" s="1086"/>
      <c r="P352" s="1086"/>
      <c r="Q352" s="1086"/>
      <c r="R352" s="1086"/>
      <c r="S352" s="1086"/>
      <c r="T352" s="1086"/>
      <c r="U352" s="1086"/>
      <c r="V352" s="1086"/>
      <c r="W352" s="1086"/>
      <c r="X352" s="1086"/>
      <c r="Y352" s="1086"/>
      <c r="Z352" s="1086"/>
      <c r="AA352" s="1086"/>
      <c r="AB352" s="1086"/>
    </row>
    <row r="353">
      <c r="A353" s="1100"/>
      <c r="B353" s="1086"/>
      <c r="C353" s="1086"/>
      <c r="D353" s="1086"/>
      <c r="E353" s="1086"/>
      <c r="F353" s="1086"/>
      <c r="G353" s="1086"/>
      <c r="H353" s="1086"/>
      <c r="I353" s="1086"/>
      <c r="J353" s="1086"/>
      <c r="K353" s="1086"/>
      <c r="L353" s="1086"/>
      <c r="M353" s="1086"/>
      <c r="N353" s="1086"/>
      <c r="O353" s="1086"/>
      <c r="P353" s="1086"/>
      <c r="Q353" s="1086"/>
      <c r="R353" s="1086"/>
      <c r="S353" s="1086"/>
      <c r="T353" s="1086"/>
      <c r="U353" s="1086"/>
      <c r="V353" s="1086"/>
      <c r="W353" s="1086"/>
      <c r="X353" s="1086"/>
      <c r="Y353" s="1086"/>
      <c r="Z353" s="1086"/>
      <c r="AA353" s="1086"/>
      <c r="AB353" s="1086"/>
    </row>
    <row r="354">
      <c r="A354" s="1100"/>
      <c r="B354" s="1086"/>
      <c r="C354" s="1086"/>
      <c r="D354" s="1086"/>
      <c r="E354" s="1086"/>
      <c r="F354" s="1086"/>
      <c r="G354" s="1086"/>
      <c r="H354" s="1086"/>
      <c r="I354" s="1086"/>
      <c r="J354" s="1086"/>
      <c r="K354" s="1086"/>
      <c r="L354" s="1086"/>
      <c r="M354" s="1086"/>
      <c r="N354" s="1086"/>
      <c r="O354" s="1086"/>
      <c r="P354" s="1086"/>
      <c r="Q354" s="1086"/>
      <c r="R354" s="1086"/>
      <c r="S354" s="1086"/>
      <c r="T354" s="1086"/>
      <c r="U354" s="1086"/>
      <c r="V354" s="1086"/>
      <c r="W354" s="1086"/>
      <c r="X354" s="1086"/>
      <c r="Y354" s="1086"/>
      <c r="Z354" s="1086"/>
      <c r="AA354" s="1086"/>
      <c r="AB354" s="1086"/>
    </row>
    <row r="355">
      <c r="A355" s="1100"/>
      <c r="B355" s="1086"/>
      <c r="C355" s="1086"/>
      <c r="D355" s="1086"/>
      <c r="E355" s="1086"/>
      <c r="F355" s="1086"/>
      <c r="G355" s="1086"/>
      <c r="H355" s="1086"/>
      <c r="I355" s="1086"/>
      <c r="J355" s="1086"/>
      <c r="K355" s="1086"/>
      <c r="L355" s="1086"/>
      <c r="M355" s="1086"/>
      <c r="N355" s="1086"/>
      <c r="O355" s="1086"/>
      <c r="P355" s="1086"/>
      <c r="Q355" s="1086"/>
      <c r="R355" s="1086"/>
      <c r="S355" s="1086"/>
      <c r="T355" s="1086"/>
      <c r="U355" s="1086"/>
      <c r="V355" s="1086"/>
      <c r="W355" s="1086"/>
      <c r="X355" s="1086"/>
      <c r="Y355" s="1086"/>
      <c r="Z355" s="1086"/>
      <c r="AA355" s="1086"/>
      <c r="AB355" s="1086"/>
    </row>
    <row r="356">
      <c r="A356" s="1100"/>
      <c r="B356" s="1086"/>
      <c r="C356" s="1086"/>
      <c r="D356" s="1086"/>
      <c r="E356" s="1086"/>
      <c r="F356" s="1086"/>
      <c r="G356" s="1086"/>
      <c r="H356" s="1086"/>
      <c r="I356" s="1086"/>
      <c r="J356" s="1086"/>
      <c r="K356" s="1086"/>
      <c r="L356" s="1086"/>
      <c r="M356" s="1086"/>
      <c r="N356" s="1086"/>
      <c r="O356" s="1086"/>
      <c r="P356" s="1086"/>
      <c r="Q356" s="1086"/>
      <c r="R356" s="1086"/>
      <c r="S356" s="1086"/>
      <c r="T356" s="1086"/>
      <c r="U356" s="1086"/>
      <c r="V356" s="1086"/>
      <c r="W356" s="1086"/>
      <c r="X356" s="1086"/>
      <c r="Y356" s="1086"/>
      <c r="Z356" s="1086"/>
      <c r="AA356" s="1086"/>
      <c r="AB356" s="1086"/>
    </row>
    <row r="357">
      <c r="A357" s="1100"/>
      <c r="B357" s="1086"/>
      <c r="C357" s="1086"/>
      <c r="D357" s="1086"/>
      <c r="E357" s="1086"/>
      <c r="F357" s="1086"/>
      <c r="G357" s="1086"/>
      <c r="H357" s="1086"/>
      <c r="I357" s="1086"/>
      <c r="J357" s="1086"/>
      <c r="K357" s="1086"/>
      <c r="L357" s="1086"/>
      <c r="M357" s="1086"/>
      <c r="N357" s="1086"/>
      <c r="O357" s="1086"/>
      <c r="P357" s="1086"/>
      <c r="Q357" s="1086"/>
      <c r="R357" s="1086"/>
      <c r="S357" s="1086"/>
      <c r="T357" s="1086"/>
      <c r="U357" s="1086"/>
      <c r="V357" s="1086"/>
      <c r="W357" s="1086"/>
      <c r="X357" s="1086"/>
      <c r="Y357" s="1086"/>
      <c r="Z357" s="1086"/>
      <c r="AA357" s="1086"/>
      <c r="AB357" s="1086"/>
    </row>
    <row r="358">
      <c r="A358" s="1100"/>
      <c r="B358" s="1086"/>
      <c r="C358" s="1086"/>
      <c r="D358" s="1086"/>
      <c r="E358" s="1086"/>
      <c r="F358" s="1086"/>
      <c r="G358" s="1086"/>
      <c r="H358" s="1086"/>
      <c r="I358" s="1086"/>
      <c r="J358" s="1086"/>
      <c r="K358" s="1086"/>
      <c r="L358" s="1086"/>
      <c r="M358" s="1086"/>
      <c r="N358" s="1086"/>
      <c r="O358" s="1086"/>
      <c r="P358" s="1086"/>
      <c r="Q358" s="1086"/>
      <c r="R358" s="1086"/>
      <c r="S358" s="1086"/>
      <c r="T358" s="1086"/>
      <c r="U358" s="1086"/>
      <c r="V358" s="1086"/>
      <c r="W358" s="1086"/>
      <c r="X358" s="1086"/>
      <c r="Y358" s="1086"/>
      <c r="Z358" s="1086"/>
      <c r="AA358" s="1086"/>
      <c r="AB358" s="1086"/>
    </row>
    <row r="359">
      <c r="A359" s="1100"/>
      <c r="B359" s="1086"/>
      <c r="C359" s="1086"/>
      <c r="D359" s="1086"/>
      <c r="E359" s="1086"/>
      <c r="F359" s="1086"/>
      <c r="G359" s="1086"/>
      <c r="H359" s="1086"/>
      <c r="I359" s="1086"/>
      <c r="J359" s="1086"/>
      <c r="K359" s="1086"/>
      <c r="L359" s="1086"/>
      <c r="M359" s="1086"/>
      <c r="N359" s="1086"/>
      <c r="O359" s="1086"/>
      <c r="P359" s="1086"/>
      <c r="Q359" s="1086"/>
      <c r="R359" s="1086"/>
      <c r="S359" s="1086"/>
      <c r="T359" s="1086"/>
      <c r="U359" s="1086"/>
      <c r="V359" s="1086"/>
      <c r="W359" s="1086"/>
      <c r="X359" s="1086"/>
      <c r="Y359" s="1086"/>
      <c r="Z359" s="1086"/>
      <c r="AA359" s="1086"/>
      <c r="AB359" s="1086"/>
    </row>
    <row r="360">
      <c r="A360" s="1100"/>
      <c r="B360" s="1086"/>
      <c r="C360" s="1086"/>
      <c r="D360" s="1086"/>
      <c r="E360" s="1086"/>
      <c r="F360" s="1086"/>
      <c r="G360" s="1086"/>
      <c r="H360" s="1086"/>
      <c r="I360" s="1086"/>
      <c r="J360" s="1086"/>
      <c r="K360" s="1086"/>
      <c r="L360" s="1086"/>
      <c r="M360" s="1086"/>
      <c r="N360" s="1086"/>
      <c r="O360" s="1086"/>
      <c r="P360" s="1086"/>
      <c r="Q360" s="1086"/>
      <c r="R360" s="1086"/>
      <c r="S360" s="1086"/>
      <c r="T360" s="1086"/>
      <c r="U360" s="1086"/>
      <c r="V360" s="1086"/>
      <c r="W360" s="1086"/>
      <c r="X360" s="1086"/>
      <c r="Y360" s="1086"/>
      <c r="Z360" s="1086"/>
      <c r="AA360" s="1086"/>
      <c r="AB360" s="1086"/>
    </row>
    <row r="361">
      <c r="A361" s="1100"/>
      <c r="B361" s="1086"/>
      <c r="C361" s="1086"/>
      <c r="D361" s="1086"/>
      <c r="E361" s="1086"/>
      <c r="F361" s="1086"/>
      <c r="G361" s="1086"/>
      <c r="H361" s="1086"/>
      <c r="I361" s="1086"/>
      <c r="J361" s="1086"/>
      <c r="K361" s="1086"/>
      <c r="L361" s="1086"/>
      <c r="M361" s="1086"/>
      <c r="N361" s="1086"/>
      <c r="O361" s="1086"/>
      <c r="P361" s="1086"/>
      <c r="Q361" s="1086"/>
      <c r="R361" s="1086"/>
      <c r="S361" s="1086"/>
      <c r="T361" s="1086"/>
      <c r="U361" s="1086"/>
      <c r="V361" s="1086"/>
      <c r="W361" s="1086"/>
      <c r="X361" s="1086"/>
      <c r="Y361" s="1086"/>
      <c r="Z361" s="1086"/>
      <c r="AA361" s="1086"/>
      <c r="AB361" s="1086"/>
    </row>
    <row r="362">
      <c r="A362" s="1100"/>
      <c r="B362" s="1086"/>
      <c r="C362" s="1086"/>
      <c r="D362" s="1086"/>
      <c r="E362" s="1086"/>
      <c r="F362" s="1086"/>
      <c r="G362" s="1086"/>
      <c r="H362" s="1086"/>
      <c r="I362" s="1086"/>
      <c r="J362" s="1086"/>
      <c r="K362" s="1086"/>
      <c r="L362" s="1086"/>
      <c r="M362" s="1086"/>
      <c r="N362" s="1086"/>
      <c r="O362" s="1086"/>
      <c r="P362" s="1086"/>
      <c r="Q362" s="1086"/>
      <c r="R362" s="1086"/>
      <c r="S362" s="1086"/>
      <c r="T362" s="1086"/>
      <c r="U362" s="1086"/>
      <c r="V362" s="1086"/>
      <c r="W362" s="1086"/>
      <c r="X362" s="1086"/>
      <c r="Y362" s="1086"/>
      <c r="Z362" s="1086"/>
      <c r="AA362" s="1086"/>
      <c r="AB362" s="1086"/>
    </row>
    <row r="363">
      <c r="A363" s="1100"/>
      <c r="B363" s="1086"/>
      <c r="C363" s="1086"/>
      <c r="D363" s="1086"/>
      <c r="E363" s="1086"/>
      <c r="F363" s="1086"/>
      <c r="G363" s="1086"/>
      <c r="H363" s="1086"/>
      <c r="I363" s="1086"/>
      <c r="J363" s="1086"/>
      <c r="K363" s="1086"/>
      <c r="L363" s="1086"/>
      <c r="M363" s="1086"/>
      <c r="N363" s="1086"/>
      <c r="O363" s="1086"/>
      <c r="P363" s="1086"/>
      <c r="Q363" s="1086"/>
      <c r="R363" s="1086"/>
      <c r="S363" s="1086"/>
      <c r="T363" s="1086"/>
      <c r="U363" s="1086"/>
      <c r="V363" s="1086"/>
      <c r="W363" s="1086"/>
      <c r="X363" s="1086"/>
      <c r="Y363" s="1086"/>
      <c r="Z363" s="1086"/>
      <c r="AA363" s="1086"/>
      <c r="AB363" s="1086"/>
    </row>
    <row r="364">
      <c r="A364" s="1100"/>
      <c r="B364" s="1086"/>
      <c r="C364" s="1086"/>
      <c r="D364" s="1086"/>
      <c r="E364" s="1086"/>
      <c r="F364" s="1086"/>
      <c r="G364" s="1086"/>
      <c r="H364" s="1086"/>
      <c r="I364" s="1086"/>
      <c r="J364" s="1086"/>
      <c r="K364" s="1086"/>
      <c r="L364" s="1086"/>
      <c r="M364" s="1086"/>
      <c r="N364" s="1086"/>
      <c r="O364" s="1086"/>
      <c r="P364" s="1086"/>
      <c r="Q364" s="1086"/>
      <c r="R364" s="1086"/>
      <c r="S364" s="1086"/>
      <c r="T364" s="1086"/>
      <c r="U364" s="1086"/>
      <c r="V364" s="1086"/>
      <c r="W364" s="1086"/>
      <c r="X364" s="1086"/>
      <c r="Y364" s="1086"/>
      <c r="Z364" s="1086"/>
      <c r="AA364" s="1086"/>
      <c r="AB364" s="1086"/>
    </row>
    <row r="365">
      <c r="A365" s="1100"/>
      <c r="B365" s="1086"/>
      <c r="C365" s="1086"/>
      <c r="D365" s="1086"/>
      <c r="E365" s="1086"/>
      <c r="F365" s="1086"/>
      <c r="G365" s="1086"/>
      <c r="H365" s="1086"/>
      <c r="I365" s="1086"/>
      <c r="J365" s="1086"/>
      <c r="K365" s="1086"/>
      <c r="L365" s="1086"/>
      <c r="M365" s="1086"/>
      <c r="N365" s="1086"/>
      <c r="O365" s="1086"/>
      <c r="P365" s="1086"/>
      <c r="Q365" s="1086"/>
      <c r="R365" s="1086"/>
      <c r="S365" s="1086"/>
      <c r="T365" s="1086"/>
      <c r="U365" s="1086"/>
      <c r="V365" s="1086"/>
      <c r="W365" s="1086"/>
      <c r="X365" s="1086"/>
      <c r="Y365" s="1086"/>
      <c r="Z365" s="1086"/>
      <c r="AA365" s="1086"/>
      <c r="AB365" s="1086"/>
    </row>
    <row r="366">
      <c r="A366" s="1100"/>
      <c r="B366" s="1086"/>
      <c r="C366" s="1086"/>
      <c r="D366" s="1086"/>
      <c r="E366" s="1086"/>
      <c r="F366" s="1086"/>
      <c r="G366" s="1086"/>
      <c r="H366" s="1086"/>
      <c r="I366" s="1086"/>
      <c r="J366" s="1086"/>
      <c r="K366" s="1086"/>
      <c r="L366" s="1086"/>
      <c r="M366" s="1086"/>
      <c r="N366" s="1086"/>
      <c r="O366" s="1086"/>
      <c r="P366" s="1086"/>
      <c r="Q366" s="1086"/>
      <c r="R366" s="1086"/>
      <c r="S366" s="1086"/>
      <c r="T366" s="1086"/>
      <c r="U366" s="1086"/>
      <c r="V366" s="1086"/>
      <c r="W366" s="1086"/>
      <c r="X366" s="1086"/>
      <c r="Y366" s="1086"/>
      <c r="Z366" s="1086"/>
      <c r="AA366" s="1086"/>
      <c r="AB366" s="1086"/>
    </row>
    <row r="367">
      <c r="A367" s="1100"/>
      <c r="B367" s="1086"/>
      <c r="C367" s="1086"/>
      <c r="D367" s="1086"/>
      <c r="E367" s="1086"/>
      <c r="F367" s="1086"/>
      <c r="G367" s="1086"/>
      <c r="H367" s="1086"/>
      <c r="I367" s="1086"/>
      <c r="J367" s="1086"/>
      <c r="K367" s="1086"/>
      <c r="L367" s="1086"/>
      <c r="M367" s="1086"/>
      <c r="N367" s="1086"/>
      <c r="O367" s="1086"/>
      <c r="P367" s="1086"/>
      <c r="Q367" s="1086"/>
      <c r="R367" s="1086"/>
      <c r="S367" s="1086"/>
      <c r="T367" s="1086"/>
      <c r="U367" s="1086"/>
      <c r="V367" s="1086"/>
      <c r="W367" s="1086"/>
      <c r="X367" s="1086"/>
      <c r="Y367" s="1086"/>
      <c r="Z367" s="1086"/>
      <c r="AA367" s="1086"/>
      <c r="AB367" s="1086"/>
    </row>
    <row r="368">
      <c r="A368" s="1100"/>
      <c r="B368" s="1086"/>
      <c r="C368" s="1086"/>
      <c r="D368" s="1086"/>
      <c r="E368" s="1086"/>
      <c r="F368" s="1086"/>
      <c r="G368" s="1086"/>
      <c r="H368" s="1086"/>
      <c r="I368" s="1086"/>
      <c r="J368" s="1086"/>
      <c r="K368" s="1086"/>
      <c r="L368" s="1086"/>
      <c r="M368" s="1086"/>
      <c r="N368" s="1086"/>
      <c r="O368" s="1086"/>
      <c r="P368" s="1086"/>
      <c r="Q368" s="1086"/>
      <c r="R368" s="1086"/>
      <c r="S368" s="1086"/>
      <c r="T368" s="1086"/>
      <c r="U368" s="1086"/>
      <c r="V368" s="1086"/>
      <c r="W368" s="1086"/>
      <c r="X368" s="1086"/>
      <c r="Y368" s="1086"/>
      <c r="Z368" s="1086"/>
      <c r="AA368" s="1086"/>
      <c r="AB368" s="1086"/>
    </row>
    <row r="369">
      <c r="A369" s="1100"/>
      <c r="B369" s="1086"/>
      <c r="C369" s="1086"/>
      <c r="D369" s="1086"/>
      <c r="E369" s="1086"/>
      <c r="F369" s="1086"/>
      <c r="G369" s="1086"/>
      <c r="H369" s="1086"/>
      <c r="I369" s="1086"/>
      <c r="J369" s="1086"/>
      <c r="K369" s="1086"/>
      <c r="L369" s="1086"/>
      <c r="M369" s="1086"/>
      <c r="N369" s="1086"/>
      <c r="O369" s="1086"/>
      <c r="P369" s="1086"/>
      <c r="Q369" s="1086"/>
      <c r="R369" s="1086"/>
      <c r="S369" s="1086"/>
      <c r="T369" s="1086"/>
      <c r="U369" s="1086"/>
      <c r="V369" s="1086"/>
      <c r="W369" s="1086"/>
      <c r="X369" s="1086"/>
      <c r="Y369" s="1086"/>
      <c r="Z369" s="1086"/>
      <c r="AA369" s="1086"/>
      <c r="AB369" s="1086"/>
    </row>
    <row r="370">
      <c r="A370" s="1100"/>
      <c r="B370" s="1086"/>
      <c r="C370" s="1086"/>
      <c r="D370" s="1086"/>
      <c r="E370" s="1086"/>
      <c r="F370" s="1086"/>
      <c r="G370" s="1086"/>
      <c r="H370" s="1086"/>
      <c r="I370" s="1086"/>
      <c r="J370" s="1086"/>
      <c r="K370" s="1086"/>
      <c r="L370" s="1086"/>
      <c r="M370" s="1086"/>
      <c r="N370" s="1086"/>
      <c r="O370" s="1086"/>
      <c r="P370" s="1086"/>
      <c r="Q370" s="1086"/>
      <c r="R370" s="1086"/>
      <c r="S370" s="1086"/>
      <c r="T370" s="1086"/>
      <c r="U370" s="1086"/>
      <c r="V370" s="1086"/>
      <c r="W370" s="1086"/>
      <c r="X370" s="1086"/>
      <c r="Y370" s="1086"/>
      <c r="Z370" s="1086"/>
      <c r="AA370" s="1086"/>
      <c r="AB370" s="1086"/>
    </row>
    <row r="371">
      <c r="A371" s="1100"/>
      <c r="B371" s="1086"/>
      <c r="C371" s="1086"/>
      <c r="D371" s="1086"/>
      <c r="E371" s="1086"/>
      <c r="F371" s="1086"/>
      <c r="G371" s="1086"/>
      <c r="H371" s="1086"/>
      <c r="I371" s="1086"/>
      <c r="J371" s="1086"/>
      <c r="K371" s="1086"/>
      <c r="L371" s="1086"/>
      <c r="M371" s="1086"/>
      <c r="N371" s="1086"/>
      <c r="O371" s="1086"/>
      <c r="P371" s="1086"/>
      <c r="Q371" s="1086"/>
      <c r="R371" s="1086"/>
      <c r="S371" s="1086"/>
      <c r="T371" s="1086"/>
      <c r="U371" s="1086"/>
      <c r="V371" s="1086"/>
      <c r="W371" s="1086"/>
      <c r="X371" s="1086"/>
      <c r="Y371" s="1086"/>
      <c r="Z371" s="1086"/>
      <c r="AA371" s="1086"/>
      <c r="AB371" s="1086"/>
    </row>
    <row r="372">
      <c r="A372" s="1100"/>
      <c r="B372" s="1086"/>
      <c r="C372" s="1086"/>
      <c r="D372" s="1086"/>
      <c r="E372" s="1086"/>
      <c r="F372" s="1086"/>
      <c r="G372" s="1086"/>
      <c r="H372" s="1086"/>
      <c r="I372" s="1086"/>
      <c r="J372" s="1086"/>
      <c r="K372" s="1086"/>
      <c r="L372" s="1086"/>
      <c r="M372" s="1086"/>
      <c r="N372" s="1086"/>
      <c r="O372" s="1086"/>
      <c r="P372" s="1086"/>
      <c r="Q372" s="1086"/>
      <c r="R372" s="1086"/>
      <c r="S372" s="1086"/>
      <c r="T372" s="1086"/>
      <c r="U372" s="1086"/>
      <c r="V372" s="1086"/>
      <c r="W372" s="1086"/>
      <c r="X372" s="1086"/>
      <c r="Y372" s="1086"/>
      <c r="Z372" s="1086"/>
      <c r="AA372" s="1086"/>
      <c r="AB372" s="1086"/>
    </row>
    <row r="373">
      <c r="A373" s="1100"/>
      <c r="B373" s="1086"/>
      <c r="C373" s="1086"/>
      <c r="D373" s="1086"/>
      <c r="E373" s="1086"/>
      <c r="F373" s="1086"/>
      <c r="G373" s="1086"/>
      <c r="H373" s="1086"/>
      <c r="I373" s="1086"/>
      <c r="J373" s="1086"/>
      <c r="K373" s="1086"/>
      <c r="L373" s="1086"/>
      <c r="M373" s="1086"/>
      <c r="N373" s="1086"/>
      <c r="O373" s="1086"/>
      <c r="P373" s="1086"/>
      <c r="Q373" s="1086"/>
      <c r="R373" s="1086"/>
      <c r="S373" s="1086"/>
      <c r="T373" s="1086"/>
      <c r="U373" s="1086"/>
      <c r="V373" s="1086"/>
      <c r="W373" s="1086"/>
      <c r="X373" s="1086"/>
      <c r="Y373" s="1086"/>
      <c r="Z373" s="1086"/>
      <c r="AA373" s="1086"/>
      <c r="AB373" s="1086"/>
    </row>
    <row r="374">
      <c r="A374" s="1100"/>
      <c r="B374" s="1086"/>
      <c r="C374" s="1086"/>
      <c r="D374" s="1086"/>
      <c r="E374" s="1086"/>
      <c r="F374" s="1086"/>
      <c r="G374" s="1086"/>
      <c r="H374" s="1086"/>
      <c r="I374" s="1086"/>
      <c r="J374" s="1086"/>
      <c r="K374" s="1086"/>
      <c r="L374" s="1086"/>
      <c r="M374" s="1086"/>
      <c r="N374" s="1086"/>
      <c r="O374" s="1086"/>
      <c r="P374" s="1086"/>
      <c r="Q374" s="1086"/>
      <c r="R374" s="1086"/>
      <c r="S374" s="1086"/>
      <c r="T374" s="1086"/>
      <c r="U374" s="1086"/>
      <c r="V374" s="1086"/>
      <c r="W374" s="1086"/>
      <c r="X374" s="1086"/>
      <c r="Y374" s="1086"/>
      <c r="Z374" s="1086"/>
      <c r="AA374" s="1086"/>
      <c r="AB374" s="1086"/>
    </row>
    <row r="375">
      <c r="A375" s="1100"/>
      <c r="B375" s="1086"/>
      <c r="C375" s="1086"/>
      <c r="D375" s="1086"/>
      <c r="E375" s="1086"/>
      <c r="F375" s="1086"/>
      <c r="G375" s="1086"/>
      <c r="H375" s="1086"/>
      <c r="I375" s="1086"/>
      <c r="J375" s="1086"/>
      <c r="K375" s="1086"/>
      <c r="L375" s="1086"/>
      <c r="M375" s="1086"/>
      <c r="N375" s="1086"/>
      <c r="O375" s="1086"/>
      <c r="P375" s="1086"/>
      <c r="Q375" s="1086"/>
      <c r="R375" s="1086"/>
      <c r="S375" s="1086"/>
      <c r="T375" s="1086"/>
      <c r="U375" s="1086"/>
      <c r="V375" s="1086"/>
      <c r="W375" s="1086"/>
      <c r="X375" s="1086"/>
      <c r="Y375" s="1086"/>
      <c r="Z375" s="1086"/>
      <c r="AA375" s="1086"/>
      <c r="AB375" s="1086"/>
    </row>
    <row r="376">
      <c r="A376" s="1100"/>
      <c r="B376" s="1086"/>
      <c r="C376" s="1086"/>
      <c r="D376" s="1086"/>
      <c r="E376" s="1086"/>
      <c r="F376" s="1086"/>
      <c r="G376" s="1086"/>
      <c r="H376" s="1086"/>
      <c r="I376" s="1086"/>
      <c r="J376" s="1086"/>
      <c r="K376" s="1086"/>
      <c r="L376" s="1086"/>
      <c r="M376" s="1086"/>
      <c r="N376" s="1086"/>
      <c r="O376" s="1086"/>
      <c r="P376" s="1086"/>
      <c r="Q376" s="1086"/>
      <c r="R376" s="1086"/>
      <c r="S376" s="1086"/>
      <c r="T376" s="1086"/>
      <c r="U376" s="1086"/>
      <c r="V376" s="1086"/>
      <c r="W376" s="1086"/>
      <c r="X376" s="1086"/>
      <c r="Y376" s="1086"/>
      <c r="Z376" s="1086"/>
      <c r="AA376" s="1086"/>
      <c r="AB376" s="1086"/>
    </row>
    <row r="377">
      <c r="A377" s="1100"/>
      <c r="B377" s="1086"/>
      <c r="C377" s="1086"/>
      <c r="D377" s="1086"/>
      <c r="E377" s="1086"/>
      <c r="F377" s="1086"/>
      <c r="G377" s="1086"/>
      <c r="H377" s="1086"/>
      <c r="I377" s="1086"/>
      <c r="J377" s="1086"/>
      <c r="K377" s="1086"/>
      <c r="L377" s="1086"/>
      <c r="M377" s="1086"/>
      <c r="N377" s="1086"/>
      <c r="O377" s="1086"/>
      <c r="P377" s="1086"/>
      <c r="Q377" s="1086"/>
      <c r="R377" s="1086"/>
      <c r="S377" s="1086"/>
      <c r="T377" s="1086"/>
      <c r="U377" s="1086"/>
      <c r="V377" s="1086"/>
      <c r="W377" s="1086"/>
      <c r="X377" s="1086"/>
      <c r="Y377" s="1086"/>
      <c r="Z377" s="1086"/>
      <c r="AA377" s="1086"/>
      <c r="AB377" s="1086"/>
    </row>
    <row r="378">
      <c r="A378" s="1100"/>
      <c r="B378" s="1086"/>
      <c r="C378" s="1086"/>
      <c r="D378" s="1086"/>
      <c r="E378" s="1086"/>
      <c r="F378" s="1086"/>
      <c r="G378" s="1086"/>
      <c r="H378" s="1086"/>
      <c r="I378" s="1086"/>
      <c r="J378" s="1086"/>
      <c r="K378" s="1086"/>
      <c r="L378" s="1086"/>
      <c r="M378" s="1086"/>
      <c r="N378" s="1086"/>
      <c r="O378" s="1086"/>
      <c r="P378" s="1086"/>
      <c r="Q378" s="1086"/>
      <c r="R378" s="1086"/>
      <c r="S378" s="1086"/>
      <c r="T378" s="1086"/>
      <c r="U378" s="1086"/>
      <c r="V378" s="1086"/>
      <c r="W378" s="1086"/>
      <c r="X378" s="1086"/>
      <c r="Y378" s="1086"/>
      <c r="Z378" s="1086"/>
      <c r="AA378" s="1086"/>
      <c r="AB378" s="1086"/>
    </row>
    <row r="379">
      <c r="A379" s="1100"/>
      <c r="B379" s="1086"/>
      <c r="C379" s="1086"/>
      <c r="D379" s="1086"/>
      <c r="E379" s="1086"/>
      <c r="F379" s="1086"/>
      <c r="G379" s="1086"/>
      <c r="H379" s="1086"/>
      <c r="I379" s="1086"/>
      <c r="J379" s="1086"/>
      <c r="K379" s="1086"/>
      <c r="L379" s="1086"/>
      <c r="M379" s="1086"/>
      <c r="N379" s="1086"/>
      <c r="O379" s="1086"/>
      <c r="P379" s="1086"/>
      <c r="Q379" s="1086"/>
      <c r="R379" s="1086"/>
      <c r="S379" s="1086"/>
      <c r="T379" s="1086"/>
      <c r="U379" s="1086"/>
      <c r="V379" s="1086"/>
      <c r="W379" s="1086"/>
      <c r="X379" s="1086"/>
      <c r="Y379" s="1086"/>
      <c r="Z379" s="1086"/>
      <c r="AA379" s="1086"/>
      <c r="AB379" s="1086"/>
    </row>
    <row r="380">
      <c r="A380" s="1100"/>
      <c r="B380" s="1086"/>
      <c r="C380" s="1086"/>
      <c r="D380" s="1086"/>
      <c r="E380" s="1086"/>
      <c r="F380" s="1086"/>
      <c r="G380" s="1086"/>
      <c r="H380" s="1086"/>
      <c r="I380" s="1086"/>
      <c r="J380" s="1086"/>
      <c r="K380" s="1086"/>
      <c r="L380" s="1086"/>
      <c r="M380" s="1086"/>
      <c r="N380" s="1086"/>
      <c r="O380" s="1086"/>
      <c r="P380" s="1086"/>
      <c r="Q380" s="1086"/>
      <c r="R380" s="1086"/>
      <c r="S380" s="1086"/>
      <c r="T380" s="1086"/>
      <c r="U380" s="1086"/>
      <c r="V380" s="1086"/>
      <c r="W380" s="1086"/>
      <c r="X380" s="1086"/>
      <c r="Y380" s="1086"/>
      <c r="Z380" s="1086"/>
      <c r="AA380" s="1086"/>
      <c r="AB380" s="1086"/>
    </row>
    <row r="381">
      <c r="A381" s="1100"/>
      <c r="B381" s="1086"/>
      <c r="C381" s="1086"/>
      <c r="D381" s="1086"/>
      <c r="E381" s="1086"/>
      <c r="F381" s="1086"/>
      <c r="G381" s="1086"/>
      <c r="H381" s="1086"/>
      <c r="I381" s="1086"/>
      <c r="J381" s="1086"/>
      <c r="K381" s="1086"/>
      <c r="L381" s="1086"/>
      <c r="M381" s="1086"/>
      <c r="N381" s="1086"/>
      <c r="O381" s="1086"/>
      <c r="P381" s="1086"/>
      <c r="Q381" s="1086"/>
      <c r="R381" s="1086"/>
      <c r="S381" s="1086"/>
      <c r="T381" s="1086"/>
      <c r="U381" s="1086"/>
      <c r="V381" s="1086"/>
      <c r="W381" s="1086"/>
      <c r="X381" s="1086"/>
      <c r="Y381" s="1086"/>
      <c r="Z381" s="1086"/>
      <c r="AA381" s="1086"/>
      <c r="AB381" s="1086"/>
    </row>
    <row r="382">
      <c r="A382" s="1100"/>
      <c r="B382" s="1086"/>
      <c r="C382" s="1086"/>
      <c r="D382" s="1086"/>
      <c r="E382" s="1086"/>
      <c r="F382" s="1086"/>
      <c r="G382" s="1086"/>
      <c r="H382" s="1086"/>
      <c r="I382" s="1086"/>
      <c r="J382" s="1086"/>
      <c r="K382" s="1086"/>
      <c r="L382" s="1086"/>
      <c r="M382" s="1086"/>
      <c r="N382" s="1086"/>
      <c r="O382" s="1086"/>
      <c r="P382" s="1086"/>
      <c r="Q382" s="1086"/>
      <c r="R382" s="1086"/>
      <c r="S382" s="1086"/>
      <c r="T382" s="1086"/>
      <c r="U382" s="1086"/>
      <c r="V382" s="1086"/>
      <c r="W382" s="1086"/>
      <c r="X382" s="1086"/>
      <c r="Y382" s="1086"/>
      <c r="Z382" s="1086"/>
      <c r="AA382" s="1086"/>
      <c r="AB382" s="1086"/>
    </row>
    <row r="383">
      <c r="A383" s="1100"/>
      <c r="B383" s="1086"/>
      <c r="C383" s="1086"/>
      <c r="D383" s="1086"/>
      <c r="E383" s="1086"/>
      <c r="F383" s="1086"/>
      <c r="G383" s="1086"/>
      <c r="H383" s="1086"/>
      <c r="I383" s="1086"/>
      <c r="J383" s="1086"/>
      <c r="K383" s="1086"/>
      <c r="L383" s="1086"/>
      <c r="M383" s="1086"/>
      <c r="N383" s="1086"/>
      <c r="O383" s="1086"/>
      <c r="P383" s="1086"/>
      <c r="Q383" s="1086"/>
      <c r="R383" s="1086"/>
      <c r="S383" s="1086"/>
      <c r="T383" s="1086"/>
      <c r="U383" s="1086"/>
      <c r="V383" s="1086"/>
      <c r="W383" s="1086"/>
      <c r="X383" s="1086"/>
      <c r="Y383" s="1086"/>
      <c r="Z383" s="1086"/>
      <c r="AA383" s="1086"/>
      <c r="AB383" s="1086"/>
    </row>
    <row r="384">
      <c r="A384" s="1100"/>
      <c r="B384" s="1086"/>
      <c r="C384" s="1086"/>
      <c r="D384" s="1086"/>
      <c r="E384" s="1086"/>
      <c r="F384" s="1086"/>
      <c r="G384" s="1086"/>
      <c r="H384" s="1086"/>
      <c r="I384" s="1086"/>
      <c r="J384" s="1086"/>
      <c r="K384" s="1086"/>
      <c r="L384" s="1086"/>
      <c r="M384" s="1086"/>
      <c r="N384" s="1086"/>
      <c r="O384" s="1086"/>
      <c r="P384" s="1086"/>
      <c r="Q384" s="1086"/>
      <c r="R384" s="1086"/>
      <c r="S384" s="1086"/>
      <c r="T384" s="1086"/>
      <c r="U384" s="1086"/>
      <c r="V384" s="1086"/>
      <c r="W384" s="1086"/>
      <c r="X384" s="1086"/>
      <c r="Y384" s="1086"/>
      <c r="Z384" s="1086"/>
      <c r="AA384" s="1086"/>
      <c r="AB384" s="1086"/>
    </row>
    <row r="385">
      <c r="A385" s="1100"/>
      <c r="B385" s="1086"/>
      <c r="C385" s="1086"/>
      <c r="D385" s="1086"/>
      <c r="E385" s="1086"/>
      <c r="F385" s="1086"/>
      <c r="G385" s="1086"/>
      <c r="H385" s="1086"/>
      <c r="I385" s="1086"/>
      <c r="J385" s="1086"/>
      <c r="K385" s="1086"/>
      <c r="L385" s="1086"/>
      <c r="M385" s="1086"/>
      <c r="N385" s="1086"/>
      <c r="O385" s="1086"/>
      <c r="P385" s="1086"/>
      <c r="Q385" s="1086"/>
      <c r="R385" s="1086"/>
      <c r="S385" s="1086"/>
      <c r="T385" s="1086"/>
      <c r="U385" s="1086"/>
      <c r="V385" s="1086"/>
      <c r="W385" s="1086"/>
      <c r="X385" s="1086"/>
      <c r="Y385" s="1086"/>
      <c r="Z385" s="1086"/>
      <c r="AA385" s="1086"/>
      <c r="AB385" s="1086"/>
    </row>
    <row r="386">
      <c r="A386" s="1100"/>
      <c r="B386" s="1086"/>
      <c r="C386" s="1086"/>
      <c r="D386" s="1086"/>
      <c r="E386" s="1086"/>
      <c r="F386" s="1086"/>
      <c r="G386" s="1086"/>
      <c r="H386" s="1086"/>
      <c r="I386" s="1086"/>
      <c r="J386" s="1086"/>
      <c r="K386" s="1086"/>
      <c r="L386" s="1086"/>
      <c r="M386" s="1086"/>
      <c r="N386" s="1086"/>
      <c r="O386" s="1086"/>
      <c r="P386" s="1086"/>
      <c r="Q386" s="1086"/>
      <c r="R386" s="1086"/>
      <c r="S386" s="1086"/>
      <c r="T386" s="1086"/>
      <c r="U386" s="1086"/>
      <c r="V386" s="1086"/>
      <c r="W386" s="1086"/>
      <c r="X386" s="1086"/>
      <c r="Y386" s="1086"/>
      <c r="Z386" s="1086"/>
      <c r="AA386" s="1086"/>
      <c r="AB386" s="1086"/>
    </row>
    <row r="387">
      <c r="A387" s="1100"/>
      <c r="B387" s="1086"/>
      <c r="C387" s="1086"/>
      <c r="D387" s="1086"/>
      <c r="E387" s="1086"/>
      <c r="F387" s="1086"/>
      <c r="G387" s="1086"/>
      <c r="H387" s="1086"/>
      <c r="I387" s="1086"/>
      <c r="J387" s="1086"/>
      <c r="K387" s="1086"/>
      <c r="L387" s="1086"/>
      <c r="M387" s="1086"/>
      <c r="N387" s="1086"/>
      <c r="O387" s="1086"/>
      <c r="P387" s="1086"/>
      <c r="Q387" s="1086"/>
      <c r="R387" s="1086"/>
      <c r="S387" s="1086"/>
      <c r="T387" s="1086"/>
      <c r="U387" s="1086"/>
      <c r="V387" s="1086"/>
      <c r="W387" s="1086"/>
      <c r="X387" s="1086"/>
      <c r="Y387" s="1086"/>
      <c r="Z387" s="1086"/>
      <c r="AA387" s="1086"/>
      <c r="AB387" s="1086"/>
    </row>
    <row r="388">
      <c r="A388" s="1100"/>
      <c r="B388" s="1086"/>
      <c r="C388" s="1086"/>
      <c r="D388" s="1086"/>
      <c r="E388" s="1086"/>
      <c r="F388" s="1086"/>
      <c r="G388" s="1086"/>
      <c r="H388" s="1086"/>
      <c r="I388" s="1086"/>
      <c r="J388" s="1086"/>
      <c r="K388" s="1086"/>
      <c r="L388" s="1086"/>
      <c r="M388" s="1086"/>
      <c r="N388" s="1086"/>
      <c r="O388" s="1086"/>
      <c r="P388" s="1086"/>
      <c r="Q388" s="1086"/>
      <c r="R388" s="1086"/>
      <c r="S388" s="1086"/>
      <c r="T388" s="1086"/>
      <c r="U388" s="1086"/>
      <c r="V388" s="1086"/>
      <c r="W388" s="1086"/>
      <c r="X388" s="1086"/>
      <c r="Y388" s="1086"/>
      <c r="Z388" s="1086"/>
      <c r="AA388" s="1086"/>
      <c r="AB388" s="1086"/>
    </row>
    <row r="389">
      <c r="A389" s="1100"/>
      <c r="B389" s="1086"/>
      <c r="C389" s="1086"/>
      <c r="D389" s="1086"/>
      <c r="E389" s="1086"/>
      <c r="F389" s="1086"/>
      <c r="G389" s="1086"/>
      <c r="H389" s="1086"/>
      <c r="I389" s="1086"/>
      <c r="J389" s="1086"/>
      <c r="K389" s="1086"/>
      <c r="L389" s="1086"/>
      <c r="M389" s="1086"/>
      <c r="N389" s="1086"/>
      <c r="O389" s="1086"/>
      <c r="P389" s="1086"/>
      <c r="Q389" s="1086"/>
      <c r="R389" s="1086"/>
      <c r="S389" s="1086"/>
      <c r="T389" s="1086"/>
      <c r="U389" s="1086"/>
      <c r="V389" s="1086"/>
      <c r="W389" s="1086"/>
      <c r="X389" s="1086"/>
      <c r="Y389" s="1086"/>
      <c r="Z389" s="1086"/>
      <c r="AA389" s="1086"/>
      <c r="AB389" s="1086"/>
    </row>
    <row r="390">
      <c r="A390" s="1100"/>
      <c r="B390" s="1086"/>
      <c r="C390" s="1086"/>
      <c r="D390" s="1086"/>
      <c r="E390" s="1086"/>
      <c r="F390" s="1086"/>
      <c r="G390" s="1086"/>
      <c r="H390" s="1086"/>
      <c r="I390" s="1086"/>
      <c r="J390" s="1086"/>
      <c r="K390" s="1086"/>
      <c r="L390" s="1086"/>
      <c r="M390" s="1086"/>
      <c r="N390" s="1086"/>
      <c r="O390" s="1086"/>
      <c r="P390" s="1086"/>
      <c r="Q390" s="1086"/>
      <c r="R390" s="1086"/>
      <c r="S390" s="1086"/>
      <c r="T390" s="1086"/>
      <c r="U390" s="1086"/>
      <c r="V390" s="1086"/>
      <c r="W390" s="1086"/>
      <c r="X390" s="1086"/>
      <c r="Y390" s="1086"/>
      <c r="Z390" s="1086"/>
      <c r="AA390" s="1086"/>
      <c r="AB390" s="1086"/>
    </row>
    <row r="391">
      <c r="A391" s="1100"/>
      <c r="B391" s="1086"/>
      <c r="C391" s="1086"/>
      <c r="D391" s="1086"/>
      <c r="E391" s="1086"/>
      <c r="F391" s="1086"/>
      <c r="G391" s="1086"/>
      <c r="H391" s="1086"/>
      <c r="I391" s="1086"/>
      <c r="J391" s="1086"/>
      <c r="K391" s="1086"/>
      <c r="L391" s="1086"/>
      <c r="M391" s="1086"/>
      <c r="N391" s="1086"/>
      <c r="O391" s="1086"/>
      <c r="P391" s="1086"/>
      <c r="Q391" s="1086"/>
      <c r="R391" s="1086"/>
      <c r="S391" s="1086"/>
      <c r="T391" s="1086"/>
      <c r="U391" s="1086"/>
      <c r="V391" s="1086"/>
      <c r="W391" s="1086"/>
      <c r="X391" s="1086"/>
      <c r="Y391" s="1086"/>
      <c r="Z391" s="1086"/>
      <c r="AA391" s="1086"/>
      <c r="AB391" s="1086"/>
    </row>
    <row r="392">
      <c r="A392" s="1100"/>
      <c r="B392" s="1086"/>
      <c r="C392" s="1086"/>
      <c r="D392" s="1086"/>
      <c r="E392" s="1086"/>
      <c r="F392" s="1086"/>
      <c r="G392" s="1086"/>
      <c r="H392" s="1086"/>
      <c r="I392" s="1086"/>
      <c r="J392" s="1086"/>
      <c r="K392" s="1086"/>
      <c r="L392" s="1086"/>
      <c r="M392" s="1086"/>
      <c r="N392" s="1086"/>
      <c r="O392" s="1086"/>
      <c r="P392" s="1086"/>
      <c r="Q392" s="1086"/>
      <c r="R392" s="1086"/>
      <c r="S392" s="1086"/>
      <c r="T392" s="1086"/>
      <c r="U392" s="1086"/>
      <c r="V392" s="1086"/>
      <c r="W392" s="1086"/>
      <c r="X392" s="1086"/>
      <c r="Y392" s="1086"/>
      <c r="Z392" s="1086"/>
      <c r="AA392" s="1086"/>
      <c r="AB392" s="1086"/>
    </row>
    <row r="393">
      <c r="A393" s="1100"/>
      <c r="B393" s="1086"/>
      <c r="C393" s="1086"/>
      <c r="D393" s="1086"/>
      <c r="E393" s="1086"/>
      <c r="F393" s="1086"/>
      <c r="G393" s="1086"/>
      <c r="H393" s="1086"/>
      <c r="I393" s="1086"/>
      <c r="J393" s="1086"/>
      <c r="K393" s="1086"/>
      <c r="L393" s="1086"/>
      <c r="M393" s="1086"/>
      <c r="N393" s="1086"/>
      <c r="O393" s="1086"/>
      <c r="P393" s="1086"/>
      <c r="Q393" s="1086"/>
      <c r="R393" s="1086"/>
      <c r="S393" s="1086"/>
      <c r="T393" s="1086"/>
      <c r="U393" s="1086"/>
      <c r="V393" s="1086"/>
      <c r="W393" s="1086"/>
      <c r="X393" s="1086"/>
      <c r="Y393" s="1086"/>
      <c r="Z393" s="1086"/>
      <c r="AA393" s="1086"/>
      <c r="AB393" s="1086"/>
    </row>
    <row r="394">
      <c r="A394" s="1100"/>
      <c r="B394" s="1086"/>
      <c r="C394" s="1086"/>
      <c r="D394" s="1086"/>
      <c r="E394" s="1086"/>
      <c r="F394" s="1086"/>
      <c r="G394" s="1086"/>
      <c r="H394" s="1086"/>
      <c r="I394" s="1086"/>
      <c r="J394" s="1086"/>
      <c r="K394" s="1086"/>
      <c r="L394" s="1086"/>
      <c r="M394" s="1086"/>
      <c r="N394" s="1086"/>
      <c r="O394" s="1086"/>
      <c r="P394" s="1086"/>
      <c r="Q394" s="1086"/>
      <c r="R394" s="1086"/>
      <c r="S394" s="1086"/>
      <c r="T394" s="1086"/>
      <c r="U394" s="1086"/>
      <c r="V394" s="1086"/>
      <c r="W394" s="1086"/>
      <c r="X394" s="1086"/>
      <c r="Y394" s="1086"/>
      <c r="Z394" s="1086"/>
      <c r="AA394" s="1086"/>
      <c r="AB394" s="1086"/>
    </row>
    <row r="395">
      <c r="A395" s="1100"/>
      <c r="B395" s="1086"/>
      <c r="C395" s="1086"/>
      <c r="D395" s="1086"/>
      <c r="E395" s="1086"/>
      <c r="F395" s="1086"/>
      <c r="G395" s="1086"/>
      <c r="H395" s="1086"/>
      <c r="I395" s="1086"/>
      <c r="J395" s="1086"/>
      <c r="K395" s="1086"/>
      <c r="L395" s="1086"/>
      <c r="M395" s="1086"/>
      <c r="N395" s="1086"/>
      <c r="O395" s="1086"/>
      <c r="P395" s="1086"/>
      <c r="Q395" s="1086"/>
      <c r="R395" s="1086"/>
      <c r="S395" s="1086"/>
      <c r="T395" s="1086"/>
      <c r="U395" s="1086"/>
      <c r="V395" s="1086"/>
      <c r="W395" s="1086"/>
      <c r="X395" s="1086"/>
      <c r="Y395" s="1086"/>
      <c r="Z395" s="1086"/>
      <c r="AA395" s="1086"/>
      <c r="AB395" s="1086"/>
    </row>
    <row r="396">
      <c r="A396" s="1100"/>
      <c r="B396" s="1086"/>
      <c r="C396" s="1086"/>
      <c r="D396" s="1086"/>
      <c r="E396" s="1086"/>
      <c r="F396" s="1086"/>
      <c r="G396" s="1086"/>
      <c r="H396" s="1086"/>
      <c r="I396" s="1086"/>
      <c r="J396" s="1086"/>
      <c r="K396" s="1086"/>
      <c r="L396" s="1086"/>
      <c r="M396" s="1086"/>
      <c r="N396" s="1086"/>
      <c r="O396" s="1086"/>
      <c r="P396" s="1086"/>
      <c r="Q396" s="1086"/>
      <c r="R396" s="1086"/>
      <c r="S396" s="1086"/>
      <c r="T396" s="1086"/>
      <c r="U396" s="1086"/>
      <c r="V396" s="1086"/>
      <c r="W396" s="1086"/>
      <c r="X396" s="1086"/>
      <c r="Y396" s="1086"/>
      <c r="Z396" s="1086"/>
      <c r="AA396" s="1086"/>
      <c r="AB396" s="1086"/>
    </row>
    <row r="397">
      <c r="A397" s="1100"/>
      <c r="B397" s="1086"/>
      <c r="C397" s="1086"/>
      <c r="D397" s="1086"/>
      <c r="E397" s="1086"/>
      <c r="F397" s="1086"/>
      <c r="G397" s="1086"/>
      <c r="H397" s="1086"/>
      <c r="I397" s="1086"/>
      <c r="J397" s="1086"/>
      <c r="K397" s="1086"/>
      <c r="L397" s="1086"/>
      <c r="M397" s="1086"/>
      <c r="N397" s="1086"/>
      <c r="O397" s="1086"/>
      <c r="P397" s="1086"/>
      <c r="Q397" s="1086"/>
      <c r="R397" s="1086"/>
      <c r="S397" s="1086"/>
      <c r="T397" s="1086"/>
      <c r="U397" s="1086"/>
      <c r="V397" s="1086"/>
      <c r="W397" s="1086"/>
      <c r="X397" s="1086"/>
      <c r="Y397" s="1086"/>
      <c r="Z397" s="1086"/>
      <c r="AA397" s="1086"/>
      <c r="AB397" s="1086"/>
    </row>
    <row r="398">
      <c r="A398" s="1100"/>
      <c r="B398" s="1086"/>
      <c r="C398" s="1086"/>
      <c r="D398" s="1086"/>
      <c r="E398" s="1086"/>
      <c r="F398" s="1086"/>
      <c r="G398" s="1086"/>
      <c r="H398" s="1086"/>
      <c r="I398" s="1086"/>
      <c r="J398" s="1086"/>
      <c r="K398" s="1086"/>
      <c r="L398" s="1086"/>
      <c r="M398" s="1086"/>
      <c r="N398" s="1086"/>
      <c r="O398" s="1086"/>
      <c r="P398" s="1086"/>
      <c r="Q398" s="1086"/>
      <c r="R398" s="1086"/>
      <c r="S398" s="1086"/>
      <c r="T398" s="1086"/>
      <c r="U398" s="1086"/>
      <c r="V398" s="1086"/>
      <c r="W398" s="1086"/>
      <c r="X398" s="1086"/>
      <c r="Y398" s="1086"/>
      <c r="Z398" s="1086"/>
      <c r="AA398" s="1086"/>
      <c r="AB398" s="1086"/>
    </row>
    <row r="399">
      <c r="A399" s="1100"/>
      <c r="B399" s="1086"/>
      <c r="C399" s="1086"/>
      <c r="D399" s="1086"/>
      <c r="E399" s="1086"/>
      <c r="F399" s="1086"/>
      <c r="G399" s="1086"/>
      <c r="H399" s="1086"/>
      <c r="I399" s="1086"/>
      <c r="J399" s="1086"/>
      <c r="K399" s="1086"/>
      <c r="L399" s="1086"/>
      <c r="M399" s="1086"/>
      <c r="N399" s="1086"/>
      <c r="O399" s="1086"/>
      <c r="P399" s="1086"/>
      <c r="Q399" s="1086"/>
      <c r="R399" s="1086"/>
      <c r="S399" s="1086"/>
      <c r="T399" s="1086"/>
      <c r="U399" s="1086"/>
      <c r="V399" s="1086"/>
      <c r="W399" s="1086"/>
      <c r="X399" s="1086"/>
      <c r="Y399" s="1086"/>
      <c r="Z399" s="1086"/>
      <c r="AA399" s="1086"/>
      <c r="AB399" s="1086"/>
    </row>
    <row r="400">
      <c r="A400" s="1100"/>
      <c r="B400" s="1086"/>
      <c r="C400" s="1086"/>
      <c r="D400" s="1086"/>
      <c r="E400" s="1086"/>
      <c r="F400" s="1086"/>
      <c r="G400" s="1086"/>
      <c r="H400" s="1086"/>
      <c r="I400" s="1086"/>
      <c r="J400" s="1086"/>
      <c r="K400" s="1086"/>
      <c r="L400" s="1086"/>
      <c r="M400" s="1086"/>
      <c r="N400" s="1086"/>
      <c r="O400" s="1086"/>
      <c r="P400" s="1086"/>
      <c r="Q400" s="1086"/>
      <c r="R400" s="1086"/>
      <c r="S400" s="1086"/>
      <c r="T400" s="1086"/>
      <c r="U400" s="1086"/>
      <c r="V400" s="1086"/>
      <c r="W400" s="1086"/>
      <c r="X400" s="1086"/>
      <c r="Y400" s="1086"/>
      <c r="Z400" s="1086"/>
      <c r="AA400" s="1086"/>
      <c r="AB400" s="1086"/>
    </row>
    <row r="401">
      <c r="A401" s="1100"/>
      <c r="B401" s="1086"/>
      <c r="C401" s="1086"/>
      <c r="D401" s="1086"/>
      <c r="E401" s="1086"/>
      <c r="F401" s="1086"/>
      <c r="G401" s="1086"/>
      <c r="H401" s="1086"/>
      <c r="I401" s="1086"/>
      <c r="J401" s="1086"/>
      <c r="K401" s="1086"/>
      <c r="L401" s="1086"/>
      <c r="M401" s="1086"/>
      <c r="N401" s="1086"/>
      <c r="O401" s="1086"/>
      <c r="P401" s="1086"/>
      <c r="Q401" s="1086"/>
      <c r="R401" s="1086"/>
      <c r="S401" s="1086"/>
      <c r="T401" s="1086"/>
      <c r="U401" s="1086"/>
      <c r="V401" s="1086"/>
      <c r="W401" s="1086"/>
      <c r="X401" s="1086"/>
      <c r="Y401" s="1086"/>
      <c r="Z401" s="1086"/>
      <c r="AA401" s="1086"/>
      <c r="AB401" s="1086"/>
    </row>
    <row r="402">
      <c r="A402" s="1100"/>
      <c r="B402" s="1086"/>
      <c r="C402" s="1086"/>
      <c r="D402" s="1086"/>
      <c r="E402" s="1086"/>
      <c r="F402" s="1086"/>
      <c r="G402" s="1086"/>
      <c r="H402" s="1086"/>
      <c r="I402" s="1086"/>
      <c r="J402" s="1086"/>
      <c r="K402" s="1086"/>
      <c r="L402" s="1086"/>
      <c r="M402" s="1086"/>
      <c r="N402" s="1086"/>
      <c r="O402" s="1086"/>
      <c r="P402" s="1086"/>
      <c r="Q402" s="1086"/>
      <c r="R402" s="1086"/>
      <c r="S402" s="1086"/>
      <c r="T402" s="1086"/>
      <c r="U402" s="1086"/>
      <c r="V402" s="1086"/>
      <c r="W402" s="1086"/>
      <c r="X402" s="1086"/>
      <c r="Y402" s="1086"/>
      <c r="Z402" s="1086"/>
      <c r="AA402" s="1086"/>
      <c r="AB402" s="1086"/>
    </row>
    <row r="403">
      <c r="A403" s="1100"/>
      <c r="B403" s="1086"/>
      <c r="C403" s="1086"/>
      <c r="D403" s="1086"/>
      <c r="E403" s="1086"/>
      <c r="F403" s="1086"/>
      <c r="G403" s="1086"/>
      <c r="H403" s="1086"/>
      <c r="I403" s="1086"/>
      <c r="J403" s="1086"/>
      <c r="K403" s="1086"/>
      <c r="L403" s="1086"/>
      <c r="M403" s="1086"/>
      <c r="N403" s="1086"/>
      <c r="O403" s="1086"/>
      <c r="P403" s="1086"/>
      <c r="Q403" s="1086"/>
      <c r="R403" s="1086"/>
      <c r="S403" s="1086"/>
      <c r="T403" s="1086"/>
      <c r="U403" s="1086"/>
      <c r="V403" s="1086"/>
      <c r="W403" s="1086"/>
      <c r="X403" s="1086"/>
      <c r="Y403" s="1086"/>
      <c r="Z403" s="1086"/>
      <c r="AA403" s="1086"/>
      <c r="AB403" s="1086"/>
    </row>
    <row r="404">
      <c r="A404" s="1100"/>
      <c r="B404" s="1086"/>
      <c r="C404" s="1086"/>
      <c r="D404" s="1086"/>
      <c r="E404" s="1086"/>
      <c r="F404" s="1086"/>
      <c r="G404" s="1086"/>
      <c r="H404" s="1086"/>
      <c r="I404" s="1086"/>
      <c r="J404" s="1086"/>
      <c r="K404" s="1086"/>
      <c r="L404" s="1086"/>
      <c r="M404" s="1086"/>
      <c r="N404" s="1086"/>
      <c r="O404" s="1086"/>
      <c r="P404" s="1086"/>
      <c r="Q404" s="1086"/>
      <c r="R404" s="1086"/>
      <c r="S404" s="1086"/>
      <c r="T404" s="1086"/>
      <c r="U404" s="1086"/>
      <c r="V404" s="1086"/>
      <c r="W404" s="1086"/>
      <c r="X404" s="1086"/>
      <c r="Y404" s="1086"/>
      <c r="Z404" s="1086"/>
      <c r="AA404" s="1086"/>
      <c r="AB404" s="1086"/>
    </row>
    <row r="405">
      <c r="A405" s="1100"/>
      <c r="B405" s="1086"/>
      <c r="C405" s="1086"/>
      <c r="D405" s="1086"/>
      <c r="E405" s="1086"/>
      <c r="F405" s="1086"/>
      <c r="G405" s="1086"/>
      <c r="H405" s="1086"/>
      <c r="I405" s="1086"/>
      <c r="J405" s="1086"/>
      <c r="K405" s="1086"/>
      <c r="L405" s="1086"/>
      <c r="M405" s="1086"/>
      <c r="N405" s="1086"/>
      <c r="O405" s="1086"/>
      <c r="P405" s="1086"/>
      <c r="Q405" s="1086"/>
      <c r="R405" s="1086"/>
      <c r="S405" s="1086"/>
      <c r="T405" s="1086"/>
      <c r="U405" s="1086"/>
      <c r="V405" s="1086"/>
      <c r="W405" s="1086"/>
      <c r="X405" s="1086"/>
      <c r="Y405" s="1086"/>
      <c r="Z405" s="1086"/>
      <c r="AA405" s="1086"/>
      <c r="AB405" s="1086"/>
    </row>
    <row r="406">
      <c r="A406" s="1100"/>
      <c r="B406" s="1086"/>
      <c r="C406" s="1086"/>
      <c r="D406" s="1086"/>
      <c r="E406" s="1086"/>
      <c r="F406" s="1086"/>
      <c r="G406" s="1086"/>
      <c r="H406" s="1086"/>
      <c r="I406" s="1086"/>
      <c r="J406" s="1086"/>
      <c r="K406" s="1086"/>
      <c r="L406" s="1086"/>
      <c r="M406" s="1086"/>
      <c r="N406" s="1086"/>
      <c r="O406" s="1086"/>
      <c r="P406" s="1086"/>
      <c r="Q406" s="1086"/>
      <c r="R406" s="1086"/>
      <c r="S406" s="1086"/>
      <c r="T406" s="1086"/>
      <c r="U406" s="1086"/>
      <c r="V406" s="1086"/>
      <c r="W406" s="1086"/>
      <c r="X406" s="1086"/>
      <c r="Y406" s="1086"/>
      <c r="Z406" s="1086"/>
      <c r="AA406" s="1086"/>
      <c r="AB406" s="1086"/>
    </row>
    <row r="407">
      <c r="A407" s="1100"/>
      <c r="B407" s="1086"/>
      <c r="C407" s="1086"/>
      <c r="D407" s="1086"/>
      <c r="E407" s="1086"/>
      <c r="F407" s="1086"/>
      <c r="G407" s="1086"/>
      <c r="H407" s="1086"/>
      <c r="I407" s="1086"/>
      <c r="J407" s="1086"/>
      <c r="K407" s="1086"/>
      <c r="L407" s="1086"/>
      <c r="M407" s="1086"/>
      <c r="N407" s="1086"/>
      <c r="O407" s="1086"/>
      <c r="P407" s="1086"/>
      <c r="Q407" s="1086"/>
      <c r="R407" s="1086"/>
      <c r="S407" s="1086"/>
      <c r="T407" s="1086"/>
      <c r="U407" s="1086"/>
      <c r="V407" s="1086"/>
      <c r="W407" s="1086"/>
      <c r="X407" s="1086"/>
      <c r="Y407" s="1086"/>
      <c r="Z407" s="1086"/>
      <c r="AA407" s="1086"/>
      <c r="AB407" s="1086"/>
    </row>
    <row r="408">
      <c r="A408" s="1100"/>
      <c r="B408" s="1086"/>
      <c r="C408" s="1086"/>
      <c r="D408" s="1086"/>
      <c r="E408" s="1086"/>
      <c r="F408" s="1086"/>
      <c r="G408" s="1086"/>
      <c r="H408" s="1086"/>
      <c r="I408" s="1086"/>
      <c r="J408" s="1086"/>
      <c r="K408" s="1086"/>
      <c r="L408" s="1086"/>
      <c r="M408" s="1086"/>
      <c r="N408" s="1086"/>
      <c r="O408" s="1086"/>
      <c r="P408" s="1086"/>
      <c r="Q408" s="1086"/>
      <c r="R408" s="1086"/>
      <c r="S408" s="1086"/>
      <c r="T408" s="1086"/>
      <c r="U408" s="1086"/>
      <c r="V408" s="1086"/>
      <c r="W408" s="1086"/>
      <c r="X408" s="1086"/>
      <c r="Y408" s="1086"/>
      <c r="Z408" s="1086"/>
      <c r="AA408" s="1086"/>
      <c r="AB408" s="1086"/>
    </row>
    <row r="409">
      <c r="A409" s="1100"/>
      <c r="B409" s="1086"/>
      <c r="C409" s="1086"/>
      <c r="D409" s="1086"/>
      <c r="E409" s="1086"/>
      <c r="F409" s="1086"/>
      <c r="G409" s="1086"/>
      <c r="H409" s="1086"/>
      <c r="I409" s="1086"/>
      <c r="J409" s="1086"/>
      <c r="K409" s="1086"/>
      <c r="L409" s="1086"/>
      <c r="M409" s="1086"/>
      <c r="N409" s="1086"/>
      <c r="O409" s="1086"/>
      <c r="P409" s="1086"/>
      <c r="Q409" s="1086"/>
      <c r="R409" s="1086"/>
      <c r="S409" s="1086"/>
      <c r="T409" s="1086"/>
      <c r="U409" s="1086"/>
      <c r="V409" s="1086"/>
      <c r="W409" s="1086"/>
      <c r="X409" s="1086"/>
      <c r="Y409" s="1086"/>
      <c r="Z409" s="1086"/>
      <c r="AA409" s="1086"/>
      <c r="AB409" s="1086"/>
    </row>
    <row r="410">
      <c r="A410" s="1100"/>
      <c r="B410" s="1086"/>
      <c r="C410" s="1086"/>
      <c r="D410" s="1086"/>
      <c r="E410" s="1086"/>
      <c r="F410" s="1086"/>
      <c r="G410" s="1086"/>
      <c r="H410" s="1086"/>
      <c r="I410" s="1086"/>
      <c r="J410" s="1086"/>
      <c r="K410" s="1086"/>
      <c r="L410" s="1086"/>
      <c r="M410" s="1086"/>
      <c r="N410" s="1086"/>
      <c r="O410" s="1086"/>
      <c r="P410" s="1086"/>
      <c r="Q410" s="1086"/>
      <c r="R410" s="1086"/>
      <c r="S410" s="1086"/>
      <c r="T410" s="1086"/>
      <c r="U410" s="1086"/>
      <c r="V410" s="1086"/>
      <c r="W410" s="1086"/>
      <c r="X410" s="1086"/>
      <c r="Y410" s="1086"/>
      <c r="Z410" s="1086"/>
      <c r="AA410" s="1086"/>
      <c r="AB410" s="1086"/>
    </row>
    <row r="411">
      <c r="A411" s="1100"/>
      <c r="B411" s="1086"/>
      <c r="C411" s="1086"/>
      <c r="D411" s="1086"/>
      <c r="E411" s="1086"/>
      <c r="F411" s="1086"/>
      <c r="G411" s="1086"/>
      <c r="H411" s="1086"/>
      <c r="I411" s="1086"/>
      <c r="J411" s="1086"/>
      <c r="K411" s="1086"/>
      <c r="L411" s="1086"/>
      <c r="M411" s="1086"/>
      <c r="N411" s="1086"/>
      <c r="O411" s="1086"/>
      <c r="P411" s="1086"/>
      <c r="Q411" s="1086"/>
      <c r="R411" s="1086"/>
      <c r="S411" s="1086"/>
      <c r="T411" s="1086"/>
      <c r="U411" s="1086"/>
      <c r="V411" s="1086"/>
      <c r="W411" s="1086"/>
      <c r="X411" s="1086"/>
      <c r="Y411" s="1086"/>
      <c r="Z411" s="1086"/>
      <c r="AA411" s="1086"/>
      <c r="AB411" s="1086"/>
    </row>
    <row r="412">
      <c r="A412" s="1100"/>
      <c r="B412" s="1086"/>
      <c r="C412" s="1086"/>
      <c r="D412" s="1086"/>
      <c r="E412" s="1086"/>
      <c r="F412" s="1086"/>
      <c r="G412" s="1086"/>
      <c r="H412" s="1086"/>
      <c r="I412" s="1086"/>
      <c r="J412" s="1086"/>
      <c r="K412" s="1086"/>
      <c r="L412" s="1086"/>
      <c r="M412" s="1086"/>
      <c r="N412" s="1086"/>
      <c r="O412" s="1086"/>
      <c r="P412" s="1086"/>
      <c r="Q412" s="1086"/>
      <c r="R412" s="1086"/>
      <c r="S412" s="1086"/>
      <c r="T412" s="1086"/>
      <c r="U412" s="1086"/>
      <c r="V412" s="1086"/>
      <c r="W412" s="1086"/>
      <c r="X412" s="1086"/>
      <c r="Y412" s="1086"/>
      <c r="Z412" s="1086"/>
      <c r="AA412" s="1086"/>
      <c r="AB412" s="1086"/>
    </row>
    <row r="413">
      <c r="A413" s="1100"/>
      <c r="B413" s="1086"/>
      <c r="C413" s="1086"/>
      <c r="D413" s="1086"/>
      <c r="E413" s="1086"/>
      <c r="F413" s="1086"/>
      <c r="G413" s="1086"/>
      <c r="H413" s="1086"/>
      <c r="I413" s="1086"/>
      <c r="J413" s="1086"/>
      <c r="K413" s="1086"/>
      <c r="L413" s="1086"/>
      <c r="M413" s="1086"/>
      <c r="N413" s="1086"/>
      <c r="O413" s="1086"/>
      <c r="P413" s="1086"/>
      <c r="Q413" s="1086"/>
      <c r="R413" s="1086"/>
      <c r="S413" s="1086"/>
      <c r="T413" s="1086"/>
      <c r="U413" s="1086"/>
      <c r="V413" s="1086"/>
      <c r="W413" s="1086"/>
      <c r="X413" s="1086"/>
      <c r="Y413" s="1086"/>
      <c r="Z413" s="1086"/>
      <c r="AA413" s="1086"/>
      <c r="AB413" s="1086"/>
    </row>
    <row r="414">
      <c r="A414" s="1100"/>
      <c r="B414" s="1086"/>
      <c r="C414" s="1086"/>
      <c r="D414" s="1086"/>
      <c r="E414" s="1086"/>
      <c r="F414" s="1086"/>
      <c r="G414" s="1086"/>
      <c r="H414" s="1086"/>
      <c r="I414" s="1086"/>
      <c r="J414" s="1086"/>
      <c r="K414" s="1086"/>
      <c r="L414" s="1086"/>
      <c r="M414" s="1086"/>
      <c r="N414" s="1086"/>
      <c r="O414" s="1086"/>
      <c r="P414" s="1086"/>
      <c r="Q414" s="1086"/>
      <c r="R414" s="1086"/>
      <c r="S414" s="1086"/>
      <c r="T414" s="1086"/>
      <c r="U414" s="1086"/>
      <c r="V414" s="1086"/>
      <c r="W414" s="1086"/>
      <c r="X414" s="1086"/>
      <c r="Y414" s="1086"/>
      <c r="Z414" s="1086"/>
      <c r="AA414" s="1086"/>
      <c r="AB414" s="1086"/>
    </row>
    <row r="415">
      <c r="A415" s="1100"/>
      <c r="B415" s="1086"/>
      <c r="C415" s="1086"/>
      <c r="D415" s="1086"/>
      <c r="E415" s="1086"/>
      <c r="F415" s="1086"/>
      <c r="G415" s="1086"/>
      <c r="H415" s="1086"/>
      <c r="I415" s="1086"/>
      <c r="J415" s="1086"/>
      <c r="K415" s="1086"/>
      <c r="L415" s="1086"/>
      <c r="M415" s="1086"/>
      <c r="N415" s="1086"/>
      <c r="O415" s="1086"/>
      <c r="P415" s="1086"/>
      <c r="Q415" s="1086"/>
      <c r="R415" s="1086"/>
      <c r="S415" s="1086"/>
      <c r="T415" s="1086"/>
      <c r="U415" s="1086"/>
      <c r="V415" s="1086"/>
      <c r="W415" s="1086"/>
      <c r="X415" s="1086"/>
      <c r="Y415" s="1086"/>
      <c r="Z415" s="1086"/>
      <c r="AA415" s="1086"/>
      <c r="AB415" s="1086"/>
    </row>
    <row r="416">
      <c r="A416" s="1100"/>
      <c r="B416" s="1086"/>
      <c r="C416" s="1086"/>
      <c r="D416" s="1086"/>
      <c r="E416" s="1086"/>
      <c r="F416" s="1086"/>
      <c r="G416" s="1086"/>
      <c r="H416" s="1086"/>
      <c r="I416" s="1086"/>
      <c r="J416" s="1086"/>
      <c r="K416" s="1086"/>
      <c r="L416" s="1086"/>
      <c r="M416" s="1086"/>
      <c r="N416" s="1086"/>
      <c r="O416" s="1086"/>
      <c r="P416" s="1086"/>
      <c r="Q416" s="1086"/>
      <c r="R416" s="1086"/>
      <c r="S416" s="1086"/>
      <c r="T416" s="1086"/>
      <c r="U416" s="1086"/>
      <c r="V416" s="1086"/>
      <c r="W416" s="1086"/>
      <c r="X416" s="1086"/>
      <c r="Y416" s="1086"/>
      <c r="Z416" s="1086"/>
      <c r="AA416" s="1086"/>
      <c r="AB416" s="1086"/>
    </row>
    <row r="417">
      <c r="A417" s="1100"/>
      <c r="B417" s="1086"/>
      <c r="C417" s="1086"/>
      <c r="D417" s="1086"/>
      <c r="E417" s="1086"/>
      <c r="F417" s="1086"/>
      <c r="G417" s="1086"/>
      <c r="H417" s="1086"/>
      <c r="I417" s="1086"/>
      <c r="J417" s="1086"/>
      <c r="K417" s="1086"/>
      <c r="L417" s="1086"/>
      <c r="M417" s="1086"/>
      <c r="N417" s="1086"/>
      <c r="O417" s="1086"/>
      <c r="P417" s="1086"/>
      <c r="Q417" s="1086"/>
      <c r="R417" s="1086"/>
      <c r="S417" s="1086"/>
      <c r="T417" s="1086"/>
      <c r="U417" s="1086"/>
      <c r="V417" s="1086"/>
      <c r="W417" s="1086"/>
      <c r="X417" s="1086"/>
      <c r="Y417" s="1086"/>
      <c r="Z417" s="1086"/>
      <c r="AA417" s="1086"/>
      <c r="AB417" s="1086"/>
    </row>
    <row r="418">
      <c r="A418" s="1100"/>
      <c r="B418" s="1086"/>
      <c r="C418" s="1086"/>
      <c r="D418" s="1086"/>
      <c r="E418" s="1086"/>
      <c r="F418" s="1086"/>
      <c r="G418" s="1086"/>
      <c r="H418" s="1086"/>
      <c r="I418" s="1086"/>
      <c r="J418" s="1086"/>
      <c r="K418" s="1086"/>
      <c r="L418" s="1086"/>
      <c r="M418" s="1086"/>
      <c r="N418" s="1086"/>
      <c r="O418" s="1086"/>
      <c r="P418" s="1086"/>
      <c r="Q418" s="1086"/>
      <c r="R418" s="1086"/>
      <c r="S418" s="1086"/>
      <c r="T418" s="1086"/>
      <c r="U418" s="1086"/>
      <c r="V418" s="1086"/>
      <c r="W418" s="1086"/>
      <c r="X418" s="1086"/>
      <c r="Y418" s="1086"/>
      <c r="Z418" s="1086"/>
      <c r="AA418" s="1086"/>
      <c r="AB418" s="1086"/>
    </row>
    <row r="419">
      <c r="A419" s="1100"/>
      <c r="B419" s="1086"/>
      <c r="C419" s="1086"/>
      <c r="D419" s="1086"/>
      <c r="E419" s="1086"/>
      <c r="F419" s="1086"/>
      <c r="G419" s="1086"/>
      <c r="H419" s="1086"/>
      <c r="I419" s="1086"/>
      <c r="J419" s="1086"/>
      <c r="K419" s="1086"/>
      <c r="L419" s="1086"/>
      <c r="M419" s="1086"/>
      <c r="N419" s="1086"/>
      <c r="O419" s="1086"/>
      <c r="P419" s="1086"/>
      <c r="Q419" s="1086"/>
      <c r="R419" s="1086"/>
      <c r="S419" s="1086"/>
      <c r="T419" s="1086"/>
      <c r="U419" s="1086"/>
      <c r="V419" s="1086"/>
      <c r="W419" s="1086"/>
      <c r="X419" s="1086"/>
      <c r="Y419" s="1086"/>
      <c r="Z419" s="1086"/>
      <c r="AA419" s="1086"/>
      <c r="AB419" s="1086"/>
    </row>
    <row r="420">
      <c r="A420" s="1100"/>
      <c r="B420" s="1086"/>
      <c r="C420" s="1086"/>
      <c r="D420" s="1086"/>
      <c r="E420" s="1086"/>
      <c r="F420" s="1086"/>
      <c r="G420" s="1086"/>
      <c r="H420" s="1086"/>
      <c r="I420" s="1086"/>
      <c r="J420" s="1086"/>
      <c r="K420" s="1086"/>
      <c r="L420" s="1086"/>
      <c r="M420" s="1086"/>
      <c r="N420" s="1086"/>
      <c r="O420" s="1086"/>
      <c r="P420" s="1086"/>
      <c r="Q420" s="1086"/>
      <c r="R420" s="1086"/>
      <c r="S420" s="1086"/>
      <c r="T420" s="1086"/>
      <c r="U420" s="1086"/>
      <c r="V420" s="1086"/>
      <c r="W420" s="1086"/>
      <c r="X420" s="1086"/>
      <c r="Y420" s="1086"/>
      <c r="Z420" s="1086"/>
      <c r="AA420" s="1086"/>
      <c r="AB420" s="1086"/>
    </row>
    <row r="421">
      <c r="A421" s="1100"/>
      <c r="B421" s="1086"/>
      <c r="C421" s="1086"/>
      <c r="D421" s="1086"/>
      <c r="E421" s="1086"/>
      <c r="F421" s="1086"/>
      <c r="G421" s="1086"/>
      <c r="H421" s="1086"/>
      <c r="I421" s="1086"/>
      <c r="J421" s="1086"/>
      <c r="K421" s="1086"/>
      <c r="L421" s="1086"/>
      <c r="M421" s="1086"/>
      <c r="N421" s="1086"/>
      <c r="O421" s="1086"/>
      <c r="P421" s="1086"/>
      <c r="Q421" s="1086"/>
      <c r="R421" s="1086"/>
      <c r="S421" s="1086"/>
      <c r="T421" s="1086"/>
      <c r="U421" s="1086"/>
      <c r="V421" s="1086"/>
      <c r="W421" s="1086"/>
      <c r="X421" s="1086"/>
      <c r="Y421" s="1086"/>
      <c r="Z421" s="1086"/>
      <c r="AA421" s="1086"/>
      <c r="AB421" s="1086"/>
    </row>
    <row r="422">
      <c r="A422" s="1100"/>
      <c r="B422" s="1086"/>
      <c r="C422" s="1086"/>
      <c r="D422" s="1086"/>
      <c r="E422" s="1086"/>
      <c r="F422" s="1086"/>
      <c r="G422" s="1086"/>
      <c r="H422" s="1086"/>
      <c r="I422" s="1086"/>
      <c r="J422" s="1086"/>
      <c r="K422" s="1086"/>
      <c r="L422" s="1086"/>
      <c r="M422" s="1086"/>
      <c r="N422" s="1086"/>
      <c r="O422" s="1086"/>
      <c r="P422" s="1086"/>
      <c r="Q422" s="1086"/>
      <c r="R422" s="1086"/>
      <c r="S422" s="1086"/>
      <c r="T422" s="1086"/>
      <c r="U422" s="1086"/>
      <c r="V422" s="1086"/>
      <c r="W422" s="1086"/>
      <c r="X422" s="1086"/>
      <c r="Y422" s="1086"/>
      <c r="Z422" s="1086"/>
      <c r="AA422" s="1086"/>
      <c r="AB422" s="1086"/>
    </row>
    <row r="423">
      <c r="A423" s="1100"/>
      <c r="B423" s="1086"/>
      <c r="C423" s="1086"/>
      <c r="D423" s="1086"/>
      <c r="E423" s="1086"/>
      <c r="F423" s="1086"/>
      <c r="G423" s="1086"/>
      <c r="H423" s="1086"/>
      <c r="I423" s="1086"/>
      <c r="J423" s="1086"/>
      <c r="K423" s="1086"/>
      <c r="L423" s="1086"/>
      <c r="M423" s="1086"/>
      <c r="N423" s="1086"/>
      <c r="O423" s="1086"/>
      <c r="P423" s="1086"/>
      <c r="Q423" s="1086"/>
      <c r="R423" s="1086"/>
      <c r="S423" s="1086"/>
      <c r="T423" s="1086"/>
      <c r="U423" s="1086"/>
      <c r="V423" s="1086"/>
      <c r="W423" s="1086"/>
      <c r="X423" s="1086"/>
      <c r="Y423" s="1086"/>
      <c r="Z423" s="1086"/>
      <c r="AA423" s="1086"/>
      <c r="AB423" s="1086"/>
    </row>
    <row r="424">
      <c r="A424" s="1100"/>
      <c r="B424" s="1086"/>
      <c r="C424" s="1086"/>
      <c r="D424" s="1086"/>
      <c r="E424" s="1086"/>
      <c r="F424" s="1086"/>
      <c r="G424" s="1086"/>
      <c r="H424" s="1086"/>
      <c r="I424" s="1086"/>
      <c r="J424" s="1086"/>
      <c r="K424" s="1086"/>
      <c r="L424" s="1086"/>
      <c r="M424" s="1086"/>
      <c r="N424" s="1086"/>
      <c r="O424" s="1086"/>
      <c r="P424" s="1086"/>
      <c r="Q424" s="1086"/>
      <c r="R424" s="1086"/>
      <c r="S424" s="1086"/>
      <c r="T424" s="1086"/>
      <c r="U424" s="1086"/>
      <c r="V424" s="1086"/>
      <c r="W424" s="1086"/>
      <c r="X424" s="1086"/>
      <c r="Y424" s="1086"/>
      <c r="Z424" s="1086"/>
      <c r="AA424" s="1086"/>
      <c r="AB424" s="1086"/>
    </row>
    <row r="425">
      <c r="A425" s="1100"/>
      <c r="B425" s="1086"/>
      <c r="C425" s="1086"/>
      <c r="D425" s="1086"/>
      <c r="E425" s="1086"/>
      <c r="F425" s="1086"/>
      <c r="G425" s="1086"/>
      <c r="H425" s="1086"/>
      <c r="I425" s="1086"/>
      <c r="J425" s="1086"/>
      <c r="K425" s="1086"/>
      <c r="L425" s="1086"/>
      <c r="M425" s="1086"/>
      <c r="N425" s="1086"/>
      <c r="O425" s="1086"/>
      <c r="P425" s="1086"/>
      <c r="Q425" s="1086"/>
      <c r="R425" s="1086"/>
      <c r="S425" s="1086"/>
      <c r="T425" s="1086"/>
      <c r="U425" s="1086"/>
      <c r="V425" s="1086"/>
      <c r="W425" s="1086"/>
      <c r="X425" s="1086"/>
      <c r="Y425" s="1086"/>
      <c r="Z425" s="1086"/>
      <c r="AA425" s="1086"/>
      <c r="AB425" s="1086"/>
    </row>
    <row r="426">
      <c r="A426" s="1100"/>
      <c r="B426" s="1086"/>
      <c r="C426" s="1086"/>
      <c r="D426" s="1086"/>
      <c r="E426" s="1086"/>
      <c r="F426" s="1086"/>
      <c r="G426" s="1086"/>
      <c r="H426" s="1086"/>
      <c r="I426" s="1086"/>
      <c r="J426" s="1086"/>
      <c r="K426" s="1086"/>
      <c r="L426" s="1086"/>
      <c r="M426" s="1086"/>
      <c r="N426" s="1086"/>
      <c r="O426" s="1086"/>
      <c r="P426" s="1086"/>
      <c r="Q426" s="1086"/>
      <c r="R426" s="1086"/>
      <c r="S426" s="1086"/>
      <c r="T426" s="1086"/>
      <c r="U426" s="1086"/>
      <c r="V426" s="1086"/>
      <c r="W426" s="1086"/>
      <c r="X426" s="1086"/>
      <c r="Y426" s="1086"/>
      <c r="Z426" s="1086"/>
      <c r="AA426" s="1086"/>
      <c r="AB426" s="1086"/>
    </row>
    <row r="427">
      <c r="A427" s="1100"/>
      <c r="B427" s="1086"/>
      <c r="C427" s="1086"/>
      <c r="D427" s="1086"/>
      <c r="E427" s="1086"/>
      <c r="F427" s="1086"/>
      <c r="G427" s="1086"/>
      <c r="H427" s="1086"/>
      <c r="I427" s="1086"/>
      <c r="J427" s="1086"/>
      <c r="K427" s="1086"/>
      <c r="L427" s="1086"/>
      <c r="M427" s="1086"/>
      <c r="N427" s="1086"/>
      <c r="O427" s="1086"/>
      <c r="P427" s="1086"/>
      <c r="Q427" s="1086"/>
      <c r="R427" s="1086"/>
      <c r="S427" s="1086"/>
      <c r="T427" s="1086"/>
      <c r="U427" s="1086"/>
      <c r="V427" s="1086"/>
      <c r="W427" s="1086"/>
      <c r="X427" s="1086"/>
      <c r="Y427" s="1086"/>
      <c r="Z427" s="1086"/>
      <c r="AA427" s="1086"/>
      <c r="AB427" s="1086"/>
    </row>
    <row r="428">
      <c r="A428" s="1100"/>
      <c r="B428" s="1086"/>
      <c r="C428" s="1086"/>
      <c r="D428" s="1086"/>
      <c r="E428" s="1086"/>
      <c r="F428" s="1086"/>
      <c r="G428" s="1086"/>
      <c r="H428" s="1086"/>
      <c r="I428" s="1086"/>
      <c r="J428" s="1086"/>
      <c r="K428" s="1086"/>
      <c r="L428" s="1086"/>
      <c r="M428" s="1086"/>
      <c r="N428" s="1086"/>
      <c r="O428" s="1086"/>
      <c r="P428" s="1086"/>
      <c r="Q428" s="1086"/>
      <c r="R428" s="1086"/>
      <c r="S428" s="1086"/>
      <c r="T428" s="1086"/>
      <c r="U428" s="1086"/>
      <c r="V428" s="1086"/>
      <c r="W428" s="1086"/>
      <c r="X428" s="1086"/>
      <c r="Y428" s="1086"/>
      <c r="Z428" s="1086"/>
      <c r="AA428" s="1086"/>
      <c r="AB428" s="1086"/>
    </row>
    <row r="429">
      <c r="A429" s="1100"/>
      <c r="B429" s="1086"/>
      <c r="C429" s="1086"/>
      <c r="D429" s="1086"/>
      <c r="E429" s="1086"/>
      <c r="F429" s="1086"/>
      <c r="G429" s="1086"/>
      <c r="H429" s="1086"/>
      <c r="I429" s="1086"/>
      <c r="J429" s="1086"/>
      <c r="K429" s="1086"/>
      <c r="L429" s="1086"/>
      <c r="M429" s="1086"/>
      <c r="N429" s="1086"/>
      <c r="O429" s="1086"/>
      <c r="P429" s="1086"/>
      <c r="Q429" s="1086"/>
      <c r="R429" s="1086"/>
      <c r="S429" s="1086"/>
      <c r="T429" s="1086"/>
      <c r="U429" s="1086"/>
      <c r="V429" s="1086"/>
      <c r="W429" s="1086"/>
      <c r="X429" s="1086"/>
      <c r="Y429" s="1086"/>
      <c r="Z429" s="1086"/>
      <c r="AA429" s="1086"/>
      <c r="AB429" s="1086"/>
    </row>
    <row r="430">
      <c r="A430" s="1100"/>
      <c r="B430" s="1086"/>
      <c r="C430" s="1086"/>
      <c r="D430" s="1086"/>
      <c r="E430" s="1086"/>
      <c r="F430" s="1086"/>
      <c r="G430" s="1086"/>
      <c r="H430" s="1086"/>
      <c r="I430" s="1086"/>
      <c r="J430" s="1086"/>
      <c r="K430" s="1086"/>
      <c r="L430" s="1086"/>
      <c r="M430" s="1086"/>
      <c r="N430" s="1086"/>
      <c r="O430" s="1086"/>
      <c r="P430" s="1086"/>
      <c r="Q430" s="1086"/>
      <c r="R430" s="1086"/>
      <c r="S430" s="1086"/>
      <c r="T430" s="1086"/>
      <c r="U430" s="1086"/>
      <c r="V430" s="1086"/>
      <c r="W430" s="1086"/>
      <c r="X430" s="1086"/>
      <c r="Y430" s="1086"/>
      <c r="Z430" s="1086"/>
      <c r="AA430" s="1086"/>
      <c r="AB430" s="1086"/>
    </row>
    <row r="431">
      <c r="A431" s="1100"/>
      <c r="B431" s="1086"/>
      <c r="C431" s="1086"/>
      <c r="D431" s="1086"/>
      <c r="E431" s="1086"/>
      <c r="F431" s="1086"/>
      <c r="G431" s="1086"/>
      <c r="H431" s="1086"/>
      <c r="I431" s="1086"/>
      <c r="J431" s="1086"/>
      <c r="K431" s="1086"/>
      <c r="L431" s="1086"/>
      <c r="M431" s="1086"/>
      <c r="N431" s="1086"/>
      <c r="O431" s="1086"/>
      <c r="P431" s="1086"/>
      <c r="Q431" s="1086"/>
      <c r="R431" s="1086"/>
      <c r="S431" s="1086"/>
      <c r="T431" s="1086"/>
      <c r="U431" s="1086"/>
      <c r="V431" s="1086"/>
      <c r="W431" s="1086"/>
      <c r="X431" s="1086"/>
      <c r="Y431" s="1086"/>
      <c r="Z431" s="1086"/>
      <c r="AA431" s="1086"/>
      <c r="AB431" s="1086"/>
    </row>
    <row r="432">
      <c r="A432" s="1100"/>
      <c r="B432" s="1086"/>
      <c r="C432" s="1086"/>
      <c r="D432" s="1086"/>
      <c r="E432" s="1086"/>
      <c r="F432" s="1086"/>
      <c r="G432" s="1086"/>
      <c r="H432" s="1086"/>
      <c r="I432" s="1086"/>
      <c r="J432" s="1086"/>
      <c r="K432" s="1086"/>
      <c r="L432" s="1086"/>
      <c r="M432" s="1086"/>
      <c r="N432" s="1086"/>
      <c r="O432" s="1086"/>
      <c r="P432" s="1086"/>
      <c r="Q432" s="1086"/>
      <c r="R432" s="1086"/>
      <c r="S432" s="1086"/>
      <c r="T432" s="1086"/>
      <c r="U432" s="1086"/>
      <c r="V432" s="1086"/>
      <c r="W432" s="1086"/>
      <c r="X432" s="1086"/>
      <c r="Y432" s="1086"/>
      <c r="Z432" s="1086"/>
      <c r="AA432" s="1086"/>
      <c r="AB432" s="1086"/>
    </row>
    <row r="433">
      <c r="A433" s="1100"/>
      <c r="B433" s="1086"/>
      <c r="C433" s="1086"/>
      <c r="D433" s="1086"/>
      <c r="E433" s="1086"/>
      <c r="F433" s="1086"/>
      <c r="G433" s="1086"/>
      <c r="H433" s="1086"/>
      <c r="I433" s="1086"/>
      <c r="J433" s="1086"/>
      <c r="K433" s="1086"/>
      <c r="L433" s="1086"/>
      <c r="M433" s="1086"/>
      <c r="N433" s="1086"/>
      <c r="O433" s="1086"/>
      <c r="P433" s="1086"/>
      <c r="Q433" s="1086"/>
      <c r="R433" s="1086"/>
      <c r="S433" s="1086"/>
      <c r="T433" s="1086"/>
      <c r="U433" s="1086"/>
      <c r="V433" s="1086"/>
      <c r="W433" s="1086"/>
      <c r="X433" s="1086"/>
      <c r="Y433" s="1086"/>
      <c r="Z433" s="1086"/>
      <c r="AA433" s="1086"/>
      <c r="AB433" s="1086"/>
    </row>
    <row r="434">
      <c r="A434" s="1100"/>
      <c r="B434" s="1086"/>
      <c r="C434" s="1086"/>
      <c r="D434" s="1086"/>
      <c r="E434" s="1086"/>
      <c r="F434" s="1086"/>
      <c r="G434" s="1086"/>
      <c r="H434" s="1086"/>
      <c r="I434" s="1086"/>
      <c r="J434" s="1086"/>
      <c r="K434" s="1086"/>
      <c r="L434" s="1086"/>
      <c r="M434" s="1086"/>
      <c r="N434" s="1086"/>
      <c r="O434" s="1086"/>
      <c r="P434" s="1086"/>
      <c r="Q434" s="1086"/>
      <c r="R434" s="1086"/>
      <c r="S434" s="1086"/>
      <c r="T434" s="1086"/>
      <c r="U434" s="1086"/>
      <c r="V434" s="1086"/>
      <c r="W434" s="1086"/>
      <c r="X434" s="1086"/>
      <c r="Y434" s="1086"/>
      <c r="Z434" s="1086"/>
      <c r="AA434" s="1086"/>
      <c r="AB434" s="1086"/>
    </row>
    <row r="435">
      <c r="A435" s="1100"/>
      <c r="B435" s="1086"/>
      <c r="C435" s="1086"/>
      <c r="D435" s="1086"/>
      <c r="E435" s="1086"/>
      <c r="F435" s="1086"/>
      <c r="G435" s="1086"/>
      <c r="H435" s="1086"/>
      <c r="I435" s="1086"/>
      <c r="J435" s="1086"/>
      <c r="K435" s="1086"/>
      <c r="L435" s="1086"/>
      <c r="M435" s="1086"/>
      <c r="N435" s="1086"/>
      <c r="O435" s="1086"/>
      <c r="P435" s="1086"/>
      <c r="Q435" s="1086"/>
      <c r="R435" s="1086"/>
      <c r="S435" s="1086"/>
      <c r="T435" s="1086"/>
      <c r="U435" s="1086"/>
      <c r="V435" s="1086"/>
      <c r="W435" s="1086"/>
      <c r="X435" s="1086"/>
      <c r="Y435" s="1086"/>
      <c r="Z435" s="1086"/>
      <c r="AA435" s="1086"/>
      <c r="AB435" s="1086"/>
    </row>
    <row r="436">
      <c r="A436" s="1100"/>
      <c r="B436" s="1086"/>
      <c r="C436" s="1086"/>
      <c r="D436" s="1086"/>
      <c r="E436" s="1086"/>
      <c r="F436" s="1086"/>
      <c r="G436" s="1086"/>
      <c r="H436" s="1086"/>
      <c r="I436" s="1086"/>
      <c r="J436" s="1086"/>
      <c r="K436" s="1086"/>
      <c r="L436" s="1086"/>
      <c r="M436" s="1086"/>
      <c r="N436" s="1086"/>
      <c r="O436" s="1086"/>
      <c r="P436" s="1086"/>
      <c r="Q436" s="1086"/>
      <c r="R436" s="1086"/>
      <c r="S436" s="1086"/>
      <c r="T436" s="1086"/>
      <c r="U436" s="1086"/>
      <c r="V436" s="1086"/>
      <c r="W436" s="1086"/>
      <c r="X436" s="1086"/>
      <c r="Y436" s="1086"/>
      <c r="Z436" s="1086"/>
      <c r="AA436" s="1086"/>
      <c r="AB436" s="1086"/>
    </row>
    <row r="437">
      <c r="A437" s="1100"/>
      <c r="B437" s="1086"/>
      <c r="C437" s="1086"/>
      <c r="D437" s="1086"/>
      <c r="E437" s="1086"/>
      <c r="F437" s="1086"/>
      <c r="G437" s="1086"/>
      <c r="H437" s="1086"/>
      <c r="I437" s="1086"/>
      <c r="J437" s="1086"/>
      <c r="K437" s="1086"/>
      <c r="L437" s="1086"/>
      <c r="M437" s="1086"/>
      <c r="N437" s="1086"/>
      <c r="O437" s="1086"/>
      <c r="P437" s="1086"/>
      <c r="Q437" s="1086"/>
      <c r="R437" s="1086"/>
      <c r="S437" s="1086"/>
      <c r="T437" s="1086"/>
      <c r="U437" s="1086"/>
      <c r="V437" s="1086"/>
      <c r="W437" s="1086"/>
      <c r="X437" s="1086"/>
      <c r="Y437" s="1086"/>
      <c r="Z437" s="1086"/>
      <c r="AA437" s="1086"/>
      <c r="AB437" s="1086"/>
    </row>
    <row r="438">
      <c r="A438" s="1100"/>
      <c r="B438" s="1086"/>
      <c r="C438" s="1086"/>
      <c r="D438" s="1086"/>
      <c r="E438" s="1086"/>
      <c r="F438" s="1086"/>
      <c r="G438" s="1086"/>
      <c r="H438" s="1086"/>
      <c r="I438" s="1086"/>
      <c r="J438" s="1086"/>
      <c r="K438" s="1086"/>
      <c r="L438" s="1086"/>
      <c r="M438" s="1086"/>
      <c r="N438" s="1086"/>
      <c r="O438" s="1086"/>
      <c r="P438" s="1086"/>
      <c r="Q438" s="1086"/>
      <c r="R438" s="1086"/>
      <c r="S438" s="1086"/>
      <c r="T438" s="1086"/>
      <c r="U438" s="1086"/>
      <c r="V438" s="1086"/>
      <c r="W438" s="1086"/>
      <c r="X438" s="1086"/>
      <c r="Y438" s="1086"/>
      <c r="Z438" s="1086"/>
      <c r="AA438" s="1086"/>
      <c r="AB438" s="1086"/>
    </row>
    <row r="439">
      <c r="A439" s="1100"/>
      <c r="B439" s="1086"/>
      <c r="C439" s="1086"/>
      <c r="D439" s="1086"/>
      <c r="E439" s="1086"/>
      <c r="F439" s="1086"/>
      <c r="G439" s="1086"/>
      <c r="H439" s="1086"/>
      <c r="I439" s="1086"/>
      <c r="J439" s="1086"/>
      <c r="K439" s="1086"/>
      <c r="L439" s="1086"/>
      <c r="M439" s="1086"/>
      <c r="N439" s="1086"/>
      <c r="O439" s="1086"/>
      <c r="P439" s="1086"/>
      <c r="Q439" s="1086"/>
      <c r="R439" s="1086"/>
      <c r="S439" s="1086"/>
      <c r="T439" s="1086"/>
      <c r="U439" s="1086"/>
      <c r="V439" s="1086"/>
      <c r="W439" s="1086"/>
      <c r="X439" s="1086"/>
      <c r="Y439" s="1086"/>
      <c r="Z439" s="1086"/>
      <c r="AA439" s="1086"/>
      <c r="AB439" s="1086"/>
    </row>
    <row r="440">
      <c r="A440" s="1100"/>
      <c r="B440" s="1086"/>
      <c r="C440" s="1086"/>
      <c r="D440" s="1086"/>
      <c r="E440" s="1086"/>
      <c r="F440" s="1086"/>
      <c r="G440" s="1086"/>
      <c r="H440" s="1086"/>
      <c r="I440" s="1086"/>
      <c r="J440" s="1086"/>
      <c r="K440" s="1086"/>
      <c r="L440" s="1086"/>
      <c r="M440" s="1086"/>
      <c r="N440" s="1086"/>
      <c r="O440" s="1086"/>
      <c r="P440" s="1086"/>
      <c r="Q440" s="1086"/>
      <c r="R440" s="1086"/>
      <c r="S440" s="1086"/>
      <c r="T440" s="1086"/>
      <c r="U440" s="1086"/>
      <c r="V440" s="1086"/>
      <c r="W440" s="1086"/>
      <c r="X440" s="1086"/>
      <c r="Y440" s="1086"/>
      <c r="Z440" s="1086"/>
      <c r="AA440" s="1086"/>
      <c r="AB440" s="1086"/>
    </row>
    <row r="441">
      <c r="A441" s="1100"/>
      <c r="B441" s="1086"/>
      <c r="C441" s="1086"/>
      <c r="D441" s="1086"/>
      <c r="E441" s="1086"/>
      <c r="F441" s="1086"/>
      <c r="G441" s="1086"/>
      <c r="H441" s="1086"/>
      <c r="I441" s="1086"/>
      <c r="J441" s="1086"/>
      <c r="K441" s="1086"/>
      <c r="L441" s="1086"/>
      <c r="M441" s="1086"/>
      <c r="N441" s="1086"/>
      <c r="O441" s="1086"/>
      <c r="P441" s="1086"/>
      <c r="Q441" s="1086"/>
      <c r="R441" s="1086"/>
      <c r="S441" s="1086"/>
      <c r="T441" s="1086"/>
      <c r="U441" s="1086"/>
      <c r="V441" s="1086"/>
      <c r="W441" s="1086"/>
      <c r="X441" s="1086"/>
      <c r="Y441" s="1086"/>
      <c r="Z441" s="1086"/>
      <c r="AA441" s="1086"/>
      <c r="AB441" s="1086"/>
    </row>
    <row r="442">
      <c r="A442" s="1100"/>
      <c r="B442" s="1086"/>
      <c r="C442" s="1086"/>
      <c r="D442" s="1086"/>
      <c r="E442" s="1086"/>
      <c r="F442" s="1086"/>
      <c r="G442" s="1086"/>
      <c r="H442" s="1086"/>
      <c r="I442" s="1086"/>
      <c r="J442" s="1086"/>
      <c r="K442" s="1086"/>
      <c r="L442" s="1086"/>
      <c r="M442" s="1086"/>
      <c r="N442" s="1086"/>
      <c r="O442" s="1086"/>
      <c r="P442" s="1086"/>
      <c r="Q442" s="1086"/>
      <c r="R442" s="1086"/>
      <c r="S442" s="1086"/>
      <c r="T442" s="1086"/>
      <c r="U442" s="1086"/>
      <c r="V442" s="1086"/>
      <c r="W442" s="1086"/>
      <c r="X442" s="1086"/>
      <c r="Y442" s="1086"/>
      <c r="Z442" s="1086"/>
      <c r="AA442" s="1086"/>
      <c r="AB442" s="1086"/>
    </row>
    <row r="443">
      <c r="A443" s="1100"/>
      <c r="B443" s="1086"/>
      <c r="C443" s="1086"/>
      <c r="D443" s="1086"/>
      <c r="E443" s="1086"/>
      <c r="F443" s="1086"/>
      <c r="G443" s="1086"/>
      <c r="H443" s="1086"/>
      <c r="I443" s="1086"/>
      <c r="J443" s="1086"/>
      <c r="K443" s="1086"/>
      <c r="L443" s="1086"/>
      <c r="M443" s="1086"/>
      <c r="N443" s="1086"/>
      <c r="O443" s="1086"/>
      <c r="P443" s="1086"/>
      <c r="Q443" s="1086"/>
      <c r="R443" s="1086"/>
      <c r="S443" s="1086"/>
      <c r="T443" s="1086"/>
      <c r="U443" s="1086"/>
      <c r="V443" s="1086"/>
      <c r="W443" s="1086"/>
      <c r="X443" s="1086"/>
      <c r="Y443" s="1086"/>
      <c r="Z443" s="1086"/>
      <c r="AA443" s="1086"/>
      <c r="AB443" s="1086"/>
    </row>
    <row r="444">
      <c r="A444" s="1100"/>
      <c r="B444" s="1086"/>
      <c r="C444" s="1086"/>
      <c r="D444" s="1086"/>
      <c r="E444" s="1086"/>
      <c r="F444" s="1086"/>
      <c r="G444" s="1086"/>
      <c r="H444" s="1086"/>
      <c r="I444" s="1086"/>
      <c r="J444" s="1086"/>
      <c r="K444" s="1086"/>
      <c r="L444" s="1086"/>
      <c r="M444" s="1086"/>
      <c r="N444" s="1086"/>
      <c r="O444" s="1086"/>
      <c r="P444" s="1086"/>
      <c r="Q444" s="1086"/>
      <c r="R444" s="1086"/>
      <c r="S444" s="1086"/>
      <c r="T444" s="1086"/>
      <c r="U444" s="1086"/>
      <c r="V444" s="1086"/>
      <c r="W444" s="1086"/>
      <c r="X444" s="1086"/>
      <c r="Y444" s="1086"/>
      <c r="Z444" s="1086"/>
      <c r="AA444" s="1086"/>
      <c r="AB444" s="1086"/>
    </row>
    <row r="445">
      <c r="A445" s="1100"/>
      <c r="B445" s="1086"/>
      <c r="C445" s="1086"/>
      <c r="D445" s="1086"/>
      <c r="E445" s="1086"/>
      <c r="F445" s="1086"/>
      <c r="G445" s="1086"/>
      <c r="H445" s="1086"/>
      <c r="I445" s="1086"/>
      <c r="J445" s="1086"/>
      <c r="K445" s="1086"/>
      <c r="L445" s="1086"/>
      <c r="M445" s="1086"/>
      <c r="N445" s="1086"/>
      <c r="O445" s="1086"/>
      <c r="P445" s="1086"/>
      <c r="Q445" s="1086"/>
      <c r="R445" s="1086"/>
      <c r="S445" s="1086"/>
      <c r="T445" s="1086"/>
      <c r="U445" s="1086"/>
      <c r="V445" s="1086"/>
      <c r="W445" s="1086"/>
      <c r="X445" s="1086"/>
      <c r="Y445" s="1086"/>
      <c r="Z445" s="1086"/>
      <c r="AA445" s="1086"/>
      <c r="AB445" s="1086"/>
    </row>
    <row r="446">
      <c r="A446" s="1100"/>
      <c r="B446" s="1086"/>
      <c r="C446" s="1086"/>
      <c r="D446" s="1086"/>
      <c r="E446" s="1086"/>
      <c r="F446" s="1086"/>
      <c r="G446" s="1086"/>
      <c r="H446" s="1086"/>
      <c r="I446" s="1086"/>
      <c r="J446" s="1086"/>
      <c r="K446" s="1086"/>
      <c r="L446" s="1086"/>
      <c r="M446" s="1086"/>
      <c r="N446" s="1086"/>
      <c r="O446" s="1086"/>
      <c r="P446" s="1086"/>
      <c r="Q446" s="1086"/>
      <c r="R446" s="1086"/>
      <c r="S446" s="1086"/>
      <c r="T446" s="1086"/>
      <c r="U446" s="1086"/>
      <c r="V446" s="1086"/>
      <c r="W446" s="1086"/>
      <c r="X446" s="1086"/>
      <c r="Y446" s="1086"/>
      <c r="Z446" s="1086"/>
      <c r="AA446" s="1086"/>
      <c r="AB446" s="1086"/>
    </row>
    <row r="447">
      <c r="A447" s="1100"/>
      <c r="B447" s="1086"/>
      <c r="C447" s="1086"/>
      <c r="D447" s="1086"/>
      <c r="E447" s="1086"/>
      <c r="F447" s="1086"/>
      <c r="G447" s="1086"/>
      <c r="H447" s="1086"/>
      <c r="I447" s="1086"/>
      <c r="J447" s="1086"/>
      <c r="K447" s="1086"/>
      <c r="L447" s="1086"/>
      <c r="M447" s="1086"/>
      <c r="N447" s="1086"/>
      <c r="O447" s="1086"/>
      <c r="P447" s="1086"/>
      <c r="Q447" s="1086"/>
      <c r="R447" s="1086"/>
      <c r="S447" s="1086"/>
      <c r="T447" s="1086"/>
      <c r="U447" s="1086"/>
      <c r="V447" s="1086"/>
      <c r="W447" s="1086"/>
      <c r="X447" s="1086"/>
      <c r="Y447" s="1086"/>
      <c r="Z447" s="1086"/>
      <c r="AA447" s="1086"/>
      <c r="AB447" s="1086"/>
    </row>
    <row r="448">
      <c r="A448" s="1100"/>
      <c r="B448" s="1086"/>
      <c r="C448" s="1086"/>
      <c r="D448" s="1086"/>
      <c r="E448" s="1086"/>
      <c r="F448" s="1086"/>
      <c r="G448" s="1086"/>
      <c r="H448" s="1086"/>
      <c r="I448" s="1086"/>
      <c r="J448" s="1086"/>
      <c r="K448" s="1086"/>
      <c r="L448" s="1086"/>
      <c r="M448" s="1086"/>
      <c r="N448" s="1086"/>
      <c r="O448" s="1086"/>
      <c r="P448" s="1086"/>
      <c r="Q448" s="1086"/>
      <c r="R448" s="1086"/>
      <c r="S448" s="1086"/>
      <c r="T448" s="1086"/>
      <c r="U448" s="1086"/>
      <c r="V448" s="1086"/>
      <c r="W448" s="1086"/>
      <c r="X448" s="1086"/>
      <c r="Y448" s="1086"/>
      <c r="Z448" s="1086"/>
      <c r="AA448" s="1086"/>
      <c r="AB448" s="1086"/>
    </row>
    <row r="449">
      <c r="A449" s="1100"/>
      <c r="B449" s="1086"/>
      <c r="C449" s="1086"/>
      <c r="D449" s="1086"/>
      <c r="E449" s="1086"/>
      <c r="F449" s="1086"/>
      <c r="G449" s="1086"/>
      <c r="H449" s="1086"/>
      <c r="I449" s="1086"/>
      <c r="J449" s="1086"/>
      <c r="K449" s="1086"/>
      <c r="L449" s="1086"/>
      <c r="M449" s="1086"/>
      <c r="N449" s="1086"/>
      <c r="O449" s="1086"/>
      <c r="P449" s="1086"/>
      <c r="Q449" s="1086"/>
      <c r="R449" s="1086"/>
      <c r="S449" s="1086"/>
      <c r="T449" s="1086"/>
      <c r="U449" s="1086"/>
      <c r="V449" s="1086"/>
      <c r="W449" s="1086"/>
      <c r="X449" s="1086"/>
      <c r="Y449" s="1086"/>
      <c r="Z449" s="1086"/>
      <c r="AA449" s="1086"/>
      <c r="AB449" s="1086"/>
    </row>
    <row r="450">
      <c r="A450" s="1100"/>
      <c r="B450" s="1086"/>
      <c r="C450" s="1086"/>
      <c r="D450" s="1086"/>
      <c r="E450" s="1086"/>
      <c r="F450" s="1086"/>
      <c r="G450" s="1086"/>
      <c r="H450" s="1086"/>
      <c r="I450" s="1086"/>
      <c r="J450" s="1086"/>
      <c r="K450" s="1086"/>
      <c r="L450" s="1086"/>
      <c r="M450" s="1086"/>
      <c r="N450" s="1086"/>
      <c r="O450" s="1086"/>
      <c r="P450" s="1086"/>
      <c r="Q450" s="1086"/>
      <c r="R450" s="1086"/>
      <c r="S450" s="1086"/>
      <c r="T450" s="1086"/>
      <c r="U450" s="1086"/>
      <c r="V450" s="1086"/>
      <c r="W450" s="1086"/>
      <c r="X450" s="1086"/>
      <c r="Y450" s="1086"/>
      <c r="Z450" s="1086"/>
      <c r="AA450" s="1086"/>
      <c r="AB450" s="1086"/>
    </row>
    <row r="451">
      <c r="A451" s="1100"/>
      <c r="B451" s="1086"/>
      <c r="C451" s="1086"/>
      <c r="D451" s="1086"/>
      <c r="E451" s="1086"/>
      <c r="F451" s="1086"/>
      <c r="G451" s="1086"/>
      <c r="H451" s="1086"/>
      <c r="I451" s="1086"/>
      <c r="J451" s="1086"/>
      <c r="K451" s="1086"/>
      <c r="L451" s="1086"/>
      <c r="M451" s="1086"/>
      <c r="N451" s="1086"/>
      <c r="O451" s="1086"/>
      <c r="P451" s="1086"/>
      <c r="Q451" s="1086"/>
      <c r="R451" s="1086"/>
      <c r="S451" s="1086"/>
      <c r="T451" s="1086"/>
      <c r="U451" s="1086"/>
      <c r="V451" s="1086"/>
      <c r="W451" s="1086"/>
      <c r="X451" s="1086"/>
      <c r="Y451" s="1086"/>
      <c r="Z451" s="1086"/>
      <c r="AA451" s="1086"/>
      <c r="AB451" s="1086"/>
    </row>
    <row r="452">
      <c r="A452" s="1100"/>
      <c r="B452" s="1086"/>
      <c r="C452" s="1086"/>
      <c r="D452" s="1086"/>
      <c r="E452" s="1086"/>
      <c r="F452" s="1086"/>
      <c r="G452" s="1086"/>
      <c r="H452" s="1086"/>
      <c r="I452" s="1086"/>
      <c r="J452" s="1086"/>
      <c r="K452" s="1086"/>
      <c r="L452" s="1086"/>
      <c r="M452" s="1086"/>
      <c r="N452" s="1086"/>
      <c r="O452" s="1086"/>
      <c r="P452" s="1086"/>
      <c r="Q452" s="1086"/>
      <c r="R452" s="1086"/>
      <c r="S452" s="1086"/>
      <c r="T452" s="1086"/>
      <c r="U452" s="1086"/>
      <c r="V452" s="1086"/>
      <c r="W452" s="1086"/>
      <c r="X452" s="1086"/>
      <c r="Y452" s="1086"/>
      <c r="Z452" s="1086"/>
      <c r="AA452" s="1086"/>
      <c r="AB452" s="1086"/>
    </row>
    <row r="453">
      <c r="A453" s="1100"/>
      <c r="B453" s="1086"/>
      <c r="C453" s="1086"/>
      <c r="D453" s="1086"/>
      <c r="E453" s="1086"/>
      <c r="F453" s="1086"/>
      <c r="G453" s="1086"/>
      <c r="H453" s="1086"/>
      <c r="I453" s="1086"/>
      <c r="J453" s="1086"/>
      <c r="K453" s="1086"/>
      <c r="L453" s="1086"/>
      <c r="M453" s="1086"/>
      <c r="N453" s="1086"/>
      <c r="O453" s="1086"/>
      <c r="P453" s="1086"/>
      <c r="Q453" s="1086"/>
      <c r="R453" s="1086"/>
      <c r="S453" s="1086"/>
      <c r="T453" s="1086"/>
      <c r="U453" s="1086"/>
      <c r="V453" s="1086"/>
      <c r="W453" s="1086"/>
      <c r="X453" s="1086"/>
      <c r="Y453" s="1086"/>
      <c r="Z453" s="1086"/>
      <c r="AA453" s="1086"/>
      <c r="AB453" s="1086"/>
    </row>
    <row r="454">
      <c r="A454" s="1100"/>
      <c r="B454" s="1086"/>
      <c r="C454" s="1086"/>
      <c r="D454" s="1086"/>
      <c r="E454" s="1086"/>
      <c r="F454" s="1086"/>
      <c r="G454" s="1086"/>
      <c r="H454" s="1086"/>
      <c r="I454" s="1086"/>
      <c r="J454" s="1086"/>
      <c r="K454" s="1086"/>
      <c r="L454" s="1086"/>
      <c r="M454" s="1086"/>
      <c r="N454" s="1086"/>
      <c r="O454" s="1086"/>
      <c r="P454" s="1086"/>
      <c r="Q454" s="1086"/>
      <c r="R454" s="1086"/>
      <c r="S454" s="1086"/>
      <c r="T454" s="1086"/>
      <c r="U454" s="1086"/>
      <c r="V454" s="1086"/>
      <c r="W454" s="1086"/>
      <c r="X454" s="1086"/>
      <c r="Y454" s="1086"/>
      <c r="Z454" s="1086"/>
      <c r="AA454" s="1086"/>
      <c r="AB454" s="1086"/>
    </row>
    <row r="455">
      <c r="A455" s="1100"/>
      <c r="B455" s="1086"/>
      <c r="C455" s="1086"/>
      <c r="D455" s="1086"/>
      <c r="E455" s="1086"/>
      <c r="F455" s="1086"/>
      <c r="G455" s="1086"/>
      <c r="H455" s="1086"/>
      <c r="I455" s="1086"/>
      <c r="J455" s="1086"/>
      <c r="K455" s="1086"/>
      <c r="L455" s="1086"/>
      <c r="M455" s="1086"/>
      <c r="N455" s="1086"/>
      <c r="O455" s="1086"/>
      <c r="P455" s="1086"/>
      <c r="Q455" s="1086"/>
      <c r="R455" s="1086"/>
      <c r="S455" s="1086"/>
      <c r="T455" s="1086"/>
      <c r="U455" s="1086"/>
      <c r="V455" s="1086"/>
      <c r="W455" s="1086"/>
      <c r="X455" s="1086"/>
      <c r="Y455" s="1086"/>
      <c r="Z455" s="1086"/>
      <c r="AA455" s="1086"/>
      <c r="AB455" s="1086"/>
    </row>
    <row r="456">
      <c r="A456" s="1100"/>
      <c r="B456" s="1086"/>
      <c r="C456" s="1086"/>
      <c r="D456" s="1086"/>
      <c r="E456" s="1086"/>
      <c r="F456" s="1086"/>
      <c r="G456" s="1086"/>
      <c r="H456" s="1086"/>
      <c r="I456" s="1086"/>
      <c r="J456" s="1086"/>
      <c r="K456" s="1086"/>
      <c r="L456" s="1086"/>
      <c r="M456" s="1086"/>
      <c r="N456" s="1086"/>
      <c r="O456" s="1086"/>
      <c r="P456" s="1086"/>
      <c r="Q456" s="1086"/>
      <c r="R456" s="1086"/>
      <c r="S456" s="1086"/>
      <c r="T456" s="1086"/>
      <c r="U456" s="1086"/>
      <c r="V456" s="1086"/>
      <c r="W456" s="1086"/>
      <c r="X456" s="1086"/>
      <c r="Y456" s="1086"/>
      <c r="Z456" s="1086"/>
      <c r="AA456" s="1086"/>
      <c r="AB456" s="1086"/>
    </row>
    <row r="457">
      <c r="A457" s="1100"/>
      <c r="B457" s="1086"/>
      <c r="C457" s="1086"/>
      <c r="D457" s="1086"/>
      <c r="E457" s="1086"/>
      <c r="F457" s="1086"/>
      <c r="G457" s="1086"/>
      <c r="H457" s="1086"/>
      <c r="I457" s="1086"/>
      <c r="J457" s="1086"/>
      <c r="K457" s="1086"/>
      <c r="L457" s="1086"/>
      <c r="M457" s="1086"/>
      <c r="N457" s="1086"/>
      <c r="O457" s="1086"/>
      <c r="P457" s="1086"/>
      <c r="Q457" s="1086"/>
      <c r="R457" s="1086"/>
      <c r="S457" s="1086"/>
      <c r="T457" s="1086"/>
      <c r="U457" s="1086"/>
      <c r="V457" s="1086"/>
      <c r="W457" s="1086"/>
      <c r="X457" s="1086"/>
      <c r="Y457" s="1086"/>
      <c r="Z457" s="1086"/>
      <c r="AA457" s="1086"/>
      <c r="AB457" s="1086"/>
    </row>
    <row r="458">
      <c r="A458" s="1100"/>
      <c r="B458" s="1086"/>
      <c r="C458" s="1086"/>
      <c r="D458" s="1086"/>
      <c r="E458" s="1086"/>
      <c r="F458" s="1086"/>
      <c r="G458" s="1086"/>
      <c r="H458" s="1086"/>
      <c r="I458" s="1086"/>
      <c r="J458" s="1086"/>
      <c r="K458" s="1086"/>
      <c r="L458" s="1086"/>
      <c r="M458" s="1086"/>
      <c r="N458" s="1086"/>
      <c r="O458" s="1086"/>
      <c r="P458" s="1086"/>
      <c r="Q458" s="1086"/>
      <c r="R458" s="1086"/>
      <c r="S458" s="1086"/>
      <c r="T458" s="1086"/>
      <c r="U458" s="1086"/>
      <c r="V458" s="1086"/>
      <c r="W458" s="1086"/>
      <c r="X458" s="1086"/>
      <c r="Y458" s="1086"/>
      <c r="Z458" s="1086"/>
      <c r="AA458" s="1086"/>
      <c r="AB458" s="1086"/>
    </row>
    <row r="459">
      <c r="A459" s="1100"/>
      <c r="B459" s="1086"/>
      <c r="C459" s="1086"/>
      <c r="D459" s="1086"/>
      <c r="E459" s="1086"/>
      <c r="F459" s="1086"/>
      <c r="G459" s="1086"/>
      <c r="H459" s="1086"/>
      <c r="I459" s="1086"/>
      <c r="J459" s="1086"/>
      <c r="K459" s="1086"/>
      <c r="L459" s="1086"/>
      <c r="M459" s="1086"/>
      <c r="N459" s="1086"/>
      <c r="O459" s="1086"/>
      <c r="P459" s="1086"/>
      <c r="Q459" s="1086"/>
      <c r="R459" s="1086"/>
      <c r="S459" s="1086"/>
      <c r="T459" s="1086"/>
      <c r="U459" s="1086"/>
      <c r="V459" s="1086"/>
      <c r="W459" s="1086"/>
      <c r="X459" s="1086"/>
      <c r="Y459" s="1086"/>
      <c r="Z459" s="1086"/>
      <c r="AA459" s="1086"/>
      <c r="AB459" s="1086"/>
    </row>
    <row r="460">
      <c r="A460" s="1100"/>
      <c r="B460" s="1086"/>
      <c r="C460" s="1086"/>
      <c r="D460" s="1086"/>
      <c r="E460" s="1086"/>
      <c r="F460" s="1086"/>
      <c r="G460" s="1086"/>
      <c r="H460" s="1086"/>
      <c r="I460" s="1086"/>
      <c r="J460" s="1086"/>
      <c r="K460" s="1086"/>
      <c r="L460" s="1086"/>
      <c r="M460" s="1086"/>
      <c r="N460" s="1086"/>
      <c r="O460" s="1086"/>
      <c r="P460" s="1086"/>
      <c r="Q460" s="1086"/>
      <c r="R460" s="1086"/>
      <c r="S460" s="1086"/>
      <c r="T460" s="1086"/>
      <c r="U460" s="1086"/>
      <c r="V460" s="1086"/>
      <c r="W460" s="1086"/>
      <c r="X460" s="1086"/>
      <c r="Y460" s="1086"/>
      <c r="Z460" s="1086"/>
      <c r="AA460" s="1086"/>
      <c r="AB460" s="1086"/>
    </row>
    <row r="461">
      <c r="A461" s="1100"/>
      <c r="B461" s="1086"/>
      <c r="C461" s="1086"/>
      <c r="D461" s="1086"/>
      <c r="E461" s="1086"/>
      <c r="F461" s="1086"/>
      <c r="G461" s="1086"/>
      <c r="H461" s="1086"/>
      <c r="I461" s="1086"/>
      <c r="J461" s="1086"/>
      <c r="K461" s="1086"/>
      <c r="L461" s="1086"/>
      <c r="M461" s="1086"/>
      <c r="N461" s="1086"/>
      <c r="O461" s="1086"/>
      <c r="P461" s="1086"/>
      <c r="Q461" s="1086"/>
      <c r="R461" s="1086"/>
      <c r="S461" s="1086"/>
      <c r="T461" s="1086"/>
      <c r="U461" s="1086"/>
      <c r="V461" s="1086"/>
      <c r="W461" s="1086"/>
      <c r="X461" s="1086"/>
      <c r="Y461" s="1086"/>
      <c r="Z461" s="1086"/>
      <c r="AA461" s="1086"/>
      <c r="AB461" s="1086"/>
    </row>
    <row r="462">
      <c r="A462" s="1100"/>
      <c r="B462" s="1086"/>
      <c r="C462" s="1086"/>
      <c r="D462" s="1086"/>
      <c r="E462" s="1086"/>
      <c r="F462" s="1086"/>
      <c r="G462" s="1086"/>
      <c r="H462" s="1086"/>
      <c r="I462" s="1086"/>
      <c r="J462" s="1086"/>
      <c r="K462" s="1086"/>
      <c r="L462" s="1086"/>
      <c r="M462" s="1086"/>
      <c r="N462" s="1086"/>
      <c r="O462" s="1086"/>
      <c r="P462" s="1086"/>
      <c r="Q462" s="1086"/>
      <c r="R462" s="1086"/>
      <c r="S462" s="1086"/>
      <c r="T462" s="1086"/>
      <c r="U462" s="1086"/>
      <c r="V462" s="1086"/>
      <c r="W462" s="1086"/>
      <c r="X462" s="1086"/>
      <c r="Y462" s="1086"/>
      <c r="Z462" s="1086"/>
      <c r="AA462" s="1086"/>
      <c r="AB462" s="1086"/>
    </row>
    <row r="463">
      <c r="A463" s="1100"/>
      <c r="B463" s="1086"/>
      <c r="C463" s="1086"/>
      <c r="D463" s="1086"/>
      <c r="E463" s="1086"/>
      <c r="F463" s="1086"/>
      <c r="G463" s="1086"/>
      <c r="H463" s="1086"/>
      <c r="I463" s="1086"/>
      <c r="J463" s="1086"/>
      <c r="K463" s="1086"/>
      <c r="L463" s="1086"/>
      <c r="M463" s="1086"/>
      <c r="N463" s="1086"/>
      <c r="O463" s="1086"/>
      <c r="P463" s="1086"/>
      <c r="Q463" s="1086"/>
      <c r="R463" s="1086"/>
      <c r="S463" s="1086"/>
      <c r="T463" s="1086"/>
      <c r="U463" s="1086"/>
      <c r="V463" s="1086"/>
      <c r="W463" s="1086"/>
      <c r="X463" s="1086"/>
      <c r="Y463" s="1086"/>
      <c r="Z463" s="1086"/>
      <c r="AA463" s="1086"/>
      <c r="AB463" s="1086"/>
    </row>
    <row r="464">
      <c r="A464" s="1100"/>
      <c r="B464" s="1086"/>
      <c r="C464" s="1086"/>
      <c r="D464" s="1086"/>
      <c r="E464" s="1086"/>
      <c r="F464" s="1086"/>
      <c r="G464" s="1086"/>
      <c r="H464" s="1086"/>
      <c r="I464" s="1086"/>
      <c r="J464" s="1086"/>
      <c r="K464" s="1086"/>
      <c r="L464" s="1086"/>
      <c r="M464" s="1086"/>
      <c r="N464" s="1086"/>
      <c r="O464" s="1086"/>
      <c r="P464" s="1086"/>
      <c r="Q464" s="1086"/>
      <c r="R464" s="1086"/>
      <c r="S464" s="1086"/>
      <c r="T464" s="1086"/>
      <c r="U464" s="1086"/>
      <c r="V464" s="1086"/>
      <c r="W464" s="1086"/>
      <c r="X464" s="1086"/>
      <c r="Y464" s="1086"/>
      <c r="Z464" s="1086"/>
      <c r="AA464" s="1086"/>
      <c r="AB464" s="1086"/>
    </row>
    <row r="465">
      <c r="A465" s="1100"/>
      <c r="B465" s="1086"/>
      <c r="C465" s="1086"/>
      <c r="D465" s="1086"/>
      <c r="E465" s="1086"/>
      <c r="F465" s="1086"/>
      <c r="G465" s="1086"/>
      <c r="H465" s="1086"/>
      <c r="I465" s="1086"/>
      <c r="J465" s="1086"/>
      <c r="K465" s="1086"/>
      <c r="L465" s="1086"/>
      <c r="M465" s="1086"/>
      <c r="N465" s="1086"/>
      <c r="O465" s="1086"/>
      <c r="P465" s="1086"/>
      <c r="Q465" s="1086"/>
      <c r="R465" s="1086"/>
      <c r="S465" s="1086"/>
      <c r="T465" s="1086"/>
      <c r="U465" s="1086"/>
      <c r="V465" s="1086"/>
      <c r="W465" s="1086"/>
      <c r="X465" s="1086"/>
      <c r="Y465" s="1086"/>
      <c r="Z465" s="1086"/>
      <c r="AA465" s="1086"/>
      <c r="AB465" s="1086"/>
    </row>
    <row r="466">
      <c r="A466" s="1100"/>
      <c r="B466" s="1086"/>
      <c r="C466" s="1086"/>
      <c r="D466" s="1086"/>
      <c r="E466" s="1086"/>
      <c r="F466" s="1086"/>
      <c r="G466" s="1086"/>
      <c r="H466" s="1086"/>
      <c r="I466" s="1086"/>
      <c r="J466" s="1086"/>
      <c r="K466" s="1086"/>
      <c r="L466" s="1086"/>
      <c r="M466" s="1086"/>
      <c r="N466" s="1086"/>
      <c r="O466" s="1086"/>
      <c r="P466" s="1086"/>
      <c r="Q466" s="1086"/>
      <c r="R466" s="1086"/>
      <c r="S466" s="1086"/>
      <c r="T466" s="1086"/>
      <c r="U466" s="1086"/>
      <c r="V466" s="1086"/>
      <c r="W466" s="1086"/>
      <c r="X466" s="1086"/>
      <c r="Y466" s="1086"/>
      <c r="Z466" s="1086"/>
      <c r="AA466" s="1086"/>
      <c r="AB466" s="1086"/>
    </row>
    <row r="467">
      <c r="A467" s="1100"/>
      <c r="B467" s="1086"/>
      <c r="C467" s="1086"/>
      <c r="D467" s="1086"/>
      <c r="E467" s="1086"/>
      <c r="F467" s="1086"/>
      <c r="G467" s="1086"/>
      <c r="H467" s="1086"/>
      <c r="I467" s="1086"/>
      <c r="J467" s="1086"/>
      <c r="K467" s="1086"/>
      <c r="L467" s="1086"/>
      <c r="M467" s="1086"/>
      <c r="N467" s="1086"/>
      <c r="O467" s="1086"/>
      <c r="P467" s="1086"/>
      <c r="Q467" s="1086"/>
      <c r="R467" s="1086"/>
      <c r="S467" s="1086"/>
      <c r="T467" s="1086"/>
      <c r="U467" s="1086"/>
      <c r="V467" s="1086"/>
      <c r="W467" s="1086"/>
      <c r="X467" s="1086"/>
      <c r="Y467" s="1086"/>
      <c r="Z467" s="1086"/>
      <c r="AA467" s="1086"/>
      <c r="AB467" s="1086"/>
    </row>
    <row r="468">
      <c r="A468" s="1100"/>
      <c r="B468" s="1086"/>
      <c r="C468" s="1086"/>
      <c r="D468" s="1086"/>
      <c r="E468" s="1086"/>
      <c r="F468" s="1086"/>
      <c r="G468" s="1086"/>
      <c r="H468" s="1086"/>
      <c r="I468" s="1086"/>
      <c r="J468" s="1086"/>
      <c r="K468" s="1086"/>
      <c r="L468" s="1086"/>
      <c r="M468" s="1086"/>
      <c r="N468" s="1086"/>
      <c r="O468" s="1086"/>
      <c r="P468" s="1086"/>
      <c r="Q468" s="1086"/>
      <c r="R468" s="1086"/>
      <c r="S468" s="1086"/>
      <c r="T468" s="1086"/>
      <c r="U468" s="1086"/>
      <c r="V468" s="1086"/>
      <c r="W468" s="1086"/>
      <c r="X468" s="1086"/>
      <c r="Y468" s="1086"/>
      <c r="Z468" s="1086"/>
      <c r="AA468" s="1086"/>
      <c r="AB468" s="1086"/>
    </row>
    <row r="469">
      <c r="A469" s="1100"/>
      <c r="B469" s="1086"/>
      <c r="C469" s="1086"/>
      <c r="D469" s="1086"/>
      <c r="E469" s="1086"/>
      <c r="F469" s="1086"/>
      <c r="G469" s="1086"/>
      <c r="H469" s="1086"/>
      <c r="I469" s="1086"/>
      <c r="J469" s="1086"/>
      <c r="K469" s="1086"/>
      <c r="L469" s="1086"/>
      <c r="M469" s="1086"/>
      <c r="N469" s="1086"/>
      <c r="O469" s="1086"/>
      <c r="P469" s="1086"/>
      <c r="Q469" s="1086"/>
      <c r="R469" s="1086"/>
      <c r="S469" s="1086"/>
      <c r="T469" s="1086"/>
      <c r="U469" s="1086"/>
      <c r="V469" s="1086"/>
      <c r="W469" s="1086"/>
      <c r="X469" s="1086"/>
      <c r="Y469" s="1086"/>
      <c r="Z469" s="1086"/>
      <c r="AA469" s="1086"/>
      <c r="AB469" s="1086"/>
    </row>
    <row r="470">
      <c r="A470" s="1100"/>
      <c r="B470" s="1086"/>
      <c r="C470" s="1086"/>
      <c r="D470" s="1086"/>
      <c r="E470" s="1086"/>
      <c r="F470" s="1086"/>
      <c r="G470" s="1086"/>
      <c r="H470" s="1086"/>
      <c r="I470" s="1086"/>
      <c r="J470" s="1086"/>
      <c r="K470" s="1086"/>
      <c r="L470" s="1086"/>
      <c r="M470" s="1086"/>
      <c r="N470" s="1086"/>
      <c r="O470" s="1086"/>
      <c r="P470" s="1086"/>
      <c r="Q470" s="1086"/>
      <c r="R470" s="1086"/>
      <c r="S470" s="1086"/>
      <c r="T470" s="1086"/>
      <c r="U470" s="1086"/>
      <c r="V470" s="1086"/>
      <c r="W470" s="1086"/>
      <c r="X470" s="1086"/>
      <c r="Y470" s="1086"/>
      <c r="Z470" s="1086"/>
      <c r="AA470" s="1086"/>
      <c r="AB470" s="1086"/>
    </row>
    <row r="471">
      <c r="A471" s="1100"/>
      <c r="B471" s="1086"/>
      <c r="C471" s="1086"/>
      <c r="D471" s="1086"/>
      <c r="E471" s="1086"/>
      <c r="F471" s="1086"/>
      <c r="G471" s="1086"/>
      <c r="H471" s="1086"/>
      <c r="I471" s="1086"/>
      <c r="J471" s="1086"/>
      <c r="K471" s="1086"/>
      <c r="L471" s="1086"/>
      <c r="M471" s="1086"/>
      <c r="N471" s="1086"/>
      <c r="O471" s="1086"/>
      <c r="P471" s="1086"/>
      <c r="Q471" s="1086"/>
      <c r="R471" s="1086"/>
      <c r="S471" s="1086"/>
      <c r="T471" s="1086"/>
      <c r="U471" s="1086"/>
      <c r="V471" s="1086"/>
      <c r="W471" s="1086"/>
      <c r="X471" s="1086"/>
      <c r="Y471" s="1086"/>
      <c r="Z471" s="1086"/>
      <c r="AA471" s="1086"/>
      <c r="AB471" s="1086"/>
    </row>
    <row r="472">
      <c r="A472" s="1100"/>
      <c r="B472" s="1086"/>
      <c r="C472" s="1086"/>
      <c r="D472" s="1086"/>
      <c r="E472" s="1086"/>
      <c r="F472" s="1086"/>
      <c r="G472" s="1086"/>
      <c r="H472" s="1086"/>
      <c r="I472" s="1086"/>
      <c r="J472" s="1086"/>
      <c r="K472" s="1086"/>
      <c r="L472" s="1086"/>
      <c r="M472" s="1086"/>
      <c r="N472" s="1086"/>
      <c r="O472" s="1086"/>
      <c r="P472" s="1086"/>
      <c r="Q472" s="1086"/>
      <c r="R472" s="1086"/>
      <c r="S472" s="1086"/>
      <c r="T472" s="1086"/>
      <c r="U472" s="1086"/>
      <c r="V472" s="1086"/>
      <c r="W472" s="1086"/>
      <c r="X472" s="1086"/>
      <c r="Y472" s="1086"/>
      <c r="Z472" s="1086"/>
      <c r="AA472" s="1086"/>
      <c r="AB472" s="1086"/>
    </row>
    <row r="473">
      <c r="A473" s="1100"/>
      <c r="B473" s="1086"/>
      <c r="C473" s="1086"/>
      <c r="D473" s="1086"/>
      <c r="E473" s="1086"/>
      <c r="F473" s="1086"/>
      <c r="G473" s="1086"/>
      <c r="H473" s="1086"/>
      <c r="I473" s="1086"/>
      <c r="J473" s="1086"/>
      <c r="K473" s="1086"/>
      <c r="L473" s="1086"/>
      <c r="M473" s="1086"/>
      <c r="N473" s="1086"/>
      <c r="O473" s="1086"/>
      <c r="P473" s="1086"/>
      <c r="Q473" s="1086"/>
      <c r="R473" s="1086"/>
      <c r="S473" s="1086"/>
      <c r="T473" s="1086"/>
      <c r="U473" s="1086"/>
      <c r="V473" s="1086"/>
      <c r="W473" s="1086"/>
      <c r="X473" s="1086"/>
      <c r="Y473" s="1086"/>
      <c r="Z473" s="1086"/>
      <c r="AA473" s="1086"/>
      <c r="AB473" s="1086"/>
    </row>
    <row r="474">
      <c r="A474" s="1100"/>
      <c r="B474" s="1086"/>
      <c r="C474" s="1086"/>
      <c r="D474" s="1086"/>
      <c r="E474" s="1086"/>
      <c r="F474" s="1086"/>
      <c r="G474" s="1086"/>
      <c r="H474" s="1086"/>
      <c r="I474" s="1086"/>
      <c r="J474" s="1086"/>
      <c r="K474" s="1086"/>
      <c r="L474" s="1086"/>
      <c r="M474" s="1086"/>
      <c r="N474" s="1086"/>
      <c r="O474" s="1086"/>
      <c r="P474" s="1086"/>
      <c r="Q474" s="1086"/>
      <c r="R474" s="1086"/>
      <c r="S474" s="1086"/>
      <c r="T474" s="1086"/>
      <c r="U474" s="1086"/>
      <c r="V474" s="1086"/>
      <c r="W474" s="1086"/>
      <c r="X474" s="1086"/>
      <c r="Y474" s="1086"/>
      <c r="Z474" s="1086"/>
      <c r="AA474" s="1086"/>
      <c r="AB474" s="1086"/>
    </row>
    <row r="475">
      <c r="A475" s="1100"/>
      <c r="B475" s="1086"/>
      <c r="C475" s="1086"/>
      <c r="D475" s="1086"/>
      <c r="E475" s="1086"/>
      <c r="F475" s="1086"/>
      <c r="G475" s="1086"/>
      <c r="H475" s="1086"/>
      <c r="I475" s="1086"/>
      <c r="J475" s="1086"/>
      <c r="K475" s="1086"/>
      <c r="L475" s="1086"/>
      <c r="M475" s="1086"/>
      <c r="N475" s="1086"/>
      <c r="O475" s="1086"/>
      <c r="P475" s="1086"/>
      <c r="Q475" s="1086"/>
      <c r="R475" s="1086"/>
      <c r="S475" s="1086"/>
      <c r="T475" s="1086"/>
      <c r="U475" s="1086"/>
      <c r="V475" s="1086"/>
      <c r="W475" s="1086"/>
      <c r="X475" s="1086"/>
      <c r="Y475" s="1086"/>
      <c r="Z475" s="1086"/>
      <c r="AA475" s="1086"/>
      <c r="AB475" s="1086"/>
    </row>
    <row r="476">
      <c r="A476" s="1100"/>
      <c r="B476" s="1086"/>
      <c r="C476" s="1086"/>
      <c r="D476" s="1086"/>
      <c r="E476" s="1086"/>
      <c r="F476" s="1086"/>
      <c r="G476" s="1086"/>
      <c r="H476" s="1086"/>
      <c r="I476" s="1086"/>
      <c r="J476" s="1086"/>
      <c r="K476" s="1086"/>
      <c r="L476" s="1086"/>
      <c r="M476" s="1086"/>
      <c r="N476" s="1086"/>
      <c r="O476" s="1086"/>
      <c r="P476" s="1086"/>
      <c r="Q476" s="1086"/>
      <c r="R476" s="1086"/>
      <c r="S476" s="1086"/>
      <c r="T476" s="1086"/>
      <c r="U476" s="1086"/>
      <c r="V476" s="1086"/>
      <c r="W476" s="1086"/>
      <c r="X476" s="1086"/>
      <c r="Y476" s="1086"/>
      <c r="Z476" s="1086"/>
      <c r="AA476" s="1086"/>
      <c r="AB476" s="1086"/>
    </row>
    <row r="477">
      <c r="A477" s="1100"/>
      <c r="B477" s="1086"/>
      <c r="C477" s="1086"/>
      <c r="D477" s="1086"/>
      <c r="E477" s="1086"/>
      <c r="F477" s="1086"/>
      <c r="G477" s="1086"/>
      <c r="H477" s="1086"/>
      <c r="I477" s="1086"/>
      <c r="J477" s="1086"/>
      <c r="K477" s="1086"/>
      <c r="L477" s="1086"/>
      <c r="M477" s="1086"/>
      <c r="N477" s="1086"/>
      <c r="O477" s="1086"/>
      <c r="P477" s="1086"/>
      <c r="Q477" s="1086"/>
      <c r="R477" s="1086"/>
      <c r="S477" s="1086"/>
      <c r="T477" s="1086"/>
      <c r="U477" s="1086"/>
      <c r="V477" s="1086"/>
      <c r="W477" s="1086"/>
      <c r="X477" s="1086"/>
      <c r="Y477" s="1086"/>
      <c r="Z477" s="1086"/>
      <c r="AA477" s="1086"/>
      <c r="AB477" s="1086"/>
    </row>
    <row r="478">
      <c r="A478" s="1100"/>
      <c r="B478" s="1086"/>
      <c r="C478" s="1086"/>
      <c r="D478" s="1086"/>
      <c r="E478" s="1086"/>
      <c r="F478" s="1086"/>
      <c r="G478" s="1086"/>
      <c r="H478" s="1086"/>
      <c r="I478" s="1086"/>
      <c r="J478" s="1086"/>
      <c r="K478" s="1086"/>
      <c r="L478" s="1086"/>
      <c r="M478" s="1086"/>
      <c r="N478" s="1086"/>
      <c r="O478" s="1086"/>
      <c r="P478" s="1086"/>
      <c r="Q478" s="1086"/>
      <c r="R478" s="1086"/>
      <c r="S478" s="1086"/>
      <c r="T478" s="1086"/>
      <c r="U478" s="1086"/>
      <c r="V478" s="1086"/>
      <c r="W478" s="1086"/>
      <c r="X478" s="1086"/>
      <c r="Y478" s="1086"/>
      <c r="Z478" s="1086"/>
      <c r="AA478" s="1086"/>
      <c r="AB478" s="1086"/>
    </row>
    <row r="479">
      <c r="A479" s="1100"/>
      <c r="B479" s="1086"/>
      <c r="C479" s="1086"/>
      <c r="D479" s="1086"/>
      <c r="E479" s="1086"/>
      <c r="F479" s="1086"/>
      <c r="G479" s="1086"/>
      <c r="H479" s="1086"/>
      <c r="I479" s="1086"/>
      <c r="J479" s="1086"/>
      <c r="K479" s="1086"/>
      <c r="L479" s="1086"/>
      <c r="M479" s="1086"/>
      <c r="N479" s="1086"/>
      <c r="O479" s="1086"/>
      <c r="P479" s="1086"/>
      <c r="Q479" s="1086"/>
      <c r="R479" s="1086"/>
      <c r="S479" s="1086"/>
      <c r="T479" s="1086"/>
      <c r="U479" s="1086"/>
      <c r="V479" s="1086"/>
      <c r="W479" s="1086"/>
      <c r="X479" s="1086"/>
      <c r="Y479" s="1086"/>
      <c r="Z479" s="1086"/>
      <c r="AA479" s="1086"/>
      <c r="AB479" s="1086"/>
    </row>
    <row r="480">
      <c r="A480" s="1100"/>
      <c r="B480" s="1086"/>
      <c r="C480" s="1086"/>
      <c r="D480" s="1086"/>
      <c r="E480" s="1086"/>
      <c r="F480" s="1086"/>
      <c r="G480" s="1086"/>
      <c r="H480" s="1086"/>
      <c r="I480" s="1086"/>
      <c r="J480" s="1086"/>
      <c r="K480" s="1086"/>
      <c r="L480" s="1086"/>
      <c r="M480" s="1086"/>
      <c r="N480" s="1086"/>
      <c r="O480" s="1086"/>
      <c r="P480" s="1086"/>
      <c r="Q480" s="1086"/>
      <c r="R480" s="1086"/>
      <c r="S480" s="1086"/>
      <c r="T480" s="1086"/>
      <c r="U480" s="1086"/>
      <c r="V480" s="1086"/>
      <c r="W480" s="1086"/>
      <c r="X480" s="1086"/>
      <c r="Y480" s="1086"/>
      <c r="Z480" s="1086"/>
      <c r="AA480" s="1086"/>
      <c r="AB480" s="1086"/>
    </row>
    <row r="481">
      <c r="A481" s="1100"/>
      <c r="B481" s="1086"/>
      <c r="C481" s="1086"/>
      <c r="D481" s="1086"/>
      <c r="E481" s="1086"/>
      <c r="F481" s="1086"/>
      <c r="G481" s="1086"/>
      <c r="H481" s="1086"/>
      <c r="I481" s="1086"/>
      <c r="J481" s="1086"/>
      <c r="K481" s="1086"/>
      <c r="L481" s="1086"/>
      <c r="M481" s="1086"/>
      <c r="N481" s="1086"/>
      <c r="O481" s="1086"/>
      <c r="P481" s="1086"/>
      <c r="Q481" s="1086"/>
      <c r="R481" s="1086"/>
      <c r="S481" s="1086"/>
      <c r="T481" s="1086"/>
      <c r="U481" s="1086"/>
      <c r="V481" s="1086"/>
      <c r="W481" s="1086"/>
      <c r="X481" s="1086"/>
      <c r="Y481" s="1086"/>
      <c r="Z481" s="1086"/>
      <c r="AA481" s="1086"/>
      <c r="AB481" s="1086"/>
    </row>
    <row r="482">
      <c r="A482" s="1100"/>
      <c r="B482" s="1086"/>
      <c r="C482" s="1086"/>
      <c r="D482" s="1086"/>
      <c r="E482" s="1086"/>
      <c r="F482" s="1086"/>
      <c r="G482" s="1086"/>
      <c r="H482" s="1086"/>
      <c r="I482" s="1086"/>
      <c r="J482" s="1086"/>
      <c r="K482" s="1086"/>
      <c r="L482" s="1086"/>
      <c r="M482" s="1086"/>
      <c r="N482" s="1086"/>
      <c r="O482" s="1086"/>
      <c r="P482" s="1086"/>
      <c r="Q482" s="1086"/>
      <c r="R482" s="1086"/>
      <c r="S482" s="1086"/>
      <c r="T482" s="1086"/>
      <c r="U482" s="1086"/>
      <c r="V482" s="1086"/>
      <c r="W482" s="1086"/>
      <c r="X482" s="1086"/>
      <c r="Y482" s="1086"/>
      <c r="Z482" s="1086"/>
      <c r="AA482" s="1086"/>
      <c r="AB482" s="1086"/>
    </row>
    <row r="483">
      <c r="A483" s="1100"/>
      <c r="B483" s="1086"/>
      <c r="C483" s="1086"/>
      <c r="D483" s="1086"/>
      <c r="E483" s="1086"/>
      <c r="F483" s="1086"/>
      <c r="G483" s="1086"/>
      <c r="H483" s="1086"/>
      <c r="I483" s="1086"/>
      <c r="J483" s="1086"/>
      <c r="K483" s="1086"/>
      <c r="L483" s="1086"/>
      <c r="M483" s="1086"/>
      <c r="N483" s="1086"/>
      <c r="O483" s="1086"/>
      <c r="P483" s="1086"/>
      <c r="Q483" s="1086"/>
      <c r="R483" s="1086"/>
      <c r="S483" s="1086"/>
      <c r="T483" s="1086"/>
      <c r="U483" s="1086"/>
      <c r="V483" s="1086"/>
      <c r="W483" s="1086"/>
      <c r="X483" s="1086"/>
      <c r="Y483" s="1086"/>
      <c r="Z483" s="1086"/>
      <c r="AA483" s="1086"/>
      <c r="AB483" s="1086"/>
    </row>
    <row r="484">
      <c r="A484" s="1100"/>
      <c r="B484" s="1086"/>
      <c r="C484" s="1086"/>
      <c r="D484" s="1086"/>
      <c r="E484" s="1086"/>
      <c r="F484" s="1086"/>
      <c r="G484" s="1086"/>
      <c r="H484" s="1086"/>
      <c r="I484" s="1086"/>
      <c r="J484" s="1086"/>
      <c r="K484" s="1086"/>
      <c r="L484" s="1086"/>
      <c r="M484" s="1086"/>
      <c r="N484" s="1086"/>
      <c r="O484" s="1086"/>
      <c r="P484" s="1086"/>
      <c r="Q484" s="1086"/>
      <c r="R484" s="1086"/>
      <c r="S484" s="1086"/>
      <c r="T484" s="1086"/>
      <c r="U484" s="1086"/>
      <c r="V484" s="1086"/>
      <c r="W484" s="1086"/>
      <c r="X484" s="1086"/>
      <c r="Y484" s="1086"/>
      <c r="Z484" s="1086"/>
      <c r="AA484" s="1086"/>
      <c r="AB484" s="1086"/>
    </row>
    <row r="485">
      <c r="A485" s="1100"/>
      <c r="B485" s="1086"/>
      <c r="C485" s="1086"/>
      <c r="D485" s="1086"/>
      <c r="E485" s="1086"/>
      <c r="F485" s="1086"/>
      <c r="G485" s="1086"/>
      <c r="H485" s="1086"/>
      <c r="I485" s="1086"/>
      <c r="J485" s="1086"/>
      <c r="K485" s="1086"/>
      <c r="L485" s="1086"/>
      <c r="M485" s="1086"/>
      <c r="N485" s="1086"/>
      <c r="O485" s="1086"/>
      <c r="P485" s="1086"/>
      <c r="Q485" s="1086"/>
      <c r="R485" s="1086"/>
      <c r="S485" s="1086"/>
      <c r="T485" s="1086"/>
      <c r="U485" s="1086"/>
      <c r="V485" s="1086"/>
      <c r="W485" s="1086"/>
      <c r="X485" s="1086"/>
      <c r="Y485" s="1086"/>
      <c r="Z485" s="1086"/>
      <c r="AA485" s="1086"/>
      <c r="AB485" s="1086"/>
    </row>
    <row r="486">
      <c r="A486" s="1100"/>
      <c r="B486" s="1086"/>
      <c r="C486" s="1086"/>
      <c r="D486" s="1086"/>
      <c r="E486" s="1086"/>
      <c r="F486" s="1086"/>
      <c r="G486" s="1086"/>
      <c r="H486" s="1086"/>
      <c r="I486" s="1086"/>
      <c r="J486" s="1086"/>
      <c r="K486" s="1086"/>
      <c r="L486" s="1086"/>
      <c r="M486" s="1086"/>
      <c r="N486" s="1086"/>
      <c r="O486" s="1086"/>
      <c r="P486" s="1086"/>
      <c r="Q486" s="1086"/>
      <c r="R486" s="1086"/>
      <c r="S486" s="1086"/>
      <c r="T486" s="1086"/>
      <c r="U486" s="1086"/>
      <c r="V486" s="1086"/>
      <c r="W486" s="1086"/>
      <c r="X486" s="1086"/>
      <c r="Y486" s="1086"/>
      <c r="Z486" s="1086"/>
      <c r="AA486" s="1086"/>
      <c r="AB486" s="1086"/>
    </row>
    <row r="487">
      <c r="A487" s="1100"/>
      <c r="B487" s="1086"/>
      <c r="C487" s="1086"/>
      <c r="D487" s="1086"/>
      <c r="E487" s="1086"/>
      <c r="F487" s="1086"/>
      <c r="G487" s="1086"/>
      <c r="H487" s="1086"/>
      <c r="I487" s="1086"/>
      <c r="J487" s="1086"/>
      <c r="K487" s="1086"/>
      <c r="L487" s="1086"/>
      <c r="M487" s="1086"/>
      <c r="N487" s="1086"/>
      <c r="O487" s="1086"/>
      <c r="P487" s="1086"/>
      <c r="Q487" s="1086"/>
      <c r="R487" s="1086"/>
      <c r="S487" s="1086"/>
      <c r="T487" s="1086"/>
      <c r="U487" s="1086"/>
      <c r="V487" s="1086"/>
      <c r="W487" s="1086"/>
      <c r="X487" s="1086"/>
      <c r="Y487" s="1086"/>
      <c r="Z487" s="1086"/>
      <c r="AA487" s="1086"/>
      <c r="AB487" s="1086"/>
    </row>
    <row r="488">
      <c r="A488" s="1100"/>
      <c r="B488" s="1086"/>
      <c r="C488" s="1086"/>
      <c r="D488" s="1086"/>
      <c r="E488" s="1086"/>
      <c r="F488" s="1086"/>
      <c r="G488" s="1086"/>
      <c r="H488" s="1086"/>
      <c r="I488" s="1086"/>
      <c r="J488" s="1086"/>
      <c r="K488" s="1086"/>
      <c r="L488" s="1086"/>
      <c r="M488" s="1086"/>
      <c r="N488" s="1086"/>
      <c r="O488" s="1086"/>
      <c r="P488" s="1086"/>
      <c r="Q488" s="1086"/>
      <c r="R488" s="1086"/>
      <c r="S488" s="1086"/>
      <c r="T488" s="1086"/>
      <c r="U488" s="1086"/>
      <c r="V488" s="1086"/>
      <c r="W488" s="1086"/>
      <c r="X488" s="1086"/>
      <c r="Y488" s="1086"/>
      <c r="Z488" s="1086"/>
      <c r="AA488" s="1086"/>
      <c r="AB488" s="1086"/>
    </row>
    <row r="489">
      <c r="A489" s="1100"/>
      <c r="B489" s="1086"/>
      <c r="C489" s="1086"/>
      <c r="D489" s="1086"/>
      <c r="E489" s="1086"/>
      <c r="F489" s="1086"/>
      <c r="G489" s="1086"/>
      <c r="H489" s="1086"/>
      <c r="I489" s="1086"/>
      <c r="J489" s="1086"/>
      <c r="K489" s="1086"/>
      <c r="L489" s="1086"/>
      <c r="M489" s="1086"/>
      <c r="N489" s="1086"/>
      <c r="O489" s="1086"/>
      <c r="P489" s="1086"/>
      <c r="Q489" s="1086"/>
      <c r="R489" s="1086"/>
      <c r="S489" s="1086"/>
      <c r="T489" s="1086"/>
      <c r="U489" s="1086"/>
      <c r="V489" s="1086"/>
      <c r="W489" s="1086"/>
      <c r="X489" s="1086"/>
      <c r="Y489" s="1086"/>
      <c r="Z489" s="1086"/>
      <c r="AA489" s="1086"/>
      <c r="AB489" s="1086"/>
    </row>
    <row r="490">
      <c r="A490" s="1100"/>
      <c r="B490" s="1086"/>
      <c r="C490" s="1086"/>
      <c r="D490" s="1086"/>
      <c r="E490" s="1086"/>
      <c r="F490" s="1086"/>
      <c r="G490" s="1086"/>
      <c r="H490" s="1086"/>
      <c r="I490" s="1086"/>
      <c r="J490" s="1086"/>
      <c r="K490" s="1086"/>
      <c r="L490" s="1086"/>
      <c r="M490" s="1086"/>
      <c r="N490" s="1086"/>
      <c r="O490" s="1086"/>
      <c r="P490" s="1086"/>
      <c r="Q490" s="1086"/>
      <c r="R490" s="1086"/>
      <c r="S490" s="1086"/>
      <c r="T490" s="1086"/>
      <c r="U490" s="1086"/>
      <c r="V490" s="1086"/>
      <c r="W490" s="1086"/>
      <c r="X490" s="1086"/>
      <c r="Y490" s="1086"/>
      <c r="Z490" s="1086"/>
      <c r="AA490" s="1086"/>
      <c r="AB490" s="1086"/>
    </row>
    <row r="491">
      <c r="A491" s="1100"/>
      <c r="B491" s="1086"/>
      <c r="C491" s="1086"/>
      <c r="D491" s="1086"/>
      <c r="E491" s="1086"/>
      <c r="F491" s="1086"/>
      <c r="G491" s="1086"/>
      <c r="H491" s="1086"/>
      <c r="I491" s="1086"/>
      <c r="J491" s="1086"/>
      <c r="K491" s="1086"/>
      <c r="L491" s="1086"/>
      <c r="M491" s="1086"/>
      <c r="N491" s="1086"/>
      <c r="O491" s="1086"/>
      <c r="P491" s="1086"/>
      <c r="Q491" s="1086"/>
      <c r="R491" s="1086"/>
      <c r="S491" s="1086"/>
      <c r="T491" s="1086"/>
      <c r="U491" s="1086"/>
      <c r="V491" s="1086"/>
      <c r="W491" s="1086"/>
      <c r="X491" s="1086"/>
      <c r="Y491" s="1086"/>
      <c r="Z491" s="1086"/>
      <c r="AA491" s="1086"/>
      <c r="AB491" s="1086"/>
    </row>
    <row r="492">
      <c r="A492" s="1100"/>
      <c r="B492" s="1086"/>
      <c r="C492" s="1086"/>
      <c r="D492" s="1086"/>
      <c r="E492" s="1086"/>
      <c r="F492" s="1086"/>
      <c r="G492" s="1086"/>
      <c r="H492" s="1086"/>
      <c r="I492" s="1086"/>
      <c r="J492" s="1086"/>
      <c r="K492" s="1086"/>
      <c r="L492" s="1086"/>
      <c r="M492" s="1086"/>
      <c r="N492" s="1086"/>
      <c r="O492" s="1086"/>
      <c r="P492" s="1086"/>
      <c r="Q492" s="1086"/>
      <c r="R492" s="1086"/>
      <c r="S492" s="1086"/>
      <c r="T492" s="1086"/>
      <c r="U492" s="1086"/>
      <c r="V492" s="1086"/>
      <c r="W492" s="1086"/>
      <c r="X492" s="1086"/>
      <c r="Y492" s="1086"/>
      <c r="Z492" s="1086"/>
      <c r="AA492" s="1086"/>
      <c r="AB492" s="1086"/>
    </row>
    <row r="493">
      <c r="A493" s="1100"/>
      <c r="B493" s="1086"/>
      <c r="C493" s="1086"/>
      <c r="D493" s="1086"/>
      <c r="E493" s="1086"/>
      <c r="F493" s="1086"/>
      <c r="G493" s="1086"/>
      <c r="H493" s="1086"/>
      <c r="I493" s="1086"/>
      <c r="J493" s="1086"/>
      <c r="K493" s="1086"/>
      <c r="L493" s="1086"/>
      <c r="M493" s="1086"/>
      <c r="N493" s="1086"/>
      <c r="O493" s="1086"/>
      <c r="P493" s="1086"/>
      <c r="Q493" s="1086"/>
      <c r="R493" s="1086"/>
      <c r="S493" s="1086"/>
      <c r="T493" s="1086"/>
      <c r="U493" s="1086"/>
      <c r="V493" s="1086"/>
      <c r="W493" s="1086"/>
      <c r="X493" s="1086"/>
      <c r="Y493" s="1086"/>
      <c r="Z493" s="1086"/>
      <c r="AA493" s="1086"/>
      <c r="AB493" s="1086"/>
    </row>
    <row r="494">
      <c r="A494" s="1100"/>
      <c r="B494" s="1086"/>
      <c r="C494" s="1086"/>
      <c r="D494" s="1086"/>
      <c r="E494" s="1086"/>
      <c r="F494" s="1086"/>
      <c r="G494" s="1086"/>
      <c r="H494" s="1086"/>
      <c r="I494" s="1086"/>
      <c r="J494" s="1086"/>
      <c r="K494" s="1086"/>
      <c r="L494" s="1086"/>
      <c r="M494" s="1086"/>
      <c r="N494" s="1086"/>
      <c r="O494" s="1086"/>
      <c r="P494" s="1086"/>
      <c r="Q494" s="1086"/>
      <c r="R494" s="1086"/>
      <c r="S494" s="1086"/>
      <c r="T494" s="1086"/>
      <c r="U494" s="1086"/>
      <c r="V494" s="1086"/>
      <c r="W494" s="1086"/>
      <c r="X494" s="1086"/>
      <c r="Y494" s="1086"/>
      <c r="Z494" s="1086"/>
      <c r="AA494" s="1086"/>
      <c r="AB494" s="1086"/>
    </row>
    <row r="495">
      <c r="A495" s="1100"/>
      <c r="B495" s="1086"/>
      <c r="C495" s="1086"/>
      <c r="D495" s="1086"/>
      <c r="E495" s="1086"/>
      <c r="F495" s="1086"/>
      <c r="G495" s="1086"/>
      <c r="H495" s="1086"/>
      <c r="I495" s="1086"/>
      <c r="J495" s="1086"/>
      <c r="K495" s="1086"/>
      <c r="L495" s="1086"/>
      <c r="M495" s="1086"/>
      <c r="N495" s="1086"/>
      <c r="O495" s="1086"/>
      <c r="P495" s="1086"/>
      <c r="Q495" s="1086"/>
      <c r="R495" s="1086"/>
      <c r="S495" s="1086"/>
      <c r="T495" s="1086"/>
      <c r="U495" s="1086"/>
      <c r="V495" s="1086"/>
      <c r="W495" s="1086"/>
      <c r="X495" s="1086"/>
      <c r="Y495" s="1086"/>
      <c r="Z495" s="1086"/>
      <c r="AA495" s="1086"/>
      <c r="AB495" s="1086"/>
    </row>
    <row r="496">
      <c r="A496" s="1100"/>
      <c r="B496" s="1086"/>
      <c r="C496" s="1086"/>
      <c r="D496" s="1086"/>
      <c r="E496" s="1086"/>
      <c r="F496" s="1086"/>
      <c r="G496" s="1086"/>
      <c r="H496" s="1086"/>
      <c r="I496" s="1086"/>
      <c r="J496" s="1086"/>
      <c r="K496" s="1086"/>
      <c r="L496" s="1086"/>
      <c r="M496" s="1086"/>
      <c r="N496" s="1086"/>
      <c r="O496" s="1086"/>
      <c r="P496" s="1086"/>
      <c r="Q496" s="1086"/>
      <c r="R496" s="1086"/>
      <c r="S496" s="1086"/>
      <c r="T496" s="1086"/>
      <c r="U496" s="1086"/>
      <c r="V496" s="1086"/>
      <c r="W496" s="1086"/>
      <c r="X496" s="1086"/>
      <c r="Y496" s="1086"/>
      <c r="Z496" s="1086"/>
      <c r="AA496" s="1086"/>
      <c r="AB496" s="1086"/>
    </row>
    <row r="497">
      <c r="A497" s="1100"/>
      <c r="B497" s="1086"/>
      <c r="C497" s="1086"/>
      <c r="D497" s="1086"/>
      <c r="E497" s="1086"/>
      <c r="F497" s="1086"/>
      <c r="G497" s="1086"/>
      <c r="H497" s="1086"/>
      <c r="I497" s="1086"/>
      <c r="J497" s="1086"/>
      <c r="K497" s="1086"/>
      <c r="L497" s="1086"/>
      <c r="M497" s="1086"/>
      <c r="N497" s="1086"/>
      <c r="O497" s="1086"/>
      <c r="P497" s="1086"/>
      <c r="Q497" s="1086"/>
      <c r="R497" s="1086"/>
      <c r="S497" s="1086"/>
      <c r="T497" s="1086"/>
      <c r="U497" s="1086"/>
      <c r="V497" s="1086"/>
      <c r="W497" s="1086"/>
      <c r="X497" s="1086"/>
      <c r="Y497" s="1086"/>
      <c r="Z497" s="1086"/>
      <c r="AA497" s="1086"/>
      <c r="AB497" s="1086"/>
    </row>
    <row r="498">
      <c r="A498" s="1100"/>
      <c r="B498" s="1086"/>
      <c r="C498" s="1086"/>
      <c r="D498" s="1086"/>
      <c r="E498" s="1086"/>
      <c r="F498" s="1086"/>
      <c r="G498" s="1086"/>
      <c r="H498" s="1086"/>
      <c r="I498" s="1086"/>
      <c r="J498" s="1086"/>
      <c r="K498" s="1086"/>
      <c r="L498" s="1086"/>
      <c r="M498" s="1086"/>
      <c r="N498" s="1086"/>
      <c r="O498" s="1086"/>
      <c r="P498" s="1086"/>
      <c r="Q498" s="1086"/>
      <c r="R498" s="1086"/>
      <c r="S498" s="1086"/>
      <c r="T498" s="1086"/>
      <c r="U498" s="1086"/>
      <c r="V498" s="1086"/>
      <c r="W498" s="1086"/>
      <c r="X498" s="1086"/>
      <c r="Y498" s="1086"/>
      <c r="Z498" s="1086"/>
      <c r="AA498" s="1086"/>
      <c r="AB498" s="1086"/>
    </row>
    <row r="499">
      <c r="A499" s="1100"/>
      <c r="B499" s="1086"/>
      <c r="C499" s="1086"/>
      <c r="D499" s="1086"/>
      <c r="E499" s="1086"/>
      <c r="F499" s="1086"/>
      <c r="G499" s="1086"/>
      <c r="H499" s="1086"/>
      <c r="I499" s="1086"/>
      <c r="J499" s="1086"/>
      <c r="K499" s="1086"/>
      <c r="L499" s="1086"/>
      <c r="M499" s="1086"/>
      <c r="N499" s="1086"/>
      <c r="O499" s="1086"/>
      <c r="P499" s="1086"/>
      <c r="Q499" s="1086"/>
      <c r="R499" s="1086"/>
      <c r="S499" s="1086"/>
      <c r="T499" s="1086"/>
      <c r="U499" s="1086"/>
      <c r="V499" s="1086"/>
      <c r="W499" s="1086"/>
      <c r="X499" s="1086"/>
      <c r="Y499" s="1086"/>
      <c r="Z499" s="1086"/>
      <c r="AA499" s="1086"/>
      <c r="AB499" s="1086"/>
    </row>
    <row r="500">
      <c r="A500" s="1100"/>
      <c r="B500" s="1086"/>
      <c r="C500" s="1086"/>
      <c r="D500" s="1086"/>
      <c r="E500" s="1086"/>
      <c r="F500" s="1086"/>
      <c r="G500" s="1086"/>
      <c r="H500" s="1086"/>
      <c r="I500" s="1086"/>
      <c r="J500" s="1086"/>
      <c r="K500" s="1086"/>
      <c r="L500" s="1086"/>
      <c r="M500" s="1086"/>
      <c r="N500" s="1086"/>
      <c r="O500" s="1086"/>
      <c r="P500" s="1086"/>
      <c r="Q500" s="1086"/>
      <c r="R500" s="1086"/>
      <c r="S500" s="1086"/>
      <c r="T500" s="1086"/>
      <c r="U500" s="1086"/>
      <c r="V500" s="1086"/>
      <c r="W500" s="1086"/>
      <c r="X500" s="1086"/>
      <c r="Y500" s="1086"/>
      <c r="Z500" s="1086"/>
      <c r="AA500" s="1086"/>
      <c r="AB500" s="1086"/>
    </row>
    <row r="501">
      <c r="A501" s="1100"/>
      <c r="B501" s="1086"/>
      <c r="C501" s="1086"/>
      <c r="D501" s="1086"/>
      <c r="E501" s="1086"/>
      <c r="F501" s="1086"/>
      <c r="G501" s="1086"/>
      <c r="H501" s="1086"/>
      <c r="I501" s="1086"/>
      <c r="J501" s="1086"/>
      <c r="K501" s="1086"/>
      <c r="L501" s="1086"/>
      <c r="M501" s="1086"/>
      <c r="N501" s="1086"/>
      <c r="O501" s="1086"/>
      <c r="P501" s="1086"/>
      <c r="Q501" s="1086"/>
      <c r="R501" s="1086"/>
      <c r="S501" s="1086"/>
      <c r="T501" s="1086"/>
      <c r="U501" s="1086"/>
      <c r="V501" s="1086"/>
      <c r="W501" s="1086"/>
      <c r="X501" s="1086"/>
      <c r="Y501" s="1086"/>
      <c r="Z501" s="1086"/>
      <c r="AA501" s="1086"/>
      <c r="AB501" s="1086"/>
    </row>
    <row r="502">
      <c r="A502" s="1100"/>
      <c r="B502" s="1086"/>
      <c r="C502" s="1086"/>
      <c r="D502" s="1086"/>
      <c r="E502" s="1086"/>
      <c r="F502" s="1086"/>
      <c r="G502" s="1086"/>
      <c r="H502" s="1086"/>
      <c r="I502" s="1086"/>
      <c r="J502" s="1086"/>
      <c r="K502" s="1086"/>
      <c r="L502" s="1086"/>
      <c r="M502" s="1086"/>
      <c r="N502" s="1086"/>
      <c r="O502" s="1086"/>
      <c r="P502" s="1086"/>
      <c r="Q502" s="1086"/>
      <c r="R502" s="1086"/>
      <c r="S502" s="1086"/>
      <c r="T502" s="1086"/>
      <c r="U502" s="1086"/>
      <c r="V502" s="1086"/>
      <c r="W502" s="1086"/>
      <c r="X502" s="1086"/>
      <c r="Y502" s="1086"/>
      <c r="Z502" s="1086"/>
      <c r="AA502" s="1086"/>
      <c r="AB502" s="1086"/>
    </row>
    <row r="503">
      <c r="A503" s="1100"/>
      <c r="B503" s="1086"/>
      <c r="C503" s="1086"/>
      <c r="D503" s="1086"/>
      <c r="E503" s="1086"/>
      <c r="F503" s="1086"/>
      <c r="G503" s="1086"/>
      <c r="H503" s="1086"/>
      <c r="I503" s="1086"/>
      <c r="J503" s="1086"/>
      <c r="K503" s="1086"/>
      <c r="L503" s="1086"/>
      <c r="M503" s="1086"/>
      <c r="N503" s="1086"/>
      <c r="O503" s="1086"/>
      <c r="P503" s="1086"/>
      <c r="Q503" s="1086"/>
      <c r="R503" s="1086"/>
      <c r="S503" s="1086"/>
      <c r="T503" s="1086"/>
      <c r="U503" s="1086"/>
      <c r="V503" s="1086"/>
      <c r="W503" s="1086"/>
      <c r="X503" s="1086"/>
      <c r="Y503" s="1086"/>
      <c r="Z503" s="1086"/>
      <c r="AA503" s="1086"/>
      <c r="AB503" s="1086"/>
    </row>
    <row r="504">
      <c r="A504" s="1100"/>
      <c r="B504" s="1086"/>
      <c r="C504" s="1086"/>
      <c r="D504" s="1086"/>
      <c r="E504" s="1086"/>
      <c r="F504" s="1086"/>
      <c r="G504" s="1086"/>
      <c r="H504" s="1086"/>
      <c r="I504" s="1086"/>
      <c r="J504" s="1086"/>
      <c r="K504" s="1086"/>
      <c r="L504" s="1086"/>
      <c r="M504" s="1086"/>
      <c r="N504" s="1086"/>
      <c r="O504" s="1086"/>
      <c r="P504" s="1086"/>
      <c r="Q504" s="1086"/>
      <c r="R504" s="1086"/>
      <c r="S504" s="1086"/>
      <c r="T504" s="1086"/>
      <c r="U504" s="1086"/>
      <c r="V504" s="1086"/>
      <c r="W504" s="1086"/>
      <c r="X504" s="1086"/>
      <c r="Y504" s="1086"/>
      <c r="Z504" s="1086"/>
      <c r="AA504" s="1086"/>
      <c r="AB504" s="1086"/>
    </row>
    <row r="505">
      <c r="A505" s="1100"/>
      <c r="B505" s="1086"/>
      <c r="C505" s="1086"/>
      <c r="D505" s="1086"/>
      <c r="E505" s="1086"/>
      <c r="F505" s="1086"/>
      <c r="G505" s="1086"/>
      <c r="H505" s="1086"/>
      <c r="I505" s="1086"/>
      <c r="J505" s="1086"/>
      <c r="K505" s="1086"/>
      <c r="L505" s="1086"/>
      <c r="M505" s="1086"/>
      <c r="N505" s="1086"/>
      <c r="O505" s="1086"/>
      <c r="P505" s="1086"/>
      <c r="Q505" s="1086"/>
      <c r="R505" s="1086"/>
      <c r="S505" s="1086"/>
      <c r="T505" s="1086"/>
      <c r="U505" s="1086"/>
      <c r="V505" s="1086"/>
      <c r="W505" s="1086"/>
      <c r="X505" s="1086"/>
      <c r="Y505" s="1086"/>
      <c r="Z505" s="1086"/>
      <c r="AA505" s="1086"/>
      <c r="AB505" s="1086"/>
    </row>
    <row r="506">
      <c r="A506" s="1100"/>
      <c r="B506" s="1086"/>
      <c r="C506" s="1086"/>
      <c r="D506" s="1086"/>
      <c r="E506" s="1086"/>
      <c r="F506" s="1086"/>
      <c r="G506" s="1086"/>
      <c r="H506" s="1086"/>
      <c r="I506" s="1086"/>
      <c r="J506" s="1086"/>
      <c r="K506" s="1086"/>
      <c r="L506" s="1086"/>
      <c r="M506" s="1086"/>
      <c r="N506" s="1086"/>
      <c r="O506" s="1086"/>
      <c r="P506" s="1086"/>
      <c r="Q506" s="1086"/>
      <c r="R506" s="1086"/>
      <c r="S506" s="1086"/>
      <c r="T506" s="1086"/>
      <c r="U506" s="1086"/>
      <c r="V506" s="1086"/>
      <c r="W506" s="1086"/>
      <c r="X506" s="1086"/>
      <c r="Y506" s="1086"/>
      <c r="Z506" s="1086"/>
      <c r="AA506" s="1086"/>
      <c r="AB506" s="1086"/>
    </row>
    <row r="507">
      <c r="A507" s="1100"/>
      <c r="B507" s="1086"/>
      <c r="C507" s="1086"/>
      <c r="D507" s="1086"/>
      <c r="E507" s="1086"/>
      <c r="F507" s="1086"/>
      <c r="G507" s="1086"/>
      <c r="H507" s="1086"/>
      <c r="I507" s="1086"/>
      <c r="J507" s="1086"/>
      <c r="K507" s="1086"/>
      <c r="L507" s="1086"/>
      <c r="M507" s="1086"/>
      <c r="N507" s="1086"/>
      <c r="O507" s="1086"/>
      <c r="P507" s="1086"/>
      <c r="Q507" s="1086"/>
      <c r="R507" s="1086"/>
      <c r="S507" s="1086"/>
      <c r="T507" s="1086"/>
      <c r="U507" s="1086"/>
      <c r="V507" s="1086"/>
      <c r="W507" s="1086"/>
      <c r="X507" s="1086"/>
      <c r="Y507" s="1086"/>
      <c r="Z507" s="1086"/>
      <c r="AA507" s="1086"/>
      <c r="AB507" s="1086"/>
    </row>
    <row r="508">
      <c r="A508" s="1100"/>
      <c r="B508" s="1086"/>
      <c r="C508" s="1086"/>
      <c r="D508" s="1086"/>
      <c r="E508" s="1086"/>
      <c r="F508" s="1086"/>
      <c r="G508" s="1086"/>
      <c r="H508" s="1086"/>
      <c r="I508" s="1086"/>
      <c r="J508" s="1086"/>
      <c r="K508" s="1086"/>
      <c r="L508" s="1086"/>
      <c r="M508" s="1086"/>
      <c r="N508" s="1086"/>
      <c r="O508" s="1086"/>
      <c r="P508" s="1086"/>
      <c r="Q508" s="1086"/>
      <c r="R508" s="1086"/>
      <c r="S508" s="1086"/>
      <c r="T508" s="1086"/>
      <c r="U508" s="1086"/>
      <c r="V508" s="1086"/>
      <c r="W508" s="1086"/>
      <c r="X508" s="1086"/>
      <c r="Y508" s="1086"/>
      <c r="Z508" s="1086"/>
      <c r="AA508" s="1086"/>
      <c r="AB508" s="1086"/>
    </row>
    <row r="509">
      <c r="A509" s="1100"/>
      <c r="B509" s="1086"/>
      <c r="C509" s="1086"/>
      <c r="D509" s="1086"/>
      <c r="E509" s="1086"/>
      <c r="F509" s="1086"/>
      <c r="G509" s="1086"/>
      <c r="H509" s="1086"/>
      <c r="I509" s="1086"/>
      <c r="J509" s="1086"/>
      <c r="K509" s="1086"/>
      <c r="L509" s="1086"/>
      <c r="M509" s="1086"/>
      <c r="N509" s="1086"/>
      <c r="O509" s="1086"/>
      <c r="P509" s="1086"/>
      <c r="Q509" s="1086"/>
      <c r="R509" s="1086"/>
      <c r="S509" s="1086"/>
      <c r="T509" s="1086"/>
      <c r="U509" s="1086"/>
      <c r="V509" s="1086"/>
      <c r="W509" s="1086"/>
      <c r="X509" s="1086"/>
      <c r="Y509" s="1086"/>
      <c r="Z509" s="1086"/>
      <c r="AA509" s="1086"/>
      <c r="AB509" s="1086"/>
    </row>
    <row r="510">
      <c r="A510" s="1100"/>
      <c r="B510" s="1086"/>
      <c r="C510" s="1086"/>
      <c r="D510" s="1086"/>
      <c r="E510" s="1086"/>
      <c r="F510" s="1086"/>
      <c r="G510" s="1086"/>
      <c r="H510" s="1086"/>
      <c r="I510" s="1086"/>
      <c r="J510" s="1086"/>
      <c r="K510" s="1086"/>
      <c r="L510" s="1086"/>
      <c r="M510" s="1086"/>
      <c r="N510" s="1086"/>
      <c r="O510" s="1086"/>
      <c r="P510" s="1086"/>
      <c r="Q510" s="1086"/>
      <c r="R510" s="1086"/>
      <c r="S510" s="1086"/>
      <c r="T510" s="1086"/>
      <c r="U510" s="1086"/>
      <c r="V510" s="1086"/>
      <c r="W510" s="1086"/>
      <c r="X510" s="1086"/>
      <c r="Y510" s="1086"/>
      <c r="Z510" s="1086"/>
      <c r="AA510" s="1086"/>
      <c r="AB510" s="1086"/>
    </row>
    <row r="511">
      <c r="A511" s="1100"/>
      <c r="B511" s="1086"/>
      <c r="C511" s="1086"/>
      <c r="D511" s="1086"/>
      <c r="E511" s="1086"/>
      <c r="F511" s="1086"/>
      <c r="G511" s="1086"/>
      <c r="H511" s="1086"/>
      <c r="I511" s="1086"/>
      <c r="J511" s="1086"/>
      <c r="K511" s="1086"/>
      <c r="L511" s="1086"/>
      <c r="M511" s="1086"/>
      <c r="N511" s="1086"/>
      <c r="O511" s="1086"/>
      <c r="P511" s="1086"/>
      <c r="Q511" s="1086"/>
      <c r="R511" s="1086"/>
      <c r="S511" s="1086"/>
      <c r="T511" s="1086"/>
      <c r="U511" s="1086"/>
      <c r="V511" s="1086"/>
      <c r="W511" s="1086"/>
      <c r="X511" s="1086"/>
      <c r="Y511" s="1086"/>
      <c r="Z511" s="1086"/>
      <c r="AA511" s="1086"/>
      <c r="AB511" s="1086"/>
    </row>
    <row r="512">
      <c r="A512" s="1100"/>
      <c r="B512" s="1086"/>
      <c r="C512" s="1086"/>
      <c r="D512" s="1086"/>
      <c r="E512" s="1086"/>
      <c r="F512" s="1086"/>
      <c r="G512" s="1086"/>
      <c r="H512" s="1086"/>
      <c r="I512" s="1086"/>
      <c r="J512" s="1086"/>
      <c r="K512" s="1086"/>
      <c r="L512" s="1086"/>
      <c r="M512" s="1086"/>
      <c r="N512" s="1086"/>
      <c r="O512" s="1086"/>
      <c r="P512" s="1086"/>
      <c r="Q512" s="1086"/>
      <c r="R512" s="1086"/>
      <c r="S512" s="1086"/>
      <c r="T512" s="1086"/>
      <c r="U512" s="1086"/>
      <c r="V512" s="1086"/>
      <c r="W512" s="1086"/>
      <c r="X512" s="1086"/>
      <c r="Y512" s="1086"/>
      <c r="Z512" s="1086"/>
      <c r="AA512" s="1086"/>
      <c r="AB512" s="1086"/>
    </row>
    <row r="513">
      <c r="A513" s="1100"/>
      <c r="B513" s="1086"/>
      <c r="C513" s="1086"/>
      <c r="D513" s="1086"/>
      <c r="E513" s="1086"/>
      <c r="F513" s="1086"/>
      <c r="G513" s="1086"/>
      <c r="H513" s="1086"/>
      <c r="I513" s="1086"/>
      <c r="J513" s="1086"/>
      <c r="K513" s="1086"/>
      <c r="L513" s="1086"/>
      <c r="M513" s="1086"/>
      <c r="N513" s="1086"/>
      <c r="O513" s="1086"/>
      <c r="P513" s="1086"/>
      <c r="Q513" s="1086"/>
      <c r="R513" s="1086"/>
      <c r="S513" s="1086"/>
      <c r="T513" s="1086"/>
      <c r="U513" s="1086"/>
      <c r="V513" s="1086"/>
      <c r="W513" s="1086"/>
      <c r="X513" s="1086"/>
      <c r="Y513" s="1086"/>
      <c r="Z513" s="1086"/>
      <c r="AA513" s="1086"/>
      <c r="AB513" s="1086"/>
    </row>
    <row r="514">
      <c r="A514" s="1100"/>
      <c r="B514" s="1086"/>
      <c r="C514" s="1086"/>
      <c r="D514" s="1086"/>
      <c r="E514" s="1086"/>
      <c r="F514" s="1086"/>
      <c r="G514" s="1086"/>
      <c r="H514" s="1086"/>
      <c r="I514" s="1086"/>
      <c r="J514" s="1086"/>
      <c r="K514" s="1086"/>
      <c r="L514" s="1086"/>
      <c r="M514" s="1086"/>
      <c r="N514" s="1086"/>
      <c r="O514" s="1086"/>
      <c r="P514" s="1086"/>
      <c r="Q514" s="1086"/>
      <c r="R514" s="1086"/>
      <c r="S514" s="1086"/>
      <c r="T514" s="1086"/>
      <c r="U514" s="1086"/>
      <c r="V514" s="1086"/>
      <c r="W514" s="1086"/>
      <c r="X514" s="1086"/>
      <c r="Y514" s="1086"/>
      <c r="Z514" s="1086"/>
      <c r="AA514" s="1086"/>
      <c r="AB514" s="1086"/>
    </row>
    <row r="515">
      <c r="A515" s="1100"/>
      <c r="B515" s="1086"/>
      <c r="C515" s="1086"/>
      <c r="D515" s="1086"/>
      <c r="E515" s="1086"/>
      <c r="F515" s="1086"/>
      <c r="G515" s="1086"/>
      <c r="H515" s="1086"/>
      <c r="I515" s="1086"/>
      <c r="J515" s="1086"/>
      <c r="K515" s="1086"/>
      <c r="L515" s="1086"/>
      <c r="M515" s="1086"/>
      <c r="N515" s="1086"/>
      <c r="O515" s="1086"/>
      <c r="P515" s="1086"/>
      <c r="Q515" s="1086"/>
      <c r="R515" s="1086"/>
      <c r="S515" s="1086"/>
      <c r="T515" s="1086"/>
      <c r="U515" s="1086"/>
      <c r="V515" s="1086"/>
      <c r="W515" s="1086"/>
      <c r="X515" s="1086"/>
      <c r="Y515" s="1086"/>
      <c r="Z515" s="1086"/>
      <c r="AA515" s="1086"/>
      <c r="AB515" s="1086"/>
    </row>
    <row r="516">
      <c r="A516" s="1100"/>
      <c r="B516" s="1086"/>
      <c r="C516" s="1086"/>
      <c r="D516" s="1086"/>
      <c r="E516" s="1086"/>
      <c r="F516" s="1086"/>
      <c r="G516" s="1086"/>
      <c r="H516" s="1086"/>
      <c r="I516" s="1086"/>
      <c r="J516" s="1086"/>
      <c r="K516" s="1086"/>
      <c r="L516" s="1086"/>
      <c r="M516" s="1086"/>
      <c r="N516" s="1086"/>
      <c r="O516" s="1086"/>
      <c r="P516" s="1086"/>
      <c r="Q516" s="1086"/>
      <c r="R516" s="1086"/>
      <c r="S516" s="1086"/>
      <c r="T516" s="1086"/>
      <c r="U516" s="1086"/>
      <c r="V516" s="1086"/>
      <c r="W516" s="1086"/>
      <c r="X516" s="1086"/>
      <c r="Y516" s="1086"/>
      <c r="Z516" s="1086"/>
      <c r="AA516" s="1086"/>
      <c r="AB516" s="1086"/>
    </row>
    <row r="517">
      <c r="A517" s="1100"/>
      <c r="B517" s="1086"/>
      <c r="C517" s="1086"/>
      <c r="D517" s="1086"/>
      <c r="E517" s="1086"/>
      <c r="F517" s="1086"/>
      <c r="G517" s="1086"/>
      <c r="H517" s="1086"/>
      <c r="I517" s="1086"/>
      <c r="J517" s="1086"/>
      <c r="K517" s="1086"/>
      <c r="L517" s="1086"/>
      <c r="M517" s="1086"/>
      <c r="N517" s="1086"/>
      <c r="O517" s="1086"/>
      <c r="P517" s="1086"/>
      <c r="Q517" s="1086"/>
      <c r="R517" s="1086"/>
      <c r="S517" s="1086"/>
      <c r="T517" s="1086"/>
      <c r="U517" s="1086"/>
      <c r="V517" s="1086"/>
      <c r="W517" s="1086"/>
      <c r="X517" s="1086"/>
      <c r="Y517" s="1086"/>
      <c r="Z517" s="1086"/>
      <c r="AA517" s="1086"/>
      <c r="AB517" s="1086"/>
    </row>
    <row r="518">
      <c r="A518" s="1100"/>
      <c r="B518" s="1086"/>
      <c r="C518" s="1086"/>
      <c r="D518" s="1086"/>
      <c r="E518" s="1086"/>
      <c r="F518" s="1086"/>
      <c r="G518" s="1086"/>
      <c r="H518" s="1086"/>
      <c r="I518" s="1086"/>
      <c r="J518" s="1086"/>
      <c r="K518" s="1086"/>
      <c r="L518" s="1086"/>
      <c r="M518" s="1086"/>
      <c r="N518" s="1086"/>
      <c r="O518" s="1086"/>
      <c r="P518" s="1086"/>
      <c r="Q518" s="1086"/>
      <c r="R518" s="1086"/>
      <c r="S518" s="1086"/>
      <c r="T518" s="1086"/>
      <c r="U518" s="1086"/>
      <c r="V518" s="1086"/>
      <c r="W518" s="1086"/>
      <c r="X518" s="1086"/>
      <c r="Y518" s="1086"/>
      <c r="Z518" s="1086"/>
      <c r="AA518" s="1086"/>
      <c r="AB518" s="1086"/>
    </row>
    <row r="519">
      <c r="A519" s="1100"/>
      <c r="B519" s="1086"/>
      <c r="C519" s="1086"/>
      <c r="D519" s="1086"/>
      <c r="E519" s="1086"/>
      <c r="F519" s="1086"/>
      <c r="G519" s="1086"/>
      <c r="H519" s="1086"/>
      <c r="I519" s="1086"/>
      <c r="J519" s="1086"/>
      <c r="K519" s="1086"/>
      <c r="L519" s="1086"/>
      <c r="M519" s="1086"/>
      <c r="N519" s="1086"/>
      <c r="O519" s="1086"/>
      <c r="P519" s="1086"/>
      <c r="Q519" s="1086"/>
      <c r="R519" s="1086"/>
      <c r="S519" s="1086"/>
      <c r="T519" s="1086"/>
      <c r="U519" s="1086"/>
      <c r="V519" s="1086"/>
      <c r="W519" s="1086"/>
      <c r="X519" s="1086"/>
      <c r="Y519" s="1086"/>
      <c r="Z519" s="1086"/>
      <c r="AA519" s="1086"/>
      <c r="AB519" s="1086"/>
    </row>
    <row r="520">
      <c r="A520" s="1100"/>
      <c r="B520" s="1086"/>
      <c r="C520" s="1086"/>
      <c r="D520" s="1086"/>
      <c r="E520" s="1086"/>
      <c r="F520" s="1086"/>
      <c r="G520" s="1086"/>
      <c r="H520" s="1086"/>
      <c r="I520" s="1086"/>
      <c r="J520" s="1086"/>
      <c r="K520" s="1086"/>
      <c r="L520" s="1086"/>
      <c r="M520" s="1086"/>
      <c r="N520" s="1086"/>
      <c r="O520" s="1086"/>
      <c r="P520" s="1086"/>
      <c r="Q520" s="1086"/>
      <c r="R520" s="1086"/>
      <c r="S520" s="1086"/>
      <c r="T520" s="1086"/>
      <c r="U520" s="1086"/>
      <c r="V520" s="1086"/>
      <c r="W520" s="1086"/>
      <c r="X520" s="1086"/>
      <c r="Y520" s="1086"/>
      <c r="Z520" s="1086"/>
      <c r="AA520" s="1086"/>
      <c r="AB520" s="1086"/>
    </row>
    <row r="521">
      <c r="A521" s="1100"/>
      <c r="B521" s="1086"/>
      <c r="C521" s="1086"/>
      <c r="D521" s="1086"/>
      <c r="E521" s="1086"/>
      <c r="F521" s="1086"/>
      <c r="G521" s="1086"/>
      <c r="H521" s="1086"/>
      <c r="I521" s="1086"/>
      <c r="J521" s="1086"/>
      <c r="K521" s="1086"/>
      <c r="L521" s="1086"/>
      <c r="M521" s="1086"/>
      <c r="N521" s="1086"/>
      <c r="O521" s="1086"/>
      <c r="P521" s="1086"/>
      <c r="Q521" s="1086"/>
      <c r="R521" s="1086"/>
      <c r="S521" s="1086"/>
      <c r="T521" s="1086"/>
      <c r="U521" s="1086"/>
      <c r="V521" s="1086"/>
      <c r="W521" s="1086"/>
      <c r="X521" s="1086"/>
      <c r="Y521" s="1086"/>
      <c r="Z521" s="1086"/>
      <c r="AA521" s="1086"/>
      <c r="AB521" s="1086"/>
    </row>
    <row r="522">
      <c r="A522" s="1100"/>
      <c r="B522" s="1086"/>
      <c r="C522" s="1086"/>
      <c r="D522" s="1086"/>
      <c r="E522" s="1086"/>
      <c r="F522" s="1086"/>
      <c r="G522" s="1086"/>
      <c r="H522" s="1086"/>
      <c r="I522" s="1086"/>
      <c r="J522" s="1086"/>
      <c r="K522" s="1086"/>
      <c r="L522" s="1086"/>
      <c r="M522" s="1086"/>
      <c r="N522" s="1086"/>
      <c r="O522" s="1086"/>
      <c r="P522" s="1086"/>
      <c r="Q522" s="1086"/>
      <c r="R522" s="1086"/>
      <c r="S522" s="1086"/>
      <c r="T522" s="1086"/>
      <c r="U522" s="1086"/>
      <c r="V522" s="1086"/>
      <c r="W522" s="1086"/>
      <c r="X522" s="1086"/>
      <c r="Y522" s="1086"/>
      <c r="Z522" s="1086"/>
      <c r="AA522" s="1086"/>
      <c r="AB522" s="1086"/>
    </row>
    <row r="523">
      <c r="A523" s="1100"/>
      <c r="B523" s="1086"/>
      <c r="C523" s="1086"/>
      <c r="D523" s="1086"/>
      <c r="E523" s="1086"/>
      <c r="F523" s="1086"/>
      <c r="G523" s="1086"/>
      <c r="H523" s="1086"/>
      <c r="I523" s="1086"/>
      <c r="J523" s="1086"/>
      <c r="K523" s="1086"/>
      <c r="L523" s="1086"/>
      <c r="M523" s="1086"/>
      <c r="N523" s="1086"/>
      <c r="O523" s="1086"/>
      <c r="P523" s="1086"/>
      <c r="Q523" s="1086"/>
      <c r="R523" s="1086"/>
      <c r="S523" s="1086"/>
      <c r="T523" s="1086"/>
      <c r="U523" s="1086"/>
      <c r="V523" s="1086"/>
      <c r="W523" s="1086"/>
      <c r="X523" s="1086"/>
      <c r="Y523" s="1086"/>
      <c r="Z523" s="1086"/>
      <c r="AA523" s="1086"/>
      <c r="AB523" s="1086"/>
    </row>
    <row r="524">
      <c r="A524" s="1100"/>
      <c r="B524" s="1086"/>
      <c r="C524" s="1086"/>
      <c r="D524" s="1086"/>
      <c r="E524" s="1086"/>
      <c r="F524" s="1086"/>
      <c r="G524" s="1086"/>
      <c r="H524" s="1086"/>
      <c r="I524" s="1086"/>
      <c r="J524" s="1086"/>
      <c r="K524" s="1086"/>
      <c r="L524" s="1086"/>
      <c r="M524" s="1086"/>
      <c r="N524" s="1086"/>
      <c r="O524" s="1086"/>
      <c r="P524" s="1086"/>
      <c r="Q524" s="1086"/>
      <c r="R524" s="1086"/>
      <c r="S524" s="1086"/>
      <c r="T524" s="1086"/>
      <c r="U524" s="1086"/>
      <c r="V524" s="1086"/>
      <c r="W524" s="1086"/>
      <c r="X524" s="1086"/>
      <c r="Y524" s="1086"/>
      <c r="Z524" s="1086"/>
      <c r="AA524" s="1086"/>
      <c r="AB524" s="1086"/>
    </row>
    <row r="525">
      <c r="A525" s="1100"/>
      <c r="B525" s="1086"/>
      <c r="C525" s="1086"/>
      <c r="D525" s="1086"/>
      <c r="E525" s="1086"/>
      <c r="F525" s="1086"/>
      <c r="G525" s="1086"/>
      <c r="H525" s="1086"/>
      <c r="I525" s="1086"/>
      <c r="J525" s="1086"/>
      <c r="K525" s="1086"/>
      <c r="L525" s="1086"/>
      <c r="M525" s="1086"/>
      <c r="N525" s="1086"/>
      <c r="O525" s="1086"/>
      <c r="P525" s="1086"/>
      <c r="Q525" s="1086"/>
      <c r="R525" s="1086"/>
      <c r="S525" s="1086"/>
      <c r="T525" s="1086"/>
      <c r="U525" s="1086"/>
      <c r="V525" s="1086"/>
      <c r="W525" s="1086"/>
      <c r="X525" s="1086"/>
      <c r="Y525" s="1086"/>
      <c r="Z525" s="1086"/>
      <c r="AA525" s="1086"/>
      <c r="AB525" s="1086"/>
    </row>
    <row r="526">
      <c r="A526" s="1100"/>
      <c r="B526" s="1086"/>
      <c r="C526" s="1086"/>
      <c r="D526" s="1086"/>
      <c r="E526" s="1086"/>
      <c r="F526" s="1086"/>
      <c r="G526" s="1086"/>
      <c r="H526" s="1086"/>
      <c r="I526" s="1086"/>
      <c r="J526" s="1086"/>
      <c r="K526" s="1086"/>
      <c r="L526" s="1086"/>
      <c r="M526" s="1086"/>
      <c r="N526" s="1086"/>
      <c r="O526" s="1086"/>
      <c r="P526" s="1086"/>
      <c r="Q526" s="1086"/>
      <c r="R526" s="1086"/>
      <c r="S526" s="1086"/>
      <c r="T526" s="1086"/>
      <c r="U526" s="1086"/>
      <c r="V526" s="1086"/>
      <c r="W526" s="1086"/>
      <c r="X526" s="1086"/>
      <c r="Y526" s="1086"/>
      <c r="Z526" s="1086"/>
      <c r="AA526" s="1086"/>
      <c r="AB526" s="1086"/>
    </row>
    <row r="527">
      <c r="A527" s="1100"/>
      <c r="B527" s="1086"/>
      <c r="C527" s="1086"/>
      <c r="D527" s="1086"/>
      <c r="E527" s="1086"/>
      <c r="F527" s="1086"/>
      <c r="G527" s="1086"/>
      <c r="H527" s="1086"/>
      <c r="I527" s="1086"/>
      <c r="J527" s="1086"/>
      <c r="K527" s="1086"/>
      <c r="L527" s="1086"/>
      <c r="M527" s="1086"/>
      <c r="N527" s="1086"/>
      <c r="O527" s="1086"/>
      <c r="P527" s="1086"/>
      <c r="Q527" s="1086"/>
      <c r="R527" s="1086"/>
      <c r="S527" s="1086"/>
      <c r="T527" s="1086"/>
      <c r="U527" s="1086"/>
      <c r="V527" s="1086"/>
      <c r="W527" s="1086"/>
      <c r="X527" s="1086"/>
      <c r="Y527" s="1086"/>
      <c r="Z527" s="1086"/>
      <c r="AA527" s="1086"/>
      <c r="AB527" s="1086"/>
    </row>
    <row r="528">
      <c r="A528" s="1100"/>
      <c r="B528" s="1086"/>
      <c r="C528" s="1086"/>
      <c r="D528" s="1086"/>
      <c r="E528" s="1086"/>
      <c r="F528" s="1086"/>
      <c r="G528" s="1086"/>
      <c r="H528" s="1086"/>
      <c r="I528" s="1086"/>
      <c r="J528" s="1086"/>
      <c r="K528" s="1086"/>
      <c r="L528" s="1086"/>
      <c r="M528" s="1086"/>
      <c r="N528" s="1086"/>
      <c r="O528" s="1086"/>
      <c r="P528" s="1086"/>
      <c r="Q528" s="1086"/>
      <c r="R528" s="1086"/>
      <c r="S528" s="1086"/>
      <c r="T528" s="1086"/>
      <c r="U528" s="1086"/>
      <c r="V528" s="1086"/>
      <c r="W528" s="1086"/>
      <c r="X528" s="1086"/>
      <c r="Y528" s="1086"/>
      <c r="Z528" s="1086"/>
      <c r="AA528" s="1086"/>
      <c r="AB528" s="1086"/>
    </row>
    <row r="529">
      <c r="A529" s="1100"/>
      <c r="B529" s="1086"/>
      <c r="C529" s="1086"/>
      <c r="D529" s="1086"/>
      <c r="E529" s="1086"/>
      <c r="F529" s="1086"/>
      <c r="G529" s="1086"/>
      <c r="H529" s="1086"/>
      <c r="I529" s="1086"/>
      <c r="J529" s="1086"/>
      <c r="K529" s="1086"/>
      <c r="L529" s="1086"/>
      <c r="M529" s="1086"/>
      <c r="N529" s="1086"/>
      <c r="O529" s="1086"/>
      <c r="P529" s="1086"/>
      <c r="Q529" s="1086"/>
      <c r="R529" s="1086"/>
      <c r="S529" s="1086"/>
      <c r="T529" s="1086"/>
      <c r="U529" s="1086"/>
      <c r="V529" s="1086"/>
      <c r="W529" s="1086"/>
      <c r="X529" s="1086"/>
      <c r="Y529" s="1086"/>
      <c r="Z529" s="1086"/>
      <c r="AA529" s="1086"/>
      <c r="AB529" s="1086"/>
    </row>
    <row r="530">
      <c r="A530" s="1100"/>
      <c r="B530" s="1086"/>
      <c r="C530" s="1086"/>
      <c r="D530" s="1086"/>
      <c r="E530" s="1086"/>
      <c r="F530" s="1086"/>
      <c r="G530" s="1086"/>
      <c r="H530" s="1086"/>
      <c r="I530" s="1086"/>
      <c r="J530" s="1086"/>
      <c r="K530" s="1086"/>
      <c r="L530" s="1086"/>
      <c r="M530" s="1086"/>
      <c r="N530" s="1086"/>
      <c r="O530" s="1086"/>
      <c r="P530" s="1086"/>
      <c r="Q530" s="1086"/>
      <c r="R530" s="1086"/>
      <c r="S530" s="1086"/>
      <c r="T530" s="1086"/>
      <c r="U530" s="1086"/>
      <c r="V530" s="1086"/>
      <c r="W530" s="1086"/>
      <c r="X530" s="1086"/>
      <c r="Y530" s="1086"/>
      <c r="Z530" s="1086"/>
      <c r="AA530" s="1086"/>
      <c r="AB530" s="1086"/>
    </row>
    <row r="531">
      <c r="A531" s="1100"/>
      <c r="B531" s="1086"/>
      <c r="C531" s="1086"/>
      <c r="D531" s="1086"/>
      <c r="E531" s="1086"/>
      <c r="F531" s="1086"/>
      <c r="G531" s="1086"/>
      <c r="H531" s="1086"/>
      <c r="I531" s="1086"/>
      <c r="J531" s="1086"/>
      <c r="K531" s="1086"/>
      <c r="L531" s="1086"/>
      <c r="M531" s="1086"/>
      <c r="N531" s="1086"/>
      <c r="O531" s="1086"/>
      <c r="P531" s="1086"/>
      <c r="Q531" s="1086"/>
      <c r="R531" s="1086"/>
      <c r="S531" s="1086"/>
      <c r="T531" s="1086"/>
      <c r="U531" s="1086"/>
      <c r="V531" s="1086"/>
      <c r="W531" s="1086"/>
      <c r="X531" s="1086"/>
      <c r="Y531" s="1086"/>
      <c r="Z531" s="1086"/>
      <c r="AA531" s="1086"/>
      <c r="AB531" s="1086"/>
    </row>
    <row r="532">
      <c r="A532" s="1100"/>
      <c r="B532" s="1086"/>
      <c r="C532" s="1086"/>
      <c r="D532" s="1086"/>
      <c r="E532" s="1086"/>
      <c r="F532" s="1086"/>
      <c r="G532" s="1086"/>
      <c r="H532" s="1086"/>
      <c r="I532" s="1086"/>
      <c r="J532" s="1086"/>
      <c r="K532" s="1086"/>
      <c r="L532" s="1086"/>
      <c r="M532" s="1086"/>
      <c r="N532" s="1086"/>
      <c r="O532" s="1086"/>
      <c r="P532" s="1086"/>
      <c r="Q532" s="1086"/>
      <c r="R532" s="1086"/>
      <c r="S532" s="1086"/>
      <c r="T532" s="1086"/>
      <c r="U532" s="1086"/>
      <c r="V532" s="1086"/>
      <c r="W532" s="1086"/>
      <c r="X532" s="1086"/>
      <c r="Y532" s="1086"/>
      <c r="Z532" s="1086"/>
      <c r="AA532" s="1086"/>
      <c r="AB532" s="1086"/>
    </row>
    <row r="533">
      <c r="A533" s="1100"/>
      <c r="B533" s="1086"/>
      <c r="C533" s="1086"/>
      <c r="D533" s="1086"/>
      <c r="E533" s="1086"/>
      <c r="F533" s="1086"/>
      <c r="G533" s="1086"/>
      <c r="H533" s="1086"/>
      <c r="I533" s="1086"/>
      <c r="J533" s="1086"/>
      <c r="K533" s="1086"/>
      <c r="L533" s="1086"/>
      <c r="M533" s="1086"/>
      <c r="N533" s="1086"/>
      <c r="O533" s="1086"/>
      <c r="P533" s="1086"/>
      <c r="Q533" s="1086"/>
      <c r="R533" s="1086"/>
      <c r="S533" s="1086"/>
      <c r="T533" s="1086"/>
      <c r="U533" s="1086"/>
      <c r="V533" s="1086"/>
      <c r="W533" s="1086"/>
      <c r="X533" s="1086"/>
      <c r="Y533" s="1086"/>
      <c r="Z533" s="1086"/>
      <c r="AA533" s="1086"/>
      <c r="AB533" s="1086"/>
    </row>
    <row r="534">
      <c r="A534" s="1100"/>
      <c r="B534" s="1086"/>
      <c r="C534" s="1086"/>
      <c r="D534" s="1086"/>
      <c r="E534" s="1086"/>
      <c r="F534" s="1086"/>
      <c r="G534" s="1086"/>
      <c r="H534" s="1086"/>
      <c r="I534" s="1086"/>
      <c r="J534" s="1086"/>
      <c r="K534" s="1086"/>
      <c r="L534" s="1086"/>
      <c r="M534" s="1086"/>
      <c r="N534" s="1086"/>
      <c r="O534" s="1086"/>
      <c r="P534" s="1086"/>
      <c r="Q534" s="1086"/>
      <c r="R534" s="1086"/>
      <c r="S534" s="1086"/>
      <c r="T534" s="1086"/>
      <c r="U534" s="1086"/>
      <c r="V534" s="1086"/>
      <c r="W534" s="1086"/>
      <c r="X534" s="1086"/>
      <c r="Y534" s="1086"/>
      <c r="Z534" s="1086"/>
      <c r="AA534" s="1086"/>
      <c r="AB534" s="1086"/>
    </row>
    <row r="535">
      <c r="A535" s="1100"/>
      <c r="B535" s="1086"/>
      <c r="C535" s="1086"/>
      <c r="D535" s="1086"/>
      <c r="E535" s="1086"/>
      <c r="F535" s="1086"/>
      <c r="G535" s="1086"/>
      <c r="H535" s="1086"/>
      <c r="I535" s="1086"/>
      <c r="J535" s="1086"/>
      <c r="K535" s="1086"/>
      <c r="L535" s="1086"/>
      <c r="M535" s="1086"/>
      <c r="N535" s="1086"/>
      <c r="O535" s="1086"/>
      <c r="P535" s="1086"/>
      <c r="Q535" s="1086"/>
      <c r="R535" s="1086"/>
      <c r="S535" s="1086"/>
      <c r="T535" s="1086"/>
      <c r="U535" s="1086"/>
      <c r="V535" s="1086"/>
      <c r="W535" s="1086"/>
      <c r="X535" s="1086"/>
      <c r="Y535" s="1086"/>
      <c r="Z535" s="1086"/>
      <c r="AA535" s="1086"/>
      <c r="AB535" s="1086"/>
    </row>
    <row r="536">
      <c r="A536" s="1100"/>
      <c r="B536" s="1086"/>
      <c r="C536" s="1086"/>
      <c r="D536" s="1086"/>
      <c r="E536" s="1086"/>
      <c r="F536" s="1086"/>
      <c r="G536" s="1086"/>
      <c r="H536" s="1086"/>
      <c r="I536" s="1086"/>
      <c r="J536" s="1086"/>
      <c r="K536" s="1086"/>
      <c r="L536" s="1086"/>
      <c r="M536" s="1086"/>
      <c r="N536" s="1086"/>
      <c r="O536" s="1086"/>
      <c r="P536" s="1086"/>
      <c r="Q536" s="1086"/>
      <c r="R536" s="1086"/>
      <c r="S536" s="1086"/>
      <c r="T536" s="1086"/>
      <c r="U536" s="1086"/>
      <c r="V536" s="1086"/>
      <c r="W536" s="1086"/>
      <c r="X536" s="1086"/>
      <c r="Y536" s="1086"/>
      <c r="Z536" s="1086"/>
      <c r="AA536" s="1086"/>
      <c r="AB536" s="1086"/>
    </row>
    <row r="537">
      <c r="A537" s="1100"/>
      <c r="B537" s="1086"/>
      <c r="C537" s="1086"/>
      <c r="D537" s="1086"/>
      <c r="E537" s="1086"/>
      <c r="F537" s="1086"/>
      <c r="G537" s="1086"/>
      <c r="H537" s="1086"/>
      <c r="I537" s="1086"/>
      <c r="J537" s="1086"/>
      <c r="K537" s="1086"/>
      <c r="L537" s="1086"/>
      <c r="M537" s="1086"/>
      <c r="N537" s="1086"/>
      <c r="O537" s="1086"/>
      <c r="P537" s="1086"/>
      <c r="Q537" s="1086"/>
      <c r="R537" s="1086"/>
      <c r="S537" s="1086"/>
      <c r="T537" s="1086"/>
      <c r="U537" s="1086"/>
      <c r="V537" s="1086"/>
      <c r="W537" s="1086"/>
      <c r="X537" s="1086"/>
      <c r="Y537" s="1086"/>
      <c r="Z537" s="1086"/>
      <c r="AA537" s="1086"/>
      <c r="AB537" s="1086"/>
    </row>
    <row r="538">
      <c r="A538" s="1100"/>
      <c r="B538" s="1086"/>
      <c r="C538" s="1086"/>
      <c r="D538" s="1086"/>
      <c r="E538" s="1086"/>
      <c r="F538" s="1086"/>
      <c r="G538" s="1086"/>
      <c r="H538" s="1086"/>
      <c r="I538" s="1086"/>
      <c r="J538" s="1086"/>
      <c r="K538" s="1086"/>
      <c r="L538" s="1086"/>
      <c r="M538" s="1086"/>
      <c r="N538" s="1086"/>
      <c r="O538" s="1086"/>
      <c r="P538" s="1086"/>
      <c r="Q538" s="1086"/>
      <c r="R538" s="1086"/>
      <c r="S538" s="1086"/>
      <c r="T538" s="1086"/>
      <c r="U538" s="1086"/>
      <c r="V538" s="1086"/>
      <c r="W538" s="1086"/>
      <c r="X538" s="1086"/>
      <c r="Y538" s="1086"/>
      <c r="Z538" s="1086"/>
      <c r="AA538" s="1086"/>
      <c r="AB538" s="1086"/>
    </row>
    <row r="539">
      <c r="A539" s="1100"/>
      <c r="B539" s="1086"/>
      <c r="C539" s="1086"/>
      <c r="D539" s="1086"/>
      <c r="E539" s="1086"/>
      <c r="F539" s="1086"/>
      <c r="G539" s="1086"/>
      <c r="H539" s="1086"/>
      <c r="I539" s="1086"/>
      <c r="J539" s="1086"/>
      <c r="K539" s="1086"/>
      <c r="L539" s="1086"/>
      <c r="M539" s="1086"/>
      <c r="N539" s="1086"/>
      <c r="O539" s="1086"/>
      <c r="P539" s="1086"/>
      <c r="Q539" s="1086"/>
      <c r="R539" s="1086"/>
      <c r="S539" s="1086"/>
      <c r="T539" s="1086"/>
      <c r="U539" s="1086"/>
      <c r="V539" s="1086"/>
      <c r="W539" s="1086"/>
      <c r="X539" s="1086"/>
      <c r="Y539" s="1086"/>
      <c r="Z539" s="1086"/>
      <c r="AA539" s="1086"/>
      <c r="AB539" s="1086"/>
    </row>
    <row r="540">
      <c r="A540" s="1100"/>
      <c r="B540" s="1086"/>
      <c r="C540" s="1086"/>
      <c r="D540" s="1086"/>
      <c r="E540" s="1086"/>
      <c r="F540" s="1086"/>
      <c r="G540" s="1086"/>
      <c r="H540" s="1086"/>
      <c r="I540" s="1086"/>
      <c r="J540" s="1086"/>
      <c r="K540" s="1086"/>
      <c r="L540" s="1086"/>
      <c r="M540" s="1086"/>
      <c r="N540" s="1086"/>
      <c r="O540" s="1086"/>
      <c r="P540" s="1086"/>
      <c r="Q540" s="1086"/>
      <c r="R540" s="1086"/>
      <c r="S540" s="1086"/>
      <c r="T540" s="1086"/>
      <c r="U540" s="1086"/>
      <c r="V540" s="1086"/>
      <c r="W540" s="1086"/>
      <c r="X540" s="1086"/>
      <c r="Y540" s="1086"/>
      <c r="Z540" s="1086"/>
      <c r="AA540" s="1086"/>
      <c r="AB540" s="1086"/>
    </row>
    <row r="541">
      <c r="A541" s="1100"/>
      <c r="B541" s="1086"/>
      <c r="C541" s="1086"/>
      <c r="D541" s="1086"/>
      <c r="E541" s="1086"/>
      <c r="F541" s="1086"/>
      <c r="G541" s="1086"/>
      <c r="H541" s="1086"/>
      <c r="I541" s="1086"/>
      <c r="J541" s="1086"/>
      <c r="K541" s="1086"/>
      <c r="L541" s="1086"/>
      <c r="M541" s="1086"/>
      <c r="N541" s="1086"/>
      <c r="O541" s="1086"/>
      <c r="P541" s="1086"/>
      <c r="Q541" s="1086"/>
      <c r="R541" s="1086"/>
      <c r="S541" s="1086"/>
      <c r="T541" s="1086"/>
      <c r="U541" s="1086"/>
      <c r="V541" s="1086"/>
      <c r="W541" s="1086"/>
      <c r="X541" s="1086"/>
      <c r="Y541" s="1086"/>
      <c r="Z541" s="1086"/>
      <c r="AA541" s="1086"/>
      <c r="AB541" s="1086"/>
    </row>
    <row r="542">
      <c r="A542" s="1100"/>
      <c r="B542" s="1086"/>
      <c r="C542" s="1086"/>
      <c r="D542" s="1086"/>
      <c r="E542" s="1086"/>
      <c r="F542" s="1086"/>
      <c r="G542" s="1086"/>
      <c r="H542" s="1086"/>
      <c r="I542" s="1086"/>
      <c r="J542" s="1086"/>
      <c r="K542" s="1086"/>
      <c r="L542" s="1086"/>
      <c r="M542" s="1086"/>
      <c r="N542" s="1086"/>
      <c r="O542" s="1086"/>
      <c r="P542" s="1086"/>
      <c r="Q542" s="1086"/>
      <c r="R542" s="1086"/>
      <c r="S542" s="1086"/>
      <c r="T542" s="1086"/>
      <c r="U542" s="1086"/>
      <c r="V542" s="1086"/>
      <c r="W542" s="1086"/>
      <c r="X542" s="1086"/>
      <c r="Y542" s="1086"/>
      <c r="Z542" s="1086"/>
      <c r="AA542" s="1086"/>
      <c r="AB542" s="1086"/>
    </row>
    <row r="543">
      <c r="A543" s="1100"/>
      <c r="B543" s="1086"/>
      <c r="C543" s="1086"/>
      <c r="D543" s="1086"/>
      <c r="E543" s="1086"/>
      <c r="F543" s="1086"/>
      <c r="G543" s="1086"/>
      <c r="H543" s="1086"/>
      <c r="I543" s="1086"/>
      <c r="J543" s="1086"/>
      <c r="K543" s="1086"/>
      <c r="L543" s="1086"/>
      <c r="M543" s="1086"/>
      <c r="N543" s="1086"/>
      <c r="O543" s="1086"/>
      <c r="P543" s="1086"/>
      <c r="Q543" s="1086"/>
      <c r="R543" s="1086"/>
      <c r="S543" s="1086"/>
      <c r="T543" s="1086"/>
      <c r="U543" s="1086"/>
      <c r="V543" s="1086"/>
      <c r="W543" s="1086"/>
      <c r="X543" s="1086"/>
      <c r="Y543" s="1086"/>
      <c r="Z543" s="1086"/>
      <c r="AA543" s="1086"/>
      <c r="AB543" s="1086"/>
    </row>
    <row r="544">
      <c r="A544" s="1100"/>
      <c r="B544" s="1086"/>
      <c r="C544" s="1086"/>
      <c r="D544" s="1086"/>
      <c r="E544" s="1086"/>
      <c r="F544" s="1086"/>
      <c r="G544" s="1086"/>
      <c r="H544" s="1086"/>
      <c r="I544" s="1086"/>
      <c r="J544" s="1086"/>
      <c r="K544" s="1086"/>
      <c r="L544" s="1086"/>
      <c r="M544" s="1086"/>
      <c r="N544" s="1086"/>
      <c r="O544" s="1086"/>
      <c r="P544" s="1086"/>
      <c r="Q544" s="1086"/>
      <c r="R544" s="1086"/>
      <c r="S544" s="1086"/>
      <c r="T544" s="1086"/>
      <c r="U544" s="1086"/>
      <c r="V544" s="1086"/>
      <c r="W544" s="1086"/>
      <c r="X544" s="1086"/>
      <c r="Y544" s="1086"/>
      <c r="Z544" s="1086"/>
      <c r="AA544" s="1086"/>
      <c r="AB544" s="1086"/>
    </row>
    <row r="545">
      <c r="A545" s="1100"/>
      <c r="B545" s="1086"/>
      <c r="C545" s="1086"/>
      <c r="D545" s="1086"/>
      <c r="E545" s="1086"/>
      <c r="F545" s="1086"/>
      <c r="G545" s="1086"/>
      <c r="H545" s="1086"/>
      <c r="I545" s="1086"/>
      <c r="J545" s="1086"/>
      <c r="K545" s="1086"/>
      <c r="L545" s="1086"/>
      <c r="M545" s="1086"/>
      <c r="N545" s="1086"/>
      <c r="O545" s="1086"/>
      <c r="P545" s="1086"/>
      <c r="Q545" s="1086"/>
      <c r="R545" s="1086"/>
      <c r="S545" s="1086"/>
      <c r="T545" s="1086"/>
      <c r="U545" s="1086"/>
      <c r="V545" s="1086"/>
      <c r="W545" s="1086"/>
      <c r="X545" s="1086"/>
      <c r="Y545" s="1086"/>
      <c r="Z545" s="1086"/>
      <c r="AA545" s="1086"/>
      <c r="AB545" s="1086"/>
    </row>
    <row r="546">
      <c r="A546" s="1100"/>
      <c r="B546" s="1086"/>
      <c r="C546" s="1086"/>
      <c r="D546" s="1086"/>
      <c r="E546" s="1086"/>
      <c r="F546" s="1086"/>
      <c r="G546" s="1086"/>
      <c r="H546" s="1086"/>
      <c r="I546" s="1086"/>
      <c r="J546" s="1086"/>
      <c r="K546" s="1086"/>
      <c r="L546" s="1086"/>
      <c r="M546" s="1086"/>
      <c r="N546" s="1086"/>
      <c r="O546" s="1086"/>
      <c r="P546" s="1086"/>
      <c r="Q546" s="1086"/>
      <c r="R546" s="1086"/>
      <c r="S546" s="1086"/>
      <c r="T546" s="1086"/>
      <c r="U546" s="1086"/>
      <c r="V546" s="1086"/>
      <c r="W546" s="1086"/>
      <c r="X546" s="1086"/>
      <c r="Y546" s="1086"/>
      <c r="Z546" s="1086"/>
      <c r="AA546" s="1086"/>
      <c r="AB546" s="1086"/>
    </row>
    <row r="547">
      <c r="A547" s="1100"/>
      <c r="B547" s="1086"/>
      <c r="C547" s="1086"/>
      <c r="D547" s="1086"/>
      <c r="E547" s="1086"/>
      <c r="F547" s="1086"/>
      <c r="G547" s="1086"/>
      <c r="H547" s="1086"/>
      <c r="I547" s="1086"/>
      <c r="J547" s="1086"/>
      <c r="K547" s="1086"/>
      <c r="L547" s="1086"/>
      <c r="M547" s="1086"/>
      <c r="N547" s="1086"/>
      <c r="O547" s="1086"/>
      <c r="P547" s="1086"/>
      <c r="Q547" s="1086"/>
      <c r="R547" s="1086"/>
      <c r="S547" s="1086"/>
      <c r="T547" s="1086"/>
      <c r="U547" s="1086"/>
      <c r="V547" s="1086"/>
      <c r="W547" s="1086"/>
      <c r="X547" s="1086"/>
      <c r="Y547" s="1086"/>
      <c r="Z547" s="1086"/>
      <c r="AA547" s="1086"/>
      <c r="AB547" s="1086"/>
    </row>
    <row r="548">
      <c r="A548" s="1100"/>
      <c r="B548" s="1086"/>
      <c r="C548" s="1086"/>
      <c r="D548" s="1086"/>
      <c r="E548" s="1086"/>
      <c r="F548" s="1086"/>
      <c r="G548" s="1086"/>
      <c r="H548" s="1086"/>
      <c r="I548" s="1086"/>
      <c r="J548" s="1086"/>
      <c r="K548" s="1086"/>
      <c r="L548" s="1086"/>
      <c r="M548" s="1086"/>
      <c r="N548" s="1086"/>
      <c r="O548" s="1086"/>
      <c r="P548" s="1086"/>
      <c r="Q548" s="1086"/>
      <c r="R548" s="1086"/>
      <c r="S548" s="1086"/>
      <c r="T548" s="1086"/>
      <c r="U548" s="1086"/>
      <c r="V548" s="1086"/>
      <c r="W548" s="1086"/>
      <c r="X548" s="1086"/>
      <c r="Y548" s="1086"/>
      <c r="Z548" s="1086"/>
      <c r="AA548" s="1086"/>
      <c r="AB548" s="1086"/>
    </row>
    <row r="549">
      <c r="A549" s="1100"/>
      <c r="B549" s="1086"/>
      <c r="C549" s="1086"/>
      <c r="D549" s="1086"/>
      <c r="E549" s="1086"/>
      <c r="F549" s="1086"/>
      <c r="G549" s="1086"/>
      <c r="H549" s="1086"/>
      <c r="I549" s="1086"/>
      <c r="J549" s="1086"/>
      <c r="K549" s="1086"/>
      <c r="L549" s="1086"/>
      <c r="M549" s="1086"/>
      <c r="N549" s="1086"/>
      <c r="O549" s="1086"/>
      <c r="P549" s="1086"/>
      <c r="Q549" s="1086"/>
      <c r="R549" s="1086"/>
      <c r="S549" s="1086"/>
      <c r="T549" s="1086"/>
      <c r="U549" s="1086"/>
      <c r="V549" s="1086"/>
      <c r="W549" s="1086"/>
      <c r="X549" s="1086"/>
      <c r="Y549" s="1086"/>
      <c r="Z549" s="1086"/>
      <c r="AA549" s="1086"/>
      <c r="AB549" s="1086"/>
    </row>
    <row r="550">
      <c r="A550" s="1100"/>
      <c r="B550" s="1086"/>
      <c r="C550" s="1086"/>
      <c r="D550" s="1086"/>
      <c r="E550" s="1086"/>
      <c r="F550" s="1086"/>
      <c r="G550" s="1086"/>
      <c r="H550" s="1086"/>
      <c r="I550" s="1086"/>
      <c r="J550" s="1086"/>
      <c r="K550" s="1086"/>
      <c r="L550" s="1086"/>
      <c r="M550" s="1086"/>
      <c r="N550" s="1086"/>
      <c r="O550" s="1086"/>
      <c r="P550" s="1086"/>
      <c r="Q550" s="1086"/>
      <c r="R550" s="1086"/>
      <c r="S550" s="1086"/>
      <c r="T550" s="1086"/>
      <c r="U550" s="1086"/>
      <c r="V550" s="1086"/>
      <c r="W550" s="1086"/>
      <c r="X550" s="1086"/>
      <c r="Y550" s="1086"/>
      <c r="Z550" s="1086"/>
      <c r="AA550" s="1086"/>
      <c r="AB550" s="1086"/>
    </row>
    <row r="551">
      <c r="A551" s="1100"/>
      <c r="B551" s="1086"/>
      <c r="C551" s="1086"/>
      <c r="D551" s="1086"/>
      <c r="E551" s="1086"/>
      <c r="F551" s="1086"/>
      <c r="G551" s="1086"/>
      <c r="H551" s="1086"/>
      <c r="I551" s="1086"/>
      <c r="J551" s="1086"/>
      <c r="K551" s="1086"/>
      <c r="L551" s="1086"/>
      <c r="M551" s="1086"/>
      <c r="N551" s="1086"/>
      <c r="O551" s="1086"/>
      <c r="P551" s="1086"/>
      <c r="Q551" s="1086"/>
      <c r="R551" s="1086"/>
      <c r="S551" s="1086"/>
      <c r="T551" s="1086"/>
      <c r="U551" s="1086"/>
      <c r="V551" s="1086"/>
      <c r="W551" s="1086"/>
      <c r="X551" s="1086"/>
      <c r="Y551" s="1086"/>
      <c r="Z551" s="1086"/>
      <c r="AA551" s="1086"/>
      <c r="AB551" s="1086"/>
    </row>
    <row r="552">
      <c r="A552" s="1100"/>
      <c r="B552" s="1086"/>
      <c r="C552" s="1086"/>
      <c r="D552" s="1086"/>
      <c r="E552" s="1086"/>
      <c r="F552" s="1086"/>
      <c r="G552" s="1086"/>
      <c r="H552" s="1086"/>
      <c r="I552" s="1086"/>
      <c r="J552" s="1086"/>
      <c r="K552" s="1086"/>
      <c r="L552" s="1086"/>
      <c r="M552" s="1086"/>
      <c r="N552" s="1086"/>
      <c r="O552" s="1086"/>
      <c r="P552" s="1086"/>
      <c r="Q552" s="1086"/>
      <c r="R552" s="1086"/>
      <c r="S552" s="1086"/>
      <c r="T552" s="1086"/>
      <c r="U552" s="1086"/>
      <c r="V552" s="1086"/>
      <c r="W552" s="1086"/>
      <c r="X552" s="1086"/>
      <c r="Y552" s="1086"/>
      <c r="Z552" s="1086"/>
      <c r="AA552" s="1086"/>
      <c r="AB552" s="1086"/>
    </row>
    <row r="553">
      <c r="A553" s="1100"/>
      <c r="B553" s="1086"/>
      <c r="C553" s="1086"/>
      <c r="D553" s="1086"/>
      <c r="E553" s="1086"/>
      <c r="F553" s="1086"/>
      <c r="G553" s="1086"/>
      <c r="H553" s="1086"/>
      <c r="I553" s="1086"/>
      <c r="J553" s="1086"/>
      <c r="K553" s="1086"/>
      <c r="L553" s="1086"/>
      <c r="M553" s="1086"/>
      <c r="N553" s="1086"/>
      <c r="O553" s="1086"/>
      <c r="P553" s="1086"/>
      <c r="Q553" s="1086"/>
      <c r="R553" s="1086"/>
      <c r="S553" s="1086"/>
      <c r="T553" s="1086"/>
      <c r="U553" s="1086"/>
      <c r="V553" s="1086"/>
      <c r="W553" s="1086"/>
      <c r="X553" s="1086"/>
      <c r="Y553" s="1086"/>
      <c r="Z553" s="1086"/>
      <c r="AA553" s="1086"/>
      <c r="AB553" s="1086"/>
    </row>
    <row r="554">
      <c r="A554" s="1100"/>
      <c r="B554" s="1086"/>
      <c r="C554" s="1086"/>
      <c r="D554" s="1086"/>
      <c r="E554" s="1086"/>
      <c r="F554" s="1086"/>
      <c r="G554" s="1086"/>
      <c r="H554" s="1086"/>
      <c r="I554" s="1086"/>
      <c r="J554" s="1086"/>
      <c r="K554" s="1086"/>
      <c r="L554" s="1086"/>
      <c r="M554" s="1086"/>
      <c r="N554" s="1086"/>
      <c r="O554" s="1086"/>
      <c r="P554" s="1086"/>
      <c r="Q554" s="1086"/>
      <c r="R554" s="1086"/>
      <c r="S554" s="1086"/>
      <c r="T554" s="1086"/>
      <c r="U554" s="1086"/>
      <c r="V554" s="1086"/>
      <c r="W554" s="1086"/>
      <c r="X554" s="1086"/>
      <c r="Y554" s="1086"/>
      <c r="Z554" s="1086"/>
      <c r="AA554" s="1086"/>
      <c r="AB554" s="1086"/>
    </row>
    <row r="555">
      <c r="A555" s="1100"/>
      <c r="B555" s="1086"/>
      <c r="C555" s="1086"/>
      <c r="D555" s="1086"/>
      <c r="E555" s="1086"/>
      <c r="F555" s="1086"/>
      <c r="G555" s="1086"/>
      <c r="H555" s="1086"/>
      <c r="I555" s="1086"/>
      <c r="J555" s="1086"/>
      <c r="K555" s="1086"/>
      <c r="L555" s="1086"/>
      <c r="M555" s="1086"/>
      <c r="N555" s="1086"/>
      <c r="O555" s="1086"/>
      <c r="P555" s="1086"/>
      <c r="Q555" s="1086"/>
      <c r="R555" s="1086"/>
      <c r="S555" s="1086"/>
      <c r="T555" s="1086"/>
      <c r="U555" s="1086"/>
      <c r="V555" s="1086"/>
      <c r="W555" s="1086"/>
      <c r="X555" s="1086"/>
      <c r="Y555" s="1086"/>
      <c r="Z555" s="1086"/>
      <c r="AA555" s="1086"/>
      <c r="AB555" s="1086"/>
    </row>
    <row r="556">
      <c r="A556" s="1100"/>
      <c r="B556" s="1086"/>
      <c r="C556" s="1086"/>
      <c r="D556" s="1086"/>
      <c r="E556" s="1086"/>
      <c r="F556" s="1086"/>
      <c r="G556" s="1086"/>
      <c r="H556" s="1086"/>
      <c r="I556" s="1086"/>
      <c r="J556" s="1086"/>
      <c r="K556" s="1086"/>
      <c r="L556" s="1086"/>
      <c r="M556" s="1086"/>
      <c r="N556" s="1086"/>
      <c r="O556" s="1086"/>
      <c r="P556" s="1086"/>
      <c r="Q556" s="1086"/>
      <c r="R556" s="1086"/>
      <c r="S556" s="1086"/>
      <c r="T556" s="1086"/>
      <c r="U556" s="1086"/>
      <c r="V556" s="1086"/>
      <c r="W556" s="1086"/>
      <c r="X556" s="1086"/>
      <c r="Y556" s="1086"/>
      <c r="Z556" s="1086"/>
      <c r="AA556" s="1086"/>
      <c r="AB556" s="1086"/>
    </row>
    <row r="557">
      <c r="A557" s="1100"/>
      <c r="B557" s="1086"/>
      <c r="C557" s="1086"/>
      <c r="D557" s="1086"/>
      <c r="E557" s="1086"/>
      <c r="F557" s="1086"/>
      <c r="G557" s="1086"/>
      <c r="H557" s="1086"/>
      <c r="I557" s="1086"/>
      <c r="J557" s="1086"/>
      <c r="K557" s="1086"/>
      <c r="L557" s="1086"/>
      <c r="M557" s="1086"/>
      <c r="N557" s="1086"/>
      <c r="O557" s="1086"/>
      <c r="P557" s="1086"/>
      <c r="Q557" s="1086"/>
      <c r="R557" s="1086"/>
      <c r="S557" s="1086"/>
      <c r="T557" s="1086"/>
      <c r="U557" s="1086"/>
      <c r="V557" s="1086"/>
      <c r="W557" s="1086"/>
      <c r="X557" s="1086"/>
      <c r="Y557" s="1086"/>
      <c r="Z557" s="1086"/>
      <c r="AA557" s="1086"/>
      <c r="AB557" s="1086"/>
    </row>
    <row r="558">
      <c r="A558" s="1100"/>
      <c r="B558" s="1086"/>
      <c r="C558" s="1086"/>
      <c r="D558" s="1086"/>
      <c r="E558" s="1086"/>
      <c r="F558" s="1086"/>
      <c r="G558" s="1086"/>
      <c r="H558" s="1086"/>
      <c r="I558" s="1086"/>
      <c r="J558" s="1086"/>
      <c r="K558" s="1086"/>
      <c r="L558" s="1086"/>
      <c r="M558" s="1086"/>
      <c r="N558" s="1086"/>
      <c r="O558" s="1086"/>
      <c r="P558" s="1086"/>
      <c r="Q558" s="1086"/>
      <c r="R558" s="1086"/>
      <c r="S558" s="1086"/>
      <c r="T558" s="1086"/>
      <c r="U558" s="1086"/>
      <c r="V558" s="1086"/>
      <c r="W558" s="1086"/>
      <c r="X558" s="1086"/>
      <c r="Y558" s="1086"/>
      <c r="Z558" s="1086"/>
      <c r="AA558" s="1086"/>
      <c r="AB558" s="1086"/>
    </row>
    <row r="559">
      <c r="A559" s="1100"/>
      <c r="B559" s="1086"/>
      <c r="C559" s="1086"/>
      <c r="D559" s="1086"/>
      <c r="E559" s="1086"/>
      <c r="F559" s="1086"/>
      <c r="G559" s="1086"/>
      <c r="H559" s="1086"/>
      <c r="I559" s="1086"/>
      <c r="J559" s="1086"/>
      <c r="K559" s="1086"/>
      <c r="L559" s="1086"/>
      <c r="M559" s="1086"/>
      <c r="N559" s="1086"/>
      <c r="O559" s="1086"/>
      <c r="P559" s="1086"/>
      <c r="Q559" s="1086"/>
      <c r="R559" s="1086"/>
      <c r="S559" s="1086"/>
      <c r="T559" s="1086"/>
      <c r="U559" s="1086"/>
      <c r="V559" s="1086"/>
      <c r="W559" s="1086"/>
      <c r="X559" s="1086"/>
      <c r="Y559" s="1086"/>
      <c r="Z559" s="1086"/>
      <c r="AA559" s="1086"/>
      <c r="AB559" s="1086"/>
    </row>
    <row r="560">
      <c r="A560" s="1100"/>
      <c r="B560" s="1086"/>
      <c r="C560" s="1086"/>
      <c r="D560" s="1086"/>
      <c r="E560" s="1086"/>
      <c r="F560" s="1086"/>
      <c r="G560" s="1086"/>
      <c r="H560" s="1086"/>
      <c r="I560" s="1086"/>
      <c r="J560" s="1086"/>
      <c r="K560" s="1086"/>
      <c r="L560" s="1086"/>
      <c r="M560" s="1086"/>
      <c r="N560" s="1086"/>
      <c r="O560" s="1086"/>
      <c r="P560" s="1086"/>
      <c r="Q560" s="1086"/>
      <c r="R560" s="1086"/>
      <c r="S560" s="1086"/>
      <c r="T560" s="1086"/>
      <c r="U560" s="1086"/>
      <c r="V560" s="1086"/>
      <c r="W560" s="1086"/>
      <c r="X560" s="1086"/>
      <c r="Y560" s="1086"/>
      <c r="Z560" s="1086"/>
      <c r="AA560" s="1086"/>
      <c r="AB560" s="1086"/>
    </row>
    <row r="561">
      <c r="A561" s="1100"/>
      <c r="B561" s="1086"/>
      <c r="C561" s="1086"/>
      <c r="D561" s="1086"/>
      <c r="E561" s="1086"/>
      <c r="F561" s="1086"/>
      <c r="G561" s="1086"/>
      <c r="H561" s="1086"/>
      <c r="I561" s="1086"/>
      <c r="J561" s="1086"/>
      <c r="K561" s="1086"/>
      <c r="L561" s="1086"/>
      <c r="M561" s="1086"/>
      <c r="N561" s="1086"/>
      <c r="O561" s="1086"/>
      <c r="P561" s="1086"/>
      <c r="Q561" s="1086"/>
      <c r="R561" s="1086"/>
      <c r="S561" s="1086"/>
      <c r="T561" s="1086"/>
      <c r="U561" s="1086"/>
      <c r="V561" s="1086"/>
      <c r="W561" s="1086"/>
      <c r="X561" s="1086"/>
      <c r="Y561" s="1086"/>
      <c r="Z561" s="1086"/>
      <c r="AA561" s="1086"/>
      <c r="AB561" s="1086"/>
    </row>
    <row r="562">
      <c r="A562" s="1100"/>
      <c r="B562" s="1086"/>
      <c r="C562" s="1086"/>
      <c r="D562" s="1086"/>
      <c r="E562" s="1086"/>
      <c r="F562" s="1086"/>
      <c r="G562" s="1086"/>
      <c r="H562" s="1086"/>
      <c r="I562" s="1086"/>
      <c r="J562" s="1086"/>
      <c r="K562" s="1086"/>
      <c r="L562" s="1086"/>
      <c r="M562" s="1086"/>
      <c r="N562" s="1086"/>
      <c r="O562" s="1086"/>
      <c r="P562" s="1086"/>
      <c r="Q562" s="1086"/>
      <c r="R562" s="1086"/>
      <c r="S562" s="1086"/>
      <c r="T562" s="1086"/>
      <c r="U562" s="1086"/>
      <c r="V562" s="1086"/>
      <c r="W562" s="1086"/>
      <c r="X562" s="1086"/>
      <c r="Y562" s="1086"/>
      <c r="Z562" s="1086"/>
      <c r="AA562" s="1086"/>
      <c r="AB562" s="1086"/>
    </row>
    <row r="563">
      <c r="A563" s="1100"/>
      <c r="B563" s="1086"/>
      <c r="C563" s="1086"/>
      <c r="D563" s="1086"/>
      <c r="E563" s="1086"/>
      <c r="F563" s="1086"/>
      <c r="G563" s="1086"/>
      <c r="H563" s="1086"/>
      <c r="I563" s="1086"/>
      <c r="J563" s="1086"/>
      <c r="K563" s="1086"/>
      <c r="L563" s="1086"/>
      <c r="M563" s="1086"/>
      <c r="N563" s="1086"/>
      <c r="O563" s="1086"/>
      <c r="P563" s="1086"/>
      <c r="Q563" s="1086"/>
      <c r="R563" s="1086"/>
      <c r="S563" s="1086"/>
      <c r="T563" s="1086"/>
      <c r="U563" s="1086"/>
      <c r="V563" s="1086"/>
      <c r="W563" s="1086"/>
      <c r="X563" s="1086"/>
      <c r="Y563" s="1086"/>
      <c r="Z563" s="1086"/>
      <c r="AA563" s="1086"/>
      <c r="AB563" s="1086"/>
    </row>
    <row r="564">
      <c r="A564" s="1100"/>
      <c r="B564" s="1086"/>
      <c r="C564" s="1086"/>
      <c r="D564" s="1086"/>
      <c r="E564" s="1086"/>
      <c r="F564" s="1086"/>
      <c r="G564" s="1086"/>
      <c r="H564" s="1086"/>
      <c r="I564" s="1086"/>
      <c r="J564" s="1086"/>
      <c r="K564" s="1086"/>
      <c r="L564" s="1086"/>
      <c r="M564" s="1086"/>
      <c r="N564" s="1086"/>
      <c r="O564" s="1086"/>
      <c r="P564" s="1086"/>
      <c r="Q564" s="1086"/>
      <c r="R564" s="1086"/>
      <c r="S564" s="1086"/>
      <c r="T564" s="1086"/>
      <c r="U564" s="1086"/>
      <c r="V564" s="1086"/>
      <c r="W564" s="1086"/>
      <c r="X564" s="1086"/>
      <c r="Y564" s="1086"/>
      <c r="Z564" s="1086"/>
      <c r="AA564" s="1086"/>
      <c r="AB564" s="1086"/>
    </row>
    <row r="565">
      <c r="A565" s="1100"/>
      <c r="B565" s="1086"/>
      <c r="C565" s="1086"/>
      <c r="D565" s="1086"/>
      <c r="E565" s="1086"/>
      <c r="F565" s="1086"/>
      <c r="G565" s="1086"/>
      <c r="H565" s="1086"/>
      <c r="I565" s="1086"/>
      <c r="J565" s="1086"/>
      <c r="K565" s="1086"/>
      <c r="L565" s="1086"/>
      <c r="M565" s="1086"/>
      <c r="N565" s="1086"/>
      <c r="O565" s="1086"/>
      <c r="P565" s="1086"/>
      <c r="Q565" s="1086"/>
      <c r="R565" s="1086"/>
      <c r="S565" s="1086"/>
      <c r="T565" s="1086"/>
      <c r="U565" s="1086"/>
      <c r="V565" s="1086"/>
      <c r="W565" s="1086"/>
      <c r="X565" s="1086"/>
      <c r="Y565" s="1086"/>
      <c r="Z565" s="1086"/>
      <c r="AA565" s="1086"/>
      <c r="AB565" s="1086"/>
    </row>
    <row r="566">
      <c r="A566" s="1100"/>
      <c r="B566" s="1086"/>
      <c r="C566" s="1086"/>
      <c r="D566" s="1086"/>
      <c r="E566" s="1086"/>
      <c r="F566" s="1086"/>
      <c r="G566" s="1086"/>
      <c r="H566" s="1086"/>
      <c r="I566" s="1086"/>
      <c r="J566" s="1086"/>
      <c r="K566" s="1086"/>
      <c r="L566" s="1086"/>
      <c r="M566" s="1086"/>
      <c r="N566" s="1086"/>
      <c r="O566" s="1086"/>
      <c r="P566" s="1086"/>
      <c r="Q566" s="1086"/>
      <c r="R566" s="1086"/>
      <c r="S566" s="1086"/>
      <c r="T566" s="1086"/>
      <c r="U566" s="1086"/>
      <c r="V566" s="1086"/>
      <c r="W566" s="1086"/>
      <c r="X566" s="1086"/>
      <c r="Y566" s="1086"/>
      <c r="Z566" s="1086"/>
      <c r="AA566" s="1086"/>
      <c r="AB566" s="1086"/>
    </row>
    <row r="567">
      <c r="A567" s="1100"/>
      <c r="B567" s="1086"/>
      <c r="C567" s="1086"/>
      <c r="D567" s="1086"/>
      <c r="E567" s="1086"/>
      <c r="F567" s="1086"/>
      <c r="G567" s="1086"/>
      <c r="H567" s="1086"/>
      <c r="I567" s="1086"/>
      <c r="J567" s="1086"/>
      <c r="K567" s="1086"/>
      <c r="L567" s="1086"/>
      <c r="M567" s="1086"/>
      <c r="N567" s="1086"/>
      <c r="O567" s="1086"/>
      <c r="P567" s="1086"/>
      <c r="Q567" s="1086"/>
      <c r="R567" s="1086"/>
      <c r="S567" s="1086"/>
      <c r="T567" s="1086"/>
      <c r="U567" s="1086"/>
      <c r="V567" s="1086"/>
      <c r="W567" s="1086"/>
      <c r="X567" s="1086"/>
      <c r="Y567" s="1086"/>
      <c r="Z567" s="1086"/>
      <c r="AA567" s="1086"/>
      <c r="AB567" s="1086"/>
    </row>
    <row r="568">
      <c r="A568" s="1100"/>
      <c r="B568" s="1086"/>
      <c r="C568" s="1086"/>
      <c r="D568" s="1086"/>
      <c r="E568" s="1086"/>
      <c r="F568" s="1086"/>
      <c r="G568" s="1086"/>
      <c r="H568" s="1086"/>
      <c r="I568" s="1086"/>
      <c r="J568" s="1086"/>
      <c r="K568" s="1086"/>
      <c r="L568" s="1086"/>
      <c r="M568" s="1086"/>
      <c r="N568" s="1086"/>
      <c r="O568" s="1086"/>
      <c r="P568" s="1086"/>
      <c r="Q568" s="1086"/>
      <c r="R568" s="1086"/>
      <c r="S568" s="1086"/>
      <c r="T568" s="1086"/>
      <c r="U568" s="1086"/>
      <c r="V568" s="1086"/>
      <c r="W568" s="1086"/>
      <c r="X568" s="1086"/>
      <c r="Y568" s="1086"/>
      <c r="Z568" s="1086"/>
      <c r="AA568" s="1086"/>
      <c r="AB568" s="1086"/>
    </row>
    <row r="569">
      <c r="A569" s="1100"/>
      <c r="B569" s="1086"/>
      <c r="C569" s="1086"/>
      <c r="D569" s="1086"/>
      <c r="E569" s="1086"/>
      <c r="F569" s="1086"/>
      <c r="G569" s="1086"/>
      <c r="H569" s="1086"/>
      <c r="I569" s="1086"/>
      <c r="J569" s="1086"/>
      <c r="K569" s="1086"/>
      <c r="L569" s="1086"/>
      <c r="M569" s="1086"/>
      <c r="N569" s="1086"/>
      <c r="O569" s="1086"/>
      <c r="P569" s="1086"/>
      <c r="Q569" s="1086"/>
      <c r="R569" s="1086"/>
      <c r="S569" s="1086"/>
      <c r="T569" s="1086"/>
      <c r="U569" s="1086"/>
      <c r="V569" s="1086"/>
      <c r="W569" s="1086"/>
      <c r="X569" s="1086"/>
      <c r="Y569" s="1086"/>
      <c r="Z569" s="1086"/>
      <c r="AA569" s="1086"/>
      <c r="AB569" s="1086"/>
    </row>
    <row r="570">
      <c r="A570" s="1100"/>
      <c r="B570" s="1086"/>
      <c r="C570" s="1086"/>
      <c r="D570" s="1086"/>
      <c r="E570" s="1086"/>
      <c r="F570" s="1086"/>
      <c r="G570" s="1086"/>
      <c r="H570" s="1086"/>
      <c r="I570" s="1086"/>
      <c r="J570" s="1086"/>
      <c r="K570" s="1086"/>
      <c r="L570" s="1086"/>
      <c r="M570" s="1086"/>
      <c r="N570" s="1086"/>
      <c r="O570" s="1086"/>
      <c r="P570" s="1086"/>
      <c r="Q570" s="1086"/>
      <c r="R570" s="1086"/>
      <c r="S570" s="1086"/>
      <c r="T570" s="1086"/>
      <c r="U570" s="1086"/>
      <c r="V570" s="1086"/>
      <c r="W570" s="1086"/>
      <c r="X570" s="1086"/>
      <c r="Y570" s="1086"/>
      <c r="Z570" s="1086"/>
      <c r="AA570" s="1086"/>
      <c r="AB570" s="1086"/>
    </row>
    <row r="571">
      <c r="A571" s="1100"/>
      <c r="B571" s="1086"/>
      <c r="C571" s="1086"/>
      <c r="D571" s="1086"/>
      <c r="E571" s="1086"/>
      <c r="F571" s="1086"/>
      <c r="G571" s="1086"/>
      <c r="H571" s="1086"/>
      <c r="I571" s="1086"/>
      <c r="J571" s="1086"/>
      <c r="K571" s="1086"/>
      <c r="L571" s="1086"/>
      <c r="M571" s="1086"/>
      <c r="N571" s="1086"/>
      <c r="O571" s="1086"/>
      <c r="P571" s="1086"/>
      <c r="Q571" s="1086"/>
      <c r="R571" s="1086"/>
      <c r="S571" s="1086"/>
      <c r="T571" s="1086"/>
      <c r="U571" s="1086"/>
      <c r="V571" s="1086"/>
      <c r="W571" s="1086"/>
      <c r="X571" s="1086"/>
      <c r="Y571" s="1086"/>
      <c r="Z571" s="1086"/>
      <c r="AA571" s="1086"/>
      <c r="AB571" s="1086"/>
    </row>
    <row r="572">
      <c r="A572" s="1100"/>
      <c r="B572" s="1086"/>
      <c r="C572" s="1086"/>
      <c r="D572" s="1086"/>
      <c r="E572" s="1086"/>
      <c r="F572" s="1086"/>
      <c r="G572" s="1086"/>
      <c r="H572" s="1086"/>
      <c r="I572" s="1086"/>
      <c r="J572" s="1086"/>
      <c r="K572" s="1086"/>
      <c r="L572" s="1086"/>
      <c r="M572" s="1086"/>
      <c r="N572" s="1086"/>
      <c r="O572" s="1086"/>
      <c r="P572" s="1086"/>
      <c r="Q572" s="1086"/>
      <c r="R572" s="1086"/>
      <c r="S572" s="1086"/>
      <c r="T572" s="1086"/>
      <c r="U572" s="1086"/>
      <c r="V572" s="1086"/>
      <c r="W572" s="1086"/>
      <c r="X572" s="1086"/>
      <c r="Y572" s="1086"/>
      <c r="Z572" s="1086"/>
      <c r="AA572" s="1086"/>
      <c r="AB572" s="1086"/>
    </row>
    <row r="573">
      <c r="A573" s="1100"/>
      <c r="B573" s="1086"/>
      <c r="C573" s="1086"/>
      <c r="D573" s="1086"/>
      <c r="E573" s="1086"/>
      <c r="F573" s="1086"/>
      <c r="G573" s="1086"/>
      <c r="H573" s="1086"/>
      <c r="I573" s="1086"/>
      <c r="J573" s="1086"/>
      <c r="K573" s="1086"/>
      <c r="L573" s="1086"/>
      <c r="M573" s="1086"/>
      <c r="N573" s="1086"/>
      <c r="O573" s="1086"/>
      <c r="P573" s="1086"/>
      <c r="Q573" s="1086"/>
      <c r="R573" s="1086"/>
      <c r="S573" s="1086"/>
      <c r="T573" s="1086"/>
      <c r="U573" s="1086"/>
      <c r="V573" s="1086"/>
      <c r="W573" s="1086"/>
      <c r="X573" s="1086"/>
      <c r="Y573" s="1086"/>
      <c r="Z573" s="1086"/>
      <c r="AA573" s="1086"/>
      <c r="AB573" s="1086"/>
    </row>
    <row r="574">
      <c r="A574" s="1100"/>
      <c r="B574" s="1086"/>
      <c r="C574" s="1086"/>
      <c r="D574" s="1086"/>
      <c r="E574" s="1086"/>
      <c r="F574" s="1086"/>
      <c r="G574" s="1086"/>
      <c r="H574" s="1086"/>
      <c r="I574" s="1086"/>
      <c r="J574" s="1086"/>
      <c r="K574" s="1086"/>
      <c r="L574" s="1086"/>
      <c r="M574" s="1086"/>
      <c r="N574" s="1086"/>
      <c r="O574" s="1086"/>
      <c r="P574" s="1086"/>
      <c r="Q574" s="1086"/>
      <c r="R574" s="1086"/>
      <c r="S574" s="1086"/>
      <c r="T574" s="1086"/>
      <c r="U574" s="1086"/>
      <c r="V574" s="1086"/>
      <c r="W574" s="1086"/>
      <c r="X574" s="1086"/>
      <c r="Y574" s="1086"/>
      <c r="Z574" s="1086"/>
      <c r="AA574" s="1086"/>
      <c r="AB574" s="1086"/>
    </row>
    <row r="575">
      <c r="A575" s="1100"/>
      <c r="B575" s="1086"/>
      <c r="C575" s="1086"/>
      <c r="D575" s="1086"/>
      <c r="E575" s="1086"/>
      <c r="F575" s="1086"/>
      <c r="G575" s="1086"/>
      <c r="H575" s="1086"/>
      <c r="I575" s="1086"/>
      <c r="J575" s="1086"/>
      <c r="K575" s="1086"/>
      <c r="L575" s="1086"/>
      <c r="M575" s="1086"/>
      <c r="N575" s="1086"/>
      <c r="O575" s="1086"/>
      <c r="P575" s="1086"/>
      <c r="Q575" s="1086"/>
      <c r="R575" s="1086"/>
      <c r="S575" s="1086"/>
      <c r="T575" s="1086"/>
      <c r="U575" s="1086"/>
      <c r="V575" s="1086"/>
      <c r="W575" s="1086"/>
      <c r="X575" s="1086"/>
      <c r="Y575" s="1086"/>
      <c r="Z575" s="1086"/>
      <c r="AA575" s="1086"/>
      <c r="AB575" s="1086"/>
    </row>
    <row r="576">
      <c r="A576" s="1100"/>
      <c r="B576" s="1086"/>
      <c r="C576" s="1086"/>
      <c r="D576" s="1086"/>
      <c r="E576" s="1086"/>
      <c r="F576" s="1086"/>
      <c r="G576" s="1086"/>
      <c r="H576" s="1086"/>
      <c r="I576" s="1086"/>
      <c r="J576" s="1086"/>
      <c r="K576" s="1086"/>
      <c r="L576" s="1086"/>
      <c r="M576" s="1086"/>
      <c r="N576" s="1086"/>
      <c r="O576" s="1086"/>
      <c r="P576" s="1086"/>
      <c r="Q576" s="1086"/>
      <c r="R576" s="1086"/>
      <c r="S576" s="1086"/>
      <c r="T576" s="1086"/>
      <c r="U576" s="1086"/>
      <c r="V576" s="1086"/>
      <c r="W576" s="1086"/>
      <c r="X576" s="1086"/>
      <c r="Y576" s="1086"/>
      <c r="Z576" s="1086"/>
      <c r="AA576" s="1086"/>
      <c r="AB576" s="1086"/>
    </row>
    <row r="577">
      <c r="A577" s="1100"/>
      <c r="B577" s="1086"/>
      <c r="C577" s="1086"/>
      <c r="D577" s="1086"/>
      <c r="E577" s="1086"/>
      <c r="F577" s="1086"/>
      <c r="G577" s="1086"/>
      <c r="H577" s="1086"/>
      <c r="I577" s="1086"/>
      <c r="J577" s="1086"/>
      <c r="K577" s="1086"/>
      <c r="L577" s="1086"/>
      <c r="M577" s="1086"/>
      <c r="N577" s="1086"/>
      <c r="O577" s="1086"/>
      <c r="P577" s="1086"/>
      <c r="Q577" s="1086"/>
      <c r="R577" s="1086"/>
      <c r="S577" s="1086"/>
      <c r="T577" s="1086"/>
      <c r="U577" s="1086"/>
      <c r="V577" s="1086"/>
      <c r="W577" s="1086"/>
      <c r="X577" s="1086"/>
      <c r="Y577" s="1086"/>
      <c r="Z577" s="1086"/>
      <c r="AA577" s="1086"/>
      <c r="AB577" s="1086"/>
    </row>
    <row r="578">
      <c r="A578" s="1100"/>
      <c r="B578" s="1086"/>
      <c r="C578" s="1086"/>
      <c r="D578" s="1086"/>
      <c r="E578" s="1086"/>
      <c r="F578" s="1086"/>
      <c r="G578" s="1086"/>
      <c r="H578" s="1086"/>
      <c r="I578" s="1086"/>
      <c r="J578" s="1086"/>
      <c r="K578" s="1086"/>
      <c r="L578" s="1086"/>
      <c r="M578" s="1086"/>
      <c r="N578" s="1086"/>
      <c r="O578" s="1086"/>
      <c r="P578" s="1086"/>
      <c r="Q578" s="1086"/>
      <c r="R578" s="1086"/>
      <c r="S578" s="1086"/>
      <c r="T578" s="1086"/>
      <c r="U578" s="1086"/>
      <c r="V578" s="1086"/>
      <c r="W578" s="1086"/>
      <c r="X578" s="1086"/>
      <c r="Y578" s="1086"/>
      <c r="Z578" s="1086"/>
      <c r="AA578" s="1086"/>
      <c r="AB578" s="1086"/>
    </row>
    <row r="579">
      <c r="A579" s="1100"/>
      <c r="B579" s="1086"/>
      <c r="C579" s="1086"/>
      <c r="D579" s="1086"/>
      <c r="E579" s="1086"/>
      <c r="F579" s="1086"/>
      <c r="G579" s="1086"/>
      <c r="H579" s="1086"/>
      <c r="I579" s="1086"/>
      <c r="J579" s="1086"/>
      <c r="K579" s="1086"/>
      <c r="L579" s="1086"/>
      <c r="M579" s="1086"/>
      <c r="N579" s="1086"/>
      <c r="O579" s="1086"/>
      <c r="P579" s="1086"/>
      <c r="Q579" s="1086"/>
      <c r="R579" s="1086"/>
      <c r="S579" s="1086"/>
      <c r="T579" s="1086"/>
      <c r="U579" s="1086"/>
      <c r="V579" s="1086"/>
      <c r="W579" s="1086"/>
      <c r="X579" s="1086"/>
      <c r="Y579" s="1086"/>
      <c r="Z579" s="1086"/>
      <c r="AA579" s="1086"/>
      <c r="AB579" s="1086"/>
    </row>
    <row r="580">
      <c r="A580" s="1100"/>
      <c r="B580" s="1086"/>
      <c r="C580" s="1086"/>
      <c r="D580" s="1086"/>
      <c r="E580" s="1086"/>
      <c r="F580" s="1086"/>
      <c r="G580" s="1086"/>
      <c r="H580" s="1086"/>
      <c r="I580" s="1086"/>
      <c r="J580" s="1086"/>
      <c r="K580" s="1086"/>
      <c r="L580" s="1086"/>
      <c r="M580" s="1086"/>
      <c r="N580" s="1086"/>
      <c r="O580" s="1086"/>
      <c r="P580" s="1086"/>
      <c r="Q580" s="1086"/>
      <c r="R580" s="1086"/>
      <c r="S580" s="1086"/>
      <c r="T580" s="1086"/>
      <c r="U580" s="1086"/>
      <c r="V580" s="1086"/>
      <c r="W580" s="1086"/>
      <c r="X580" s="1086"/>
      <c r="Y580" s="1086"/>
      <c r="Z580" s="1086"/>
      <c r="AA580" s="1086"/>
      <c r="AB580" s="1086"/>
    </row>
    <row r="581">
      <c r="A581" s="1100"/>
      <c r="B581" s="1086"/>
      <c r="C581" s="1086"/>
      <c r="D581" s="1086"/>
      <c r="E581" s="1086"/>
      <c r="F581" s="1086"/>
      <c r="G581" s="1086"/>
      <c r="H581" s="1086"/>
      <c r="I581" s="1086"/>
      <c r="J581" s="1086"/>
      <c r="K581" s="1086"/>
      <c r="L581" s="1086"/>
      <c r="M581" s="1086"/>
      <c r="N581" s="1086"/>
      <c r="O581" s="1086"/>
      <c r="P581" s="1086"/>
      <c r="Q581" s="1086"/>
      <c r="R581" s="1086"/>
      <c r="S581" s="1086"/>
      <c r="T581" s="1086"/>
      <c r="U581" s="1086"/>
      <c r="V581" s="1086"/>
      <c r="W581" s="1086"/>
      <c r="X581" s="1086"/>
      <c r="Y581" s="1086"/>
      <c r="Z581" s="1086"/>
      <c r="AA581" s="1086"/>
      <c r="AB581" s="1086"/>
    </row>
    <row r="582">
      <c r="A582" s="1100"/>
      <c r="B582" s="1086"/>
      <c r="C582" s="1086"/>
      <c r="D582" s="1086"/>
      <c r="E582" s="1086"/>
      <c r="F582" s="1086"/>
      <c r="G582" s="1086"/>
      <c r="H582" s="1086"/>
      <c r="I582" s="1086"/>
      <c r="J582" s="1086"/>
      <c r="K582" s="1086"/>
      <c r="L582" s="1086"/>
      <c r="M582" s="1086"/>
      <c r="N582" s="1086"/>
      <c r="O582" s="1086"/>
      <c r="P582" s="1086"/>
      <c r="Q582" s="1086"/>
      <c r="R582" s="1086"/>
      <c r="S582" s="1086"/>
      <c r="T582" s="1086"/>
      <c r="U582" s="1086"/>
      <c r="V582" s="1086"/>
      <c r="W582" s="1086"/>
      <c r="X582" s="1086"/>
      <c r="Y582" s="1086"/>
      <c r="Z582" s="1086"/>
      <c r="AA582" s="1086"/>
      <c r="AB582" s="1086"/>
    </row>
    <row r="583">
      <c r="A583" s="1100"/>
      <c r="B583" s="1086"/>
      <c r="C583" s="1086"/>
      <c r="D583" s="1086"/>
      <c r="E583" s="1086"/>
      <c r="F583" s="1086"/>
      <c r="G583" s="1086"/>
      <c r="H583" s="1086"/>
      <c r="I583" s="1086"/>
      <c r="J583" s="1086"/>
      <c r="K583" s="1086"/>
      <c r="L583" s="1086"/>
      <c r="M583" s="1086"/>
      <c r="N583" s="1086"/>
      <c r="O583" s="1086"/>
      <c r="P583" s="1086"/>
      <c r="Q583" s="1086"/>
      <c r="R583" s="1086"/>
      <c r="S583" s="1086"/>
      <c r="T583" s="1086"/>
      <c r="U583" s="1086"/>
      <c r="V583" s="1086"/>
      <c r="W583" s="1086"/>
      <c r="X583" s="1086"/>
      <c r="Y583" s="1086"/>
      <c r="Z583" s="1086"/>
      <c r="AA583" s="1086"/>
      <c r="AB583" s="1086"/>
    </row>
    <row r="584">
      <c r="A584" s="1100"/>
      <c r="B584" s="1086"/>
      <c r="C584" s="1086"/>
      <c r="D584" s="1086"/>
      <c r="E584" s="1086"/>
      <c r="F584" s="1086"/>
      <c r="G584" s="1086"/>
      <c r="H584" s="1086"/>
      <c r="I584" s="1086"/>
      <c r="J584" s="1086"/>
      <c r="K584" s="1086"/>
      <c r="L584" s="1086"/>
      <c r="M584" s="1086"/>
      <c r="N584" s="1086"/>
      <c r="O584" s="1086"/>
      <c r="P584" s="1086"/>
      <c r="Q584" s="1086"/>
      <c r="R584" s="1086"/>
      <c r="S584" s="1086"/>
      <c r="T584" s="1086"/>
      <c r="U584" s="1086"/>
      <c r="V584" s="1086"/>
      <c r="W584" s="1086"/>
      <c r="X584" s="1086"/>
      <c r="Y584" s="1086"/>
      <c r="Z584" s="1086"/>
      <c r="AA584" s="1086"/>
      <c r="AB584" s="1086"/>
    </row>
    <row r="585">
      <c r="A585" s="1100"/>
      <c r="B585" s="1086"/>
      <c r="C585" s="1086"/>
      <c r="D585" s="1086"/>
      <c r="E585" s="1086"/>
      <c r="F585" s="1086"/>
      <c r="G585" s="1086"/>
      <c r="H585" s="1086"/>
      <c r="I585" s="1086"/>
      <c r="J585" s="1086"/>
      <c r="K585" s="1086"/>
      <c r="L585" s="1086"/>
      <c r="M585" s="1086"/>
      <c r="N585" s="1086"/>
      <c r="O585" s="1086"/>
      <c r="P585" s="1086"/>
      <c r="Q585" s="1086"/>
      <c r="R585" s="1086"/>
      <c r="S585" s="1086"/>
      <c r="T585" s="1086"/>
      <c r="U585" s="1086"/>
      <c r="V585" s="1086"/>
      <c r="W585" s="1086"/>
      <c r="X585" s="1086"/>
      <c r="Y585" s="1086"/>
      <c r="Z585" s="1086"/>
      <c r="AA585" s="1086"/>
      <c r="AB585" s="1086"/>
    </row>
    <row r="586">
      <c r="A586" s="1100"/>
      <c r="B586" s="1086"/>
      <c r="C586" s="1086"/>
      <c r="D586" s="1086"/>
      <c r="E586" s="1086"/>
      <c r="F586" s="1086"/>
      <c r="G586" s="1086"/>
      <c r="H586" s="1086"/>
      <c r="I586" s="1086"/>
      <c r="J586" s="1086"/>
      <c r="K586" s="1086"/>
      <c r="L586" s="1086"/>
      <c r="M586" s="1086"/>
      <c r="N586" s="1086"/>
      <c r="O586" s="1086"/>
      <c r="P586" s="1086"/>
      <c r="Q586" s="1086"/>
      <c r="R586" s="1086"/>
      <c r="S586" s="1086"/>
      <c r="T586" s="1086"/>
      <c r="U586" s="1086"/>
      <c r="V586" s="1086"/>
      <c r="W586" s="1086"/>
      <c r="X586" s="1086"/>
      <c r="Y586" s="1086"/>
      <c r="Z586" s="1086"/>
      <c r="AA586" s="1086"/>
      <c r="AB586" s="1086"/>
    </row>
    <row r="587">
      <c r="A587" s="1100"/>
      <c r="B587" s="1086"/>
      <c r="C587" s="1086"/>
      <c r="D587" s="1086"/>
      <c r="E587" s="1086"/>
      <c r="F587" s="1086"/>
      <c r="G587" s="1086"/>
      <c r="H587" s="1086"/>
      <c r="I587" s="1086"/>
      <c r="J587" s="1086"/>
      <c r="K587" s="1086"/>
      <c r="L587" s="1086"/>
      <c r="M587" s="1086"/>
      <c r="N587" s="1086"/>
      <c r="O587" s="1086"/>
      <c r="P587" s="1086"/>
      <c r="Q587" s="1086"/>
      <c r="R587" s="1086"/>
      <c r="S587" s="1086"/>
      <c r="T587" s="1086"/>
      <c r="U587" s="1086"/>
      <c r="V587" s="1086"/>
      <c r="W587" s="1086"/>
      <c r="X587" s="1086"/>
      <c r="Y587" s="1086"/>
      <c r="Z587" s="1086"/>
      <c r="AA587" s="1086"/>
      <c r="AB587" s="1086"/>
    </row>
    <row r="588">
      <c r="A588" s="1100"/>
      <c r="B588" s="1086"/>
      <c r="C588" s="1086"/>
      <c r="D588" s="1086"/>
      <c r="E588" s="1086"/>
      <c r="F588" s="1086"/>
      <c r="G588" s="1086"/>
      <c r="H588" s="1086"/>
      <c r="I588" s="1086"/>
      <c r="J588" s="1086"/>
      <c r="K588" s="1086"/>
      <c r="L588" s="1086"/>
      <c r="M588" s="1086"/>
      <c r="N588" s="1086"/>
      <c r="O588" s="1086"/>
      <c r="P588" s="1086"/>
      <c r="Q588" s="1086"/>
      <c r="R588" s="1086"/>
      <c r="S588" s="1086"/>
      <c r="T588" s="1086"/>
      <c r="U588" s="1086"/>
      <c r="V588" s="1086"/>
      <c r="W588" s="1086"/>
      <c r="X588" s="1086"/>
      <c r="Y588" s="1086"/>
      <c r="Z588" s="1086"/>
      <c r="AA588" s="1086"/>
      <c r="AB588" s="1086"/>
    </row>
    <row r="589">
      <c r="A589" s="1100"/>
      <c r="B589" s="1086"/>
      <c r="C589" s="1086"/>
      <c r="D589" s="1086"/>
      <c r="E589" s="1086"/>
      <c r="F589" s="1086"/>
      <c r="G589" s="1086"/>
      <c r="H589" s="1086"/>
      <c r="I589" s="1086"/>
      <c r="J589" s="1086"/>
      <c r="K589" s="1086"/>
      <c r="L589" s="1086"/>
      <c r="M589" s="1086"/>
      <c r="N589" s="1086"/>
      <c r="O589" s="1086"/>
      <c r="P589" s="1086"/>
      <c r="Q589" s="1086"/>
      <c r="R589" s="1086"/>
      <c r="S589" s="1086"/>
      <c r="T589" s="1086"/>
      <c r="U589" s="1086"/>
      <c r="V589" s="1086"/>
      <c r="W589" s="1086"/>
      <c r="X589" s="1086"/>
      <c r="Y589" s="1086"/>
      <c r="Z589" s="1086"/>
      <c r="AA589" s="1086"/>
      <c r="AB589" s="1086"/>
    </row>
    <row r="590">
      <c r="A590" s="1100"/>
      <c r="B590" s="1086"/>
      <c r="C590" s="1086"/>
      <c r="D590" s="1086"/>
      <c r="E590" s="1086"/>
      <c r="F590" s="1086"/>
      <c r="G590" s="1086"/>
      <c r="H590" s="1086"/>
      <c r="I590" s="1086"/>
      <c r="J590" s="1086"/>
      <c r="K590" s="1086"/>
      <c r="L590" s="1086"/>
      <c r="M590" s="1086"/>
      <c r="N590" s="1086"/>
      <c r="O590" s="1086"/>
      <c r="P590" s="1086"/>
      <c r="Q590" s="1086"/>
      <c r="R590" s="1086"/>
      <c r="S590" s="1086"/>
      <c r="T590" s="1086"/>
      <c r="U590" s="1086"/>
      <c r="V590" s="1086"/>
      <c r="W590" s="1086"/>
      <c r="X590" s="1086"/>
      <c r="Y590" s="1086"/>
      <c r="Z590" s="1086"/>
      <c r="AA590" s="1086"/>
      <c r="AB590" s="1086"/>
    </row>
    <row r="591">
      <c r="A591" s="1100"/>
      <c r="B591" s="1086"/>
      <c r="C591" s="1086"/>
      <c r="D591" s="1086"/>
      <c r="E591" s="1086"/>
      <c r="F591" s="1086"/>
      <c r="G591" s="1086"/>
      <c r="H591" s="1086"/>
      <c r="I591" s="1086"/>
      <c r="J591" s="1086"/>
      <c r="K591" s="1086"/>
      <c r="L591" s="1086"/>
      <c r="M591" s="1086"/>
      <c r="N591" s="1086"/>
      <c r="O591" s="1086"/>
      <c r="P591" s="1086"/>
      <c r="Q591" s="1086"/>
      <c r="R591" s="1086"/>
      <c r="S591" s="1086"/>
      <c r="T591" s="1086"/>
      <c r="U591" s="1086"/>
      <c r="V591" s="1086"/>
      <c r="W591" s="1086"/>
      <c r="X591" s="1086"/>
      <c r="Y591" s="1086"/>
      <c r="Z591" s="1086"/>
      <c r="AA591" s="1086"/>
      <c r="AB591" s="1086"/>
    </row>
    <row r="592">
      <c r="A592" s="1100"/>
      <c r="B592" s="1086"/>
      <c r="C592" s="1086"/>
      <c r="D592" s="1086"/>
      <c r="E592" s="1086"/>
      <c r="F592" s="1086"/>
      <c r="G592" s="1086"/>
      <c r="H592" s="1086"/>
      <c r="I592" s="1086"/>
      <c r="J592" s="1086"/>
      <c r="K592" s="1086"/>
      <c r="L592" s="1086"/>
      <c r="M592" s="1086"/>
      <c r="N592" s="1086"/>
      <c r="O592" s="1086"/>
      <c r="P592" s="1086"/>
      <c r="Q592" s="1086"/>
      <c r="R592" s="1086"/>
      <c r="S592" s="1086"/>
      <c r="T592" s="1086"/>
      <c r="U592" s="1086"/>
      <c r="V592" s="1086"/>
      <c r="W592" s="1086"/>
      <c r="X592" s="1086"/>
      <c r="Y592" s="1086"/>
      <c r="Z592" s="1086"/>
      <c r="AA592" s="1086"/>
      <c r="AB592" s="1086"/>
    </row>
    <row r="593">
      <c r="A593" s="1100"/>
      <c r="B593" s="1086"/>
      <c r="C593" s="1086"/>
      <c r="D593" s="1086"/>
      <c r="E593" s="1086"/>
      <c r="F593" s="1086"/>
      <c r="G593" s="1086"/>
      <c r="H593" s="1086"/>
      <c r="I593" s="1086"/>
      <c r="J593" s="1086"/>
      <c r="K593" s="1086"/>
      <c r="L593" s="1086"/>
      <c r="M593" s="1086"/>
      <c r="N593" s="1086"/>
      <c r="O593" s="1086"/>
      <c r="P593" s="1086"/>
      <c r="Q593" s="1086"/>
      <c r="R593" s="1086"/>
      <c r="S593" s="1086"/>
      <c r="T593" s="1086"/>
      <c r="U593" s="1086"/>
      <c r="V593" s="1086"/>
      <c r="W593" s="1086"/>
      <c r="X593" s="1086"/>
      <c r="Y593" s="1086"/>
      <c r="Z593" s="1086"/>
      <c r="AA593" s="1086"/>
      <c r="AB593" s="1086"/>
    </row>
    <row r="594">
      <c r="A594" s="1100"/>
      <c r="B594" s="1086"/>
      <c r="C594" s="1086"/>
      <c r="D594" s="1086"/>
      <c r="E594" s="1086"/>
      <c r="F594" s="1086"/>
      <c r="G594" s="1086"/>
      <c r="H594" s="1086"/>
      <c r="I594" s="1086"/>
      <c r="J594" s="1086"/>
      <c r="K594" s="1086"/>
      <c r="L594" s="1086"/>
      <c r="M594" s="1086"/>
      <c r="N594" s="1086"/>
      <c r="O594" s="1086"/>
      <c r="P594" s="1086"/>
      <c r="Q594" s="1086"/>
      <c r="R594" s="1086"/>
      <c r="S594" s="1086"/>
      <c r="T594" s="1086"/>
      <c r="U594" s="1086"/>
      <c r="V594" s="1086"/>
      <c r="W594" s="1086"/>
      <c r="X594" s="1086"/>
      <c r="Y594" s="1086"/>
      <c r="Z594" s="1086"/>
      <c r="AA594" s="1086"/>
      <c r="AB594" s="1086"/>
    </row>
    <row r="595">
      <c r="A595" s="1100"/>
      <c r="B595" s="1086"/>
      <c r="C595" s="1086"/>
      <c r="D595" s="1086"/>
      <c r="E595" s="1086"/>
      <c r="F595" s="1086"/>
      <c r="G595" s="1086"/>
      <c r="H595" s="1086"/>
      <c r="I595" s="1086"/>
      <c r="J595" s="1086"/>
      <c r="K595" s="1086"/>
      <c r="L595" s="1086"/>
      <c r="M595" s="1086"/>
      <c r="N595" s="1086"/>
      <c r="O595" s="1086"/>
      <c r="P595" s="1086"/>
      <c r="Q595" s="1086"/>
      <c r="R595" s="1086"/>
      <c r="S595" s="1086"/>
      <c r="T595" s="1086"/>
      <c r="U595" s="1086"/>
      <c r="V595" s="1086"/>
      <c r="W595" s="1086"/>
      <c r="X595" s="1086"/>
      <c r="Y595" s="1086"/>
      <c r="Z595" s="1086"/>
      <c r="AA595" s="1086"/>
      <c r="AB595" s="1086"/>
    </row>
    <row r="596">
      <c r="A596" s="1100"/>
      <c r="B596" s="1086"/>
      <c r="C596" s="1086"/>
      <c r="D596" s="1086"/>
      <c r="E596" s="1086"/>
      <c r="F596" s="1086"/>
      <c r="G596" s="1086"/>
      <c r="H596" s="1086"/>
      <c r="I596" s="1086"/>
      <c r="J596" s="1086"/>
      <c r="K596" s="1086"/>
      <c r="L596" s="1086"/>
      <c r="M596" s="1086"/>
      <c r="N596" s="1086"/>
      <c r="O596" s="1086"/>
      <c r="P596" s="1086"/>
      <c r="Q596" s="1086"/>
      <c r="R596" s="1086"/>
      <c r="S596" s="1086"/>
      <c r="T596" s="1086"/>
      <c r="U596" s="1086"/>
      <c r="V596" s="1086"/>
      <c r="W596" s="1086"/>
      <c r="X596" s="1086"/>
      <c r="Y596" s="1086"/>
      <c r="Z596" s="1086"/>
      <c r="AA596" s="1086"/>
      <c r="AB596" s="1086"/>
    </row>
    <row r="597">
      <c r="A597" s="1100"/>
      <c r="B597" s="1086"/>
      <c r="C597" s="1086"/>
      <c r="D597" s="1086"/>
      <c r="E597" s="1086"/>
      <c r="F597" s="1086"/>
      <c r="G597" s="1086"/>
      <c r="H597" s="1086"/>
      <c r="I597" s="1086"/>
      <c r="J597" s="1086"/>
      <c r="K597" s="1086"/>
      <c r="L597" s="1086"/>
      <c r="M597" s="1086"/>
      <c r="N597" s="1086"/>
      <c r="O597" s="1086"/>
      <c r="P597" s="1086"/>
      <c r="Q597" s="1086"/>
      <c r="R597" s="1086"/>
      <c r="S597" s="1086"/>
      <c r="T597" s="1086"/>
      <c r="U597" s="1086"/>
      <c r="V597" s="1086"/>
      <c r="W597" s="1086"/>
      <c r="X597" s="1086"/>
      <c r="Y597" s="1086"/>
      <c r="Z597" s="1086"/>
      <c r="AA597" s="1086"/>
      <c r="AB597" s="1086"/>
    </row>
    <row r="598">
      <c r="A598" s="1100"/>
      <c r="B598" s="1086"/>
      <c r="C598" s="1086"/>
      <c r="D598" s="1086"/>
      <c r="E598" s="1086"/>
      <c r="F598" s="1086"/>
      <c r="G598" s="1086"/>
      <c r="H598" s="1086"/>
      <c r="I598" s="1086"/>
      <c r="J598" s="1086"/>
      <c r="K598" s="1086"/>
      <c r="L598" s="1086"/>
      <c r="M598" s="1086"/>
      <c r="N598" s="1086"/>
      <c r="O598" s="1086"/>
      <c r="P598" s="1086"/>
      <c r="Q598" s="1086"/>
      <c r="R598" s="1086"/>
      <c r="S598" s="1086"/>
      <c r="T598" s="1086"/>
      <c r="U598" s="1086"/>
      <c r="V598" s="1086"/>
      <c r="W598" s="1086"/>
      <c r="X598" s="1086"/>
      <c r="Y598" s="1086"/>
      <c r="Z598" s="1086"/>
      <c r="AA598" s="1086"/>
      <c r="AB598" s="1086"/>
    </row>
    <row r="599">
      <c r="A599" s="1100"/>
      <c r="B599" s="1086"/>
      <c r="C599" s="1086"/>
      <c r="D599" s="1086"/>
      <c r="E599" s="1086"/>
      <c r="F599" s="1086"/>
      <c r="G599" s="1086"/>
      <c r="H599" s="1086"/>
      <c r="I599" s="1086"/>
      <c r="J599" s="1086"/>
      <c r="K599" s="1086"/>
      <c r="L599" s="1086"/>
      <c r="M599" s="1086"/>
      <c r="N599" s="1086"/>
      <c r="O599" s="1086"/>
      <c r="P599" s="1086"/>
      <c r="Q599" s="1086"/>
      <c r="R599" s="1086"/>
      <c r="S599" s="1086"/>
      <c r="T599" s="1086"/>
      <c r="U599" s="1086"/>
      <c r="V599" s="1086"/>
      <c r="W599" s="1086"/>
      <c r="X599" s="1086"/>
      <c r="Y599" s="1086"/>
      <c r="Z599" s="1086"/>
      <c r="AA599" s="1086"/>
      <c r="AB599" s="1086"/>
    </row>
    <row r="600">
      <c r="A600" s="1100"/>
      <c r="B600" s="1086"/>
      <c r="C600" s="1086"/>
      <c r="D600" s="1086"/>
      <c r="E600" s="1086"/>
      <c r="F600" s="1086"/>
      <c r="G600" s="1086"/>
      <c r="H600" s="1086"/>
      <c r="I600" s="1086"/>
      <c r="J600" s="1086"/>
      <c r="K600" s="1086"/>
      <c r="L600" s="1086"/>
      <c r="M600" s="1086"/>
      <c r="N600" s="1086"/>
      <c r="O600" s="1086"/>
      <c r="P600" s="1086"/>
      <c r="Q600" s="1086"/>
      <c r="R600" s="1086"/>
      <c r="S600" s="1086"/>
      <c r="T600" s="1086"/>
      <c r="U600" s="1086"/>
      <c r="V600" s="1086"/>
      <c r="W600" s="1086"/>
      <c r="X600" s="1086"/>
      <c r="Y600" s="1086"/>
      <c r="Z600" s="1086"/>
      <c r="AA600" s="1086"/>
      <c r="AB600" s="1086"/>
    </row>
    <row r="601">
      <c r="A601" s="1100"/>
      <c r="B601" s="1086"/>
      <c r="C601" s="1086"/>
      <c r="D601" s="1086"/>
      <c r="E601" s="1086"/>
      <c r="F601" s="1086"/>
      <c r="G601" s="1086"/>
      <c r="H601" s="1086"/>
      <c r="I601" s="1086"/>
      <c r="J601" s="1086"/>
      <c r="K601" s="1086"/>
      <c r="L601" s="1086"/>
      <c r="M601" s="1086"/>
      <c r="N601" s="1086"/>
      <c r="O601" s="1086"/>
      <c r="P601" s="1086"/>
      <c r="Q601" s="1086"/>
      <c r="R601" s="1086"/>
      <c r="S601" s="1086"/>
      <c r="T601" s="1086"/>
      <c r="U601" s="1086"/>
      <c r="V601" s="1086"/>
      <c r="W601" s="1086"/>
      <c r="X601" s="1086"/>
      <c r="Y601" s="1086"/>
      <c r="Z601" s="1086"/>
      <c r="AA601" s="1086"/>
      <c r="AB601" s="1086"/>
    </row>
    <row r="602">
      <c r="A602" s="1100"/>
      <c r="B602" s="1086"/>
      <c r="C602" s="1086"/>
      <c r="D602" s="1086"/>
      <c r="E602" s="1086"/>
      <c r="F602" s="1086"/>
      <c r="G602" s="1086"/>
      <c r="H602" s="1086"/>
      <c r="I602" s="1086"/>
      <c r="J602" s="1086"/>
      <c r="K602" s="1086"/>
      <c r="L602" s="1086"/>
      <c r="M602" s="1086"/>
      <c r="N602" s="1086"/>
      <c r="O602" s="1086"/>
      <c r="P602" s="1086"/>
      <c r="Q602" s="1086"/>
      <c r="R602" s="1086"/>
      <c r="S602" s="1086"/>
      <c r="T602" s="1086"/>
      <c r="U602" s="1086"/>
      <c r="V602" s="1086"/>
      <c r="W602" s="1086"/>
      <c r="X602" s="1086"/>
      <c r="Y602" s="1086"/>
      <c r="Z602" s="1086"/>
      <c r="AA602" s="1086"/>
      <c r="AB602" s="1086"/>
    </row>
    <row r="603">
      <c r="A603" s="1100"/>
      <c r="B603" s="1086"/>
      <c r="C603" s="1086"/>
      <c r="D603" s="1086"/>
      <c r="E603" s="1086"/>
      <c r="F603" s="1086"/>
      <c r="G603" s="1086"/>
      <c r="H603" s="1086"/>
      <c r="I603" s="1086"/>
      <c r="J603" s="1086"/>
      <c r="K603" s="1086"/>
      <c r="L603" s="1086"/>
      <c r="M603" s="1086"/>
      <c r="N603" s="1086"/>
      <c r="O603" s="1086"/>
      <c r="P603" s="1086"/>
      <c r="Q603" s="1086"/>
      <c r="R603" s="1086"/>
      <c r="S603" s="1086"/>
      <c r="T603" s="1086"/>
      <c r="U603" s="1086"/>
      <c r="V603" s="1086"/>
      <c r="W603" s="1086"/>
      <c r="X603" s="1086"/>
      <c r="Y603" s="1086"/>
      <c r="Z603" s="1086"/>
      <c r="AA603" s="1086"/>
      <c r="AB603" s="1086"/>
    </row>
    <row r="604">
      <c r="A604" s="1100"/>
      <c r="B604" s="1086"/>
      <c r="C604" s="1086"/>
      <c r="D604" s="1086"/>
      <c r="E604" s="1086"/>
      <c r="F604" s="1086"/>
      <c r="G604" s="1086"/>
      <c r="H604" s="1086"/>
      <c r="I604" s="1086"/>
      <c r="J604" s="1086"/>
      <c r="K604" s="1086"/>
      <c r="L604" s="1086"/>
      <c r="M604" s="1086"/>
      <c r="N604" s="1086"/>
      <c r="O604" s="1086"/>
      <c r="P604" s="1086"/>
      <c r="Q604" s="1086"/>
      <c r="R604" s="1086"/>
      <c r="S604" s="1086"/>
      <c r="T604" s="1086"/>
      <c r="U604" s="1086"/>
      <c r="V604" s="1086"/>
      <c r="W604" s="1086"/>
      <c r="X604" s="1086"/>
      <c r="Y604" s="1086"/>
      <c r="Z604" s="1086"/>
      <c r="AA604" s="1086"/>
      <c r="AB604" s="1086"/>
    </row>
    <row r="605">
      <c r="A605" s="1100"/>
      <c r="B605" s="1086"/>
      <c r="C605" s="1086"/>
      <c r="D605" s="1086"/>
      <c r="E605" s="1086"/>
      <c r="F605" s="1086"/>
      <c r="G605" s="1086"/>
      <c r="H605" s="1086"/>
      <c r="I605" s="1086"/>
      <c r="J605" s="1086"/>
      <c r="K605" s="1086"/>
      <c r="L605" s="1086"/>
      <c r="M605" s="1086"/>
      <c r="N605" s="1086"/>
      <c r="O605" s="1086"/>
      <c r="P605" s="1086"/>
      <c r="Q605" s="1086"/>
      <c r="R605" s="1086"/>
      <c r="S605" s="1086"/>
      <c r="T605" s="1086"/>
      <c r="U605" s="1086"/>
      <c r="V605" s="1086"/>
      <c r="W605" s="1086"/>
      <c r="X605" s="1086"/>
      <c r="Y605" s="1086"/>
      <c r="Z605" s="1086"/>
      <c r="AA605" s="1086"/>
      <c r="AB605" s="1086"/>
    </row>
    <row r="606">
      <c r="A606" s="1100"/>
      <c r="B606" s="1086"/>
      <c r="C606" s="1086"/>
      <c r="D606" s="1086"/>
      <c r="E606" s="1086"/>
      <c r="F606" s="1086"/>
      <c r="G606" s="1086"/>
      <c r="H606" s="1086"/>
      <c r="I606" s="1086"/>
      <c r="J606" s="1086"/>
      <c r="K606" s="1086"/>
      <c r="L606" s="1086"/>
      <c r="M606" s="1086"/>
      <c r="N606" s="1086"/>
      <c r="O606" s="1086"/>
      <c r="P606" s="1086"/>
      <c r="Q606" s="1086"/>
      <c r="R606" s="1086"/>
      <c r="S606" s="1086"/>
      <c r="T606" s="1086"/>
      <c r="U606" s="1086"/>
      <c r="V606" s="1086"/>
      <c r="W606" s="1086"/>
      <c r="X606" s="1086"/>
      <c r="Y606" s="1086"/>
      <c r="Z606" s="1086"/>
      <c r="AA606" s="1086"/>
      <c r="AB606" s="1086"/>
    </row>
    <row r="607">
      <c r="A607" s="1100"/>
      <c r="B607" s="1086"/>
      <c r="C607" s="1086"/>
      <c r="D607" s="1086"/>
      <c r="E607" s="1086"/>
      <c r="F607" s="1086"/>
      <c r="G607" s="1086"/>
      <c r="H607" s="1086"/>
      <c r="I607" s="1086"/>
      <c r="J607" s="1086"/>
      <c r="K607" s="1086"/>
      <c r="L607" s="1086"/>
      <c r="M607" s="1086"/>
      <c r="N607" s="1086"/>
      <c r="O607" s="1086"/>
      <c r="P607" s="1086"/>
      <c r="Q607" s="1086"/>
      <c r="R607" s="1086"/>
      <c r="S607" s="1086"/>
      <c r="T607" s="1086"/>
      <c r="U607" s="1086"/>
      <c r="V607" s="1086"/>
      <c r="W607" s="1086"/>
      <c r="X607" s="1086"/>
      <c r="Y607" s="1086"/>
      <c r="Z607" s="1086"/>
      <c r="AA607" s="1086"/>
      <c r="AB607" s="1086"/>
    </row>
    <row r="608">
      <c r="A608" s="1100"/>
      <c r="B608" s="1086"/>
      <c r="C608" s="1086"/>
      <c r="D608" s="1086"/>
      <c r="E608" s="1086"/>
      <c r="F608" s="1086"/>
      <c r="G608" s="1086"/>
      <c r="H608" s="1086"/>
      <c r="I608" s="1086"/>
      <c r="J608" s="1086"/>
      <c r="K608" s="1086"/>
      <c r="L608" s="1086"/>
      <c r="M608" s="1086"/>
      <c r="N608" s="1086"/>
      <c r="O608" s="1086"/>
      <c r="P608" s="1086"/>
      <c r="Q608" s="1086"/>
      <c r="R608" s="1086"/>
      <c r="S608" s="1086"/>
      <c r="T608" s="1086"/>
      <c r="U608" s="1086"/>
      <c r="V608" s="1086"/>
      <c r="W608" s="1086"/>
      <c r="X608" s="1086"/>
      <c r="Y608" s="1086"/>
      <c r="Z608" s="1086"/>
      <c r="AA608" s="1086"/>
      <c r="AB608" s="1086"/>
    </row>
    <row r="609">
      <c r="A609" s="1100"/>
      <c r="B609" s="1086"/>
      <c r="C609" s="1086"/>
      <c r="D609" s="1086"/>
      <c r="E609" s="1086"/>
      <c r="F609" s="1086"/>
      <c r="G609" s="1086"/>
      <c r="H609" s="1086"/>
      <c r="I609" s="1086"/>
      <c r="J609" s="1086"/>
      <c r="K609" s="1086"/>
      <c r="L609" s="1086"/>
      <c r="M609" s="1086"/>
      <c r="N609" s="1086"/>
      <c r="O609" s="1086"/>
      <c r="P609" s="1086"/>
      <c r="Q609" s="1086"/>
      <c r="R609" s="1086"/>
      <c r="S609" s="1086"/>
      <c r="T609" s="1086"/>
      <c r="U609" s="1086"/>
      <c r="V609" s="1086"/>
      <c r="W609" s="1086"/>
      <c r="X609" s="1086"/>
      <c r="Y609" s="1086"/>
      <c r="Z609" s="1086"/>
      <c r="AA609" s="1086"/>
      <c r="AB609" s="1086"/>
    </row>
    <row r="610">
      <c r="A610" s="1100"/>
      <c r="B610" s="1086"/>
      <c r="C610" s="1086"/>
      <c r="D610" s="1086"/>
      <c r="E610" s="1086"/>
      <c r="F610" s="1086"/>
      <c r="G610" s="1086"/>
      <c r="H610" s="1086"/>
      <c r="I610" s="1086"/>
      <c r="J610" s="1086"/>
      <c r="K610" s="1086"/>
      <c r="L610" s="1086"/>
      <c r="M610" s="1086"/>
      <c r="N610" s="1086"/>
      <c r="O610" s="1086"/>
      <c r="P610" s="1086"/>
      <c r="Q610" s="1086"/>
      <c r="R610" s="1086"/>
      <c r="S610" s="1086"/>
      <c r="T610" s="1086"/>
      <c r="U610" s="1086"/>
      <c r="V610" s="1086"/>
      <c r="W610" s="1086"/>
      <c r="X610" s="1086"/>
      <c r="Y610" s="1086"/>
      <c r="Z610" s="1086"/>
      <c r="AA610" s="1086"/>
      <c r="AB610" s="1086"/>
    </row>
    <row r="611">
      <c r="A611" s="1100"/>
      <c r="B611" s="1086"/>
      <c r="C611" s="1086"/>
      <c r="D611" s="1086"/>
      <c r="E611" s="1086"/>
      <c r="F611" s="1086"/>
      <c r="G611" s="1086"/>
      <c r="H611" s="1086"/>
      <c r="I611" s="1086"/>
      <c r="J611" s="1086"/>
      <c r="K611" s="1086"/>
      <c r="L611" s="1086"/>
      <c r="M611" s="1086"/>
      <c r="N611" s="1086"/>
      <c r="O611" s="1086"/>
      <c r="P611" s="1086"/>
      <c r="Q611" s="1086"/>
      <c r="R611" s="1086"/>
      <c r="S611" s="1086"/>
      <c r="T611" s="1086"/>
      <c r="U611" s="1086"/>
      <c r="V611" s="1086"/>
      <c r="W611" s="1086"/>
      <c r="X611" s="1086"/>
      <c r="Y611" s="1086"/>
      <c r="Z611" s="1086"/>
      <c r="AA611" s="1086"/>
      <c r="AB611" s="1086"/>
    </row>
    <row r="612">
      <c r="A612" s="1100"/>
      <c r="B612" s="1086"/>
      <c r="C612" s="1086"/>
      <c r="D612" s="1086"/>
      <c r="E612" s="1086"/>
      <c r="F612" s="1086"/>
      <c r="G612" s="1086"/>
      <c r="H612" s="1086"/>
      <c r="I612" s="1086"/>
      <c r="J612" s="1086"/>
      <c r="K612" s="1086"/>
      <c r="L612" s="1086"/>
      <c r="M612" s="1086"/>
      <c r="N612" s="1086"/>
      <c r="O612" s="1086"/>
      <c r="P612" s="1086"/>
      <c r="Q612" s="1086"/>
      <c r="R612" s="1086"/>
      <c r="S612" s="1086"/>
      <c r="T612" s="1086"/>
      <c r="U612" s="1086"/>
      <c r="V612" s="1086"/>
      <c r="W612" s="1086"/>
      <c r="X612" s="1086"/>
      <c r="Y612" s="1086"/>
      <c r="Z612" s="1086"/>
      <c r="AA612" s="1086"/>
      <c r="AB612" s="1086"/>
    </row>
    <row r="613">
      <c r="A613" s="1100"/>
      <c r="B613" s="1086"/>
      <c r="C613" s="1086"/>
      <c r="D613" s="1086"/>
      <c r="E613" s="1086"/>
      <c r="F613" s="1086"/>
      <c r="G613" s="1086"/>
      <c r="H613" s="1086"/>
      <c r="I613" s="1086"/>
      <c r="J613" s="1086"/>
      <c r="K613" s="1086"/>
      <c r="L613" s="1086"/>
      <c r="M613" s="1086"/>
      <c r="N613" s="1086"/>
      <c r="O613" s="1086"/>
      <c r="P613" s="1086"/>
      <c r="Q613" s="1086"/>
      <c r="R613" s="1086"/>
      <c r="S613" s="1086"/>
      <c r="T613" s="1086"/>
      <c r="U613" s="1086"/>
      <c r="V613" s="1086"/>
      <c r="W613" s="1086"/>
      <c r="X613" s="1086"/>
      <c r="Y613" s="1086"/>
      <c r="Z613" s="1086"/>
      <c r="AA613" s="1086"/>
      <c r="AB613" s="1086"/>
    </row>
    <row r="614">
      <c r="A614" s="1100"/>
      <c r="B614" s="1086"/>
      <c r="C614" s="1086"/>
      <c r="D614" s="1086"/>
      <c r="E614" s="1086"/>
      <c r="F614" s="1086"/>
      <c r="G614" s="1086"/>
      <c r="H614" s="1086"/>
      <c r="I614" s="1086"/>
      <c r="J614" s="1086"/>
      <c r="K614" s="1086"/>
      <c r="L614" s="1086"/>
      <c r="M614" s="1086"/>
      <c r="N614" s="1086"/>
      <c r="O614" s="1086"/>
      <c r="P614" s="1086"/>
      <c r="Q614" s="1086"/>
      <c r="R614" s="1086"/>
      <c r="S614" s="1086"/>
      <c r="T614" s="1086"/>
      <c r="U614" s="1086"/>
      <c r="V614" s="1086"/>
      <c r="W614" s="1086"/>
      <c r="X614" s="1086"/>
      <c r="Y614" s="1086"/>
      <c r="Z614" s="1086"/>
      <c r="AA614" s="1086"/>
      <c r="AB614" s="1086"/>
    </row>
    <row r="615">
      <c r="A615" s="1100"/>
      <c r="B615" s="1086"/>
      <c r="C615" s="1086"/>
      <c r="D615" s="1086"/>
      <c r="E615" s="1086"/>
      <c r="F615" s="1086"/>
      <c r="G615" s="1086"/>
      <c r="H615" s="1086"/>
      <c r="I615" s="1086"/>
      <c r="J615" s="1086"/>
      <c r="K615" s="1086"/>
      <c r="L615" s="1086"/>
      <c r="M615" s="1086"/>
      <c r="N615" s="1086"/>
      <c r="O615" s="1086"/>
      <c r="P615" s="1086"/>
      <c r="Q615" s="1086"/>
      <c r="R615" s="1086"/>
      <c r="S615" s="1086"/>
      <c r="T615" s="1086"/>
      <c r="U615" s="1086"/>
      <c r="V615" s="1086"/>
      <c r="W615" s="1086"/>
      <c r="X615" s="1086"/>
      <c r="Y615" s="1086"/>
      <c r="Z615" s="1086"/>
      <c r="AA615" s="1086"/>
      <c r="AB615" s="1086"/>
    </row>
    <row r="616">
      <c r="A616" s="1100"/>
      <c r="B616" s="1086"/>
      <c r="C616" s="1086"/>
      <c r="D616" s="1086"/>
      <c r="E616" s="1086"/>
      <c r="F616" s="1086"/>
      <c r="G616" s="1086"/>
      <c r="H616" s="1086"/>
      <c r="I616" s="1086"/>
      <c r="J616" s="1086"/>
      <c r="K616" s="1086"/>
      <c r="L616" s="1086"/>
      <c r="M616" s="1086"/>
      <c r="N616" s="1086"/>
      <c r="O616" s="1086"/>
      <c r="P616" s="1086"/>
      <c r="Q616" s="1086"/>
      <c r="R616" s="1086"/>
      <c r="S616" s="1086"/>
      <c r="T616" s="1086"/>
      <c r="U616" s="1086"/>
      <c r="V616" s="1086"/>
      <c r="W616" s="1086"/>
      <c r="X616" s="1086"/>
      <c r="Y616" s="1086"/>
      <c r="Z616" s="1086"/>
      <c r="AA616" s="1086"/>
      <c r="AB616" s="1086"/>
    </row>
    <row r="617">
      <c r="A617" s="1100"/>
      <c r="B617" s="1086"/>
      <c r="C617" s="1086"/>
      <c r="D617" s="1086"/>
      <c r="E617" s="1086"/>
      <c r="F617" s="1086"/>
      <c r="G617" s="1086"/>
      <c r="H617" s="1086"/>
      <c r="I617" s="1086"/>
      <c r="J617" s="1086"/>
      <c r="K617" s="1086"/>
      <c r="L617" s="1086"/>
      <c r="M617" s="1086"/>
      <c r="N617" s="1086"/>
      <c r="O617" s="1086"/>
      <c r="P617" s="1086"/>
      <c r="Q617" s="1086"/>
      <c r="R617" s="1086"/>
      <c r="S617" s="1086"/>
      <c r="T617" s="1086"/>
      <c r="U617" s="1086"/>
      <c r="V617" s="1086"/>
      <c r="W617" s="1086"/>
      <c r="X617" s="1086"/>
      <c r="Y617" s="1086"/>
      <c r="Z617" s="1086"/>
      <c r="AA617" s="1086"/>
      <c r="AB617" s="1086"/>
    </row>
    <row r="618">
      <c r="A618" s="1100"/>
      <c r="B618" s="1086"/>
      <c r="C618" s="1086"/>
      <c r="D618" s="1086"/>
      <c r="E618" s="1086"/>
      <c r="F618" s="1086"/>
      <c r="G618" s="1086"/>
      <c r="H618" s="1086"/>
      <c r="I618" s="1086"/>
      <c r="J618" s="1086"/>
      <c r="K618" s="1086"/>
      <c r="L618" s="1086"/>
      <c r="M618" s="1086"/>
      <c r="N618" s="1086"/>
      <c r="O618" s="1086"/>
      <c r="P618" s="1086"/>
      <c r="Q618" s="1086"/>
      <c r="R618" s="1086"/>
      <c r="S618" s="1086"/>
      <c r="T618" s="1086"/>
      <c r="U618" s="1086"/>
      <c r="V618" s="1086"/>
      <c r="W618" s="1086"/>
      <c r="X618" s="1086"/>
      <c r="Y618" s="1086"/>
      <c r="Z618" s="1086"/>
      <c r="AA618" s="1086"/>
      <c r="AB618" s="1086"/>
    </row>
    <row r="619">
      <c r="A619" s="1100"/>
      <c r="B619" s="1086"/>
      <c r="C619" s="1086"/>
      <c r="D619" s="1086"/>
      <c r="E619" s="1086"/>
      <c r="F619" s="1086"/>
      <c r="G619" s="1086"/>
      <c r="H619" s="1086"/>
      <c r="I619" s="1086"/>
      <c r="J619" s="1086"/>
      <c r="K619" s="1086"/>
      <c r="L619" s="1086"/>
      <c r="M619" s="1086"/>
      <c r="N619" s="1086"/>
      <c r="O619" s="1086"/>
      <c r="P619" s="1086"/>
      <c r="Q619" s="1086"/>
      <c r="R619" s="1086"/>
      <c r="S619" s="1086"/>
      <c r="T619" s="1086"/>
      <c r="U619" s="1086"/>
      <c r="V619" s="1086"/>
      <c r="W619" s="1086"/>
      <c r="X619" s="1086"/>
      <c r="Y619" s="1086"/>
      <c r="Z619" s="1086"/>
      <c r="AA619" s="1086"/>
      <c r="AB619" s="1086"/>
    </row>
    <row r="620">
      <c r="A620" s="1100"/>
      <c r="B620" s="1086"/>
      <c r="C620" s="1086"/>
      <c r="D620" s="1086"/>
      <c r="E620" s="1086"/>
      <c r="F620" s="1086"/>
      <c r="G620" s="1086"/>
      <c r="H620" s="1086"/>
      <c r="I620" s="1086"/>
      <c r="J620" s="1086"/>
      <c r="K620" s="1086"/>
      <c r="L620" s="1086"/>
      <c r="M620" s="1086"/>
      <c r="N620" s="1086"/>
      <c r="O620" s="1086"/>
      <c r="P620" s="1086"/>
      <c r="Q620" s="1086"/>
      <c r="R620" s="1086"/>
      <c r="S620" s="1086"/>
      <c r="T620" s="1086"/>
      <c r="U620" s="1086"/>
      <c r="V620" s="1086"/>
      <c r="W620" s="1086"/>
      <c r="X620" s="1086"/>
      <c r="Y620" s="1086"/>
      <c r="Z620" s="1086"/>
      <c r="AA620" s="1086"/>
      <c r="AB620" s="1086"/>
    </row>
    <row r="621">
      <c r="A621" s="1100"/>
      <c r="B621" s="1086"/>
      <c r="C621" s="1086"/>
      <c r="D621" s="1086"/>
      <c r="E621" s="1086"/>
      <c r="F621" s="1086"/>
      <c r="G621" s="1086"/>
      <c r="H621" s="1086"/>
      <c r="I621" s="1086"/>
      <c r="J621" s="1086"/>
      <c r="K621" s="1086"/>
      <c r="L621" s="1086"/>
      <c r="M621" s="1086"/>
      <c r="N621" s="1086"/>
      <c r="O621" s="1086"/>
      <c r="P621" s="1086"/>
      <c r="Q621" s="1086"/>
      <c r="R621" s="1086"/>
      <c r="S621" s="1086"/>
      <c r="T621" s="1086"/>
      <c r="U621" s="1086"/>
      <c r="V621" s="1086"/>
      <c r="W621" s="1086"/>
      <c r="X621" s="1086"/>
      <c r="Y621" s="1086"/>
      <c r="Z621" s="1086"/>
      <c r="AA621" s="1086"/>
      <c r="AB621" s="1086"/>
    </row>
    <row r="622">
      <c r="A622" s="1100"/>
      <c r="B622" s="1086"/>
      <c r="C622" s="1086"/>
      <c r="D622" s="1086"/>
      <c r="E622" s="1086"/>
      <c r="F622" s="1086"/>
      <c r="G622" s="1086"/>
      <c r="H622" s="1086"/>
      <c r="I622" s="1086"/>
      <c r="J622" s="1086"/>
      <c r="K622" s="1086"/>
      <c r="L622" s="1086"/>
      <c r="M622" s="1086"/>
      <c r="N622" s="1086"/>
      <c r="O622" s="1086"/>
      <c r="P622" s="1086"/>
      <c r="Q622" s="1086"/>
      <c r="R622" s="1086"/>
      <c r="S622" s="1086"/>
      <c r="T622" s="1086"/>
      <c r="U622" s="1086"/>
      <c r="V622" s="1086"/>
      <c r="W622" s="1086"/>
      <c r="X622" s="1086"/>
      <c r="Y622" s="1086"/>
      <c r="Z622" s="1086"/>
      <c r="AA622" s="1086"/>
      <c r="AB622" s="1086"/>
    </row>
    <row r="623">
      <c r="A623" s="1100"/>
      <c r="B623" s="1086"/>
      <c r="C623" s="1086"/>
      <c r="D623" s="1086"/>
      <c r="E623" s="1086"/>
      <c r="F623" s="1086"/>
      <c r="G623" s="1086"/>
      <c r="H623" s="1086"/>
      <c r="I623" s="1086"/>
      <c r="J623" s="1086"/>
      <c r="K623" s="1086"/>
      <c r="L623" s="1086"/>
      <c r="M623" s="1086"/>
      <c r="N623" s="1086"/>
      <c r="O623" s="1086"/>
      <c r="P623" s="1086"/>
      <c r="Q623" s="1086"/>
      <c r="R623" s="1086"/>
      <c r="S623" s="1086"/>
      <c r="T623" s="1086"/>
      <c r="U623" s="1086"/>
      <c r="V623" s="1086"/>
      <c r="W623" s="1086"/>
      <c r="X623" s="1086"/>
      <c r="Y623" s="1086"/>
      <c r="Z623" s="1086"/>
      <c r="AA623" s="1086"/>
      <c r="AB623" s="1086"/>
    </row>
    <row r="624">
      <c r="A624" s="1100"/>
      <c r="B624" s="1086"/>
      <c r="C624" s="1086"/>
      <c r="D624" s="1086"/>
      <c r="E624" s="1086"/>
      <c r="F624" s="1086"/>
      <c r="G624" s="1086"/>
      <c r="H624" s="1086"/>
      <c r="I624" s="1086"/>
      <c r="J624" s="1086"/>
      <c r="K624" s="1086"/>
      <c r="L624" s="1086"/>
      <c r="M624" s="1086"/>
      <c r="N624" s="1086"/>
      <c r="O624" s="1086"/>
      <c r="P624" s="1086"/>
      <c r="Q624" s="1086"/>
      <c r="R624" s="1086"/>
      <c r="S624" s="1086"/>
      <c r="T624" s="1086"/>
      <c r="U624" s="1086"/>
      <c r="V624" s="1086"/>
      <c r="W624" s="1086"/>
      <c r="X624" s="1086"/>
      <c r="Y624" s="1086"/>
      <c r="Z624" s="1086"/>
      <c r="AA624" s="1086"/>
      <c r="AB624" s="1086"/>
    </row>
    <row r="625">
      <c r="A625" s="1100"/>
      <c r="B625" s="1086"/>
      <c r="C625" s="1086"/>
      <c r="D625" s="1086"/>
      <c r="E625" s="1086"/>
      <c r="F625" s="1086"/>
      <c r="G625" s="1086"/>
      <c r="H625" s="1086"/>
      <c r="I625" s="1086"/>
      <c r="J625" s="1086"/>
      <c r="K625" s="1086"/>
      <c r="L625" s="1086"/>
      <c r="M625" s="1086"/>
      <c r="N625" s="1086"/>
      <c r="O625" s="1086"/>
      <c r="P625" s="1086"/>
      <c r="Q625" s="1086"/>
      <c r="R625" s="1086"/>
      <c r="S625" s="1086"/>
      <c r="T625" s="1086"/>
      <c r="U625" s="1086"/>
      <c r="V625" s="1086"/>
      <c r="W625" s="1086"/>
      <c r="X625" s="1086"/>
      <c r="Y625" s="1086"/>
      <c r="Z625" s="1086"/>
      <c r="AA625" s="1086"/>
      <c r="AB625" s="1086"/>
    </row>
    <row r="626">
      <c r="A626" s="1100"/>
      <c r="B626" s="1086"/>
      <c r="C626" s="1086"/>
      <c r="D626" s="1086"/>
      <c r="E626" s="1086"/>
      <c r="F626" s="1086"/>
      <c r="G626" s="1086"/>
      <c r="H626" s="1086"/>
      <c r="I626" s="1086"/>
      <c r="J626" s="1086"/>
      <c r="K626" s="1086"/>
      <c r="L626" s="1086"/>
      <c r="M626" s="1086"/>
      <c r="N626" s="1086"/>
      <c r="O626" s="1086"/>
      <c r="P626" s="1086"/>
      <c r="Q626" s="1086"/>
      <c r="R626" s="1086"/>
      <c r="S626" s="1086"/>
      <c r="T626" s="1086"/>
      <c r="U626" s="1086"/>
      <c r="V626" s="1086"/>
      <c r="W626" s="1086"/>
      <c r="X626" s="1086"/>
      <c r="Y626" s="1086"/>
      <c r="Z626" s="1086"/>
      <c r="AA626" s="1086"/>
      <c r="AB626" s="1086"/>
    </row>
    <row r="627">
      <c r="A627" s="1100"/>
      <c r="B627" s="1086"/>
      <c r="C627" s="1086"/>
      <c r="D627" s="1086"/>
      <c r="E627" s="1086"/>
      <c r="F627" s="1086"/>
      <c r="G627" s="1086"/>
      <c r="H627" s="1086"/>
      <c r="I627" s="1086"/>
      <c r="J627" s="1086"/>
      <c r="K627" s="1086"/>
      <c r="L627" s="1086"/>
      <c r="M627" s="1086"/>
      <c r="N627" s="1086"/>
      <c r="O627" s="1086"/>
      <c r="P627" s="1086"/>
      <c r="Q627" s="1086"/>
      <c r="R627" s="1086"/>
      <c r="S627" s="1086"/>
      <c r="T627" s="1086"/>
      <c r="U627" s="1086"/>
      <c r="V627" s="1086"/>
      <c r="W627" s="1086"/>
      <c r="X627" s="1086"/>
      <c r="Y627" s="1086"/>
      <c r="Z627" s="1086"/>
      <c r="AA627" s="1086"/>
      <c r="AB627" s="1086"/>
    </row>
    <row r="628">
      <c r="A628" s="1100"/>
      <c r="B628" s="1086"/>
      <c r="C628" s="1086"/>
      <c r="D628" s="1086"/>
      <c r="E628" s="1086"/>
      <c r="F628" s="1086"/>
      <c r="G628" s="1086"/>
      <c r="H628" s="1086"/>
      <c r="I628" s="1086"/>
      <c r="J628" s="1086"/>
      <c r="K628" s="1086"/>
      <c r="L628" s="1086"/>
      <c r="M628" s="1086"/>
      <c r="N628" s="1086"/>
      <c r="O628" s="1086"/>
      <c r="P628" s="1086"/>
      <c r="Q628" s="1086"/>
      <c r="R628" s="1086"/>
      <c r="S628" s="1086"/>
      <c r="T628" s="1086"/>
      <c r="U628" s="1086"/>
      <c r="V628" s="1086"/>
      <c r="W628" s="1086"/>
      <c r="X628" s="1086"/>
      <c r="Y628" s="1086"/>
      <c r="Z628" s="1086"/>
      <c r="AA628" s="1086"/>
      <c r="AB628" s="1086"/>
    </row>
    <row r="629">
      <c r="A629" s="1100"/>
      <c r="B629" s="1086"/>
      <c r="C629" s="1086"/>
      <c r="D629" s="1086"/>
      <c r="E629" s="1086"/>
      <c r="F629" s="1086"/>
      <c r="G629" s="1086"/>
      <c r="H629" s="1086"/>
      <c r="I629" s="1086"/>
      <c r="J629" s="1086"/>
      <c r="K629" s="1086"/>
      <c r="L629" s="1086"/>
      <c r="M629" s="1086"/>
      <c r="N629" s="1086"/>
      <c r="O629" s="1086"/>
      <c r="P629" s="1086"/>
      <c r="Q629" s="1086"/>
      <c r="R629" s="1086"/>
      <c r="S629" s="1086"/>
      <c r="T629" s="1086"/>
      <c r="U629" s="1086"/>
      <c r="V629" s="1086"/>
      <c r="W629" s="1086"/>
      <c r="X629" s="1086"/>
      <c r="Y629" s="1086"/>
      <c r="Z629" s="1086"/>
      <c r="AA629" s="1086"/>
      <c r="AB629" s="1086"/>
    </row>
    <row r="630">
      <c r="A630" s="1100"/>
      <c r="B630" s="1086"/>
      <c r="C630" s="1086"/>
      <c r="D630" s="1086"/>
      <c r="E630" s="1086"/>
      <c r="F630" s="1086"/>
      <c r="G630" s="1086"/>
      <c r="H630" s="1086"/>
      <c r="I630" s="1086"/>
      <c r="J630" s="1086"/>
      <c r="K630" s="1086"/>
      <c r="L630" s="1086"/>
      <c r="M630" s="1086"/>
      <c r="N630" s="1086"/>
      <c r="O630" s="1086"/>
      <c r="P630" s="1086"/>
      <c r="Q630" s="1086"/>
      <c r="R630" s="1086"/>
      <c r="S630" s="1086"/>
      <c r="T630" s="1086"/>
      <c r="U630" s="1086"/>
      <c r="V630" s="1086"/>
      <c r="W630" s="1086"/>
      <c r="X630" s="1086"/>
      <c r="Y630" s="1086"/>
      <c r="Z630" s="1086"/>
      <c r="AA630" s="1086"/>
      <c r="AB630" s="1086"/>
    </row>
    <row r="631">
      <c r="A631" s="1100"/>
      <c r="B631" s="1086"/>
      <c r="C631" s="1086"/>
      <c r="D631" s="1086"/>
      <c r="E631" s="1086"/>
      <c r="F631" s="1086"/>
      <c r="G631" s="1086"/>
      <c r="H631" s="1086"/>
      <c r="I631" s="1086"/>
      <c r="J631" s="1086"/>
      <c r="K631" s="1086"/>
      <c r="L631" s="1086"/>
      <c r="M631" s="1086"/>
      <c r="N631" s="1086"/>
      <c r="O631" s="1086"/>
      <c r="P631" s="1086"/>
      <c r="Q631" s="1086"/>
      <c r="R631" s="1086"/>
      <c r="S631" s="1086"/>
      <c r="T631" s="1086"/>
      <c r="U631" s="1086"/>
      <c r="V631" s="1086"/>
      <c r="W631" s="1086"/>
      <c r="X631" s="1086"/>
      <c r="Y631" s="1086"/>
      <c r="Z631" s="1086"/>
      <c r="AA631" s="1086"/>
      <c r="AB631" s="1086"/>
    </row>
    <row r="632">
      <c r="A632" s="1100"/>
      <c r="B632" s="1086"/>
      <c r="C632" s="1086"/>
      <c r="D632" s="1086"/>
      <c r="E632" s="1086"/>
      <c r="F632" s="1086"/>
      <c r="G632" s="1086"/>
      <c r="H632" s="1086"/>
      <c r="I632" s="1086"/>
      <c r="J632" s="1086"/>
      <c r="K632" s="1086"/>
      <c r="L632" s="1086"/>
      <c r="M632" s="1086"/>
      <c r="N632" s="1086"/>
      <c r="O632" s="1086"/>
      <c r="P632" s="1086"/>
      <c r="Q632" s="1086"/>
      <c r="R632" s="1086"/>
      <c r="S632" s="1086"/>
      <c r="T632" s="1086"/>
      <c r="U632" s="1086"/>
      <c r="V632" s="1086"/>
      <c r="W632" s="1086"/>
      <c r="X632" s="1086"/>
      <c r="Y632" s="1086"/>
      <c r="Z632" s="1086"/>
      <c r="AA632" s="1086"/>
      <c r="AB632" s="1086"/>
    </row>
    <row r="633">
      <c r="A633" s="1100"/>
      <c r="B633" s="1086"/>
      <c r="C633" s="1086"/>
      <c r="D633" s="1086"/>
      <c r="E633" s="1086"/>
      <c r="F633" s="1086"/>
      <c r="G633" s="1086"/>
      <c r="H633" s="1086"/>
      <c r="I633" s="1086"/>
      <c r="J633" s="1086"/>
      <c r="K633" s="1086"/>
      <c r="L633" s="1086"/>
      <c r="M633" s="1086"/>
      <c r="N633" s="1086"/>
      <c r="O633" s="1086"/>
      <c r="P633" s="1086"/>
      <c r="Q633" s="1086"/>
      <c r="R633" s="1086"/>
      <c r="S633" s="1086"/>
      <c r="T633" s="1086"/>
      <c r="U633" s="1086"/>
      <c r="V633" s="1086"/>
      <c r="W633" s="1086"/>
      <c r="X633" s="1086"/>
      <c r="Y633" s="1086"/>
      <c r="Z633" s="1086"/>
      <c r="AA633" s="1086"/>
      <c r="AB633" s="1086"/>
    </row>
    <row r="634">
      <c r="A634" s="1100"/>
      <c r="B634" s="1086"/>
      <c r="C634" s="1086"/>
      <c r="D634" s="1086"/>
      <c r="E634" s="1086"/>
      <c r="F634" s="1086"/>
      <c r="G634" s="1086"/>
      <c r="H634" s="1086"/>
      <c r="I634" s="1086"/>
      <c r="J634" s="1086"/>
      <c r="K634" s="1086"/>
      <c r="L634" s="1086"/>
      <c r="M634" s="1086"/>
      <c r="N634" s="1086"/>
      <c r="O634" s="1086"/>
      <c r="P634" s="1086"/>
      <c r="Q634" s="1086"/>
      <c r="R634" s="1086"/>
      <c r="S634" s="1086"/>
      <c r="T634" s="1086"/>
      <c r="U634" s="1086"/>
      <c r="V634" s="1086"/>
      <c r="W634" s="1086"/>
      <c r="X634" s="1086"/>
      <c r="Y634" s="1086"/>
      <c r="Z634" s="1086"/>
      <c r="AA634" s="1086"/>
      <c r="AB634" s="1086"/>
    </row>
    <row r="635">
      <c r="A635" s="1100"/>
      <c r="B635" s="1086"/>
      <c r="C635" s="1086"/>
      <c r="D635" s="1086"/>
      <c r="E635" s="1086"/>
      <c r="F635" s="1086"/>
      <c r="G635" s="1086"/>
      <c r="H635" s="1086"/>
      <c r="I635" s="1086"/>
      <c r="J635" s="1086"/>
      <c r="K635" s="1086"/>
      <c r="L635" s="1086"/>
      <c r="M635" s="1086"/>
      <c r="N635" s="1086"/>
      <c r="O635" s="1086"/>
      <c r="P635" s="1086"/>
      <c r="Q635" s="1086"/>
      <c r="R635" s="1086"/>
      <c r="S635" s="1086"/>
      <c r="T635" s="1086"/>
      <c r="U635" s="1086"/>
      <c r="V635" s="1086"/>
      <c r="W635" s="1086"/>
      <c r="X635" s="1086"/>
      <c r="Y635" s="1086"/>
      <c r="Z635" s="1086"/>
      <c r="AA635" s="1086"/>
      <c r="AB635" s="1086"/>
    </row>
    <row r="636">
      <c r="A636" s="1100"/>
      <c r="B636" s="1086"/>
      <c r="C636" s="1086"/>
      <c r="D636" s="1086"/>
      <c r="E636" s="1086"/>
      <c r="F636" s="1086"/>
      <c r="G636" s="1086"/>
      <c r="H636" s="1086"/>
      <c r="I636" s="1086"/>
      <c r="J636" s="1086"/>
      <c r="K636" s="1086"/>
      <c r="L636" s="1086"/>
      <c r="M636" s="1086"/>
      <c r="N636" s="1086"/>
      <c r="O636" s="1086"/>
      <c r="P636" s="1086"/>
      <c r="Q636" s="1086"/>
      <c r="R636" s="1086"/>
      <c r="S636" s="1086"/>
      <c r="T636" s="1086"/>
      <c r="U636" s="1086"/>
      <c r="V636" s="1086"/>
      <c r="W636" s="1086"/>
      <c r="X636" s="1086"/>
      <c r="Y636" s="1086"/>
      <c r="Z636" s="1086"/>
      <c r="AA636" s="1086"/>
      <c r="AB636" s="1086"/>
    </row>
    <row r="637">
      <c r="A637" s="1100"/>
      <c r="B637" s="1086"/>
      <c r="C637" s="1086"/>
      <c r="D637" s="1086"/>
      <c r="E637" s="1086"/>
      <c r="F637" s="1086"/>
      <c r="G637" s="1086"/>
      <c r="H637" s="1086"/>
      <c r="I637" s="1086"/>
      <c r="J637" s="1086"/>
      <c r="K637" s="1086"/>
      <c r="L637" s="1086"/>
      <c r="M637" s="1086"/>
      <c r="N637" s="1086"/>
      <c r="O637" s="1086"/>
      <c r="P637" s="1086"/>
      <c r="Q637" s="1086"/>
      <c r="R637" s="1086"/>
      <c r="S637" s="1086"/>
      <c r="T637" s="1086"/>
      <c r="U637" s="1086"/>
      <c r="V637" s="1086"/>
      <c r="W637" s="1086"/>
      <c r="X637" s="1086"/>
      <c r="Y637" s="1086"/>
      <c r="Z637" s="1086"/>
      <c r="AA637" s="1086"/>
      <c r="AB637" s="1086"/>
    </row>
    <row r="638">
      <c r="A638" s="1100"/>
      <c r="B638" s="1086"/>
      <c r="C638" s="1086"/>
      <c r="D638" s="1086"/>
      <c r="E638" s="1086"/>
      <c r="F638" s="1086"/>
      <c r="G638" s="1086"/>
      <c r="H638" s="1086"/>
      <c r="I638" s="1086"/>
      <c r="J638" s="1086"/>
      <c r="K638" s="1086"/>
      <c r="L638" s="1086"/>
      <c r="M638" s="1086"/>
      <c r="N638" s="1086"/>
      <c r="O638" s="1086"/>
      <c r="P638" s="1086"/>
      <c r="Q638" s="1086"/>
      <c r="R638" s="1086"/>
      <c r="S638" s="1086"/>
      <c r="T638" s="1086"/>
      <c r="U638" s="1086"/>
      <c r="V638" s="1086"/>
      <c r="W638" s="1086"/>
      <c r="X638" s="1086"/>
      <c r="Y638" s="1086"/>
      <c r="Z638" s="1086"/>
      <c r="AA638" s="1086"/>
      <c r="AB638" s="1086"/>
    </row>
    <row r="639">
      <c r="A639" s="1100"/>
      <c r="B639" s="1086"/>
      <c r="C639" s="1086"/>
      <c r="D639" s="1086"/>
      <c r="E639" s="1086"/>
      <c r="F639" s="1086"/>
      <c r="G639" s="1086"/>
      <c r="H639" s="1086"/>
      <c r="I639" s="1086"/>
      <c r="J639" s="1086"/>
      <c r="K639" s="1086"/>
      <c r="L639" s="1086"/>
      <c r="M639" s="1086"/>
      <c r="N639" s="1086"/>
      <c r="O639" s="1086"/>
      <c r="P639" s="1086"/>
      <c r="Q639" s="1086"/>
      <c r="R639" s="1086"/>
      <c r="S639" s="1086"/>
      <c r="T639" s="1086"/>
      <c r="U639" s="1086"/>
      <c r="V639" s="1086"/>
      <c r="W639" s="1086"/>
      <c r="X639" s="1086"/>
      <c r="Y639" s="1086"/>
      <c r="Z639" s="1086"/>
      <c r="AA639" s="1086"/>
      <c r="AB639" s="1086"/>
    </row>
    <row r="640">
      <c r="A640" s="1100"/>
      <c r="B640" s="1086"/>
      <c r="C640" s="1086"/>
      <c r="D640" s="1086"/>
      <c r="E640" s="1086"/>
      <c r="F640" s="1086"/>
      <c r="G640" s="1086"/>
      <c r="H640" s="1086"/>
      <c r="I640" s="1086"/>
      <c r="J640" s="1086"/>
      <c r="K640" s="1086"/>
      <c r="L640" s="1086"/>
      <c r="M640" s="1086"/>
      <c r="N640" s="1086"/>
      <c r="O640" s="1086"/>
      <c r="P640" s="1086"/>
      <c r="Q640" s="1086"/>
      <c r="R640" s="1086"/>
      <c r="S640" s="1086"/>
      <c r="T640" s="1086"/>
      <c r="U640" s="1086"/>
      <c r="V640" s="1086"/>
      <c r="W640" s="1086"/>
      <c r="X640" s="1086"/>
      <c r="Y640" s="1086"/>
      <c r="Z640" s="1086"/>
      <c r="AA640" s="1086"/>
      <c r="AB640" s="1086"/>
    </row>
    <row r="641">
      <c r="A641" s="1100"/>
      <c r="B641" s="1086"/>
      <c r="C641" s="1086"/>
      <c r="D641" s="1086"/>
      <c r="E641" s="1086"/>
      <c r="F641" s="1086"/>
      <c r="G641" s="1086"/>
      <c r="H641" s="1086"/>
      <c r="I641" s="1086"/>
      <c r="J641" s="1086"/>
      <c r="K641" s="1086"/>
      <c r="L641" s="1086"/>
      <c r="M641" s="1086"/>
      <c r="N641" s="1086"/>
      <c r="O641" s="1086"/>
      <c r="P641" s="1086"/>
      <c r="Q641" s="1086"/>
      <c r="R641" s="1086"/>
      <c r="S641" s="1086"/>
      <c r="T641" s="1086"/>
      <c r="U641" s="1086"/>
      <c r="V641" s="1086"/>
      <c r="W641" s="1086"/>
      <c r="X641" s="1086"/>
      <c r="Y641" s="1086"/>
      <c r="Z641" s="1086"/>
      <c r="AA641" s="1086"/>
      <c r="AB641" s="1086"/>
    </row>
    <row r="642">
      <c r="A642" s="1100"/>
      <c r="B642" s="1086"/>
      <c r="C642" s="1086"/>
      <c r="D642" s="1086"/>
      <c r="E642" s="1086"/>
      <c r="F642" s="1086"/>
      <c r="G642" s="1086"/>
      <c r="H642" s="1086"/>
      <c r="I642" s="1086"/>
      <c r="J642" s="1086"/>
      <c r="K642" s="1086"/>
      <c r="L642" s="1086"/>
      <c r="M642" s="1086"/>
      <c r="N642" s="1086"/>
      <c r="O642" s="1086"/>
      <c r="P642" s="1086"/>
      <c r="Q642" s="1086"/>
      <c r="R642" s="1086"/>
      <c r="S642" s="1086"/>
      <c r="T642" s="1086"/>
      <c r="U642" s="1086"/>
      <c r="V642" s="1086"/>
      <c r="W642" s="1086"/>
      <c r="X642" s="1086"/>
      <c r="Y642" s="1086"/>
      <c r="Z642" s="1086"/>
      <c r="AA642" s="1086"/>
      <c r="AB642" s="1086"/>
    </row>
    <row r="643">
      <c r="A643" s="1100"/>
      <c r="B643" s="1086"/>
      <c r="C643" s="1086"/>
      <c r="D643" s="1086"/>
      <c r="E643" s="1086"/>
      <c r="F643" s="1086"/>
      <c r="G643" s="1086"/>
      <c r="H643" s="1086"/>
      <c r="I643" s="1086"/>
      <c r="J643" s="1086"/>
      <c r="K643" s="1086"/>
      <c r="L643" s="1086"/>
      <c r="M643" s="1086"/>
      <c r="N643" s="1086"/>
      <c r="O643" s="1086"/>
      <c r="P643" s="1086"/>
      <c r="Q643" s="1086"/>
      <c r="R643" s="1086"/>
      <c r="S643" s="1086"/>
      <c r="T643" s="1086"/>
      <c r="U643" s="1086"/>
      <c r="V643" s="1086"/>
      <c r="W643" s="1086"/>
      <c r="X643" s="1086"/>
      <c r="Y643" s="1086"/>
      <c r="Z643" s="1086"/>
      <c r="AA643" s="1086"/>
      <c r="AB643" s="1086"/>
    </row>
    <row r="644">
      <c r="A644" s="1100"/>
      <c r="B644" s="1086"/>
      <c r="C644" s="1086"/>
      <c r="D644" s="1086"/>
      <c r="E644" s="1086"/>
      <c r="F644" s="1086"/>
      <c r="G644" s="1086"/>
      <c r="H644" s="1086"/>
      <c r="I644" s="1086"/>
      <c r="J644" s="1086"/>
      <c r="K644" s="1086"/>
      <c r="L644" s="1086"/>
      <c r="M644" s="1086"/>
      <c r="N644" s="1086"/>
      <c r="O644" s="1086"/>
      <c r="P644" s="1086"/>
      <c r="Q644" s="1086"/>
      <c r="R644" s="1086"/>
      <c r="S644" s="1086"/>
      <c r="T644" s="1086"/>
      <c r="U644" s="1086"/>
      <c r="V644" s="1086"/>
      <c r="W644" s="1086"/>
      <c r="X644" s="1086"/>
      <c r="Y644" s="1086"/>
      <c r="Z644" s="1086"/>
      <c r="AA644" s="1086"/>
      <c r="AB644" s="1086"/>
    </row>
    <row r="645">
      <c r="A645" s="1100"/>
      <c r="B645" s="1086"/>
      <c r="C645" s="1086"/>
      <c r="D645" s="1086"/>
      <c r="E645" s="1086"/>
      <c r="F645" s="1086"/>
      <c r="G645" s="1086"/>
      <c r="H645" s="1086"/>
      <c r="I645" s="1086"/>
      <c r="J645" s="1086"/>
      <c r="K645" s="1086"/>
      <c r="L645" s="1086"/>
      <c r="M645" s="1086"/>
      <c r="N645" s="1086"/>
      <c r="O645" s="1086"/>
      <c r="P645" s="1086"/>
      <c r="Q645" s="1086"/>
      <c r="R645" s="1086"/>
      <c r="S645" s="1086"/>
      <c r="T645" s="1086"/>
      <c r="U645" s="1086"/>
      <c r="V645" s="1086"/>
      <c r="W645" s="1086"/>
      <c r="X645" s="1086"/>
      <c r="Y645" s="1086"/>
      <c r="Z645" s="1086"/>
      <c r="AA645" s="1086"/>
      <c r="AB645" s="1086"/>
    </row>
    <row r="646">
      <c r="A646" s="1100"/>
      <c r="B646" s="1086"/>
      <c r="C646" s="1086"/>
      <c r="D646" s="1086"/>
      <c r="E646" s="1086"/>
      <c r="F646" s="1086"/>
      <c r="G646" s="1086"/>
      <c r="H646" s="1086"/>
      <c r="I646" s="1086"/>
      <c r="J646" s="1086"/>
      <c r="K646" s="1086"/>
      <c r="L646" s="1086"/>
      <c r="M646" s="1086"/>
      <c r="N646" s="1086"/>
      <c r="O646" s="1086"/>
      <c r="P646" s="1086"/>
      <c r="Q646" s="1086"/>
      <c r="R646" s="1086"/>
      <c r="S646" s="1086"/>
      <c r="T646" s="1086"/>
      <c r="U646" s="1086"/>
      <c r="V646" s="1086"/>
      <c r="W646" s="1086"/>
      <c r="X646" s="1086"/>
      <c r="Y646" s="1086"/>
      <c r="Z646" s="1086"/>
      <c r="AA646" s="1086"/>
      <c r="AB646" s="1086"/>
    </row>
    <row r="647">
      <c r="A647" s="1100"/>
      <c r="B647" s="1086"/>
      <c r="C647" s="1086"/>
      <c r="D647" s="1086"/>
      <c r="E647" s="1086"/>
      <c r="F647" s="1086"/>
      <c r="G647" s="1086"/>
      <c r="H647" s="1086"/>
      <c r="I647" s="1086"/>
      <c r="J647" s="1086"/>
      <c r="K647" s="1086"/>
      <c r="L647" s="1086"/>
      <c r="M647" s="1086"/>
      <c r="N647" s="1086"/>
      <c r="O647" s="1086"/>
      <c r="P647" s="1086"/>
      <c r="Q647" s="1086"/>
      <c r="R647" s="1086"/>
      <c r="S647" s="1086"/>
      <c r="T647" s="1086"/>
      <c r="U647" s="1086"/>
      <c r="V647" s="1086"/>
      <c r="W647" s="1086"/>
      <c r="X647" s="1086"/>
      <c r="Y647" s="1086"/>
      <c r="Z647" s="1086"/>
      <c r="AA647" s="1086"/>
      <c r="AB647" s="1086"/>
    </row>
    <row r="648">
      <c r="A648" s="1100"/>
      <c r="B648" s="1086"/>
      <c r="C648" s="1086"/>
      <c r="D648" s="1086"/>
      <c r="E648" s="1086"/>
      <c r="F648" s="1086"/>
      <c r="G648" s="1086"/>
      <c r="H648" s="1086"/>
      <c r="I648" s="1086"/>
      <c r="J648" s="1086"/>
      <c r="K648" s="1086"/>
      <c r="L648" s="1086"/>
      <c r="M648" s="1086"/>
      <c r="N648" s="1086"/>
      <c r="O648" s="1086"/>
      <c r="P648" s="1086"/>
      <c r="Q648" s="1086"/>
      <c r="R648" s="1086"/>
      <c r="S648" s="1086"/>
      <c r="T648" s="1086"/>
      <c r="U648" s="1086"/>
      <c r="V648" s="1086"/>
      <c r="W648" s="1086"/>
      <c r="X648" s="1086"/>
      <c r="Y648" s="1086"/>
      <c r="Z648" s="1086"/>
      <c r="AA648" s="1086"/>
      <c r="AB648" s="1086"/>
    </row>
    <row r="649">
      <c r="A649" s="1100"/>
      <c r="B649" s="1086"/>
      <c r="C649" s="1086"/>
      <c r="D649" s="1086"/>
      <c r="E649" s="1086"/>
      <c r="F649" s="1086"/>
      <c r="G649" s="1086"/>
      <c r="H649" s="1086"/>
      <c r="I649" s="1086"/>
      <c r="J649" s="1086"/>
      <c r="K649" s="1086"/>
      <c r="L649" s="1086"/>
      <c r="M649" s="1086"/>
      <c r="N649" s="1086"/>
      <c r="O649" s="1086"/>
      <c r="P649" s="1086"/>
      <c r="Q649" s="1086"/>
      <c r="R649" s="1086"/>
      <c r="S649" s="1086"/>
      <c r="T649" s="1086"/>
      <c r="U649" s="1086"/>
      <c r="V649" s="1086"/>
      <c r="W649" s="1086"/>
      <c r="X649" s="1086"/>
      <c r="Y649" s="1086"/>
      <c r="Z649" s="1086"/>
      <c r="AA649" s="1086"/>
      <c r="AB649" s="1086"/>
    </row>
    <row r="650">
      <c r="A650" s="1100"/>
      <c r="B650" s="1086"/>
      <c r="C650" s="1086"/>
      <c r="D650" s="1086"/>
      <c r="E650" s="1086"/>
      <c r="F650" s="1086"/>
      <c r="G650" s="1086"/>
      <c r="H650" s="1086"/>
      <c r="I650" s="1086"/>
      <c r="J650" s="1086"/>
      <c r="K650" s="1086"/>
      <c r="L650" s="1086"/>
      <c r="M650" s="1086"/>
      <c r="N650" s="1086"/>
      <c r="O650" s="1086"/>
      <c r="P650" s="1086"/>
      <c r="Q650" s="1086"/>
      <c r="R650" s="1086"/>
      <c r="S650" s="1086"/>
      <c r="T650" s="1086"/>
      <c r="U650" s="1086"/>
      <c r="V650" s="1086"/>
      <c r="W650" s="1086"/>
      <c r="X650" s="1086"/>
      <c r="Y650" s="1086"/>
      <c r="Z650" s="1086"/>
      <c r="AA650" s="1086"/>
      <c r="AB650" s="1086"/>
    </row>
    <row r="651">
      <c r="A651" s="1100"/>
      <c r="B651" s="1086"/>
      <c r="C651" s="1086"/>
      <c r="D651" s="1086"/>
      <c r="E651" s="1086"/>
      <c r="F651" s="1086"/>
      <c r="G651" s="1086"/>
      <c r="H651" s="1086"/>
      <c r="I651" s="1086"/>
      <c r="J651" s="1086"/>
      <c r="K651" s="1086"/>
      <c r="L651" s="1086"/>
      <c r="M651" s="1086"/>
      <c r="N651" s="1086"/>
      <c r="O651" s="1086"/>
      <c r="P651" s="1086"/>
      <c r="Q651" s="1086"/>
      <c r="R651" s="1086"/>
      <c r="S651" s="1086"/>
      <c r="T651" s="1086"/>
      <c r="U651" s="1086"/>
      <c r="V651" s="1086"/>
      <c r="W651" s="1086"/>
      <c r="X651" s="1086"/>
      <c r="Y651" s="1086"/>
      <c r="Z651" s="1086"/>
      <c r="AA651" s="1086"/>
      <c r="AB651" s="1086"/>
    </row>
    <row r="652">
      <c r="A652" s="1100"/>
      <c r="B652" s="1086"/>
      <c r="C652" s="1086"/>
      <c r="D652" s="1086"/>
      <c r="E652" s="1086"/>
      <c r="F652" s="1086"/>
      <c r="G652" s="1086"/>
      <c r="H652" s="1086"/>
      <c r="I652" s="1086"/>
      <c r="J652" s="1086"/>
      <c r="K652" s="1086"/>
      <c r="L652" s="1086"/>
      <c r="M652" s="1086"/>
      <c r="N652" s="1086"/>
      <c r="O652" s="1086"/>
      <c r="P652" s="1086"/>
      <c r="Q652" s="1086"/>
      <c r="R652" s="1086"/>
      <c r="S652" s="1086"/>
      <c r="T652" s="1086"/>
      <c r="U652" s="1086"/>
      <c r="V652" s="1086"/>
      <c r="W652" s="1086"/>
      <c r="X652" s="1086"/>
      <c r="Y652" s="1086"/>
      <c r="Z652" s="1086"/>
      <c r="AA652" s="1086"/>
      <c r="AB652" s="1086"/>
    </row>
    <row r="653">
      <c r="A653" s="1100"/>
      <c r="B653" s="1086"/>
      <c r="C653" s="1086"/>
      <c r="D653" s="1086"/>
      <c r="E653" s="1086"/>
      <c r="F653" s="1086"/>
      <c r="G653" s="1086"/>
      <c r="H653" s="1086"/>
      <c r="I653" s="1086"/>
      <c r="J653" s="1086"/>
      <c r="K653" s="1086"/>
      <c r="L653" s="1086"/>
      <c r="M653" s="1086"/>
      <c r="N653" s="1086"/>
      <c r="O653" s="1086"/>
      <c r="P653" s="1086"/>
      <c r="Q653" s="1086"/>
      <c r="R653" s="1086"/>
      <c r="S653" s="1086"/>
      <c r="T653" s="1086"/>
      <c r="U653" s="1086"/>
      <c r="V653" s="1086"/>
      <c r="W653" s="1086"/>
      <c r="X653" s="1086"/>
      <c r="Y653" s="1086"/>
      <c r="Z653" s="1086"/>
      <c r="AA653" s="1086"/>
      <c r="AB653" s="1086"/>
    </row>
    <row r="654">
      <c r="A654" s="1100"/>
      <c r="B654" s="1086"/>
      <c r="C654" s="1086"/>
      <c r="D654" s="1086"/>
      <c r="E654" s="1086"/>
      <c r="F654" s="1086"/>
      <c r="G654" s="1086"/>
      <c r="H654" s="1086"/>
      <c r="I654" s="1086"/>
      <c r="J654" s="1086"/>
      <c r="K654" s="1086"/>
      <c r="L654" s="1086"/>
      <c r="M654" s="1086"/>
      <c r="N654" s="1086"/>
      <c r="O654" s="1086"/>
      <c r="P654" s="1086"/>
      <c r="Q654" s="1086"/>
      <c r="R654" s="1086"/>
      <c r="S654" s="1086"/>
      <c r="T654" s="1086"/>
      <c r="U654" s="1086"/>
      <c r="V654" s="1086"/>
      <c r="W654" s="1086"/>
      <c r="X654" s="1086"/>
      <c r="Y654" s="1086"/>
      <c r="Z654" s="1086"/>
      <c r="AA654" s="1086"/>
      <c r="AB654" s="1086"/>
    </row>
    <row r="655">
      <c r="A655" s="1100"/>
      <c r="B655" s="1086"/>
      <c r="C655" s="1086"/>
      <c r="D655" s="1086"/>
      <c r="E655" s="1086"/>
      <c r="F655" s="1086"/>
      <c r="G655" s="1086"/>
      <c r="H655" s="1086"/>
      <c r="I655" s="1086"/>
      <c r="J655" s="1086"/>
      <c r="K655" s="1086"/>
      <c r="L655" s="1086"/>
      <c r="M655" s="1086"/>
      <c r="N655" s="1086"/>
      <c r="O655" s="1086"/>
      <c r="P655" s="1086"/>
      <c r="Q655" s="1086"/>
      <c r="R655" s="1086"/>
      <c r="S655" s="1086"/>
      <c r="T655" s="1086"/>
      <c r="U655" s="1086"/>
      <c r="V655" s="1086"/>
      <c r="W655" s="1086"/>
      <c r="X655" s="1086"/>
      <c r="Y655" s="1086"/>
      <c r="Z655" s="1086"/>
      <c r="AA655" s="1086"/>
      <c r="AB655" s="1086"/>
    </row>
    <row r="656">
      <c r="A656" s="1100"/>
      <c r="B656" s="1086"/>
      <c r="C656" s="1086"/>
      <c r="D656" s="1086"/>
      <c r="E656" s="1086"/>
      <c r="F656" s="1086"/>
      <c r="G656" s="1086"/>
      <c r="H656" s="1086"/>
      <c r="I656" s="1086"/>
      <c r="J656" s="1086"/>
      <c r="K656" s="1086"/>
      <c r="L656" s="1086"/>
      <c r="M656" s="1086"/>
      <c r="N656" s="1086"/>
      <c r="O656" s="1086"/>
      <c r="P656" s="1086"/>
      <c r="Q656" s="1086"/>
      <c r="R656" s="1086"/>
      <c r="S656" s="1086"/>
      <c r="T656" s="1086"/>
      <c r="U656" s="1086"/>
      <c r="V656" s="1086"/>
      <c r="W656" s="1086"/>
      <c r="X656" s="1086"/>
      <c r="Y656" s="1086"/>
      <c r="Z656" s="1086"/>
      <c r="AA656" s="1086"/>
      <c r="AB656" s="1086"/>
    </row>
    <row r="657">
      <c r="A657" s="1100"/>
      <c r="B657" s="1086"/>
      <c r="C657" s="1086"/>
      <c r="D657" s="1086"/>
      <c r="E657" s="1086"/>
      <c r="F657" s="1086"/>
      <c r="G657" s="1086"/>
      <c r="H657" s="1086"/>
      <c r="I657" s="1086"/>
      <c r="J657" s="1086"/>
      <c r="K657" s="1086"/>
      <c r="L657" s="1086"/>
      <c r="M657" s="1086"/>
      <c r="N657" s="1086"/>
      <c r="O657" s="1086"/>
      <c r="P657" s="1086"/>
      <c r="Q657" s="1086"/>
      <c r="R657" s="1086"/>
      <c r="S657" s="1086"/>
      <c r="T657" s="1086"/>
      <c r="U657" s="1086"/>
      <c r="V657" s="1086"/>
      <c r="W657" s="1086"/>
      <c r="X657" s="1086"/>
      <c r="Y657" s="1086"/>
      <c r="Z657" s="1086"/>
      <c r="AA657" s="1086"/>
      <c r="AB657" s="1086"/>
    </row>
    <row r="658">
      <c r="A658" s="1100"/>
      <c r="B658" s="1086"/>
      <c r="C658" s="1086"/>
      <c r="D658" s="1086"/>
      <c r="E658" s="1086"/>
      <c r="F658" s="1086"/>
      <c r="G658" s="1086"/>
      <c r="H658" s="1086"/>
      <c r="I658" s="1086"/>
      <c r="J658" s="1086"/>
      <c r="K658" s="1086"/>
      <c r="L658" s="1086"/>
      <c r="M658" s="1086"/>
      <c r="N658" s="1086"/>
      <c r="O658" s="1086"/>
      <c r="P658" s="1086"/>
      <c r="Q658" s="1086"/>
      <c r="R658" s="1086"/>
      <c r="S658" s="1086"/>
      <c r="T658" s="1086"/>
      <c r="U658" s="1086"/>
      <c r="V658" s="1086"/>
      <c r="W658" s="1086"/>
      <c r="X658" s="1086"/>
      <c r="Y658" s="1086"/>
      <c r="Z658" s="1086"/>
      <c r="AA658" s="1086"/>
      <c r="AB658" s="1086"/>
    </row>
    <row r="659">
      <c r="A659" s="1100"/>
      <c r="B659" s="1086"/>
      <c r="C659" s="1086"/>
      <c r="D659" s="1086"/>
      <c r="E659" s="1086"/>
      <c r="F659" s="1086"/>
      <c r="G659" s="1086"/>
      <c r="H659" s="1086"/>
      <c r="I659" s="1086"/>
      <c r="J659" s="1086"/>
      <c r="K659" s="1086"/>
      <c r="L659" s="1086"/>
      <c r="M659" s="1086"/>
      <c r="N659" s="1086"/>
      <c r="O659" s="1086"/>
      <c r="P659" s="1086"/>
      <c r="Q659" s="1086"/>
      <c r="R659" s="1086"/>
      <c r="S659" s="1086"/>
      <c r="T659" s="1086"/>
      <c r="U659" s="1086"/>
      <c r="V659" s="1086"/>
      <c r="W659" s="1086"/>
      <c r="X659" s="1086"/>
      <c r="Y659" s="1086"/>
      <c r="Z659" s="1086"/>
      <c r="AA659" s="1086"/>
      <c r="AB659" s="1086"/>
    </row>
    <row r="660">
      <c r="A660" s="1100"/>
      <c r="B660" s="1086"/>
      <c r="C660" s="1086"/>
      <c r="D660" s="1086"/>
      <c r="E660" s="1086"/>
      <c r="F660" s="1086"/>
      <c r="G660" s="1086"/>
      <c r="H660" s="1086"/>
      <c r="I660" s="1086"/>
      <c r="J660" s="1086"/>
      <c r="K660" s="1086"/>
      <c r="L660" s="1086"/>
      <c r="M660" s="1086"/>
      <c r="N660" s="1086"/>
      <c r="O660" s="1086"/>
      <c r="P660" s="1086"/>
      <c r="Q660" s="1086"/>
      <c r="R660" s="1086"/>
      <c r="S660" s="1086"/>
      <c r="T660" s="1086"/>
      <c r="U660" s="1086"/>
      <c r="V660" s="1086"/>
      <c r="W660" s="1086"/>
      <c r="X660" s="1086"/>
      <c r="Y660" s="1086"/>
      <c r="Z660" s="1086"/>
      <c r="AA660" s="1086"/>
      <c r="AB660" s="1086"/>
    </row>
    <row r="661">
      <c r="A661" s="1100"/>
      <c r="B661" s="1086"/>
      <c r="C661" s="1086"/>
      <c r="D661" s="1086"/>
      <c r="E661" s="1086"/>
      <c r="F661" s="1086"/>
      <c r="G661" s="1086"/>
      <c r="H661" s="1086"/>
      <c r="I661" s="1086"/>
      <c r="J661" s="1086"/>
      <c r="K661" s="1086"/>
      <c r="L661" s="1086"/>
      <c r="M661" s="1086"/>
      <c r="N661" s="1086"/>
      <c r="O661" s="1086"/>
      <c r="P661" s="1086"/>
      <c r="Q661" s="1086"/>
      <c r="R661" s="1086"/>
      <c r="S661" s="1086"/>
      <c r="T661" s="1086"/>
      <c r="U661" s="1086"/>
      <c r="V661" s="1086"/>
      <c r="W661" s="1086"/>
      <c r="X661" s="1086"/>
      <c r="Y661" s="1086"/>
      <c r="Z661" s="1086"/>
      <c r="AA661" s="1086"/>
      <c r="AB661" s="1086"/>
    </row>
    <row r="662">
      <c r="A662" s="1100"/>
      <c r="B662" s="1086"/>
      <c r="C662" s="1086"/>
      <c r="D662" s="1086"/>
      <c r="E662" s="1086"/>
      <c r="F662" s="1086"/>
      <c r="G662" s="1086"/>
      <c r="H662" s="1086"/>
      <c r="I662" s="1086"/>
      <c r="J662" s="1086"/>
      <c r="K662" s="1086"/>
      <c r="L662" s="1086"/>
      <c r="M662" s="1086"/>
      <c r="N662" s="1086"/>
      <c r="O662" s="1086"/>
      <c r="P662" s="1086"/>
      <c r="Q662" s="1086"/>
      <c r="R662" s="1086"/>
      <c r="S662" s="1086"/>
      <c r="T662" s="1086"/>
      <c r="U662" s="1086"/>
      <c r="V662" s="1086"/>
      <c r="W662" s="1086"/>
      <c r="X662" s="1086"/>
      <c r="Y662" s="1086"/>
      <c r="Z662" s="1086"/>
      <c r="AA662" s="1086"/>
      <c r="AB662" s="1086"/>
    </row>
    <row r="663">
      <c r="A663" s="1100"/>
      <c r="B663" s="1086"/>
      <c r="C663" s="1086"/>
      <c r="D663" s="1086"/>
      <c r="E663" s="1086"/>
      <c r="F663" s="1086"/>
      <c r="G663" s="1086"/>
      <c r="H663" s="1086"/>
      <c r="I663" s="1086"/>
      <c r="J663" s="1086"/>
      <c r="K663" s="1086"/>
      <c r="L663" s="1086"/>
      <c r="M663" s="1086"/>
      <c r="N663" s="1086"/>
      <c r="O663" s="1086"/>
      <c r="P663" s="1086"/>
      <c r="Q663" s="1086"/>
      <c r="R663" s="1086"/>
      <c r="S663" s="1086"/>
      <c r="T663" s="1086"/>
      <c r="U663" s="1086"/>
      <c r="V663" s="1086"/>
      <c r="W663" s="1086"/>
      <c r="X663" s="1086"/>
      <c r="Y663" s="1086"/>
      <c r="Z663" s="1086"/>
      <c r="AA663" s="1086"/>
      <c r="AB663" s="1086"/>
    </row>
    <row r="664">
      <c r="A664" s="1100"/>
      <c r="B664" s="1086"/>
      <c r="C664" s="1086"/>
      <c r="D664" s="1086"/>
      <c r="E664" s="1086"/>
      <c r="F664" s="1086"/>
      <c r="G664" s="1086"/>
      <c r="H664" s="1086"/>
      <c r="I664" s="1086"/>
      <c r="J664" s="1086"/>
      <c r="K664" s="1086"/>
      <c r="L664" s="1086"/>
      <c r="M664" s="1086"/>
      <c r="N664" s="1086"/>
      <c r="O664" s="1086"/>
      <c r="P664" s="1086"/>
      <c r="Q664" s="1086"/>
      <c r="R664" s="1086"/>
      <c r="S664" s="1086"/>
      <c r="T664" s="1086"/>
      <c r="U664" s="1086"/>
      <c r="V664" s="1086"/>
      <c r="W664" s="1086"/>
      <c r="X664" s="1086"/>
      <c r="Y664" s="1086"/>
      <c r="Z664" s="1086"/>
      <c r="AA664" s="1086"/>
      <c r="AB664" s="1086"/>
    </row>
    <row r="665">
      <c r="A665" s="1100"/>
      <c r="B665" s="1086"/>
      <c r="C665" s="1086"/>
      <c r="D665" s="1086"/>
      <c r="E665" s="1086"/>
      <c r="F665" s="1086"/>
      <c r="G665" s="1086"/>
      <c r="H665" s="1086"/>
      <c r="I665" s="1086"/>
      <c r="J665" s="1086"/>
      <c r="K665" s="1086"/>
      <c r="L665" s="1086"/>
      <c r="M665" s="1086"/>
      <c r="N665" s="1086"/>
      <c r="O665" s="1086"/>
      <c r="P665" s="1086"/>
      <c r="Q665" s="1086"/>
      <c r="R665" s="1086"/>
      <c r="S665" s="1086"/>
      <c r="T665" s="1086"/>
      <c r="U665" s="1086"/>
      <c r="V665" s="1086"/>
      <c r="W665" s="1086"/>
      <c r="X665" s="1086"/>
      <c r="Y665" s="1086"/>
      <c r="Z665" s="1086"/>
      <c r="AA665" s="1086"/>
      <c r="AB665" s="1086"/>
    </row>
    <row r="666">
      <c r="A666" s="1100"/>
      <c r="B666" s="1086"/>
      <c r="C666" s="1086"/>
      <c r="D666" s="1086"/>
      <c r="E666" s="1086"/>
      <c r="F666" s="1086"/>
      <c r="G666" s="1086"/>
      <c r="H666" s="1086"/>
      <c r="I666" s="1086"/>
      <c r="J666" s="1086"/>
      <c r="K666" s="1086"/>
      <c r="L666" s="1086"/>
      <c r="M666" s="1086"/>
      <c r="N666" s="1086"/>
      <c r="O666" s="1086"/>
      <c r="P666" s="1086"/>
      <c r="Q666" s="1086"/>
      <c r="R666" s="1086"/>
      <c r="S666" s="1086"/>
      <c r="T666" s="1086"/>
      <c r="U666" s="1086"/>
      <c r="V666" s="1086"/>
      <c r="W666" s="1086"/>
      <c r="X666" s="1086"/>
      <c r="Y666" s="1086"/>
      <c r="Z666" s="1086"/>
      <c r="AA666" s="1086"/>
      <c r="AB666" s="1086"/>
    </row>
    <row r="667">
      <c r="A667" s="1100"/>
      <c r="B667" s="1086"/>
      <c r="C667" s="1086"/>
      <c r="D667" s="1086"/>
      <c r="E667" s="1086"/>
      <c r="F667" s="1086"/>
      <c r="G667" s="1086"/>
      <c r="H667" s="1086"/>
      <c r="I667" s="1086"/>
      <c r="J667" s="1086"/>
      <c r="K667" s="1086"/>
      <c r="L667" s="1086"/>
      <c r="M667" s="1086"/>
      <c r="N667" s="1086"/>
      <c r="O667" s="1086"/>
      <c r="P667" s="1086"/>
      <c r="Q667" s="1086"/>
      <c r="R667" s="1086"/>
      <c r="S667" s="1086"/>
      <c r="T667" s="1086"/>
      <c r="U667" s="1086"/>
      <c r="V667" s="1086"/>
      <c r="W667" s="1086"/>
      <c r="X667" s="1086"/>
      <c r="Y667" s="1086"/>
      <c r="Z667" s="1086"/>
      <c r="AA667" s="1086"/>
      <c r="AB667" s="1086"/>
    </row>
    <row r="668">
      <c r="A668" s="1100"/>
      <c r="B668" s="1086"/>
      <c r="C668" s="1086"/>
      <c r="D668" s="1086"/>
      <c r="E668" s="1086"/>
      <c r="F668" s="1086"/>
      <c r="G668" s="1086"/>
      <c r="H668" s="1086"/>
      <c r="I668" s="1086"/>
      <c r="J668" s="1086"/>
      <c r="K668" s="1086"/>
      <c r="L668" s="1086"/>
      <c r="M668" s="1086"/>
      <c r="N668" s="1086"/>
      <c r="O668" s="1086"/>
      <c r="P668" s="1086"/>
      <c r="Q668" s="1086"/>
      <c r="R668" s="1086"/>
      <c r="S668" s="1086"/>
      <c r="T668" s="1086"/>
      <c r="U668" s="1086"/>
      <c r="V668" s="1086"/>
      <c r="W668" s="1086"/>
      <c r="X668" s="1086"/>
      <c r="Y668" s="1086"/>
      <c r="Z668" s="1086"/>
      <c r="AA668" s="1086"/>
      <c r="AB668" s="1086"/>
    </row>
    <row r="669">
      <c r="A669" s="1100"/>
      <c r="B669" s="1086"/>
      <c r="C669" s="1086"/>
      <c r="D669" s="1086"/>
      <c r="E669" s="1086"/>
      <c r="F669" s="1086"/>
      <c r="G669" s="1086"/>
      <c r="H669" s="1086"/>
      <c r="I669" s="1086"/>
      <c r="J669" s="1086"/>
      <c r="K669" s="1086"/>
      <c r="L669" s="1086"/>
      <c r="M669" s="1086"/>
      <c r="N669" s="1086"/>
      <c r="O669" s="1086"/>
      <c r="P669" s="1086"/>
      <c r="Q669" s="1086"/>
      <c r="R669" s="1086"/>
      <c r="S669" s="1086"/>
      <c r="T669" s="1086"/>
      <c r="U669" s="1086"/>
      <c r="V669" s="1086"/>
      <c r="W669" s="1086"/>
      <c r="X669" s="1086"/>
      <c r="Y669" s="1086"/>
      <c r="Z669" s="1086"/>
      <c r="AA669" s="1086"/>
      <c r="AB669" s="1086"/>
    </row>
    <row r="670">
      <c r="A670" s="1100"/>
      <c r="B670" s="1086"/>
      <c r="C670" s="1086"/>
      <c r="D670" s="1086"/>
      <c r="E670" s="1086"/>
      <c r="F670" s="1086"/>
      <c r="G670" s="1086"/>
      <c r="H670" s="1086"/>
      <c r="I670" s="1086"/>
      <c r="J670" s="1086"/>
      <c r="K670" s="1086"/>
      <c r="L670" s="1086"/>
      <c r="M670" s="1086"/>
      <c r="N670" s="1086"/>
      <c r="O670" s="1086"/>
      <c r="P670" s="1086"/>
      <c r="Q670" s="1086"/>
      <c r="R670" s="1086"/>
      <c r="S670" s="1086"/>
      <c r="T670" s="1086"/>
      <c r="U670" s="1086"/>
      <c r="V670" s="1086"/>
      <c r="W670" s="1086"/>
      <c r="X670" s="1086"/>
      <c r="Y670" s="1086"/>
      <c r="Z670" s="1086"/>
      <c r="AA670" s="1086"/>
      <c r="AB670" s="1086"/>
    </row>
    <row r="671">
      <c r="A671" s="1100"/>
      <c r="B671" s="1086"/>
      <c r="C671" s="1086"/>
      <c r="D671" s="1086"/>
      <c r="E671" s="1086"/>
      <c r="F671" s="1086"/>
      <c r="G671" s="1086"/>
      <c r="H671" s="1086"/>
      <c r="I671" s="1086"/>
      <c r="J671" s="1086"/>
      <c r="K671" s="1086"/>
      <c r="L671" s="1086"/>
      <c r="M671" s="1086"/>
      <c r="N671" s="1086"/>
      <c r="O671" s="1086"/>
      <c r="P671" s="1086"/>
      <c r="Q671" s="1086"/>
      <c r="R671" s="1086"/>
      <c r="S671" s="1086"/>
      <c r="T671" s="1086"/>
      <c r="U671" s="1086"/>
      <c r="V671" s="1086"/>
      <c r="W671" s="1086"/>
      <c r="X671" s="1086"/>
      <c r="Y671" s="1086"/>
      <c r="Z671" s="1086"/>
      <c r="AA671" s="1086"/>
      <c r="AB671" s="1086"/>
    </row>
    <row r="672">
      <c r="A672" s="1100"/>
      <c r="B672" s="1086"/>
      <c r="C672" s="1086"/>
      <c r="D672" s="1086"/>
      <c r="E672" s="1086"/>
      <c r="F672" s="1086"/>
      <c r="G672" s="1086"/>
      <c r="H672" s="1086"/>
      <c r="I672" s="1086"/>
      <c r="J672" s="1086"/>
      <c r="K672" s="1086"/>
      <c r="L672" s="1086"/>
      <c r="M672" s="1086"/>
      <c r="N672" s="1086"/>
      <c r="O672" s="1086"/>
      <c r="P672" s="1086"/>
      <c r="Q672" s="1086"/>
      <c r="R672" s="1086"/>
      <c r="S672" s="1086"/>
      <c r="T672" s="1086"/>
      <c r="U672" s="1086"/>
      <c r="V672" s="1086"/>
      <c r="W672" s="1086"/>
      <c r="X672" s="1086"/>
      <c r="Y672" s="1086"/>
      <c r="Z672" s="1086"/>
      <c r="AA672" s="1086"/>
      <c r="AB672" s="1086"/>
    </row>
    <row r="673">
      <c r="A673" s="1100"/>
      <c r="B673" s="1086"/>
      <c r="C673" s="1086"/>
      <c r="D673" s="1086"/>
      <c r="E673" s="1086"/>
      <c r="F673" s="1086"/>
      <c r="G673" s="1086"/>
      <c r="H673" s="1086"/>
      <c r="I673" s="1086"/>
      <c r="J673" s="1086"/>
      <c r="K673" s="1086"/>
      <c r="L673" s="1086"/>
      <c r="M673" s="1086"/>
      <c r="N673" s="1086"/>
      <c r="O673" s="1086"/>
      <c r="P673" s="1086"/>
      <c r="Q673" s="1086"/>
      <c r="R673" s="1086"/>
      <c r="S673" s="1086"/>
      <c r="T673" s="1086"/>
      <c r="U673" s="1086"/>
      <c r="V673" s="1086"/>
      <c r="W673" s="1086"/>
      <c r="X673" s="1086"/>
      <c r="Y673" s="1086"/>
      <c r="Z673" s="1086"/>
      <c r="AA673" s="1086"/>
      <c r="AB673" s="1086"/>
    </row>
    <row r="674">
      <c r="A674" s="1100"/>
      <c r="B674" s="1086"/>
      <c r="C674" s="1086"/>
      <c r="D674" s="1086"/>
      <c r="E674" s="1086"/>
      <c r="F674" s="1086"/>
      <c r="G674" s="1086"/>
      <c r="H674" s="1086"/>
      <c r="I674" s="1086"/>
      <c r="J674" s="1086"/>
      <c r="K674" s="1086"/>
      <c r="L674" s="1086"/>
      <c r="M674" s="1086"/>
      <c r="N674" s="1086"/>
      <c r="O674" s="1086"/>
      <c r="P674" s="1086"/>
      <c r="Q674" s="1086"/>
      <c r="R674" s="1086"/>
      <c r="S674" s="1086"/>
      <c r="T674" s="1086"/>
      <c r="U674" s="1086"/>
      <c r="V674" s="1086"/>
      <c r="W674" s="1086"/>
      <c r="X674" s="1086"/>
      <c r="Y674" s="1086"/>
      <c r="Z674" s="1086"/>
      <c r="AA674" s="1086"/>
      <c r="AB674" s="1086"/>
    </row>
    <row r="675">
      <c r="A675" s="1100"/>
      <c r="B675" s="1086"/>
      <c r="C675" s="1086"/>
      <c r="D675" s="1086"/>
      <c r="E675" s="1086"/>
      <c r="F675" s="1086"/>
      <c r="G675" s="1086"/>
      <c r="H675" s="1086"/>
      <c r="I675" s="1086"/>
      <c r="J675" s="1086"/>
      <c r="K675" s="1086"/>
      <c r="L675" s="1086"/>
      <c r="M675" s="1086"/>
      <c r="N675" s="1086"/>
      <c r="O675" s="1086"/>
      <c r="P675" s="1086"/>
      <c r="Q675" s="1086"/>
      <c r="R675" s="1086"/>
      <c r="S675" s="1086"/>
      <c r="T675" s="1086"/>
      <c r="U675" s="1086"/>
      <c r="V675" s="1086"/>
      <c r="W675" s="1086"/>
      <c r="X675" s="1086"/>
      <c r="Y675" s="1086"/>
      <c r="Z675" s="1086"/>
      <c r="AA675" s="1086"/>
      <c r="AB675" s="1086"/>
    </row>
    <row r="676">
      <c r="A676" s="1100"/>
      <c r="B676" s="1086"/>
      <c r="C676" s="1086"/>
      <c r="D676" s="1086"/>
      <c r="E676" s="1086"/>
      <c r="F676" s="1086"/>
      <c r="G676" s="1086"/>
      <c r="H676" s="1086"/>
      <c r="I676" s="1086"/>
      <c r="J676" s="1086"/>
      <c r="K676" s="1086"/>
      <c r="L676" s="1086"/>
      <c r="M676" s="1086"/>
      <c r="N676" s="1086"/>
      <c r="O676" s="1086"/>
      <c r="P676" s="1086"/>
      <c r="Q676" s="1086"/>
      <c r="R676" s="1086"/>
      <c r="S676" s="1086"/>
      <c r="T676" s="1086"/>
      <c r="U676" s="1086"/>
      <c r="V676" s="1086"/>
      <c r="W676" s="1086"/>
      <c r="X676" s="1086"/>
      <c r="Y676" s="1086"/>
      <c r="Z676" s="1086"/>
      <c r="AA676" s="1086"/>
      <c r="AB676" s="1086"/>
    </row>
    <row r="677">
      <c r="A677" s="1100"/>
      <c r="B677" s="1086"/>
      <c r="C677" s="1086"/>
      <c r="D677" s="1086"/>
      <c r="E677" s="1086"/>
      <c r="F677" s="1086"/>
      <c r="G677" s="1086"/>
      <c r="H677" s="1086"/>
      <c r="I677" s="1086"/>
      <c r="J677" s="1086"/>
      <c r="K677" s="1086"/>
      <c r="L677" s="1086"/>
      <c r="M677" s="1086"/>
      <c r="N677" s="1086"/>
      <c r="O677" s="1086"/>
      <c r="P677" s="1086"/>
      <c r="Q677" s="1086"/>
      <c r="R677" s="1086"/>
      <c r="S677" s="1086"/>
      <c r="T677" s="1086"/>
      <c r="U677" s="1086"/>
      <c r="V677" s="1086"/>
      <c r="W677" s="1086"/>
      <c r="X677" s="1086"/>
      <c r="Y677" s="1086"/>
      <c r="Z677" s="1086"/>
      <c r="AA677" s="1086"/>
      <c r="AB677" s="1086"/>
    </row>
    <row r="678">
      <c r="A678" s="1100"/>
      <c r="B678" s="1086"/>
      <c r="C678" s="1086"/>
      <c r="D678" s="1086"/>
      <c r="E678" s="1086"/>
      <c r="F678" s="1086"/>
      <c r="G678" s="1086"/>
      <c r="H678" s="1086"/>
      <c r="I678" s="1086"/>
      <c r="J678" s="1086"/>
      <c r="K678" s="1086"/>
      <c r="L678" s="1086"/>
      <c r="M678" s="1086"/>
      <c r="N678" s="1086"/>
      <c r="O678" s="1086"/>
      <c r="P678" s="1086"/>
      <c r="Q678" s="1086"/>
      <c r="R678" s="1086"/>
      <c r="S678" s="1086"/>
      <c r="T678" s="1086"/>
      <c r="U678" s="1086"/>
      <c r="V678" s="1086"/>
      <c r="W678" s="1086"/>
      <c r="X678" s="1086"/>
      <c r="Y678" s="1086"/>
      <c r="Z678" s="1086"/>
      <c r="AA678" s="1086"/>
      <c r="AB678" s="1086"/>
    </row>
    <row r="679">
      <c r="A679" s="1100"/>
      <c r="B679" s="1086"/>
      <c r="C679" s="1086"/>
      <c r="D679" s="1086"/>
      <c r="E679" s="1086"/>
      <c r="F679" s="1086"/>
      <c r="G679" s="1086"/>
      <c r="H679" s="1086"/>
      <c r="I679" s="1086"/>
      <c r="J679" s="1086"/>
      <c r="K679" s="1086"/>
      <c r="L679" s="1086"/>
      <c r="M679" s="1086"/>
      <c r="N679" s="1086"/>
      <c r="O679" s="1086"/>
      <c r="P679" s="1086"/>
      <c r="Q679" s="1086"/>
      <c r="R679" s="1086"/>
      <c r="S679" s="1086"/>
      <c r="T679" s="1086"/>
      <c r="U679" s="1086"/>
      <c r="V679" s="1086"/>
      <c r="W679" s="1086"/>
      <c r="X679" s="1086"/>
      <c r="Y679" s="1086"/>
      <c r="Z679" s="1086"/>
      <c r="AA679" s="1086"/>
      <c r="AB679" s="1086"/>
    </row>
    <row r="680">
      <c r="A680" s="1100"/>
      <c r="B680" s="1086"/>
      <c r="C680" s="1086"/>
      <c r="D680" s="1086"/>
      <c r="E680" s="1086"/>
      <c r="F680" s="1086"/>
      <c r="G680" s="1086"/>
      <c r="H680" s="1086"/>
      <c r="I680" s="1086"/>
      <c r="J680" s="1086"/>
      <c r="K680" s="1086"/>
      <c r="L680" s="1086"/>
      <c r="M680" s="1086"/>
      <c r="N680" s="1086"/>
      <c r="O680" s="1086"/>
      <c r="P680" s="1086"/>
      <c r="Q680" s="1086"/>
      <c r="R680" s="1086"/>
      <c r="S680" s="1086"/>
      <c r="T680" s="1086"/>
      <c r="U680" s="1086"/>
      <c r="V680" s="1086"/>
      <c r="W680" s="1086"/>
      <c r="X680" s="1086"/>
      <c r="Y680" s="1086"/>
      <c r="Z680" s="1086"/>
      <c r="AA680" s="1086"/>
      <c r="AB680" s="1086"/>
    </row>
    <row r="681">
      <c r="A681" s="1100"/>
      <c r="B681" s="1086"/>
      <c r="C681" s="1086"/>
      <c r="D681" s="1086"/>
      <c r="E681" s="1086"/>
      <c r="F681" s="1086"/>
      <c r="G681" s="1086"/>
      <c r="H681" s="1086"/>
      <c r="I681" s="1086"/>
      <c r="J681" s="1086"/>
      <c r="K681" s="1086"/>
      <c r="L681" s="1086"/>
      <c r="M681" s="1086"/>
      <c r="N681" s="1086"/>
      <c r="O681" s="1086"/>
      <c r="P681" s="1086"/>
      <c r="Q681" s="1086"/>
      <c r="R681" s="1086"/>
      <c r="S681" s="1086"/>
      <c r="T681" s="1086"/>
      <c r="U681" s="1086"/>
      <c r="V681" s="1086"/>
      <c r="W681" s="1086"/>
      <c r="X681" s="1086"/>
      <c r="Y681" s="1086"/>
      <c r="Z681" s="1086"/>
      <c r="AA681" s="1086"/>
      <c r="AB681" s="1086"/>
    </row>
    <row r="682">
      <c r="A682" s="1100"/>
      <c r="B682" s="1086"/>
      <c r="C682" s="1086"/>
      <c r="D682" s="1086"/>
      <c r="E682" s="1086"/>
      <c r="F682" s="1086"/>
      <c r="G682" s="1086"/>
      <c r="H682" s="1086"/>
      <c r="I682" s="1086"/>
      <c r="J682" s="1086"/>
      <c r="K682" s="1086"/>
      <c r="L682" s="1086"/>
      <c r="M682" s="1086"/>
      <c r="N682" s="1086"/>
      <c r="O682" s="1086"/>
      <c r="P682" s="1086"/>
      <c r="Q682" s="1086"/>
      <c r="R682" s="1086"/>
      <c r="S682" s="1086"/>
      <c r="T682" s="1086"/>
      <c r="U682" s="1086"/>
      <c r="V682" s="1086"/>
      <c r="W682" s="1086"/>
      <c r="X682" s="1086"/>
      <c r="Y682" s="1086"/>
      <c r="Z682" s="1086"/>
      <c r="AA682" s="1086"/>
      <c r="AB682" s="1086"/>
    </row>
    <row r="683">
      <c r="A683" s="1100"/>
      <c r="B683" s="1086"/>
      <c r="C683" s="1086"/>
      <c r="D683" s="1086"/>
      <c r="E683" s="1086"/>
      <c r="F683" s="1086"/>
      <c r="G683" s="1086"/>
      <c r="H683" s="1086"/>
      <c r="I683" s="1086"/>
      <c r="J683" s="1086"/>
      <c r="K683" s="1086"/>
      <c r="L683" s="1086"/>
      <c r="M683" s="1086"/>
      <c r="N683" s="1086"/>
      <c r="O683" s="1086"/>
      <c r="P683" s="1086"/>
      <c r="Q683" s="1086"/>
      <c r="R683" s="1086"/>
      <c r="S683" s="1086"/>
      <c r="T683" s="1086"/>
      <c r="U683" s="1086"/>
      <c r="V683" s="1086"/>
      <c r="W683" s="1086"/>
      <c r="X683" s="1086"/>
      <c r="Y683" s="1086"/>
      <c r="Z683" s="1086"/>
      <c r="AA683" s="1086"/>
      <c r="AB683" s="1086"/>
    </row>
    <row r="684">
      <c r="A684" s="1100"/>
      <c r="B684" s="1086"/>
      <c r="C684" s="1086"/>
      <c r="D684" s="1086"/>
      <c r="E684" s="1086"/>
      <c r="F684" s="1086"/>
      <c r="G684" s="1086"/>
      <c r="H684" s="1086"/>
      <c r="I684" s="1086"/>
      <c r="J684" s="1086"/>
      <c r="K684" s="1086"/>
      <c r="L684" s="1086"/>
      <c r="M684" s="1086"/>
      <c r="N684" s="1086"/>
      <c r="O684" s="1086"/>
      <c r="P684" s="1086"/>
      <c r="Q684" s="1086"/>
      <c r="R684" s="1086"/>
      <c r="S684" s="1086"/>
      <c r="T684" s="1086"/>
      <c r="U684" s="1086"/>
      <c r="V684" s="1086"/>
      <c r="W684" s="1086"/>
      <c r="X684" s="1086"/>
      <c r="Y684" s="1086"/>
      <c r="Z684" s="1086"/>
      <c r="AA684" s="1086"/>
      <c r="AB684" s="1086"/>
    </row>
    <row r="685">
      <c r="A685" s="1100"/>
      <c r="B685" s="1086"/>
      <c r="C685" s="1086"/>
      <c r="D685" s="1086"/>
      <c r="E685" s="1086"/>
      <c r="F685" s="1086"/>
      <c r="G685" s="1086"/>
      <c r="H685" s="1086"/>
      <c r="I685" s="1086"/>
      <c r="J685" s="1086"/>
      <c r="K685" s="1086"/>
      <c r="L685" s="1086"/>
      <c r="M685" s="1086"/>
      <c r="N685" s="1086"/>
      <c r="O685" s="1086"/>
      <c r="P685" s="1086"/>
      <c r="Q685" s="1086"/>
      <c r="R685" s="1086"/>
      <c r="S685" s="1086"/>
      <c r="T685" s="1086"/>
      <c r="U685" s="1086"/>
      <c r="V685" s="1086"/>
      <c r="W685" s="1086"/>
      <c r="X685" s="1086"/>
      <c r="Y685" s="1086"/>
      <c r="Z685" s="1086"/>
      <c r="AA685" s="1086"/>
      <c r="AB685" s="1086"/>
    </row>
    <row r="686">
      <c r="A686" s="1100"/>
      <c r="B686" s="1086"/>
      <c r="C686" s="1086"/>
      <c r="D686" s="1086"/>
      <c r="E686" s="1086"/>
      <c r="F686" s="1086"/>
      <c r="G686" s="1086"/>
      <c r="H686" s="1086"/>
      <c r="I686" s="1086"/>
      <c r="J686" s="1086"/>
      <c r="K686" s="1086"/>
      <c r="L686" s="1086"/>
      <c r="M686" s="1086"/>
      <c r="N686" s="1086"/>
      <c r="O686" s="1086"/>
      <c r="P686" s="1086"/>
      <c r="Q686" s="1086"/>
      <c r="R686" s="1086"/>
      <c r="S686" s="1086"/>
      <c r="T686" s="1086"/>
      <c r="U686" s="1086"/>
      <c r="V686" s="1086"/>
      <c r="W686" s="1086"/>
      <c r="X686" s="1086"/>
      <c r="Y686" s="1086"/>
      <c r="Z686" s="1086"/>
      <c r="AA686" s="1086"/>
      <c r="AB686" s="1086"/>
    </row>
    <row r="687">
      <c r="A687" s="1100"/>
      <c r="B687" s="1086"/>
      <c r="C687" s="1086"/>
      <c r="D687" s="1086"/>
      <c r="E687" s="1086"/>
      <c r="F687" s="1086"/>
      <c r="G687" s="1086"/>
      <c r="H687" s="1086"/>
      <c r="I687" s="1086"/>
      <c r="J687" s="1086"/>
      <c r="K687" s="1086"/>
      <c r="L687" s="1086"/>
      <c r="M687" s="1086"/>
      <c r="N687" s="1086"/>
      <c r="O687" s="1086"/>
      <c r="P687" s="1086"/>
      <c r="Q687" s="1086"/>
      <c r="R687" s="1086"/>
      <c r="S687" s="1086"/>
      <c r="T687" s="1086"/>
      <c r="U687" s="1086"/>
      <c r="V687" s="1086"/>
      <c r="W687" s="1086"/>
      <c r="X687" s="1086"/>
      <c r="Y687" s="1086"/>
      <c r="Z687" s="1086"/>
      <c r="AA687" s="1086"/>
      <c r="AB687" s="1086"/>
    </row>
    <row r="688">
      <c r="A688" s="1100"/>
      <c r="B688" s="1086"/>
      <c r="C688" s="1086"/>
      <c r="D688" s="1086"/>
      <c r="E688" s="1086"/>
      <c r="F688" s="1086"/>
      <c r="G688" s="1086"/>
      <c r="H688" s="1086"/>
      <c r="I688" s="1086"/>
      <c r="J688" s="1086"/>
      <c r="K688" s="1086"/>
      <c r="L688" s="1086"/>
      <c r="M688" s="1086"/>
      <c r="N688" s="1086"/>
      <c r="O688" s="1086"/>
      <c r="P688" s="1086"/>
      <c r="Q688" s="1086"/>
      <c r="R688" s="1086"/>
      <c r="S688" s="1086"/>
      <c r="T688" s="1086"/>
      <c r="U688" s="1086"/>
      <c r="V688" s="1086"/>
      <c r="W688" s="1086"/>
      <c r="X688" s="1086"/>
      <c r="Y688" s="1086"/>
      <c r="Z688" s="1086"/>
      <c r="AA688" s="1086"/>
      <c r="AB688" s="1086"/>
    </row>
    <row r="689">
      <c r="A689" s="1100"/>
      <c r="B689" s="1086"/>
      <c r="C689" s="1086"/>
      <c r="D689" s="1086"/>
      <c r="E689" s="1086"/>
      <c r="F689" s="1086"/>
      <c r="G689" s="1086"/>
      <c r="H689" s="1086"/>
      <c r="I689" s="1086"/>
      <c r="J689" s="1086"/>
      <c r="K689" s="1086"/>
      <c r="L689" s="1086"/>
      <c r="M689" s="1086"/>
      <c r="N689" s="1086"/>
      <c r="O689" s="1086"/>
      <c r="P689" s="1086"/>
      <c r="Q689" s="1086"/>
      <c r="R689" s="1086"/>
      <c r="S689" s="1086"/>
      <c r="T689" s="1086"/>
      <c r="U689" s="1086"/>
      <c r="V689" s="1086"/>
      <c r="W689" s="1086"/>
      <c r="X689" s="1086"/>
      <c r="Y689" s="1086"/>
      <c r="Z689" s="1086"/>
      <c r="AA689" s="1086"/>
      <c r="AB689" s="1086"/>
    </row>
    <row r="690">
      <c r="A690" s="1100"/>
      <c r="B690" s="1086"/>
      <c r="C690" s="1086"/>
      <c r="D690" s="1086"/>
      <c r="E690" s="1086"/>
      <c r="F690" s="1086"/>
      <c r="G690" s="1086"/>
      <c r="H690" s="1086"/>
      <c r="I690" s="1086"/>
      <c r="J690" s="1086"/>
      <c r="K690" s="1086"/>
      <c r="L690" s="1086"/>
      <c r="M690" s="1086"/>
      <c r="N690" s="1086"/>
      <c r="O690" s="1086"/>
      <c r="P690" s="1086"/>
      <c r="Q690" s="1086"/>
      <c r="R690" s="1086"/>
      <c r="S690" s="1086"/>
      <c r="T690" s="1086"/>
      <c r="U690" s="1086"/>
      <c r="V690" s="1086"/>
      <c r="W690" s="1086"/>
      <c r="X690" s="1086"/>
      <c r="Y690" s="1086"/>
      <c r="Z690" s="1086"/>
      <c r="AA690" s="1086"/>
      <c r="AB690" s="1086"/>
    </row>
    <row r="691">
      <c r="A691" s="1100"/>
      <c r="B691" s="1086"/>
      <c r="C691" s="1086"/>
      <c r="D691" s="1086"/>
      <c r="E691" s="1086"/>
      <c r="F691" s="1086"/>
      <c r="G691" s="1086"/>
      <c r="H691" s="1086"/>
      <c r="I691" s="1086"/>
      <c r="J691" s="1086"/>
      <c r="K691" s="1086"/>
      <c r="L691" s="1086"/>
      <c r="M691" s="1086"/>
      <c r="N691" s="1086"/>
      <c r="O691" s="1086"/>
      <c r="P691" s="1086"/>
      <c r="Q691" s="1086"/>
      <c r="R691" s="1086"/>
      <c r="S691" s="1086"/>
      <c r="T691" s="1086"/>
      <c r="U691" s="1086"/>
      <c r="V691" s="1086"/>
      <c r="W691" s="1086"/>
      <c r="X691" s="1086"/>
      <c r="Y691" s="1086"/>
      <c r="Z691" s="1086"/>
      <c r="AA691" s="1086"/>
      <c r="AB691" s="1086"/>
    </row>
    <row r="692">
      <c r="A692" s="1100"/>
      <c r="B692" s="1086"/>
      <c r="C692" s="1086"/>
      <c r="D692" s="1086"/>
      <c r="E692" s="1086"/>
      <c r="F692" s="1086"/>
      <c r="G692" s="1086"/>
      <c r="H692" s="1086"/>
      <c r="I692" s="1086"/>
      <c r="J692" s="1086"/>
      <c r="K692" s="1086"/>
      <c r="L692" s="1086"/>
      <c r="M692" s="1086"/>
      <c r="N692" s="1086"/>
      <c r="O692" s="1086"/>
      <c r="P692" s="1086"/>
      <c r="Q692" s="1086"/>
      <c r="R692" s="1086"/>
      <c r="S692" s="1086"/>
      <c r="T692" s="1086"/>
      <c r="U692" s="1086"/>
      <c r="V692" s="1086"/>
      <c r="W692" s="1086"/>
      <c r="X692" s="1086"/>
      <c r="Y692" s="1086"/>
      <c r="Z692" s="1086"/>
      <c r="AA692" s="1086"/>
      <c r="AB692" s="1086"/>
    </row>
    <row r="693">
      <c r="A693" s="1100"/>
      <c r="B693" s="1086"/>
      <c r="C693" s="1086"/>
      <c r="D693" s="1086"/>
      <c r="E693" s="1086"/>
      <c r="F693" s="1086"/>
      <c r="G693" s="1086"/>
      <c r="H693" s="1086"/>
      <c r="I693" s="1086"/>
      <c r="J693" s="1086"/>
      <c r="K693" s="1086"/>
      <c r="L693" s="1086"/>
      <c r="M693" s="1086"/>
      <c r="N693" s="1086"/>
      <c r="O693" s="1086"/>
      <c r="P693" s="1086"/>
      <c r="Q693" s="1086"/>
      <c r="R693" s="1086"/>
      <c r="S693" s="1086"/>
      <c r="T693" s="1086"/>
      <c r="U693" s="1086"/>
      <c r="V693" s="1086"/>
      <c r="W693" s="1086"/>
      <c r="X693" s="1086"/>
      <c r="Y693" s="1086"/>
      <c r="Z693" s="1086"/>
      <c r="AA693" s="1086"/>
      <c r="AB693" s="1086"/>
    </row>
    <row r="694">
      <c r="A694" s="1100"/>
      <c r="B694" s="1086"/>
      <c r="C694" s="1086"/>
      <c r="D694" s="1086"/>
      <c r="E694" s="1086"/>
      <c r="F694" s="1086"/>
      <c r="G694" s="1086"/>
      <c r="H694" s="1086"/>
      <c r="I694" s="1086"/>
      <c r="J694" s="1086"/>
      <c r="K694" s="1086"/>
      <c r="L694" s="1086"/>
      <c r="M694" s="1086"/>
      <c r="N694" s="1086"/>
      <c r="O694" s="1086"/>
      <c r="P694" s="1086"/>
      <c r="Q694" s="1086"/>
      <c r="R694" s="1086"/>
      <c r="S694" s="1086"/>
      <c r="T694" s="1086"/>
      <c r="U694" s="1086"/>
      <c r="V694" s="1086"/>
      <c r="W694" s="1086"/>
      <c r="X694" s="1086"/>
      <c r="Y694" s="1086"/>
      <c r="Z694" s="1086"/>
      <c r="AA694" s="1086"/>
      <c r="AB694" s="1086"/>
    </row>
    <row r="695">
      <c r="A695" s="1100"/>
      <c r="B695" s="1086"/>
      <c r="C695" s="1086"/>
      <c r="D695" s="1086"/>
      <c r="E695" s="1086"/>
      <c r="F695" s="1086"/>
      <c r="G695" s="1086"/>
      <c r="H695" s="1086"/>
      <c r="I695" s="1086"/>
      <c r="J695" s="1086"/>
      <c r="K695" s="1086"/>
      <c r="L695" s="1086"/>
      <c r="M695" s="1086"/>
      <c r="N695" s="1086"/>
      <c r="O695" s="1086"/>
      <c r="P695" s="1086"/>
      <c r="Q695" s="1086"/>
      <c r="R695" s="1086"/>
      <c r="S695" s="1086"/>
      <c r="T695" s="1086"/>
      <c r="U695" s="1086"/>
      <c r="V695" s="1086"/>
      <c r="W695" s="1086"/>
      <c r="X695" s="1086"/>
      <c r="Y695" s="1086"/>
      <c r="Z695" s="1086"/>
      <c r="AA695" s="1086"/>
      <c r="AB695" s="1086"/>
    </row>
    <row r="696">
      <c r="A696" s="1100"/>
      <c r="B696" s="1086"/>
      <c r="C696" s="1086"/>
      <c r="D696" s="1086"/>
      <c r="E696" s="1086"/>
      <c r="F696" s="1086"/>
      <c r="G696" s="1086"/>
      <c r="H696" s="1086"/>
      <c r="I696" s="1086"/>
      <c r="J696" s="1086"/>
      <c r="K696" s="1086"/>
      <c r="L696" s="1086"/>
      <c r="M696" s="1086"/>
      <c r="N696" s="1086"/>
      <c r="O696" s="1086"/>
      <c r="P696" s="1086"/>
      <c r="Q696" s="1086"/>
      <c r="R696" s="1086"/>
      <c r="S696" s="1086"/>
      <c r="T696" s="1086"/>
      <c r="U696" s="1086"/>
      <c r="V696" s="1086"/>
      <c r="W696" s="1086"/>
      <c r="X696" s="1086"/>
      <c r="Y696" s="1086"/>
      <c r="Z696" s="1086"/>
      <c r="AA696" s="1086"/>
      <c r="AB696" s="1086"/>
    </row>
    <row r="697">
      <c r="A697" s="1100"/>
      <c r="B697" s="1086"/>
      <c r="C697" s="1086"/>
      <c r="D697" s="1086"/>
      <c r="E697" s="1086"/>
      <c r="F697" s="1086"/>
      <c r="G697" s="1086"/>
      <c r="H697" s="1086"/>
      <c r="I697" s="1086"/>
      <c r="J697" s="1086"/>
      <c r="K697" s="1086"/>
      <c r="L697" s="1086"/>
      <c r="M697" s="1086"/>
      <c r="N697" s="1086"/>
      <c r="O697" s="1086"/>
      <c r="P697" s="1086"/>
      <c r="Q697" s="1086"/>
      <c r="R697" s="1086"/>
      <c r="S697" s="1086"/>
      <c r="T697" s="1086"/>
      <c r="U697" s="1086"/>
      <c r="V697" s="1086"/>
      <c r="W697" s="1086"/>
      <c r="X697" s="1086"/>
      <c r="Y697" s="1086"/>
      <c r="Z697" s="1086"/>
      <c r="AA697" s="1086"/>
      <c r="AB697" s="1086"/>
    </row>
    <row r="698">
      <c r="A698" s="1100"/>
      <c r="B698" s="1086"/>
      <c r="C698" s="1086"/>
      <c r="D698" s="1086"/>
      <c r="E698" s="1086"/>
      <c r="F698" s="1086"/>
      <c r="G698" s="1086"/>
      <c r="H698" s="1086"/>
      <c r="I698" s="1086"/>
      <c r="J698" s="1086"/>
      <c r="K698" s="1086"/>
      <c r="L698" s="1086"/>
      <c r="M698" s="1086"/>
      <c r="N698" s="1086"/>
      <c r="O698" s="1086"/>
      <c r="P698" s="1086"/>
      <c r="Q698" s="1086"/>
      <c r="R698" s="1086"/>
      <c r="S698" s="1086"/>
      <c r="T698" s="1086"/>
      <c r="U698" s="1086"/>
      <c r="V698" s="1086"/>
      <c r="W698" s="1086"/>
      <c r="X698" s="1086"/>
      <c r="Y698" s="1086"/>
      <c r="Z698" s="1086"/>
      <c r="AA698" s="1086"/>
      <c r="AB698" s="1086"/>
    </row>
    <row r="699">
      <c r="A699" s="1100"/>
      <c r="B699" s="1086"/>
      <c r="C699" s="1086"/>
      <c r="D699" s="1086"/>
      <c r="E699" s="1086"/>
      <c r="F699" s="1086"/>
      <c r="G699" s="1086"/>
      <c r="H699" s="1086"/>
      <c r="I699" s="1086"/>
      <c r="J699" s="1086"/>
      <c r="K699" s="1086"/>
      <c r="L699" s="1086"/>
      <c r="M699" s="1086"/>
      <c r="N699" s="1086"/>
      <c r="O699" s="1086"/>
      <c r="P699" s="1086"/>
      <c r="Q699" s="1086"/>
      <c r="R699" s="1086"/>
      <c r="S699" s="1086"/>
      <c r="T699" s="1086"/>
      <c r="U699" s="1086"/>
      <c r="V699" s="1086"/>
      <c r="W699" s="1086"/>
      <c r="X699" s="1086"/>
      <c r="Y699" s="1086"/>
      <c r="Z699" s="1086"/>
      <c r="AA699" s="1086"/>
      <c r="AB699" s="1086"/>
    </row>
    <row r="700">
      <c r="A700" s="1100"/>
      <c r="B700" s="1086"/>
      <c r="C700" s="1086"/>
      <c r="D700" s="1086"/>
      <c r="E700" s="1086"/>
      <c r="F700" s="1086"/>
      <c r="G700" s="1086"/>
      <c r="H700" s="1086"/>
      <c r="I700" s="1086"/>
      <c r="J700" s="1086"/>
      <c r="K700" s="1086"/>
      <c r="L700" s="1086"/>
      <c r="M700" s="1086"/>
      <c r="N700" s="1086"/>
      <c r="O700" s="1086"/>
      <c r="P700" s="1086"/>
      <c r="Q700" s="1086"/>
      <c r="R700" s="1086"/>
      <c r="S700" s="1086"/>
      <c r="T700" s="1086"/>
      <c r="U700" s="1086"/>
      <c r="V700" s="1086"/>
      <c r="W700" s="1086"/>
      <c r="X700" s="1086"/>
      <c r="Y700" s="1086"/>
      <c r="Z700" s="1086"/>
      <c r="AA700" s="1086"/>
      <c r="AB700" s="1086"/>
    </row>
    <row r="701">
      <c r="A701" s="1100"/>
      <c r="B701" s="1086"/>
      <c r="C701" s="1086"/>
      <c r="D701" s="1086"/>
      <c r="E701" s="1086"/>
      <c r="F701" s="1086"/>
      <c r="G701" s="1086"/>
      <c r="H701" s="1086"/>
      <c r="I701" s="1086"/>
      <c r="J701" s="1086"/>
      <c r="K701" s="1086"/>
      <c r="L701" s="1086"/>
      <c r="M701" s="1086"/>
      <c r="N701" s="1086"/>
      <c r="O701" s="1086"/>
      <c r="P701" s="1086"/>
      <c r="Q701" s="1086"/>
      <c r="R701" s="1086"/>
      <c r="S701" s="1086"/>
      <c r="T701" s="1086"/>
      <c r="U701" s="1086"/>
      <c r="V701" s="1086"/>
      <c r="W701" s="1086"/>
      <c r="X701" s="1086"/>
      <c r="Y701" s="1086"/>
      <c r="Z701" s="1086"/>
      <c r="AA701" s="1086"/>
      <c r="AB701" s="1086"/>
    </row>
    <row r="702">
      <c r="A702" s="1100"/>
      <c r="B702" s="1086"/>
      <c r="C702" s="1086"/>
      <c r="D702" s="1086"/>
      <c r="E702" s="1086"/>
      <c r="F702" s="1086"/>
      <c r="G702" s="1086"/>
      <c r="H702" s="1086"/>
      <c r="I702" s="1086"/>
      <c r="J702" s="1086"/>
      <c r="K702" s="1086"/>
      <c r="L702" s="1086"/>
      <c r="M702" s="1086"/>
      <c r="N702" s="1086"/>
      <c r="O702" s="1086"/>
      <c r="P702" s="1086"/>
      <c r="Q702" s="1086"/>
      <c r="R702" s="1086"/>
      <c r="S702" s="1086"/>
      <c r="T702" s="1086"/>
      <c r="U702" s="1086"/>
      <c r="V702" s="1086"/>
      <c r="W702" s="1086"/>
      <c r="X702" s="1086"/>
      <c r="Y702" s="1086"/>
      <c r="Z702" s="1086"/>
      <c r="AA702" s="1086"/>
      <c r="AB702" s="1086"/>
    </row>
    <row r="703">
      <c r="A703" s="1100"/>
      <c r="B703" s="1086"/>
      <c r="C703" s="1086"/>
      <c r="D703" s="1086"/>
      <c r="E703" s="1086"/>
      <c r="F703" s="1086"/>
      <c r="G703" s="1086"/>
      <c r="H703" s="1086"/>
      <c r="I703" s="1086"/>
      <c r="J703" s="1086"/>
      <c r="K703" s="1086"/>
      <c r="L703" s="1086"/>
      <c r="M703" s="1086"/>
      <c r="N703" s="1086"/>
      <c r="O703" s="1086"/>
      <c r="P703" s="1086"/>
      <c r="Q703" s="1086"/>
      <c r="R703" s="1086"/>
      <c r="S703" s="1086"/>
      <c r="T703" s="1086"/>
      <c r="U703" s="1086"/>
      <c r="V703" s="1086"/>
      <c r="W703" s="1086"/>
      <c r="X703" s="1086"/>
      <c r="Y703" s="1086"/>
      <c r="Z703" s="1086"/>
      <c r="AA703" s="1086"/>
      <c r="AB703" s="1086"/>
    </row>
    <row r="704">
      <c r="A704" s="1100"/>
      <c r="B704" s="1086"/>
      <c r="C704" s="1086"/>
      <c r="D704" s="1086"/>
      <c r="E704" s="1086"/>
      <c r="F704" s="1086"/>
      <c r="G704" s="1086"/>
      <c r="H704" s="1086"/>
      <c r="I704" s="1086"/>
      <c r="J704" s="1086"/>
      <c r="K704" s="1086"/>
      <c r="L704" s="1086"/>
      <c r="M704" s="1086"/>
      <c r="N704" s="1086"/>
      <c r="O704" s="1086"/>
      <c r="P704" s="1086"/>
      <c r="Q704" s="1086"/>
      <c r="R704" s="1086"/>
      <c r="S704" s="1086"/>
      <c r="T704" s="1086"/>
      <c r="U704" s="1086"/>
      <c r="V704" s="1086"/>
      <c r="W704" s="1086"/>
      <c r="X704" s="1086"/>
      <c r="Y704" s="1086"/>
      <c r="Z704" s="1086"/>
      <c r="AA704" s="1086"/>
      <c r="AB704" s="1086"/>
    </row>
    <row r="705">
      <c r="A705" s="1100"/>
      <c r="B705" s="1086"/>
      <c r="C705" s="1086"/>
      <c r="D705" s="1086"/>
      <c r="E705" s="1086"/>
      <c r="F705" s="1086"/>
      <c r="G705" s="1086"/>
      <c r="H705" s="1086"/>
      <c r="I705" s="1086"/>
      <c r="J705" s="1086"/>
      <c r="K705" s="1086"/>
      <c r="L705" s="1086"/>
      <c r="M705" s="1086"/>
      <c r="N705" s="1086"/>
      <c r="O705" s="1086"/>
      <c r="P705" s="1086"/>
      <c r="Q705" s="1086"/>
      <c r="R705" s="1086"/>
      <c r="S705" s="1086"/>
      <c r="T705" s="1086"/>
      <c r="U705" s="1086"/>
      <c r="V705" s="1086"/>
      <c r="W705" s="1086"/>
      <c r="X705" s="1086"/>
      <c r="Y705" s="1086"/>
      <c r="Z705" s="1086"/>
      <c r="AA705" s="1086"/>
      <c r="AB705" s="1086"/>
    </row>
    <row r="706">
      <c r="A706" s="1100"/>
      <c r="B706" s="1086"/>
      <c r="C706" s="1086"/>
      <c r="D706" s="1086"/>
      <c r="E706" s="1086"/>
      <c r="F706" s="1086"/>
      <c r="G706" s="1086"/>
      <c r="H706" s="1086"/>
      <c r="I706" s="1086"/>
      <c r="J706" s="1086"/>
      <c r="K706" s="1086"/>
      <c r="L706" s="1086"/>
      <c r="M706" s="1086"/>
      <c r="N706" s="1086"/>
      <c r="O706" s="1086"/>
      <c r="P706" s="1086"/>
      <c r="Q706" s="1086"/>
      <c r="R706" s="1086"/>
      <c r="S706" s="1086"/>
      <c r="T706" s="1086"/>
      <c r="U706" s="1086"/>
      <c r="V706" s="1086"/>
      <c r="W706" s="1086"/>
      <c r="X706" s="1086"/>
      <c r="Y706" s="1086"/>
      <c r="Z706" s="1086"/>
      <c r="AA706" s="1086"/>
      <c r="AB706" s="1086"/>
    </row>
    <row r="707">
      <c r="A707" s="1100"/>
      <c r="B707" s="1086"/>
      <c r="C707" s="1086"/>
      <c r="D707" s="1086"/>
      <c r="E707" s="1086"/>
      <c r="F707" s="1086"/>
      <c r="G707" s="1086"/>
      <c r="H707" s="1086"/>
      <c r="I707" s="1086"/>
      <c r="J707" s="1086"/>
      <c r="K707" s="1086"/>
      <c r="L707" s="1086"/>
      <c r="M707" s="1086"/>
      <c r="N707" s="1086"/>
      <c r="O707" s="1086"/>
      <c r="P707" s="1086"/>
      <c r="Q707" s="1086"/>
      <c r="R707" s="1086"/>
      <c r="S707" s="1086"/>
      <c r="T707" s="1086"/>
      <c r="U707" s="1086"/>
      <c r="V707" s="1086"/>
      <c r="W707" s="1086"/>
      <c r="X707" s="1086"/>
      <c r="Y707" s="1086"/>
      <c r="Z707" s="1086"/>
      <c r="AA707" s="1086"/>
      <c r="AB707" s="1086"/>
    </row>
    <row r="708">
      <c r="A708" s="1100"/>
      <c r="B708" s="1086"/>
      <c r="C708" s="1086"/>
      <c r="D708" s="1086"/>
      <c r="E708" s="1086"/>
      <c r="F708" s="1086"/>
      <c r="G708" s="1086"/>
      <c r="H708" s="1086"/>
      <c r="I708" s="1086"/>
      <c r="J708" s="1086"/>
      <c r="K708" s="1086"/>
      <c r="L708" s="1086"/>
      <c r="M708" s="1086"/>
      <c r="N708" s="1086"/>
      <c r="O708" s="1086"/>
      <c r="P708" s="1086"/>
      <c r="Q708" s="1086"/>
      <c r="R708" s="1086"/>
      <c r="S708" s="1086"/>
      <c r="T708" s="1086"/>
      <c r="U708" s="1086"/>
      <c r="V708" s="1086"/>
      <c r="W708" s="1086"/>
      <c r="X708" s="1086"/>
      <c r="Y708" s="1086"/>
      <c r="Z708" s="1086"/>
      <c r="AA708" s="1086"/>
      <c r="AB708" s="1086"/>
    </row>
    <row r="709">
      <c r="A709" s="1100"/>
      <c r="B709" s="1086"/>
      <c r="C709" s="1086"/>
      <c r="D709" s="1086"/>
      <c r="E709" s="1086"/>
      <c r="F709" s="1086"/>
      <c r="G709" s="1086"/>
      <c r="H709" s="1086"/>
      <c r="I709" s="1086"/>
      <c r="J709" s="1086"/>
      <c r="K709" s="1086"/>
      <c r="L709" s="1086"/>
      <c r="M709" s="1086"/>
      <c r="N709" s="1086"/>
      <c r="O709" s="1086"/>
      <c r="P709" s="1086"/>
      <c r="Q709" s="1086"/>
      <c r="R709" s="1086"/>
      <c r="S709" s="1086"/>
      <c r="T709" s="1086"/>
      <c r="U709" s="1086"/>
      <c r="V709" s="1086"/>
      <c r="W709" s="1086"/>
      <c r="X709" s="1086"/>
      <c r="Y709" s="1086"/>
      <c r="Z709" s="1086"/>
      <c r="AA709" s="1086"/>
      <c r="AB709" s="1086"/>
    </row>
    <row r="710">
      <c r="A710" s="1100"/>
      <c r="B710" s="1086"/>
      <c r="C710" s="1086"/>
      <c r="D710" s="1086"/>
      <c r="E710" s="1086"/>
      <c r="F710" s="1086"/>
      <c r="G710" s="1086"/>
      <c r="H710" s="1086"/>
      <c r="I710" s="1086"/>
      <c r="J710" s="1086"/>
      <c r="K710" s="1086"/>
      <c r="L710" s="1086"/>
      <c r="M710" s="1086"/>
      <c r="N710" s="1086"/>
      <c r="O710" s="1086"/>
      <c r="P710" s="1086"/>
      <c r="Q710" s="1086"/>
      <c r="R710" s="1086"/>
      <c r="S710" s="1086"/>
      <c r="T710" s="1086"/>
      <c r="U710" s="1086"/>
      <c r="V710" s="1086"/>
      <c r="W710" s="1086"/>
      <c r="X710" s="1086"/>
      <c r="Y710" s="1086"/>
      <c r="Z710" s="1086"/>
      <c r="AA710" s="1086"/>
      <c r="AB710" s="1086"/>
    </row>
    <row r="711">
      <c r="A711" s="1100"/>
      <c r="B711" s="1086"/>
      <c r="C711" s="1086"/>
      <c r="D711" s="1086"/>
      <c r="E711" s="1086"/>
      <c r="F711" s="1086"/>
      <c r="G711" s="1086"/>
      <c r="H711" s="1086"/>
      <c r="I711" s="1086"/>
      <c r="J711" s="1086"/>
      <c r="K711" s="1086"/>
      <c r="L711" s="1086"/>
      <c r="M711" s="1086"/>
      <c r="N711" s="1086"/>
      <c r="O711" s="1086"/>
      <c r="P711" s="1086"/>
      <c r="Q711" s="1086"/>
      <c r="R711" s="1086"/>
      <c r="S711" s="1086"/>
      <c r="T711" s="1086"/>
      <c r="U711" s="1086"/>
      <c r="V711" s="1086"/>
      <c r="W711" s="1086"/>
      <c r="X711" s="1086"/>
      <c r="Y711" s="1086"/>
      <c r="Z711" s="1086"/>
      <c r="AA711" s="1086"/>
      <c r="AB711" s="1086"/>
    </row>
    <row r="712">
      <c r="A712" s="1100"/>
      <c r="B712" s="1086"/>
      <c r="C712" s="1086"/>
      <c r="D712" s="1086"/>
      <c r="E712" s="1086"/>
      <c r="F712" s="1086"/>
      <c r="G712" s="1086"/>
      <c r="H712" s="1086"/>
      <c r="I712" s="1086"/>
      <c r="J712" s="1086"/>
      <c r="K712" s="1086"/>
      <c r="L712" s="1086"/>
      <c r="M712" s="1086"/>
      <c r="N712" s="1086"/>
      <c r="O712" s="1086"/>
      <c r="P712" s="1086"/>
      <c r="Q712" s="1086"/>
      <c r="R712" s="1086"/>
      <c r="S712" s="1086"/>
      <c r="T712" s="1086"/>
      <c r="U712" s="1086"/>
      <c r="V712" s="1086"/>
      <c r="W712" s="1086"/>
      <c r="X712" s="1086"/>
      <c r="Y712" s="1086"/>
      <c r="Z712" s="1086"/>
      <c r="AA712" s="1086"/>
      <c r="AB712" s="1086"/>
    </row>
    <row r="713">
      <c r="A713" s="1100"/>
      <c r="B713" s="1086"/>
      <c r="C713" s="1086"/>
      <c r="D713" s="1086"/>
      <c r="E713" s="1086"/>
      <c r="F713" s="1086"/>
      <c r="G713" s="1086"/>
      <c r="H713" s="1086"/>
      <c r="I713" s="1086"/>
      <c r="J713" s="1086"/>
      <c r="K713" s="1086"/>
      <c r="L713" s="1086"/>
      <c r="M713" s="1086"/>
      <c r="N713" s="1086"/>
      <c r="O713" s="1086"/>
      <c r="P713" s="1086"/>
      <c r="Q713" s="1086"/>
      <c r="R713" s="1086"/>
      <c r="S713" s="1086"/>
      <c r="T713" s="1086"/>
      <c r="U713" s="1086"/>
      <c r="V713" s="1086"/>
      <c r="W713" s="1086"/>
      <c r="X713" s="1086"/>
      <c r="Y713" s="1086"/>
      <c r="Z713" s="1086"/>
      <c r="AA713" s="1086"/>
      <c r="AB713" s="1086"/>
    </row>
    <row r="714">
      <c r="A714" s="1100"/>
      <c r="B714" s="1086"/>
      <c r="C714" s="1086"/>
      <c r="D714" s="1086"/>
      <c r="E714" s="1086"/>
      <c r="F714" s="1086"/>
      <c r="G714" s="1086"/>
      <c r="H714" s="1086"/>
      <c r="I714" s="1086"/>
      <c r="J714" s="1086"/>
      <c r="K714" s="1086"/>
      <c r="L714" s="1086"/>
      <c r="M714" s="1086"/>
      <c r="N714" s="1086"/>
      <c r="O714" s="1086"/>
      <c r="P714" s="1086"/>
      <c r="Q714" s="1086"/>
      <c r="R714" s="1086"/>
      <c r="S714" s="1086"/>
      <c r="T714" s="1086"/>
      <c r="U714" s="1086"/>
      <c r="V714" s="1086"/>
      <c r="W714" s="1086"/>
      <c r="X714" s="1086"/>
      <c r="Y714" s="1086"/>
      <c r="Z714" s="1086"/>
      <c r="AA714" s="1086"/>
      <c r="AB714" s="1086"/>
    </row>
    <row r="715">
      <c r="A715" s="1100"/>
      <c r="B715" s="1086"/>
      <c r="C715" s="1086"/>
      <c r="D715" s="1086"/>
      <c r="E715" s="1086"/>
      <c r="F715" s="1086"/>
      <c r="G715" s="1086"/>
      <c r="H715" s="1086"/>
      <c r="I715" s="1086"/>
      <c r="J715" s="1086"/>
      <c r="K715" s="1086"/>
      <c r="L715" s="1086"/>
      <c r="M715" s="1086"/>
      <c r="N715" s="1086"/>
      <c r="O715" s="1086"/>
      <c r="P715" s="1086"/>
      <c r="Q715" s="1086"/>
      <c r="R715" s="1086"/>
      <c r="S715" s="1086"/>
      <c r="T715" s="1086"/>
      <c r="U715" s="1086"/>
      <c r="V715" s="1086"/>
      <c r="W715" s="1086"/>
      <c r="X715" s="1086"/>
      <c r="Y715" s="1086"/>
      <c r="Z715" s="1086"/>
      <c r="AA715" s="1086"/>
      <c r="AB715" s="1086"/>
    </row>
    <row r="716">
      <c r="A716" s="1100"/>
      <c r="B716" s="1086"/>
      <c r="C716" s="1086"/>
      <c r="D716" s="1086"/>
      <c r="E716" s="1086"/>
      <c r="F716" s="1086"/>
      <c r="G716" s="1086"/>
      <c r="H716" s="1086"/>
      <c r="I716" s="1086"/>
      <c r="J716" s="1086"/>
      <c r="K716" s="1086"/>
      <c r="L716" s="1086"/>
      <c r="M716" s="1086"/>
      <c r="N716" s="1086"/>
      <c r="O716" s="1086"/>
      <c r="P716" s="1086"/>
      <c r="Q716" s="1086"/>
      <c r="R716" s="1086"/>
      <c r="S716" s="1086"/>
      <c r="T716" s="1086"/>
      <c r="U716" s="1086"/>
      <c r="V716" s="1086"/>
      <c r="W716" s="1086"/>
      <c r="X716" s="1086"/>
      <c r="Y716" s="1086"/>
      <c r="Z716" s="1086"/>
      <c r="AA716" s="1086"/>
      <c r="AB716" s="1086"/>
    </row>
    <row r="717">
      <c r="A717" s="1100"/>
      <c r="B717" s="1086"/>
      <c r="C717" s="1086"/>
      <c r="D717" s="1086"/>
      <c r="E717" s="1086"/>
      <c r="F717" s="1086"/>
      <c r="G717" s="1086"/>
      <c r="H717" s="1086"/>
      <c r="I717" s="1086"/>
      <c r="J717" s="1086"/>
      <c r="K717" s="1086"/>
      <c r="L717" s="1086"/>
      <c r="M717" s="1086"/>
      <c r="N717" s="1086"/>
      <c r="O717" s="1086"/>
      <c r="P717" s="1086"/>
      <c r="Q717" s="1086"/>
      <c r="R717" s="1086"/>
      <c r="S717" s="1086"/>
      <c r="T717" s="1086"/>
      <c r="U717" s="1086"/>
      <c r="V717" s="1086"/>
      <c r="W717" s="1086"/>
      <c r="X717" s="1086"/>
      <c r="Y717" s="1086"/>
      <c r="Z717" s="1086"/>
      <c r="AA717" s="1086"/>
      <c r="AB717" s="1086"/>
    </row>
    <row r="718">
      <c r="A718" s="1100"/>
      <c r="B718" s="1086"/>
      <c r="C718" s="1086"/>
      <c r="D718" s="1086"/>
      <c r="E718" s="1086"/>
      <c r="F718" s="1086"/>
      <c r="G718" s="1086"/>
      <c r="H718" s="1086"/>
      <c r="I718" s="1086"/>
      <c r="J718" s="1086"/>
      <c r="K718" s="1086"/>
      <c r="L718" s="1086"/>
      <c r="M718" s="1086"/>
      <c r="N718" s="1086"/>
      <c r="O718" s="1086"/>
      <c r="P718" s="1086"/>
      <c r="Q718" s="1086"/>
      <c r="R718" s="1086"/>
      <c r="S718" s="1086"/>
      <c r="T718" s="1086"/>
      <c r="U718" s="1086"/>
      <c r="V718" s="1086"/>
      <c r="W718" s="1086"/>
      <c r="X718" s="1086"/>
      <c r="Y718" s="1086"/>
      <c r="Z718" s="1086"/>
      <c r="AA718" s="1086"/>
      <c r="AB718" s="1086"/>
    </row>
    <row r="719">
      <c r="A719" s="1100"/>
      <c r="B719" s="1086"/>
      <c r="C719" s="1086"/>
      <c r="D719" s="1086"/>
      <c r="E719" s="1086"/>
      <c r="F719" s="1086"/>
      <c r="G719" s="1086"/>
      <c r="H719" s="1086"/>
      <c r="I719" s="1086"/>
      <c r="J719" s="1086"/>
      <c r="K719" s="1086"/>
      <c r="L719" s="1086"/>
      <c r="M719" s="1086"/>
      <c r="N719" s="1086"/>
      <c r="O719" s="1086"/>
      <c r="P719" s="1086"/>
      <c r="Q719" s="1086"/>
      <c r="R719" s="1086"/>
      <c r="S719" s="1086"/>
      <c r="T719" s="1086"/>
      <c r="U719" s="1086"/>
      <c r="V719" s="1086"/>
      <c r="W719" s="1086"/>
      <c r="X719" s="1086"/>
      <c r="Y719" s="1086"/>
      <c r="Z719" s="1086"/>
      <c r="AA719" s="1086"/>
      <c r="AB719" s="1086"/>
    </row>
    <row r="720">
      <c r="A720" s="1100"/>
      <c r="B720" s="1086"/>
      <c r="C720" s="1086"/>
      <c r="D720" s="1086"/>
      <c r="E720" s="1086"/>
      <c r="F720" s="1086"/>
      <c r="G720" s="1086"/>
      <c r="H720" s="1086"/>
      <c r="I720" s="1086"/>
      <c r="J720" s="1086"/>
      <c r="K720" s="1086"/>
      <c r="L720" s="1086"/>
      <c r="M720" s="1086"/>
      <c r="N720" s="1086"/>
      <c r="O720" s="1086"/>
      <c r="P720" s="1086"/>
      <c r="Q720" s="1086"/>
      <c r="R720" s="1086"/>
      <c r="S720" s="1086"/>
      <c r="T720" s="1086"/>
      <c r="U720" s="1086"/>
      <c r="V720" s="1086"/>
      <c r="W720" s="1086"/>
      <c r="X720" s="1086"/>
      <c r="Y720" s="1086"/>
      <c r="Z720" s="1086"/>
      <c r="AA720" s="1086"/>
      <c r="AB720" s="1086"/>
    </row>
    <row r="721">
      <c r="A721" s="1100"/>
      <c r="B721" s="1086"/>
      <c r="C721" s="1086"/>
      <c r="D721" s="1086"/>
      <c r="E721" s="1086"/>
      <c r="F721" s="1086"/>
      <c r="G721" s="1086"/>
      <c r="H721" s="1086"/>
      <c r="I721" s="1086"/>
      <c r="J721" s="1086"/>
      <c r="K721" s="1086"/>
      <c r="L721" s="1086"/>
      <c r="M721" s="1086"/>
      <c r="N721" s="1086"/>
      <c r="O721" s="1086"/>
      <c r="P721" s="1086"/>
      <c r="Q721" s="1086"/>
      <c r="R721" s="1086"/>
      <c r="S721" s="1086"/>
      <c r="T721" s="1086"/>
      <c r="U721" s="1086"/>
      <c r="V721" s="1086"/>
      <c r="W721" s="1086"/>
      <c r="X721" s="1086"/>
      <c r="Y721" s="1086"/>
      <c r="Z721" s="1086"/>
      <c r="AA721" s="1086"/>
      <c r="AB721" s="1086"/>
    </row>
    <row r="722">
      <c r="A722" s="1100"/>
      <c r="B722" s="1086"/>
      <c r="C722" s="1086"/>
      <c r="D722" s="1086"/>
      <c r="E722" s="1086"/>
      <c r="F722" s="1086"/>
      <c r="G722" s="1086"/>
      <c r="H722" s="1086"/>
      <c r="I722" s="1086"/>
      <c r="J722" s="1086"/>
      <c r="K722" s="1086"/>
      <c r="L722" s="1086"/>
      <c r="M722" s="1086"/>
      <c r="N722" s="1086"/>
      <c r="O722" s="1086"/>
      <c r="P722" s="1086"/>
      <c r="Q722" s="1086"/>
      <c r="R722" s="1086"/>
      <c r="S722" s="1086"/>
      <c r="T722" s="1086"/>
      <c r="U722" s="1086"/>
      <c r="V722" s="1086"/>
      <c r="W722" s="1086"/>
      <c r="X722" s="1086"/>
      <c r="Y722" s="1086"/>
      <c r="Z722" s="1086"/>
      <c r="AA722" s="1086"/>
      <c r="AB722" s="1086"/>
    </row>
    <row r="723">
      <c r="A723" s="1100"/>
      <c r="B723" s="1086"/>
      <c r="C723" s="1086"/>
      <c r="D723" s="1086"/>
      <c r="E723" s="1086"/>
      <c r="F723" s="1086"/>
      <c r="G723" s="1086"/>
      <c r="H723" s="1086"/>
      <c r="I723" s="1086"/>
      <c r="J723" s="1086"/>
      <c r="K723" s="1086"/>
      <c r="L723" s="1086"/>
      <c r="M723" s="1086"/>
      <c r="N723" s="1086"/>
      <c r="O723" s="1086"/>
      <c r="P723" s="1086"/>
      <c r="Q723" s="1086"/>
      <c r="R723" s="1086"/>
      <c r="S723" s="1086"/>
      <c r="T723" s="1086"/>
      <c r="U723" s="1086"/>
      <c r="V723" s="1086"/>
      <c r="W723" s="1086"/>
      <c r="X723" s="1086"/>
      <c r="Y723" s="1086"/>
      <c r="Z723" s="1086"/>
      <c r="AA723" s="1086"/>
      <c r="AB723" s="1086"/>
    </row>
    <row r="724">
      <c r="A724" s="1100"/>
      <c r="B724" s="1086"/>
      <c r="C724" s="1086"/>
      <c r="D724" s="1086"/>
      <c r="E724" s="1086"/>
      <c r="F724" s="1086"/>
      <c r="G724" s="1086"/>
      <c r="H724" s="1086"/>
      <c r="I724" s="1086"/>
      <c r="J724" s="1086"/>
      <c r="K724" s="1086"/>
      <c r="L724" s="1086"/>
      <c r="M724" s="1086"/>
      <c r="N724" s="1086"/>
      <c r="O724" s="1086"/>
      <c r="P724" s="1086"/>
      <c r="Q724" s="1086"/>
      <c r="R724" s="1086"/>
      <c r="S724" s="1086"/>
      <c r="T724" s="1086"/>
      <c r="U724" s="1086"/>
      <c r="V724" s="1086"/>
      <c r="W724" s="1086"/>
      <c r="X724" s="1086"/>
      <c r="Y724" s="1086"/>
      <c r="Z724" s="1086"/>
      <c r="AA724" s="1086"/>
      <c r="AB724" s="1086"/>
    </row>
    <row r="725">
      <c r="A725" s="1100"/>
      <c r="B725" s="1086"/>
      <c r="C725" s="1086"/>
      <c r="D725" s="1086"/>
      <c r="E725" s="1086"/>
      <c r="F725" s="1086"/>
      <c r="G725" s="1086"/>
      <c r="H725" s="1086"/>
      <c r="I725" s="1086"/>
      <c r="J725" s="1086"/>
      <c r="K725" s="1086"/>
      <c r="L725" s="1086"/>
      <c r="M725" s="1086"/>
      <c r="N725" s="1086"/>
      <c r="O725" s="1086"/>
      <c r="P725" s="1086"/>
      <c r="Q725" s="1086"/>
      <c r="R725" s="1086"/>
      <c r="S725" s="1086"/>
      <c r="T725" s="1086"/>
      <c r="U725" s="1086"/>
      <c r="V725" s="1086"/>
      <c r="W725" s="1086"/>
      <c r="X725" s="1086"/>
      <c r="Y725" s="1086"/>
      <c r="Z725" s="1086"/>
      <c r="AA725" s="1086"/>
      <c r="AB725" s="1086"/>
    </row>
    <row r="726">
      <c r="A726" s="1100"/>
      <c r="B726" s="1086"/>
      <c r="C726" s="1086"/>
      <c r="D726" s="1086"/>
      <c r="E726" s="1086"/>
      <c r="F726" s="1086"/>
      <c r="G726" s="1086"/>
      <c r="H726" s="1086"/>
      <c r="I726" s="1086"/>
      <c r="J726" s="1086"/>
      <c r="K726" s="1086"/>
      <c r="L726" s="1086"/>
      <c r="M726" s="1086"/>
      <c r="N726" s="1086"/>
      <c r="O726" s="1086"/>
      <c r="P726" s="1086"/>
      <c r="Q726" s="1086"/>
      <c r="R726" s="1086"/>
      <c r="S726" s="1086"/>
      <c r="T726" s="1086"/>
      <c r="U726" s="1086"/>
      <c r="V726" s="1086"/>
      <c r="W726" s="1086"/>
      <c r="X726" s="1086"/>
      <c r="Y726" s="1086"/>
      <c r="Z726" s="1086"/>
      <c r="AA726" s="1086"/>
      <c r="AB726" s="1086"/>
    </row>
    <row r="727">
      <c r="A727" s="1100"/>
      <c r="B727" s="1086"/>
      <c r="C727" s="1086"/>
      <c r="D727" s="1086"/>
      <c r="E727" s="1086"/>
      <c r="F727" s="1086"/>
      <c r="G727" s="1086"/>
      <c r="H727" s="1086"/>
      <c r="I727" s="1086"/>
      <c r="J727" s="1086"/>
      <c r="K727" s="1086"/>
      <c r="L727" s="1086"/>
      <c r="M727" s="1086"/>
      <c r="N727" s="1086"/>
      <c r="O727" s="1086"/>
      <c r="P727" s="1086"/>
      <c r="Q727" s="1086"/>
      <c r="R727" s="1086"/>
      <c r="S727" s="1086"/>
      <c r="T727" s="1086"/>
      <c r="U727" s="1086"/>
      <c r="V727" s="1086"/>
      <c r="W727" s="1086"/>
      <c r="X727" s="1086"/>
      <c r="Y727" s="1086"/>
      <c r="Z727" s="1086"/>
      <c r="AA727" s="1086"/>
      <c r="AB727" s="1086"/>
    </row>
    <row r="728">
      <c r="A728" s="1100"/>
      <c r="B728" s="1086"/>
      <c r="C728" s="1086"/>
      <c r="D728" s="1086"/>
      <c r="E728" s="1086"/>
      <c r="F728" s="1086"/>
      <c r="G728" s="1086"/>
      <c r="H728" s="1086"/>
      <c r="I728" s="1086"/>
      <c r="J728" s="1086"/>
      <c r="K728" s="1086"/>
      <c r="L728" s="1086"/>
      <c r="M728" s="1086"/>
      <c r="N728" s="1086"/>
      <c r="O728" s="1086"/>
      <c r="P728" s="1086"/>
      <c r="Q728" s="1086"/>
      <c r="R728" s="1086"/>
      <c r="S728" s="1086"/>
      <c r="T728" s="1086"/>
      <c r="U728" s="1086"/>
      <c r="V728" s="1086"/>
      <c r="W728" s="1086"/>
      <c r="X728" s="1086"/>
      <c r="Y728" s="1086"/>
      <c r="Z728" s="1086"/>
      <c r="AA728" s="1086"/>
      <c r="AB728" s="1086"/>
    </row>
    <row r="729">
      <c r="A729" s="1100"/>
      <c r="B729" s="1086"/>
      <c r="C729" s="1086"/>
      <c r="D729" s="1086"/>
      <c r="E729" s="1086"/>
      <c r="F729" s="1086"/>
      <c r="G729" s="1086"/>
      <c r="H729" s="1086"/>
      <c r="I729" s="1086"/>
      <c r="J729" s="1086"/>
      <c r="K729" s="1086"/>
      <c r="L729" s="1086"/>
      <c r="M729" s="1086"/>
      <c r="N729" s="1086"/>
      <c r="O729" s="1086"/>
      <c r="P729" s="1086"/>
      <c r="Q729" s="1086"/>
      <c r="R729" s="1086"/>
      <c r="S729" s="1086"/>
      <c r="T729" s="1086"/>
      <c r="U729" s="1086"/>
      <c r="V729" s="1086"/>
      <c r="W729" s="1086"/>
      <c r="X729" s="1086"/>
      <c r="Y729" s="1086"/>
      <c r="Z729" s="1086"/>
      <c r="AA729" s="1086"/>
      <c r="AB729" s="1086"/>
    </row>
    <row r="730">
      <c r="A730" s="1100"/>
      <c r="B730" s="1086"/>
      <c r="C730" s="1086"/>
      <c r="D730" s="1086"/>
      <c r="E730" s="1086"/>
      <c r="F730" s="1086"/>
      <c r="G730" s="1086"/>
      <c r="H730" s="1086"/>
      <c r="I730" s="1086"/>
      <c r="J730" s="1086"/>
      <c r="K730" s="1086"/>
      <c r="L730" s="1086"/>
      <c r="M730" s="1086"/>
      <c r="N730" s="1086"/>
      <c r="O730" s="1086"/>
      <c r="P730" s="1086"/>
      <c r="Q730" s="1086"/>
      <c r="R730" s="1086"/>
      <c r="S730" s="1086"/>
      <c r="T730" s="1086"/>
      <c r="U730" s="1086"/>
      <c r="V730" s="1086"/>
      <c r="W730" s="1086"/>
      <c r="X730" s="1086"/>
      <c r="Y730" s="1086"/>
      <c r="Z730" s="1086"/>
      <c r="AA730" s="1086"/>
      <c r="AB730" s="1086"/>
    </row>
    <row r="731">
      <c r="A731" s="1100"/>
      <c r="B731" s="1086"/>
      <c r="C731" s="1086"/>
      <c r="D731" s="1086"/>
      <c r="E731" s="1086"/>
      <c r="F731" s="1086"/>
      <c r="G731" s="1086"/>
      <c r="H731" s="1086"/>
      <c r="I731" s="1086"/>
      <c r="J731" s="1086"/>
      <c r="K731" s="1086"/>
      <c r="L731" s="1086"/>
      <c r="M731" s="1086"/>
      <c r="N731" s="1086"/>
      <c r="O731" s="1086"/>
      <c r="P731" s="1086"/>
      <c r="Q731" s="1086"/>
      <c r="R731" s="1086"/>
      <c r="S731" s="1086"/>
      <c r="T731" s="1086"/>
      <c r="U731" s="1086"/>
      <c r="V731" s="1086"/>
      <c r="W731" s="1086"/>
      <c r="X731" s="1086"/>
      <c r="Y731" s="1086"/>
      <c r="Z731" s="1086"/>
      <c r="AA731" s="1086"/>
      <c r="AB731" s="1086"/>
    </row>
    <row r="732">
      <c r="A732" s="1100"/>
      <c r="B732" s="1086"/>
      <c r="C732" s="1086"/>
      <c r="D732" s="1086"/>
      <c r="E732" s="1086"/>
      <c r="F732" s="1086"/>
      <c r="G732" s="1086"/>
      <c r="H732" s="1086"/>
      <c r="I732" s="1086"/>
      <c r="J732" s="1086"/>
      <c r="K732" s="1086"/>
      <c r="L732" s="1086"/>
      <c r="M732" s="1086"/>
      <c r="N732" s="1086"/>
      <c r="O732" s="1086"/>
      <c r="P732" s="1086"/>
      <c r="Q732" s="1086"/>
      <c r="R732" s="1086"/>
      <c r="S732" s="1086"/>
      <c r="T732" s="1086"/>
      <c r="U732" s="1086"/>
      <c r="V732" s="1086"/>
      <c r="W732" s="1086"/>
      <c r="X732" s="1086"/>
      <c r="Y732" s="1086"/>
      <c r="Z732" s="1086"/>
      <c r="AA732" s="1086"/>
      <c r="AB732" s="1086"/>
    </row>
    <row r="733">
      <c r="A733" s="1100"/>
      <c r="B733" s="1086"/>
      <c r="C733" s="1086"/>
      <c r="D733" s="1086"/>
      <c r="E733" s="1086"/>
      <c r="F733" s="1086"/>
      <c r="G733" s="1086"/>
      <c r="H733" s="1086"/>
      <c r="I733" s="1086"/>
      <c r="J733" s="1086"/>
      <c r="K733" s="1086"/>
      <c r="L733" s="1086"/>
      <c r="M733" s="1086"/>
      <c r="N733" s="1086"/>
      <c r="O733" s="1086"/>
      <c r="P733" s="1086"/>
      <c r="Q733" s="1086"/>
      <c r="R733" s="1086"/>
      <c r="S733" s="1086"/>
      <c r="T733" s="1086"/>
      <c r="U733" s="1086"/>
      <c r="V733" s="1086"/>
      <c r="W733" s="1086"/>
      <c r="X733" s="1086"/>
      <c r="Y733" s="1086"/>
      <c r="Z733" s="1086"/>
      <c r="AA733" s="1086"/>
      <c r="AB733" s="1086"/>
    </row>
    <row r="734">
      <c r="A734" s="1100"/>
      <c r="B734" s="1086"/>
      <c r="C734" s="1086"/>
      <c r="D734" s="1086"/>
      <c r="E734" s="1086"/>
      <c r="F734" s="1086"/>
      <c r="G734" s="1086"/>
      <c r="H734" s="1086"/>
      <c r="I734" s="1086"/>
      <c r="J734" s="1086"/>
      <c r="K734" s="1086"/>
      <c r="L734" s="1086"/>
      <c r="M734" s="1086"/>
      <c r="N734" s="1086"/>
      <c r="O734" s="1086"/>
      <c r="P734" s="1086"/>
      <c r="Q734" s="1086"/>
      <c r="R734" s="1086"/>
      <c r="S734" s="1086"/>
      <c r="T734" s="1086"/>
      <c r="U734" s="1086"/>
      <c r="V734" s="1086"/>
      <c r="W734" s="1086"/>
      <c r="X734" s="1086"/>
      <c r="Y734" s="1086"/>
      <c r="Z734" s="1086"/>
      <c r="AA734" s="1086"/>
      <c r="AB734" s="1086"/>
    </row>
    <row r="735">
      <c r="A735" s="1100"/>
      <c r="B735" s="1086"/>
      <c r="C735" s="1086"/>
      <c r="D735" s="1086"/>
      <c r="E735" s="1086"/>
      <c r="F735" s="1086"/>
      <c r="G735" s="1086"/>
      <c r="H735" s="1086"/>
      <c r="I735" s="1086"/>
      <c r="J735" s="1086"/>
      <c r="K735" s="1086"/>
      <c r="L735" s="1086"/>
      <c r="M735" s="1086"/>
      <c r="N735" s="1086"/>
      <c r="O735" s="1086"/>
      <c r="P735" s="1086"/>
      <c r="Q735" s="1086"/>
      <c r="R735" s="1086"/>
      <c r="S735" s="1086"/>
      <c r="T735" s="1086"/>
      <c r="U735" s="1086"/>
      <c r="V735" s="1086"/>
      <c r="W735" s="1086"/>
      <c r="X735" s="1086"/>
      <c r="Y735" s="1086"/>
      <c r="Z735" s="1086"/>
      <c r="AA735" s="1086"/>
      <c r="AB735" s="1086"/>
    </row>
    <row r="736">
      <c r="A736" s="1100"/>
      <c r="B736" s="1086"/>
      <c r="C736" s="1086"/>
      <c r="D736" s="1086"/>
      <c r="E736" s="1086"/>
      <c r="F736" s="1086"/>
      <c r="G736" s="1086"/>
      <c r="H736" s="1086"/>
      <c r="I736" s="1086"/>
      <c r="J736" s="1086"/>
      <c r="K736" s="1086"/>
      <c r="L736" s="1086"/>
      <c r="M736" s="1086"/>
      <c r="N736" s="1086"/>
      <c r="O736" s="1086"/>
      <c r="P736" s="1086"/>
      <c r="Q736" s="1086"/>
      <c r="R736" s="1086"/>
      <c r="S736" s="1086"/>
      <c r="T736" s="1086"/>
      <c r="U736" s="1086"/>
      <c r="V736" s="1086"/>
      <c r="W736" s="1086"/>
      <c r="X736" s="1086"/>
      <c r="Y736" s="1086"/>
      <c r="Z736" s="1086"/>
      <c r="AA736" s="1086"/>
      <c r="AB736" s="1086"/>
    </row>
    <row r="737">
      <c r="A737" s="1100"/>
      <c r="B737" s="1086"/>
      <c r="C737" s="1086"/>
      <c r="D737" s="1086"/>
      <c r="E737" s="1086"/>
      <c r="F737" s="1086"/>
      <c r="G737" s="1086"/>
      <c r="H737" s="1086"/>
      <c r="I737" s="1086"/>
      <c r="J737" s="1086"/>
      <c r="K737" s="1086"/>
      <c r="L737" s="1086"/>
      <c r="M737" s="1086"/>
      <c r="N737" s="1086"/>
      <c r="O737" s="1086"/>
      <c r="P737" s="1086"/>
      <c r="Q737" s="1086"/>
      <c r="R737" s="1086"/>
      <c r="S737" s="1086"/>
      <c r="T737" s="1086"/>
      <c r="U737" s="1086"/>
      <c r="V737" s="1086"/>
      <c r="W737" s="1086"/>
      <c r="X737" s="1086"/>
      <c r="Y737" s="1086"/>
      <c r="Z737" s="1086"/>
      <c r="AA737" s="1086"/>
      <c r="AB737" s="1086"/>
    </row>
    <row r="738">
      <c r="A738" s="1100"/>
      <c r="B738" s="1086"/>
      <c r="C738" s="1086"/>
      <c r="D738" s="1086"/>
      <c r="E738" s="1086"/>
      <c r="F738" s="1086"/>
      <c r="G738" s="1086"/>
      <c r="H738" s="1086"/>
      <c r="I738" s="1086"/>
      <c r="J738" s="1086"/>
      <c r="K738" s="1086"/>
      <c r="L738" s="1086"/>
      <c r="M738" s="1086"/>
      <c r="N738" s="1086"/>
      <c r="O738" s="1086"/>
      <c r="P738" s="1086"/>
      <c r="Q738" s="1086"/>
      <c r="R738" s="1086"/>
      <c r="S738" s="1086"/>
      <c r="T738" s="1086"/>
      <c r="U738" s="1086"/>
      <c r="V738" s="1086"/>
      <c r="W738" s="1086"/>
      <c r="X738" s="1086"/>
      <c r="Y738" s="1086"/>
      <c r="Z738" s="1086"/>
      <c r="AA738" s="1086"/>
      <c r="AB738" s="1086"/>
    </row>
    <row r="739">
      <c r="A739" s="1100"/>
      <c r="B739" s="1086"/>
      <c r="C739" s="1086"/>
      <c r="D739" s="1086"/>
      <c r="E739" s="1086"/>
      <c r="F739" s="1086"/>
      <c r="G739" s="1086"/>
      <c r="H739" s="1086"/>
      <c r="I739" s="1086"/>
      <c r="J739" s="1086"/>
      <c r="K739" s="1086"/>
      <c r="L739" s="1086"/>
      <c r="M739" s="1086"/>
      <c r="N739" s="1086"/>
      <c r="O739" s="1086"/>
      <c r="P739" s="1086"/>
      <c r="Q739" s="1086"/>
      <c r="R739" s="1086"/>
      <c r="S739" s="1086"/>
      <c r="T739" s="1086"/>
      <c r="U739" s="1086"/>
      <c r="V739" s="1086"/>
      <c r="W739" s="1086"/>
      <c r="X739" s="1086"/>
      <c r="Y739" s="1086"/>
      <c r="Z739" s="1086"/>
      <c r="AA739" s="1086"/>
      <c r="AB739" s="1086"/>
    </row>
    <row r="740">
      <c r="A740" s="1100"/>
      <c r="B740" s="1086"/>
      <c r="C740" s="1086"/>
      <c r="D740" s="1086"/>
      <c r="E740" s="1086"/>
      <c r="F740" s="1086"/>
      <c r="G740" s="1086"/>
      <c r="H740" s="1086"/>
      <c r="I740" s="1086"/>
      <c r="J740" s="1086"/>
      <c r="K740" s="1086"/>
      <c r="L740" s="1086"/>
      <c r="M740" s="1086"/>
      <c r="N740" s="1086"/>
      <c r="O740" s="1086"/>
      <c r="P740" s="1086"/>
      <c r="Q740" s="1086"/>
      <c r="R740" s="1086"/>
      <c r="S740" s="1086"/>
      <c r="T740" s="1086"/>
      <c r="U740" s="1086"/>
      <c r="V740" s="1086"/>
      <c r="W740" s="1086"/>
      <c r="X740" s="1086"/>
      <c r="Y740" s="1086"/>
      <c r="Z740" s="1086"/>
      <c r="AA740" s="1086"/>
      <c r="AB740" s="1086"/>
    </row>
    <row r="741">
      <c r="A741" s="1100"/>
      <c r="B741" s="1086"/>
      <c r="C741" s="1086"/>
      <c r="D741" s="1086"/>
      <c r="E741" s="1086"/>
      <c r="F741" s="1086"/>
      <c r="G741" s="1086"/>
      <c r="H741" s="1086"/>
      <c r="I741" s="1086"/>
      <c r="J741" s="1086"/>
      <c r="K741" s="1086"/>
      <c r="L741" s="1086"/>
      <c r="M741" s="1086"/>
      <c r="N741" s="1086"/>
      <c r="O741" s="1086"/>
      <c r="P741" s="1086"/>
      <c r="Q741" s="1086"/>
      <c r="R741" s="1086"/>
      <c r="S741" s="1086"/>
      <c r="T741" s="1086"/>
      <c r="U741" s="1086"/>
      <c r="V741" s="1086"/>
      <c r="W741" s="1086"/>
      <c r="X741" s="1086"/>
      <c r="Y741" s="1086"/>
      <c r="Z741" s="1086"/>
      <c r="AA741" s="1086"/>
      <c r="AB741" s="1086"/>
    </row>
    <row r="742">
      <c r="A742" s="1100"/>
      <c r="B742" s="1086"/>
      <c r="C742" s="1086"/>
      <c r="D742" s="1086"/>
      <c r="E742" s="1086"/>
      <c r="F742" s="1086"/>
      <c r="G742" s="1086"/>
      <c r="H742" s="1086"/>
      <c r="I742" s="1086"/>
      <c r="J742" s="1086"/>
      <c r="K742" s="1086"/>
      <c r="L742" s="1086"/>
      <c r="M742" s="1086"/>
      <c r="N742" s="1086"/>
      <c r="O742" s="1086"/>
      <c r="P742" s="1086"/>
      <c r="Q742" s="1086"/>
      <c r="R742" s="1086"/>
      <c r="S742" s="1086"/>
      <c r="T742" s="1086"/>
      <c r="U742" s="1086"/>
      <c r="V742" s="1086"/>
      <c r="W742" s="1086"/>
      <c r="X742" s="1086"/>
      <c r="Y742" s="1086"/>
      <c r="Z742" s="1086"/>
      <c r="AA742" s="1086"/>
      <c r="AB742" s="1086"/>
    </row>
    <row r="743">
      <c r="A743" s="1100"/>
      <c r="B743" s="1086"/>
      <c r="C743" s="1086"/>
      <c r="D743" s="1086"/>
      <c r="E743" s="1086"/>
      <c r="F743" s="1086"/>
      <c r="G743" s="1086"/>
      <c r="H743" s="1086"/>
      <c r="I743" s="1086"/>
      <c r="J743" s="1086"/>
      <c r="K743" s="1086"/>
      <c r="L743" s="1086"/>
      <c r="M743" s="1086"/>
      <c r="N743" s="1086"/>
      <c r="O743" s="1086"/>
      <c r="P743" s="1086"/>
      <c r="Q743" s="1086"/>
      <c r="R743" s="1086"/>
      <c r="S743" s="1086"/>
      <c r="T743" s="1086"/>
      <c r="U743" s="1086"/>
      <c r="V743" s="1086"/>
      <c r="W743" s="1086"/>
      <c r="X743" s="1086"/>
      <c r="Y743" s="1086"/>
      <c r="Z743" s="1086"/>
      <c r="AA743" s="1086"/>
      <c r="AB743" s="1086"/>
    </row>
    <row r="744">
      <c r="A744" s="1100"/>
      <c r="B744" s="1086"/>
      <c r="C744" s="1086"/>
      <c r="D744" s="1086"/>
      <c r="E744" s="1086"/>
      <c r="F744" s="1086"/>
      <c r="G744" s="1086"/>
      <c r="H744" s="1086"/>
      <c r="I744" s="1086"/>
      <c r="J744" s="1086"/>
      <c r="K744" s="1086"/>
      <c r="L744" s="1086"/>
      <c r="M744" s="1086"/>
      <c r="N744" s="1086"/>
      <c r="O744" s="1086"/>
      <c r="P744" s="1086"/>
      <c r="Q744" s="1086"/>
      <c r="R744" s="1086"/>
      <c r="S744" s="1086"/>
      <c r="T744" s="1086"/>
      <c r="U744" s="1086"/>
      <c r="V744" s="1086"/>
      <c r="W744" s="1086"/>
      <c r="X744" s="1086"/>
      <c r="Y744" s="1086"/>
      <c r="Z744" s="1086"/>
      <c r="AA744" s="1086"/>
      <c r="AB744" s="1086"/>
    </row>
    <row r="745">
      <c r="A745" s="1100"/>
      <c r="B745" s="1086"/>
      <c r="C745" s="1086"/>
      <c r="D745" s="1086"/>
      <c r="E745" s="1086"/>
      <c r="F745" s="1086"/>
      <c r="G745" s="1086"/>
      <c r="H745" s="1086"/>
      <c r="I745" s="1086"/>
      <c r="J745" s="1086"/>
      <c r="K745" s="1086"/>
      <c r="L745" s="1086"/>
      <c r="M745" s="1086"/>
      <c r="N745" s="1086"/>
      <c r="O745" s="1086"/>
      <c r="P745" s="1086"/>
      <c r="Q745" s="1086"/>
      <c r="R745" s="1086"/>
      <c r="S745" s="1086"/>
      <c r="T745" s="1086"/>
      <c r="U745" s="1086"/>
      <c r="V745" s="1086"/>
      <c r="W745" s="1086"/>
      <c r="X745" s="1086"/>
      <c r="Y745" s="1086"/>
      <c r="Z745" s="1086"/>
      <c r="AA745" s="1086"/>
      <c r="AB745" s="1086"/>
    </row>
    <row r="746">
      <c r="A746" s="1100"/>
      <c r="B746" s="1086"/>
      <c r="C746" s="1086"/>
      <c r="D746" s="1086"/>
      <c r="E746" s="1086"/>
      <c r="F746" s="1086"/>
      <c r="G746" s="1086"/>
      <c r="H746" s="1086"/>
      <c r="I746" s="1086"/>
      <c r="J746" s="1086"/>
      <c r="K746" s="1086"/>
      <c r="L746" s="1086"/>
      <c r="M746" s="1086"/>
      <c r="N746" s="1086"/>
      <c r="O746" s="1086"/>
      <c r="P746" s="1086"/>
      <c r="Q746" s="1086"/>
      <c r="R746" s="1086"/>
      <c r="S746" s="1086"/>
      <c r="T746" s="1086"/>
      <c r="U746" s="1086"/>
      <c r="V746" s="1086"/>
      <c r="W746" s="1086"/>
      <c r="X746" s="1086"/>
      <c r="Y746" s="1086"/>
      <c r="Z746" s="1086"/>
      <c r="AA746" s="1086"/>
      <c r="AB746" s="1086"/>
    </row>
    <row r="747">
      <c r="A747" s="1100"/>
      <c r="B747" s="1086"/>
      <c r="C747" s="1086"/>
      <c r="D747" s="1086"/>
      <c r="E747" s="1086"/>
      <c r="F747" s="1086"/>
      <c r="G747" s="1086"/>
      <c r="H747" s="1086"/>
      <c r="I747" s="1086"/>
      <c r="J747" s="1086"/>
      <c r="K747" s="1086"/>
      <c r="L747" s="1086"/>
      <c r="M747" s="1086"/>
      <c r="N747" s="1086"/>
      <c r="O747" s="1086"/>
      <c r="P747" s="1086"/>
      <c r="Q747" s="1086"/>
      <c r="R747" s="1086"/>
      <c r="S747" s="1086"/>
      <c r="T747" s="1086"/>
      <c r="U747" s="1086"/>
      <c r="V747" s="1086"/>
      <c r="W747" s="1086"/>
      <c r="X747" s="1086"/>
      <c r="Y747" s="1086"/>
      <c r="Z747" s="1086"/>
      <c r="AA747" s="1086"/>
      <c r="AB747" s="1086"/>
    </row>
    <row r="748">
      <c r="A748" s="1100"/>
      <c r="B748" s="1086"/>
      <c r="C748" s="1086"/>
      <c r="D748" s="1086"/>
      <c r="E748" s="1086"/>
      <c r="F748" s="1086"/>
      <c r="G748" s="1086"/>
      <c r="H748" s="1086"/>
      <c r="I748" s="1086"/>
      <c r="J748" s="1086"/>
      <c r="K748" s="1086"/>
      <c r="L748" s="1086"/>
      <c r="M748" s="1086"/>
      <c r="N748" s="1086"/>
      <c r="O748" s="1086"/>
      <c r="P748" s="1086"/>
      <c r="Q748" s="1086"/>
      <c r="R748" s="1086"/>
      <c r="S748" s="1086"/>
      <c r="T748" s="1086"/>
      <c r="U748" s="1086"/>
      <c r="V748" s="1086"/>
      <c r="W748" s="1086"/>
      <c r="X748" s="1086"/>
      <c r="Y748" s="1086"/>
      <c r="Z748" s="1086"/>
      <c r="AA748" s="1086"/>
      <c r="AB748" s="1086"/>
    </row>
    <row r="749">
      <c r="A749" s="1100"/>
      <c r="B749" s="1086"/>
      <c r="C749" s="1086"/>
      <c r="D749" s="1086"/>
      <c r="E749" s="1086"/>
      <c r="F749" s="1086"/>
      <c r="G749" s="1086"/>
      <c r="H749" s="1086"/>
      <c r="I749" s="1086"/>
      <c r="J749" s="1086"/>
      <c r="K749" s="1086"/>
      <c r="L749" s="1086"/>
      <c r="M749" s="1086"/>
      <c r="N749" s="1086"/>
      <c r="O749" s="1086"/>
      <c r="P749" s="1086"/>
      <c r="Q749" s="1086"/>
      <c r="R749" s="1086"/>
      <c r="S749" s="1086"/>
      <c r="T749" s="1086"/>
      <c r="U749" s="1086"/>
      <c r="V749" s="1086"/>
      <c r="W749" s="1086"/>
      <c r="X749" s="1086"/>
      <c r="Y749" s="1086"/>
      <c r="Z749" s="1086"/>
      <c r="AA749" s="1086"/>
      <c r="AB749" s="1086"/>
    </row>
    <row r="750">
      <c r="A750" s="1100"/>
      <c r="B750" s="1086"/>
      <c r="C750" s="1086"/>
      <c r="D750" s="1086"/>
      <c r="E750" s="1086"/>
      <c r="F750" s="1086"/>
      <c r="G750" s="1086"/>
      <c r="H750" s="1086"/>
      <c r="I750" s="1086"/>
      <c r="J750" s="1086"/>
      <c r="K750" s="1086"/>
      <c r="L750" s="1086"/>
      <c r="M750" s="1086"/>
      <c r="N750" s="1086"/>
      <c r="O750" s="1086"/>
      <c r="P750" s="1086"/>
      <c r="Q750" s="1086"/>
      <c r="R750" s="1086"/>
      <c r="S750" s="1086"/>
      <c r="T750" s="1086"/>
      <c r="U750" s="1086"/>
      <c r="V750" s="1086"/>
      <c r="W750" s="1086"/>
      <c r="X750" s="1086"/>
      <c r="Y750" s="1086"/>
      <c r="Z750" s="1086"/>
      <c r="AA750" s="1086"/>
      <c r="AB750" s="1086"/>
    </row>
    <row r="751">
      <c r="A751" s="1100"/>
      <c r="B751" s="1086"/>
      <c r="C751" s="1086"/>
      <c r="D751" s="1086"/>
      <c r="E751" s="1086"/>
      <c r="F751" s="1086"/>
      <c r="G751" s="1086"/>
      <c r="H751" s="1086"/>
      <c r="I751" s="1086"/>
      <c r="J751" s="1086"/>
      <c r="K751" s="1086"/>
      <c r="L751" s="1086"/>
      <c r="M751" s="1086"/>
      <c r="N751" s="1086"/>
      <c r="O751" s="1086"/>
      <c r="P751" s="1086"/>
      <c r="Q751" s="1086"/>
      <c r="R751" s="1086"/>
      <c r="S751" s="1086"/>
      <c r="T751" s="1086"/>
      <c r="U751" s="1086"/>
      <c r="V751" s="1086"/>
      <c r="W751" s="1086"/>
      <c r="X751" s="1086"/>
      <c r="Y751" s="1086"/>
      <c r="Z751" s="1086"/>
      <c r="AA751" s="1086"/>
      <c r="AB751" s="1086"/>
    </row>
    <row r="752">
      <c r="A752" s="1100"/>
      <c r="B752" s="1086"/>
      <c r="C752" s="1086"/>
      <c r="D752" s="1086"/>
      <c r="E752" s="1086"/>
      <c r="F752" s="1086"/>
      <c r="G752" s="1086"/>
      <c r="H752" s="1086"/>
      <c r="I752" s="1086"/>
      <c r="J752" s="1086"/>
      <c r="K752" s="1086"/>
      <c r="L752" s="1086"/>
      <c r="M752" s="1086"/>
      <c r="N752" s="1086"/>
      <c r="O752" s="1086"/>
      <c r="P752" s="1086"/>
      <c r="Q752" s="1086"/>
      <c r="R752" s="1086"/>
      <c r="S752" s="1086"/>
      <c r="T752" s="1086"/>
      <c r="U752" s="1086"/>
      <c r="V752" s="1086"/>
      <c r="W752" s="1086"/>
      <c r="X752" s="1086"/>
      <c r="Y752" s="1086"/>
      <c r="Z752" s="1086"/>
      <c r="AA752" s="1086"/>
      <c r="AB752" s="1086"/>
    </row>
    <row r="753">
      <c r="A753" s="1100"/>
      <c r="B753" s="1086"/>
      <c r="C753" s="1086"/>
      <c r="D753" s="1086"/>
      <c r="E753" s="1086"/>
      <c r="F753" s="1086"/>
      <c r="G753" s="1086"/>
      <c r="H753" s="1086"/>
      <c r="I753" s="1086"/>
      <c r="J753" s="1086"/>
      <c r="K753" s="1086"/>
      <c r="L753" s="1086"/>
      <c r="M753" s="1086"/>
      <c r="N753" s="1086"/>
      <c r="O753" s="1086"/>
      <c r="P753" s="1086"/>
      <c r="Q753" s="1086"/>
      <c r="R753" s="1086"/>
      <c r="S753" s="1086"/>
      <c r="T753" s="1086"/>
      <c r="U753" s="1086"/>
      <c r="V753" s="1086"/>
      <c r="W753" s="1086"/>
      <c r="X753" s="1086"/>
      <c r="Y753" s="1086"/>
      <c r="Z753" s="1086"/>
      <c r="AA753" s="1086"/>
      <c r="AB753" s="1086"/>
    </row>
    <row r="754">
      <c r="A754" s="1100"/>
      <c r="B754" s="1086"/>
      <c r="C754" s="1086"/>
      <c r="D754" s="1086"/>
      <c r="E754" s="1086"/>
      <c r="F754" s="1086"/>
      <c r="G754" s="1086"/>
      <c r="H754" s="1086"/>
      <c r="I754" s="1086"/>
      <c r="J754" s="1086"/>
      <c r="K754" s="1086"/>
      <c r="L754" s="1086"/>
      <c r="M754" s="1086"/>
      <c r="N754" s="1086"/>
      <c r="O754" s="1086"/>
      <c r="P754" s="1086"/>
      <c r="Q754" s="1086"/>
      <c r="R754" s="1086"/>
      <c r="S754" s="1086"/>
      <c r="T754" s="1086"/>
      <c r="U754" s="1086"/>
      <c r="V754" s="1086"/>
      <c r="W754" s="1086"/>
      <c r="X754" s="1086"/>
      <c r="Y754" s="1086"/>
      <c r="Z754" s="1086"/>
      <c r="AA754" s="1086"/>
      <c r="AB754" s="1086"/>
    </row>
    <row r="755">
      <c r="A755" s="1100"/>
      <c r="B755" s="1086"/>
      <c r="C755" s="1086"/>
      <c r="D755" s="1086"/>
      <c r="E755" s="1086"/>
      <c r="F755" s="1086"/>
      <c r="G755" s="1086"/>
      <c r="H755" s="1086"/>
      <c r="I755" s="1086"/>
      <c r="J755" s="1086"/>
      <c r="K755" s="1086"/>
      <c r="L755" s="1086"/>
      <c r="M755" s="1086"/>
      <c r="N755" s="1086"/>
      <c r="O755" s="1086"/>
      <c r="P755" s="1086"/>
      <c r="Q755" s="1086"/>
      <c r="R755" s="1086"/>
      <c r="S755" s="1086"/>
      <c r="T755" s="1086"/>
      <c r="U755" s="1086"/>
      <c r="V755" s="1086"/>
      <c r="W755" s="1086"/>
      <c r="X755" s="1086"/>
      <c r="Y755" s="1086"/>
      <c r="Z755" s="1086"/>
      <c r="AA755" s="1086"/>
      <c r="AB755" s="1086"/>
    </row>
    <row r="756">
      <c r="A756" s="1100"/>
      <c r="B756" s="1086"/>
      <c r="C756" s="1086"/>
      <c r="D756" s="1086"/>
      <c r="E756" s="1086"/>
      <c r="F756" s="1086"/>
      <c r="G756" s="1086"/>
      <c r="H756" s="1086"/>
      <c r="I756" s="1086"/>
      <c r="J756" s="1086"/>
      <c r="K756" s="1086"/>
      <c r="L756" s="1086"/>
      <c r="M756" s="1086"/>
      <c r="N756" s="1086"/>
      <c r="O756" s="1086"/>
      <c r="P756" s="1086"/>
      <c r="Q756" s="1086"/>
      <c r="R756" s="1086"/>
      <c r="S756" s="1086"/>
      <c r="T756" s="1086"/>
      <c r="U756" s="1086"/>
      <c r="V756" s="1086"/>
      <c r="W756" s="1086"/>
      <c r="X756" s="1086"/>
      <c r="Y756" s="1086"/>
      <c r="Z756" s="1086"/>
      <c r="AA756" s="1086"/>
      <c r="AB756" s="1086"/>
    </row>
    <row r="757">
      <c r="A757" s="1100"/>
      <c r="B757" s="1086"/>
      <c r="C757" s="1086"/>
      <c r="D757" s="1086"/>
      <c r="E757" s="1086"/>
      <c r="F757" s="1086"/>
      <c r="G757" s="1086"/>
      <c r="H757" s="1086"/>
      <c r="I757" s="1086"/>
      <c r="J757" s="1086"/>
      <c r="K757" s="1086"/>
      <c r="L757" s="1086"/>
      <c r="M757" s="1086"/>
      <c r="N757" s="1086"/>
      <c r="O757" s="1086"/>
      <c r="P757" s="1086"/>
      <c r="Q757" s="1086"/>
      <c r="R757" s="1086"/>
      <c r="S757" s="1086"/>
      <c r="T757" s="1086"/>
      <c r="U757" s="1086"/>
      <c r="V757" s="1086"/>
      <c r="W757" s="1086"/>
      <c r="X757" s="1086"/>
      <c r="Y757" s="1086"/>
      <c r="Z757" s="1086"/>
      <c r="AA757" s="1086"/>
      <c r="AB757" s="1086"/>
    </row>
    <row r="758">
      <c r="A758" s="1100"/>
      <c r="B758" s="1086"/>
      <c r="C758" s="1086"/>
      <c r="D758" s="1086"/>
      <c r="E758" s="1086"/>
      <c r="F758" s="1086"/>
      <c r="G758" s="1086"/>
      <c r="H758" s="1086"/>
      <c r="I758" s="1086"/>
      <c r="J758" s="1086"/>
      <c r="K758" s="1086"/>
      <c r="L758" s="1086"/>
      <c r="M758" s="1086"/>
      <c r="N758" s="1086"/>
      <c r="O758" s="1086"/>
      <c r="P758" s="1086"/>
      <c r="Q758" s="1086"/>
      <c r="R758" s="1086"/>
      <c r="S758" s="1086"/>
      <c r="T758" s="1086"/>
      <c r="U758" s="1086"/>
      <c r="V758" s="1086"/>
      <c r="W758" s="1086"/>
      <c r="X758" s="1086"/>
      <c r="Y758" s="1086"/>
      <c r="Z758" s="1086"/>
      <c r="AA758" s="1086"/>
      <c r="AB758" s="1086"/>
    </row>
    <row r="759">
      <c r="A759" s="1100"/>
      <c r="B759" s="1086"/>
      <c r="C759" s="1086"/>
      <c r="D759" s="1086"/>
      <c r="E759" s="1086"/>
      <c r="F759" s="1086"/>
      <c r="G759" s="1086"/>
      <c r="H759" s="1086"/>
      <c r="I759" s="1086"/>
      <c r="J759" s="1086"/>
      <c r="K759" s="1086"/>
      <c r="L759" s="1086"/>
      <c r="M759" s="1086"/>
      <c r="N759" s="1086"/>
      <c r="O759" s="1086"/>
      <c r="P759" s="1086"/>
      <c r="Q759" s="1086"/>
      <c r="R759" s="1086"/>
      <c r="S759" s="1086"/>
      <c r="T759" s="1086"/>
      <c r="U759" s="1086"/>
      <c r="V759" s="1086"/>
      <c r="W759" s="1086"/>
      <c r="X759" s="1086"/>
      <c r="Y759" s="1086"/>
      <c r="Z759" s="1086"/>
      <c r="AA759" s="1086"/>
      <c r="AB759" s="1086"/>
    </row>
    <row r="760">
      <c r="A760" s="1100"/>
      <c r="B760" s="1086"/>
      <c r="C760" s="1086"/>
      <c r="D760" s="1086"/>
      <c r="E760" s="1086"/>
      <c r="F760" s="1086"/>
      <c r="G760" s="1086"/>
      <c r="H760" s="1086"/>
      <c r="I760" s="1086"/>
      <c r="J760" s="1086"/>
      <c r="K760" s="1086"/>
      <c r="L760" s="1086"/>
      <c r="M760" s="1086"/>
      <c r="N760" s="1086"/>
      <c r="O760" s="1086"/>
      <c r="P760" s="1086"/>
      <c r="Q760" s="1086"/>
      <c r="R760" s="1086"/>
      <c r="S760" s="1086"/>
      <c r="T760" s="1086"/>
      <c r="U760" s="1086"/>
      <c r="V760" s="1086"/>
      <c r="W760" s="1086"/>
      <c r="X760" s="1086"/>
      <c r="Y760" s="1086"/>
      <c r="Z760" s="1086"/>
      <c r="AA760" s="1086"/>
      <c r="AB760" s="1086"/>
    </row>
    <row r="761">
      <c r="A761" s="1100"/>
      <c r="B761" s="1086"/>
      <c r="C761" s="1086"/>
      <c r="D761" s="1086"/>
      <c r="E761" s="1086"/>
      <c r="F761" s="1086"/>
      <c r="G761" s="1086"/>
      <c r="H761" s="1086"/>
      <c r="I761" s="1086"/>
      <c r="J761" s="1086"/>
      <c r="K761" s="1086"/>
      <c r="L761" s="1086"/>
      <c r="M761" s="1086"/>
      <c r="N761" s="1086"/>
      <c r="O761" s="1086"/>
      <c r="P761" s="1086"/>
      <c r="Q761" s="1086"/>
      <c r="R761" s="1086"/>
      <c r="S761" s="1086"/>
      <c r="T761" s="1086"/>
      <c r="U761" s="1086"/>
      <c r="V761" s="1086"/>
      <c r="W761" s="1086"/>
      <c r="X761" s="1086"/>
      <c r="Y761" s="1086"/>
      <c r="Z761" s="1086"/>
      <c r="AA761" s="1086"/>
      <c r="AB761" s="1086"/>
    </row>
    <row r="762">
      <c r="A762" s="1100"/>
      <c r="B762" s="1086"/>
      <c r="C762" s="1086"/>
      <c r="D762" s="1086"/>
      <c r="E762" s="1086"/>
      <c r="F762" s="1086"/>
      <c r="G762" s="1086"/>
      <c r="H762" s="1086"/>
      <c r="I762" s="1086"/>
      <c r="J762" s="1086"/>
      <c r="K762" s="1086"/>
      <c r="L762" s="1086"/>
      <c r="M762" s="1086"/>
      <c r="N762" s="1086"/>
      <c r="O762" s="1086"/>
      <c r="P762" s="1086"/>
      <c r="Q762" s="1086"/>
      <c r="R762" s="1086"/>
      <c r="S762" s="1086"/>
      <c r="T762" s="1086"/>
      <c r="U762" s="1086"/>
      <c r="V762" s="1086"/>
      <c r="W762" s="1086"/>
      <c r="X762" s="1086"/>
      <c r="Y762" s="1086"/>
      <c r="Z762" s="1086"/>
      <c r="AA762" s="1086"/>
      <c r="AB762" s="1086"/>
    </row>
    <row r="763">
      <c r="A763" s="1100"/>
      <c r="B763" s="1086"/>
      <c r="C763" s="1086"/>
      <c r="D763" s="1086"/>
      <c r="E763" s="1086"/>
      <c r="F763" s="1086"/>
      <c r="G763" s="1086"/>
      <c r="H763" s="1086"/>
      <c r="I763" s="1086"/>
      <c r="J763" s="1086"/>
      <c r="K763" s="1086"/>
      <c r="L763" s="1086"/>
      <c r="M763" s="1086"/>
      <c r="N763" s="1086"/>
      <c r="O763" s="1086"/>
      <c r="P763" s="1086"/>
      <c r="Q763" s="1086"/>
      <c r="R763" s="1086"/>
      <c r="S763" s="1086"/>
      <c r="T763" s="1086"/>
      <c r="U763" s="1086"/>
      <c r="V763" s="1086"/>
      <c r="W763" s="1086"/>
      <c r="X763" s="1086"/>
      <c r="Y763" s="1086"/>
      <c r="Z763" s="1086"/>
      <c r="AA763" s="1086"/>
      <c r="AB763" s="1086"/>
    </row>
    <row r="764">
      <c r="A764" s="1100"/>
      <c r="B764" s="1086"/>
      <c r="C764" s="1086"/>
      <c r="D764" s="1086"/>
      <c r="E764" s="1086"/>
      <c r="F764" s="1086"/>
      <c r="G764" s="1086"/>
      <c r="H764" s="1086"/>
      <c r="I764" s="1086"/>
      <c r="J764" s="1086"/>
      <c r="K764" s="1086"/>
      <c r="L764" s="1086"/>
      <c r="M764" s="1086"/>
      <c r="N764" s="1086"/>
      <c r="O764" s="1086"/>
      <c r="P764" s="1086"/>
      <c r="Q764" s="1086"/>
      <c r="R764" s="1086"/>
      <c r="S764" s="1086"/>
      <c r="T764" s="1086"/>
      <c r="U764" s="1086"/>
      <c r="V764" s="1086"/>
      <c r="W764" s="1086"/>
      <c r="X764" s="1086"/>
      <c r="Y764" s="1086"/>
      <c r="Z764" s="1086"/>
      <c r="AA764" s="1086"/>
      <c r="AB764" s="1086"/>
    </row>
    <row r="765">
      <c r="A765" s="1100"/>
      <c r="B765" s="1086"/>
      <c r="C765" s="1086"/>
      <c r="D765" s="1086"/>
      <c r="E765" s="1086"/>
      <c r="F765" s="1086"/>
      <c r="G765" s="1086"/>
      <c r="H765" s="1086"/>
      <c r="I765" s="1086"/>
      <c r="J765" s="1086"/>
      <c r="K765" s="1086"/>
      <c r="L765" s="1086"/>
      <c r="M765" s="1086"/>
      <c r="N765" s="1086"/>
      <c r="O765" s="1086"/>
      <c r="P765" s="1086"/>
      <c r="Q765" s="1086"/>
      <c r="R765" s="1086"/>
      <c r="S765" s="1086"/>
      <c r="T765" s="1086"/>
      <c r="U765" s="1086"/>
      <c r="V765" s="1086"/>
      <c r="W765" s="1086"/>
      <c r="X765" s="1086"/>
      <c r="Y765" s="1086"/>
      <c r="Z765" s="1086"/>
      <c r="AA765" s="1086"/>
      <c r="AB765" s="1086"/>
    </row>
    <row r="766">
      <c r="A766" s="1100"/>
      <c r="B766" s="1086"/>
      <c r="C766" s="1086"/>
      <c r="D766" s="1086"/>
      <c r="E766" s="1086"/>
      <c r="F766" s="1086"/>
      <c r="G766" s="1086"/>
      <c r="H766" s="1086"/>
      <c r="I766" s="1086"/>
      <c r="J766" s="1086"/>
      <c r="K766" s="1086"/>
      <c r="L766" s="1086"/>
      <c r="M766" s="1086"/>
      <c r="N766" s="1086"/>
      <c r="O766" s="1086"/>
      <c r="P766" s="1086"/>
      <c r="Q766" s="1086"/>
      <c r="R766" s="1086"/>
      <c r="S766" s="1086"/>
      <c r="T766" s="1086"/>
      <c r="U766" s="1086"/>
      <c r="V766" s="1086"/>
      <c r="W766" s="1086"/>
      <c r="X766" s="1086"/>
      <c r="Y766" s="1086"/>
      <c r="Z766" s="1086"/>
      <c r="AA766" s="1086"/>
      <c r="AB766" s="1086"/>
    </row>
    <row r="767">
      <c r="A767" s="1100"/>
      <c r="B767" s="1086"/>
      <c r="C767" s="1086"/>
      <c r="D767" s="1086"/>
      <c r="E767" s="1086"/>
      <c r="F767" s="1086"/>
      <c r="G767" s="1086"/>
      <c r="H767" s="1086"/>
      <c r="I767" s="1086"/>
      <c r="J767" s="1086"/>
      <c r="K767" s="1086"/>
      <c r="L767" s="1086"/>
      <c r="M767" s="1086"/>
      <c r="N767" s="1086"/>
      <c r="O767" s="1086"/>
      <c r="P767" s="1086"/>
      <c r="Q767" s="1086"/>
      <c r="R767" s="1086"/>
      <c r="S767" s="1086"/>
      <c r="T767" s="1086"/>
      <c r="U767" s="1086"/>
      <c r="V767" s="1086"/>
      <c r="W767" s="1086"/>
      <c r="X767" s="1086"/>
      <c r="Y767" s="1086"/>
      <c r="Z767" s="1086"/>
      <c r="AA767" s="1086"/>
      <c r="AB767" s="1086"/>
    </row>
    <row r="768">
      <c r="A768" s="1100"/>
      <c r="B768" s="1086"/>
      <c r="C768" s="1086"/>
      <c r="D768" s="1086"/>
      <c r="E768" s="1086"/>
      <c r="F768" s="1086"/>
      <c r="G768" s="1086"/>
      <c r="H768" s="1086"/>
      <c r="I768" s="1086"/>
      <c r="J768" s="1086"/>
      <c r="K768" s="1086"/>
      <c r="L768" s="1086"/>
      <c r="M768" s="1086"/>
      <c r="N768" s="1086"/>
      <c r="O768" s="1086"/>
      <c r="P768" s="1086"/>
      <c r="Q768" s="1086"/>
      <c r="R768" s="1086"/>
      <c r="S768" s="1086"/>
      <c r="T768" s="1086"/>
      <c r="U768" s="1086"/>
      <c r="V768" s="1086"/>
      <c r="W768" s="1086"/>
      <c r="X768" s="1086"/>
      <c r="Y768" s="1086"/>
      <c r="Z768" s="1086"/>
      <c r="AA768" s="1086"/>
      <c r="AB768" s="1086"/>
    </row>
    <row r="769">
      <c r="A769" s="1100"/>
      <c r="B769" s="1086"/>
      <c r="C769" s="1086"/>
      <c r="D769" s="1086"/>
      <c r="E769" s="1086"/>
      <c r="F769" s="1086"/>
      <c r="G769" s="1086"/>
      <c r="H769" s="1086"/>
      <c r="I769" s="1086"/>
      <c r="J769" s="1086"/>
      <c r="K769" s="1086"/>
      <c r="L769" s="1086"/>
      <c r="M769" s="1086"/>
      <c r="N769" s="1086"/>
      <c r="O769" s="1086"/>
      <c r="P769" s="1086"/>
      <c r="Q769" s="1086"/>
      <c r="R769" s="1086"/>
      <c r="S769" s="1086"/>
      <c r="T769" s="1086"/>
      <c r="U769" s="1086"/>
      <c r="V769" s="1086"/>
      <c r="W769" s="1086"/>
      <c r="X769" s="1086"/>
      <c r="Y769" s="1086"/>
      <c r="Z769" s="1086"/>
      <c r="AA769" s="1086"/>
      <c r="AB769" s="1086"/>
    </row>
    <row r="770">
      <c r="A770" s="1100"/>
      <c r="B770" s="1086"/>
      <c r="C770" s="1086"/>
      <c r="D770" s="1086"/>
      <c r="E770" s="1086"/>
      <c r="F770" s="1086"/>
      <c r="G770" s="1086"/>
      <c r="H770" s="1086"/>
      <c r="I770" s="1086"/>
      <c r="J770" s="1086"/>
      <c r="K770" s="1086"/>
      <c r="L770" s="1086"/>
      <c r="M770" s="1086"/>
      <c r="N770" s="1086"/>
      <c r="O770" s="1086"/>
      <c r="P770" s="1086"/>
      <c r="Q770" s="1086"/>
      <c r="R770" s="1086"/>
      <c r="S770" s="1086"/>
      <c r="T770" s="1086"/>
      <c r="U770" s="1086"/>
      <c r="V770" s="1086"/>
      <c r="W770" s="1086"/>
      <c r="X770" s="1086"/>
      <c r="Y770" s="1086"/>
      <c r="Z770" s="1086"/>
      <c r="AA770" s="1086"/>
      <c r="AB770" s="1086"/>
    </row>
    <row r="771">
      <c r="A771" s="1100"/>
      <c r="B771" s="1086"/>
      <c r="C771" s="1086"/>
      <c r="D771" s="1086"/>
      <c r="E771" s="1086"/>
      <c r="F771" s="1086"/>
      <c r="G771" s="1086"/>
      <c r="H771" s="1086"/>
      <c r="I771" s="1086"/>
      <c r="J771" s="1086"/>
      <c r="K771" s="1086"/>
      <c r="L771" s="1086"/>
      <c r="M771" s="1086"/>
      <c r="N771" s="1086"/>
      <c r="O771" s="1086"/>
      <c r="P771" s="1086"/>
      <c r="Q771" s="1086"/>
      <c r="R771" s="1086"/>
      <c r="S771" s="1086"/>
      <c r="T771" s="1086"/>
      <c r="U771" s="1086"/>
      <c r="V771" s="1086"/>
      <c r="W771" s="1086"/>
      <c r="X771" s="1086"/>
      <c r="Y771" s="1086"/>
      <c r="Z771" s="1086"/>
      <c r="AA771" s="1086"/>
      <c r="AB771" s="1086"/>
    </row>
    <row r="772">
      <c r="A772" s="1100"/>
      <c r="B772" s="1086"/>
      <c r="C772" s="1086"/>
      <c r="D772" s="1086"/>
      <c r="E772" s="1086"/>
      <c r="F772" s="1086"/>
      <c r="G772" s="1086"/>
      <c r="H772" s="1086"/>
      <c r="I772" s="1086"/>
      <c r="J772" s="1086"/>
      <c r="K772" s="1086"/>
      <c r="L772" s="1086"/>
      <c r="M772" s="1086"/>
      <c r="N772" s="1086"/>
      <c r="O772" s="1086"/>
      <c r="P772" s="1086"/>
      <c r="Q772" s="1086"/>
      <c r="R772" s="1086"/>
      <c r="S772" s="1086"/>
      <c r="T772" s="1086"/>
      <c r="U772" s="1086"/>
      <c r="V772" s="1086"/>
      <c r="W772" s="1086"/>
      <c r="X772" s="1086"/>
      <c r="Y772" s="1086"/>
      <c r="Z772" s="1086"/>
      <c r="AA772" s="1086"/>
      <c r="AB772" s="1086"/>
    </row>
    <row r="773">
      <c r="A773" s="1100"/>
      <c r="B773" s="1086"/>
      <c r="C773" s="1086"/>
      <c r="D773" s="1086"/>
      <c r="E773" s="1086"/>
      <c r="F773" s="1086"/>
      <c r="G773" s="1086"/>
      <c r="H773" s="1086"/>
      <c r="I773" s="1086"/>
      <c r="J773" s="1086"/>
      <c r="K773" s="1086"/>
      <c r="L773" s="1086"/>
      <c r="M773" s="1086"/>
      <c r="N773" s="1086"/>
      <c r="O773" s="1086"/>
      <c r="P773" s="1086"/>
      <c r="Q773" s="1086"/>
      <c r="R773" s="1086"/>
      <c r="S773" s="1086"/>
      <c r="T773" s="1086"/>
      <c r="U773" s="1086"/>
      <c r="V773" s="1086"/>
      <c r="W773" s="1086"/>
      <c r="X773" s="1086"/>
      <c r="Y773" s="1086"/>
      <c r="Z773" s="1086"/>
      <c r="AA773" s="1086"/>
      <c r="AB773" s="1086"/>
    </row>
    <row r="774">
      <c r="A774" s="1100"/>
      <c r="B774" s="1086"/>
      <c r="C774" s="1086"/>
      <c r="D774" s="1086"/>
      <c r="E774" s="1086"/>
      <c r="F774" s="1086"/>
      <c r="G774" s="1086"/>
      <c r="H774" s="1086"/>
      <c r="I774" s="1086"/>
      <c r="J774" s="1086"/>
      <c r="K774" s="1086"/>
      <c r="L774" s="1086"/>
      <c r="M774" s="1086"/>
      <c r="N774" s="1086"/>
      <c r="O774" s="1086"/>
      <c r="P774" s="1086"/>
      <c r="Q774" s="1086"/>
      <c r="R774" s="1086"/>
      <c r="S774" s="1086"/>
      <c r="T774" s="1086"/>
      <c r="U774" s="1086"/>
      <c r="V774" s="1086"/>
      <c r="W774" s="1086"/>
      <c r="X774" s="1086"/>
      <c r="Y774" s="1086"/>
      <c r="Z774" s="1086"/>
      <c r="AA774" s="1086"/>
      <c r="AB774" s="1086"/>
    </row>
    <row r="775">
      <c r="A775" s="1100"/>
      <c r="B775" s="1086"/>
      <c r="C775" s="1086"/>
      <c r="D775" s="1086"/>
      <c r="E775" s="1086"/>
      <c r="F775" s="1086"/>
      <c r="G775" s="1086"/>
      <c r="H775" s="1086"/>
      <c r="I775" s="1086"/>
      <c r="J775" s="1086"/>
      <c r="K775" s="1086"/>
      <c r="L775" s="1086"/>
      <c r="M775" s="1086"/>
      <c r="N775" s="1086"/>
      <c r="O775" s="1086"/>
      <c r="P775" s="1086"/>
      <c r="Q775" s="1086"/>
      <c r="R775" s="1086"/>
      <c r="S775" s="1086"/>
      <c r="T775" s="1086"/>
      <c r="U775" s="1086"/>
      <c r="V775" s="1086"/>
      <c r="W775" s="1086"/>
      <c r="X775" s="1086"/>
      <c r="Y775" s="1086"/>
      <c r="Z775" s="1086"/>
      <c r="AA775" s="1086"/>
      <c r="AB775" s="1086"/>
    </row>
    <row r="776">
      <c r="A776" s="1100"/>
      <c r="B776" s="1086"/>
      <c r="C776" s="1086"/>
      <c r="D776" s="1086"/>
      <c r="E776" s="1086"/>
      <c r="F776" s="1086"/>
      <c r="G776" s="1086"/>
      <c r="H776" s="1086"/>
      <c r="I776" s="1086"/>
      <c r="J776" s="1086"/>
      <c r="K776" s="1086"/>
      <c r="L776" s="1086"/>
      <c r="M776" s="1086"/>
      <c r="N776" s="1086"/>
      <c r="O776" s="1086"/>
      <c r="P776" s="1086"/>
      <c r="Q776" s="1086"/>
      <c r="R776" s="1086"/>
      <c r="S776" s="1086"/>
      <c r="T776" s="1086"/>
      <c r="U776" s="1086"/>
      <c r="V776" s="1086"/>
      <c r="W776" s="1086"/>
      <c r="X776" s="1086"/>
      <c r="Y776" s="1086"/>
      <c r="Z776" s="1086"/>
      <c r="AA776" s="1086"/>
      <c r="AB776" s="1086"/>
    </row>
    <row r="777">
      <c r="A777" s="1100"/>
      <c r="B777" s="1086"/>
      <c r="C777" s="1086"/>
      <c r="D777" s="1086"/>
      <c r="E777" s="1086"/>
      <c r="F777" s="1086"/>
      <c r="G777" s="1086"/>
      <c r="H777" s="1086"/>
      <c r="I777" s="1086"/>
      <c r="J777" s="1086"/>
      <c r="K777" s="1086"/>
      <c r="L777" s="1086"/>
      <c r="M777" s="1086"/>
      <c r="N777" s="1086"/>
      <c r="O777" s="1086"/>
      <c r="P777" s="1086"/>
      <c r="Q777" s="1086"/>
      <c r="R777" s="1086"/>
      <c r="S777" s="1086"/>
      <c r="T777" s="1086"/>
      <c r="U777" s="1086"/>
      <c r="V777" s="1086"/>
      <c r="W777" s="1086"/>
      <c r="X777" s="1086"/>
      <c r="Y777" s="1086"/>
      <c r="Z777" s="1086"/>
      <c r="AA777" s="1086"/>
      <c r="AB777" s="1086"/>
    </row>
    <row r="778">
      <c r="A778" s="1100"/>
      <c r="B778" s="1086"/>
      <c r="C778" s="1086"/>
      <c r="D778" s="1086"/>
      <c r="E778" s="1086"/>
      <c r="F778" s="1086"/>
      <c r="G778" s="1086"/>
      <c r="H778" s="1086"/>
      <c r="I778" s="1086"/>
      <c r="J778" s="1086"/>
      <c r="K778" s="1086"/>
      <c r="L778" s="1086"/>
      <c r="M778" s="1086"/>
      <c r="N778" s="1086"/>
      <c r="O778" s="1086"/>
      <c r="P778" s="1086"/>
      <c r="Q778" s="1086"/>
      <c r="R778" s="1086"/>
      <c r="S778" s="1086"/>
      <c r="T778" s="1086"/>
      <c r="U778" s="1086"/>
      <c r="V778" s="1086"/>
      <c r="W778" s="1086"/>
      <c r="X778" s="1086"/>
      <c r="Y778" s="1086"/>
      <c r="Z778" s="1086"/>
      <c r="AA778" s="1086"/>
      <c r="AB778" s="1086"/>
    </row>
    <row r="779">
      <c r="A779" s="1100"/>
      <c r="B779" s="1086"/>
      <c r="C779" s="1086"/>
      <c r="D779" s="1086"/>
      <c r="E779" s="1086"/>
      <c r="F779" s="1086"/>
      <c r="G779" s="1086"/>
      <c r="H779" s="1086"/>
      <c r="I779" s="1086"/>
      <c r="J779" s="1086"/>
      <c r="K779" s="1086"/>
      <c r="L779" s="1086"/>
      <c r="M779" s="1086"/>
      <c r="N779" s="1086"/>
      <c r="O779" s="1086"/>
      <c r="P779" s="1086"/>
      <c r="Q779" s="1086"/>
      <c r="R779" s="1086"/>
      <c r="S779" s="1086"/>
      <c r="T779" s="1086"/>
      <c r="U779" s="1086"/>
      <c r="V779" s="1086"/>
      <c r="W779" s="1086"/>
      <c r="X779" s="1086"/>
      <c r="Y779" s="1086"/>
      <c r="Z779" s="1086"/>
      <c r="AA779" s="1086"/>
      <c r="AB779" s="1086"/>
    </row>
    <row r="780">
      <c r="A780" s="1100"/>
      <c r="B780" s="1086"/>
      <c r="C780" s="1086"/>
      <c r="D780" s="1086"/>
      <c r="E780" s="1086"/>
      <c r="F780" s="1086"/>
      <c r="G780" s="1086"/>
      <c r="H780" s="1086"/>
      <c r="I780" s="1086"/>
      <c r="J780" s="1086"/>
      <c r="K780" s="1086"/>
      <c r="L780" s="1086"/>
      <c r="M780" s="1086"/>
      <c r="N780" s="1086"/>
      <c r="O780" s="1086"/>
      <c r="P780" s="1086"/>
      <c r="Q780" s="1086"/>
      <c r="R780" s="1086"/>
      <c r="S780" s="1086"/>
      <c r="T780" s="1086"/>
      <c r="U780" s="1086"/>
      <c r="V780" s="1086"/>
      <c r="W780" s="1086"/>
      <c r="X780" s="1086"/>
      <c r="Y780" s="1086"/>
      <c r="Z780" s="1086"/>
      <c r="AA780" s="1086"/>
      <c r="AB780" s="1086"/>
    </row>
    <row r="781">
      <c r="A781" s="1100"/>
      <c r="B781" s="1086"/>
      <c r="C781" s="1086"/>
      <c r="D781" s="1086"/>
      <c r="E781" s="1086"/>
      <c r="F781" s="1086"/>
      <c r="G781" s="1086"/>
      <c r="H781" s="1086"/>
      <c r="I781" s="1086"/>
      <c r="J781" s="1086"/>
      <c r="K781" s="1086"/>
      <c r="L781" s="1086"/>
      <c r="M781" s="1086"/>
      <c r="N781" s="1086"/>
      <c r="O781" s="1086"/>
      <c r="P781" s="1086"/>
      <c r="Q781" s="1086"/>
      <c r="R781" s="1086"/>
      <c r="S781" s="1086"/>
      <c r="T781" s="1086"/>
      <c r="U781" s="1086"/>
      <c r="V781" s="1086"/>
      <c r="W781" s="1086"/>
      <c r="X781" s="1086"/>
      <c r="Y781" s="1086"/>
      <c r="Z781" s="1086"/>
      <c r="AA781" s="1086"/>
      <c r="AB781" s="1086"/>
    </row>
    <row r="782">
      <c r="A782" s="1100"/>
      <c r="B782" s="1086"/>
      <c r="C782" s="1086"/>
      <c r="D782" s="1086"/>
      <c r="E782" s="1086"/>
      <c r="F782" s="1086"/>
      <c r="G782" s="1086"/>
      <c r="H782" s="1086"/>
      <c r="I782" s="1086"/>
      <c r="J782" s="1086"/>
      <c r="K782" s="1086"/>
      <c r="L782" s="1086"/>
      <c r="M782" s="1086"/>
      <c r="N782" s="1086"/>
      <c r="O782" s="1086"/>
      <c r="P782" s="1086"/>
      <c r="Q782" s="1086"/>
      <c r="R782" s="1086"/>
      <c r="S782" s="1086"/>
      <c r="T782" s="1086"/>
      <c r="U782" s="1086"/>
      <c r="V782" s="1086"/>
      <c r="W782" s="1086"/>
      <c r="X782" s="1086"/>
      <c r="Y782" s="1086"/>
      <c r="Z782" s="1086"/>
      <c r="AA782" s="1086"/>
      <c r="AB782" s="1086"/>
    </row>
    <row r="783">
      <c r="A783" s="1100"/>
      <c r="B783" s="1086"/>
      <c r="C783" s="1086"/>
      <c r="D783" s="1086"/>
      <c r="E783" s="1086"/>
      <c r="F783" s="1086"/>
      <c r="G783" s="1086"/>
      <c r="H783" s="1086"/>
      <c r="I783" s="1086"/>
      <c r="J783" s="1086"/>
      <c r="K783" s="1086"/>
      <c r="L783" s="1086"/>
      <c r="M783" s="1086"/>
      <c r="N783" s="1086"/>
      <c r="O783" s="1086"/>
      <c r="P783" s="1086"/>
      <c r="Q783" s="1086"/>
      <c r="R783" s="1086"/>
      <c r="S783" s="1086"/>
      <c r="T783" s="1086"/>
      <c r="U783" s="1086"/>
      <c r="V783" s="1086"/>
      <c r="W783" s="1086"/>
      <c r="X783" s="1086"/>
      <c r="Y783" s="1086"/>
      <c r="Z783" s="1086"/>
      <c r="AA783" s="1086"/>
      <c r="AB783" s="1086"/>
    </row>
    <row r="784">
      <c r="A784" s="1100"/>
      <c r="B784" s="1086"/>
      <c r="C784" s="1086"/>
      <c r="D784" s="1086"/>
      <c r="E784" s="1086"/>
      <c r="F784" s="1086"/>
      <c r="G784" s="1086"/>
      <c r="H784" s="1086"/>
      <c r="I784" s="1086"/>
      <c r="J784" s="1086"/>
      <c r="K784" s="1086"/>
      <c r="L784" s="1086"/>
      <c r="M784" s="1086"/>
      <c r="N784" s="1086"/>
      <c r="O784" s="1086"/>
      <c r="P784" s="1086"/>
      <c r="Q784" s="1086"/>
      <c r="R784" s="1086"/>
      <c r="S784" s="1086"/>
      <c r="T784" s="1086"/>
      <c r="U784" s="1086"/>
      <c r="V784" s="1086"/>
      <c r="W784" s="1086"/>
      <c r="X784" s="1086"/>
      <c r="Y784" s="1086"/>
      <c r="Z784" s="1086"/>
      <c r="AA784" s="1086"/>
      <c r="AB784" s="1086"/>
    </row>
    <row r="785">
      <c r="A785" s="1100"/>
      <c r="B785" s="1086"/>
      <c r="C785" s="1086"/>
      <c r="D785" s="1086"/>
      <c r="E785" s="1086"/>
      <c r="F785" s="1086"/>
      <c r="G785" s="1086"/>
      <c r="H785" s="1086"/>
      <c r="I785" s="1086"/>
      <c r="J785" s="1086"/>
      <c r="K785" s="1086"/>
      <c r="L785" s="1086"/>
      <c r="M785" s="1086"/>
      <c r="N785" s="1086"/>
      <c r="O785" s="1086"/>
      <c r="P785" s="1086"/>
      <c r="Q785" s="1086"/>
      <c r="R785" s="1086"/>
      <c r="S785" s="1086"/>
      <c r="T785" s="1086"/>
      <c r="U785" s="1086"/>
      <c r="V785" s="1086"/>
      <c r="W785" s="1086"/>
      <c r="X785" s="1086"/>
      <c r="Y785" s="1086"/>
      <c r="Z785" s="1086"/>
      <c r="AA785" s="1086"/>
      <c r="AB785" s="1086"/>
    </row>
    <row r="786">
      <c r="A786" s="1100"/>
      <c r="B786" s="1086"/>
      <c r="C786" s="1086"/>
      <c r="D786" s="1086"/>
      <c r="E786" s="1086"/>
      <c r="F786" s="1086"/>
      <c r="G786" s="1086"/>
      <c r="H786" s="1086"/>
      <c r="I786" s="1086"/>
      <c r="J786" s="1086"/>
      <c r="K786" s="1086"/>
      <c r="L786" s="1086"/>
      <c r="M786" s="1086"/>
      <c r="N786" s="1086"/>
      <c r="O786" s="1086"/>
      <c r="P786" s="1086"/>
      <c r="Q786" s="1086"/>
      <c r="R786" s="1086"/>
      <c r="S786" s="1086"/>
      <c r="T786" s="1086"/>
      <c r="U786" s="1086"/>
      <c r="V786" s="1086"/>
      <c r="W786" s="1086"/>
      <c r="X786" s="1086"/>
      <c r="Y786" s="1086"/>
      <c r="Z786" s="1086"/>
      <c r="AA786" s="1086"/>
      <c r="AB786" s="1086"/>
    </row>
    <row r="787">
      <c r="A787" s="1100"/>
      <c r="B787" s="1086"/>
      <c r="C787" s="1086"/>
      <c r="D787" s="1086"/>
      <c r="E787" s="1086"/>
      <c r="F787" s="1086"/>
      <c r="G787" s="1086"/>
      <c r="H787" s="1086"/>
      <c r="I787" s="1086"/>
      <c r="J787" s="1086"/>
      <c r="K787" s="1086"/>
      <c r="L787" s="1086"/>
      <c r="M787" s="1086"/>
      <c r="N787" s="1086"/>
      <c r="O787" s="1086"/>
      <c r="P787" s="1086"/>
      <c r="Q787" s="1086"/>
      <c r="R787" s="1086"/>
      <c r="S787" s="1086"/>
      <c r="T787" s="1086"/>
      <c r="U787" s="1086"/>
      <c r="V787" s="1086"/>
      <c r="W787" s="1086"/>
      <c r="X787" s="1086"/>
      <c r="Y787" s="1086"/>
      <c r="Z787" s="1086"/>
      <c r="AA787" s="1086"/>
      <c r="AB787" s="1086"/>
    </row>
    <row r="788">
      <c r="A788" s="1100"/>
      <c r="B788" s="1086"/>
      <c r="C788" s="1086"/>
      <c r="D788" s="1086"/>
      <c r="E788" s="1086"/>
      <c r="F788" s="1086"/>
      <c r="G788" s="1086"/>
      <c r="H788" s="1086"/>
      <c r="I788" s="1086"/>
      <c r="J788" s="1086"/>
      <c r="K788" s="1086"/>
      <c r="L788" s="1086"/>
      <c r="M788" s="1086"/>
      <c r="N788" s="1086"/>
      <c r="O788" s="1086"/>
      <c r="P788" s="1086"/>
      <c r="Q788" s="1086"/>
      <c r="R788" s="1086"/>
      <c r="S788" s="1086"/>
      <c r="T788" s="1086"/>
      <c r="U788" s="1086"/>
      <c r="V788" s="1086"/>
      <c r="W788" s="1086"/>
      <c r="X788" s="1086"/>
      <c r="Y788" s="1086"/>
      <c r="Z788" s="1086"/>
      <c r="AA788" s="1086"/>
      <c r="AB788" s="1086"/>
    </row>
    <row r="789">
      <c r="A789" s="1100"/>
      <c r="B789" s="1086"/>
      <c r="C789" s="1086"/>
      <c r="D789" s="1086"/>
      <c r="E789" s="1086"/>
      <c r="F789" s="1086"/>
      <c r="G789" s="1086"/>
      <c r="H789" s="1086"/>
      <c r="I789" s="1086"/>
      <c r="J789" s="1086"/>
      <c r="K789" s="1086"/>
      <c r="L789" s="1086"/>
      <c r="M789" s="1086"/>
      <c r="N789" s="1086"/>
      <c r="O789" s="1086"/>
      <c r="P789" s="1086"/>
      <c r="Q789" s="1086"/>
      <c r="R789" s="1086"/>
      <c r="S789" s="1086"/>
      <c r="T789" s="1086"/>
      <c r="U789" s="1086"/>
      <c r="V789" s="1086"/>
      <c r="W789" s="1086"/>
      <c r="X789" s="1086"/>
      <c r="Y789" s="1086"/>
      <c r="Z789" s="1086"/>
      <c r="AA789" s="1086"/>
      <c r="AB789" s="1086"/>
    </row>
    <row r="790">
      <c r="A790" s="1100"/>
      <c r="B790" s="1086"/>
      <c r="C790" s="1086"/>
      <c r="D790" s="1086"/>
      <c r="E790" s="1086"/>
      <c r="F790" s="1086"/>
      <c r="G790" s="1086"/>
      <c r="H790" s="1086"/>
      <c r="I790" s="1086"/>
      <c r="J790" s="1086"/>
      <c r="K790" s="1086"/>
      <c r="L790" s="1086"/>
      <c r="M790" s="1086"/>
      <c r="N790" s="1086"/>
      <c r="O790" s="1086"/>
      <c r="P790" s="1086"/>
      <c r="Q790" s="1086"/>
      <c r="R790" s="1086"/>
      <c r="S790" s="1086"/>
      <c r="T790" s="1086"/>
      <c r="U790" s="1086"/>
      <c r="V790" s="1086"/>
      <c r="W790" s="1086"/>
      <c r="X790" s="1086"/>
      <c r="Y790" s="1086"/>
      <c r="Z790" s="1086"/>
      <c r="AA790" s="1086"/>
      <c r="AB790" s="1086"/>
    </row>
    <row r="791">
      <c r="A791" s="1100"/>
      <c r="B791" s="1086"/>
      <c r="C791" s="1086"/>
      <c r="D791" s="1086"/>
      <c r="E791" s="1086"/>
      <c r="F791" s="1086"/>
      <c r="G791" s="1086"/>
      <c r="H791" s="1086"/>
      <c r="I791" s="1086"/>
      <c r="J791" s="1086"/>
      <c r="K791" s="1086"/>
      <c r="L791" s="1086"/>
      <c r="M791" s="1086"/>
      <c r="N791" s="1086"/>
      <c r="O791" s="1086"/>
      <c r="P791" s="1086"/>
      <c r="Q791" s="1086"/>
      <c r="R791" s="1086"/>
      <c r="S791" s="1086"/>
      <c r="T791" s="1086"/>
      <c r="U791" s="1086"/>
      <c r="V791" s="1086"/>
      <c r="W791" s="1086"/>
      <c r="X791" s="1086"/>
      <c r="Y791" s="1086"/>
      <c r="Z791" s="1086"/>
      <c r="AA791" s="1086"/>
      <c r="AB791" s="1086"/>
    </row>
    <row r="792">
      <c r="A792" s="1100"/>
      <c r="B792" s="1086"/>
      <c r="C792" s="1086"/>
      <c r="D792" s="1086"/>
      <c r="E792" s="1086"/>
      <c r="F792" s="1086"/>
      <c r="G792" s="1086"/>
      <c r="H792" s="1086"/>
      <c r="I792" s="1086"/>
      <c r="J792" s="1086"/>
      <c r="K792" s="1086"/>
      <c r="L792" s="1086"/>
      <c r="M792" s="1086"/>
      <c r="N792" s="1086"/>
      <c r="O792" s="1086"/>
      <c r="P792" s="1086"/>
      <c r="Q792" s="1086"/>
      <c r="R792" s="1086"/>
      <c r="S792" s="1086"/>
      <c r="T792" s="1086"/>
      <c r="U792" s="1086"/>
      <c r="V792" s="1086"/>
      <c r="W792" s="1086"/>
      <c r="X792" s="1086"/>
      <c r="Y792" s="1086"/>
      <c r="Z792" s="1086"/>
      <c r="AA792" s="1086"/>
      <c r="AB792" s="1086"/>
    </row>
    <row r="793">
      <c r="A793" s="1100"/>
      <c r="B793" s="1086"/>
      <c r="C793" s="1086"/>
      <c r="D793" s="1086"/>
      <c r="E793" s="1086"/>
      <c r="F793" s="1086"/>
      <c r="G793" s="1086"/>
      <c r="H793" s="1086"/>
      <c r="I793" s="1086"/>
      <c r="J793" s="1086"/>
      <c r="K793" s="1086"/>
      <c r="L793" s="1086"/>
      <c r="M793" s="1086"/>
      <c r="N793" s="1086"/>
      <c r="O793" s="1086"/>
      <c r="P793" s="1086"/>
      <c r="Q793" s="1086"/>
      <c r="R793" s="1086"/>
      <c r="S793" s="1086"/>
      <c r="T793" s="1086"/>
      <c r="U793" s="1086"/>
      <c r="V793" s="1086"/>
      <c r="W793" s="1086"/>
      <c r="X793" s="1086"/>
      <c r="Y793" s="1086"/>
      <c r="Z793" s="1086"/>
      <c r="AA793" s="1086"/>
      <c r="AB793" s="1086"/>
    </row>
    <row r="794">
      <c r="A794" s="1100"/>
      <c r="B794" s="1086"/>
      <c r="C794" s="1086"/>
      <c r="D794" s="1086"/>
      <c r="E794" s="1086"/>
      <c r="F794" s="1086"/>
      <c r="G794" s="1086"/>
      <c r="H794" s="1086"/>
      <c r="I794" s="1086"/>
      <c r="J794" s="1086"/>
      <c r="K794" s="1086"/>
      <c r="L794" s="1086"/>
      <c r="M794" s="1086"/>
      <c r="N794" s="1086"/>
      <c r="O794" s="1086"/>
      <c r="P794" s="1086"/>
      <c r="Q794" s="1086"/>
      <c r="R794" s="1086"/>
      <c r="S794" s="1086"/>
      <c r="T794" s="1086"/>
      <c r="U794" s="1086"/>
      <c r="V794" s="1086"/>
      <c r="W794" s="1086"/>
      <c r="X794" s="1086"/>
      <c r="Y794" s="1086"/>
      <c r="Z794" s="1086"/>
      <c r="AA794" s="1086"/>
      <c r="AB794" s="1086"/>
    </row>
    <row r="795">
      <c r="A795" s="1100"/>
      <c r="B795" s="1086"/>
      <c r="C795" s="1086"/>
      <c r="D795" s="1086"/>
      <c r="E795" s="1086"/>
      <c r="F795" s="1086"/>
      <c r="G795" s="1086"/>
      <c r="H795" s="1086"/>
      <c r="I795" s="1086"/>
      <c r="J795" s="1086"/>
      <c r="K795" s="1086"/>
      <c r="L795" s="1086"/>
      <c r="M795" s="1086"/>
      <c r="N795" s="1086"/>
      <c r="O795" s="1086"/>
      <c r="P795" s="1086"/>
      <c r="Q795" s="1086"/>
      <c r="R795" s="1086"/>
      <c r="S795" s="1086"/>
      <c r="T795" s="1086"/>
      <c r="U795" s="1086"/>
      <c r="V795" s="1086"/>
      <c r="W795" s="1086"/>
      <c r="X795" s="1086"/>
      <c r="Y795" s="1086"/>
      <c r="Z795" s="1086"/>
      <c r="AA795" s="1086"/>
      <c r="AB795" s="1086"/>
    </row>
    <row r="796">
      <c r="A796" s="1100"/>
      <c r="B796" s="1086"/>
      <c r="C796" s="1086"/>
      <c r="D796" s="1086"/>
      <c r="E796" s="1086"/>
      <c r="F796" s="1086"/>
      <c r="G796" s="1086"/>
      <c r="H796" s="1086"/>
      <c r="I796" s="1086"/>
      <c r="J796" s="1086"/>
      <c r="K796" s="1086"/>
      <c r="L796" s="1086"/>
      <c r="M796" s="1086"/>
      <c r="N796" s="1086"/>
      <c r="O796" s="1086"/>
      <c r="P796" s="1086"/>
      <c r="Q796" s="1086"/>
      <c r="R796" s="1086"/>
      <c r="S796" s="1086"/>
      <c r="T796" s="1086"/>
      <c r="U796" s="1086"/>
      <c r="V796" s="1086"/>
      <c r="W796" s="1086"/>
      <c r="X796" s="1086"/>
      <c r="Y796" s="1086"/>
      <c r="Z796" s="1086"/>
      <c r="AA796" s="1086"/>
      <c r="AB796" s="1086"/>
    </row>
    <row r="797">
      <c r="A797" s="1100"/>
      <c r="B797" s="1086"/>
      <c r="C797" s="1086"/>
      <c r="D797" s="1086"/>
      <c r="E797" s="1086"/>
      <c r="F797" s="1086"/>
      <c r="G797" s="1086"/>
      <c r="H797" s="1086"/>
      <c r="I797" s="1086"/>
      <c r="J797" s="1086"/>
      <c r="K797" s="1086"/>
      <c r="L797" s="1086"/>
      <c r="M797" s="1086"/>
      <c r="N797" s="1086"/>
      <c r="O797" s="1086"/>
      <c r="P797" s="1086"/>
      <c r="Q797" s="1086"/>
      <c r="R797" s="1086"/>
      <c r="S797" s="1086"/>
      <c r="T797" s="1086"/>
      <c r="U797" s="1086"/>
      <c r="V797" s="1086"/>
      <c r="W797" s="1086"/>
      <c r="X797" s="1086"/>
      <c r="Y797" s="1086"/>
      <c r="Z797" s="1086"/>
      <c r="AA797" s="1086"/>
      <c r="AB797" s="1086"/>
    </row>
    <row r="798">
      <c r="A798" s="1100"/>
      <c r="B798" s="1086"/>
      <c r="C798" s="1086"/>
      <c r="D798" s="1086"/>
      <c r="E798" s="1086"/>
      <c r="F798" s="1086"/>
      <c r="G798" s="1086"/>
      <c r="H798" s="1086"/>
      <c r="I798" s="1086"/>
      <c r="J798" s="1086"/>
      <c r="K798" s="1086"/>
      <c r="L798" s="1086"/>
      <c r="M798" s="1086"/>
      <c r="N798" s="1086"/>
      <c r="O798" s="1086"/>
      <c r="P798" s="1086"/>
      <c r="Q798" s="1086"/>
      <c r="R798" s="1086"/>
      <c r="S798" s="1086"/>
      <c r="T798" s="1086"/>
      <c r="U798" s="1086"/>
      <c r="V798" s="1086"/>
      <c r="W798" s="1086"/>
      <c r="X798" s="1086"/>
      <c r="Y798" s="1086"/>
      <c r="Z798" s="1086"/>
      <c r="AA798" s="1086"/>
      <c r="AB798" s="1086"/>
    </row>
    <row r="799">
      <c r="A799" s="1100"/>
      <c r="B799" s="1086"/>
      <c r="C799" s="1086"/>
      <c r="D799" s="1086"/>
      <c r="E799" s="1086"/>
      <c r="F799" s="1086"/>
      <c r="G799" s="1086"/>
      <c r="H799" s="1086"/>
      <c r="I799" s="1086"/>
      <c r="J799" s="1086"/>
      <c r="K799" s="1086"/>
      <c r="L799" s="1086"/>
      <c r="M799" s="1086"/>
      <c r="N799" s="1086"/>
      <c r="O799" s="1086"/>
      <c r="P799" s="1086"/>
      <c r="Q799" s="1086"/>
      <c r="R799" s="1086"/>
      <c r="S799" s="1086"/>
      <c r="T799" s="1086"/>
      <c r="U799" s="1086"/>
      <c r="V799" s="1086"/>
      <c r="W799" s="1086"/>
      <c r="X799" s="1086"/>
      <c r="Y799" s="1086"/>
      <c r="Z799" s="1086"/>
      <c r="AA799" s="1086"/>
      <c r="AB799" s="1086"/>
    </row>
    <row r="800">
      <c r="A800" s="1100"/>
      <c r="B800" s="1086"/>
      <c r="C800" s="1086"/>
      <c r="D800" s="1086"/>
      <c r="E800" s="1086"/>
      <c r="F800" s="1086"/>
      <c r="G800" s="1086"/>
      <c r="H800" s="1086"/>
      <c r="I800" s="1086"/>
      <c r="J800" s="1086"/>
      <c r="K800" s="1086"/>
      <c r="L800" s="1086"/>
      <c r="M800" s="1086"/>
      <c r="N800" s="1086"/>
      <c r="O800" s="1086"/>
      <c r="P800" s="1086"/>
      <c r="Q800" s="1086"/>
      <c r="R800" s="1086"/>
      <c r="S800" s="1086"/>
      <c r="T800" s="1086"/>
      <c r="U800" s="1086"/>
      <c r="V800" s="1086"/>
      <c r="W800" s="1086"/>
      <c r="X800" s="1086"/>
      <c r="Y800" s="1086"/>
      <c r="Z800" s="1086"/>
      <c r="AA800" s="1086"/>
      <c r="AB800" s="1086"/>
    </row>
    <row r="801">
      <c r="A801" s="1100"/>
      <c r="B801" s="1086"/>
      <c r="C801" s="1086"/>
      <c r="D801" s="1086"/>
      <c r="E801" s="1086"/>
      <c r="F801" s="1086"/>
      <c r="G801" s="1086"/>
      <c r="H801" s="1086"/>
      <c r="I801" s="1086"/>
      <c r="J801" s="1086"/>
      <c r="K801" s="1086"/>
      <c r="L801" s="1086"/>
      <c r="M801" s="1086"/>
      <c r="N801" s="1086"/>
      <c r="O801" s="1086"/>
      <c r="P801" s="1086"/>
      <c r="Q801" s="1086"/>
      <c r="R801" s="1086"/>
      <c r="S801" s="1086"/>
      <c r="T801" s="1086"/>
      <c r="U801" s="1086"/>
      <c r="V801" s="1086"/>
      <c r="W801" s="1086"/>
      <c r="X801" s="1086"/>
      <c r="Y801" s="1086"/>
      <c r="Z801" s="1086"/>
      <c r="AA801" s="1086"/>
      <c r="AB801" s="1086"/>
    </row>
    <row r="802">
      <c r="A802" s="1100"/>
      <c r="B802" s="1086"/>
      <c r="C802" s="1086"/>
      <c r="D802" s="1086"/>
      <c r="E802" s="1086"/>
      <c r="F802" s="1086"/>
      <c r="G802" s="1086"/>
      <c r="H802" s="1086"/>
      <c r="I802" s="1086"/>
      <c r="J802" s="1086"/>
      <c r="K802" s="1086"/>
      <c r="L802" s="1086"/>
      <c r="M802" s="1086"/>
      <c r="N802" s="1086"/>
      <c r="O802" s="1086"/>
      <c r="P802" s="1086"/>
      <c r="Q802" s="1086"/>
      <c r="R802" s="1086"/>
      <c r="S802" s="1086"/>
      <c r="T802" s="1086"/>
      <c r="U802" s="1086"/>
      <c r="V802" s="1086"/>
      <c r="W802" s="1086"/>
      <c r="X802" s="1086"/>
      <c r="Y802" s="1086"/>
      <c r="Z802" s="1086"/>
      <c r="AA802" s="1086"/>
      <c r="AB802" s="1086"/>
    </row>
    <row r="803">
      <c r="A803" s="1100"/>
      <c r="B803" s="1086"/>
      <c r="C803" s="1086"/>
      <c r="D803" s="1086"/>
      <c r="E803" s="1086"/>
      <c r="F803" s="1086"/>
      <c r="G803" s="1086"/>
      <c r="H803" s="1086"/>
      <c r="I803" s="1086"/>
      <c r="J803" s="1086"/>
      <c r="K803" s="1086"/>
      <c r="L803" s="1086"/>
      <c r="M803" s="1086"/>
      <c r="N803" s="1086"/>
      <c r="O803" s="1086"/>
      <c r="P803" s="1086"/>
      <c r="Q803" s="1086"/>
      <c r="R803" s="1086"/>
      <c r="S803" s="1086"/>
      <c r="T803" s="1086"/>
      <c r="U803" s="1086"/>
      <c r="V803" s="1086"/>
      <c r="W803" s="1086"/>
      <c r="X803" s="1086"/>
      <c r="Y803" s="1086"/>
      <c r="Z803" s="1086"/>
      <c r="AA803" s="1086"/>
      <c r="AB803" s="1086"/>
    </row>
    <row r="804">
      <c r="A804" s="1100"/>
      <c r="B804" s="1086"/>
      <c r="C804" s="1086"/>
      <c r="D804" s="1086"/>
      <c r="E804" s="1086"/>
      <c r="F804" s="1086"/>
      <c r="G804" s="1086"/>
      <c r="H804" s="1086"/>
      <c r="I804" s="1086"/>
      <c r="J804" s="1086"/>
      <c r="K804" s="1086"/>
      <c r="L804" s="1086"/>
      <c r="M804" s="1086"/>
      <c r="N804" s="1086"/>
      <c r="O804" s="1086"/>
      <c r="P804" s="1086"/>
      <c r="Q804" s="1086"/>
      <c r="R804" s="1086"/>
      <c r="S804" s="1086"/>
      <c r="T804" s="1086"/>
      <c r="U804" s="1086"/>
      <c r="V804" s="1086"/>
      <c r="W804" s="1086"/>
      <c r="X804" s="1086"/>
      <c r="Y804" s="1086"/>
      <c r="Z804" s="1086"/>
      <c r="AA804" s="1086"/>
      <c r="AB804" s="1086"/>
    </row>
    <row r="805">
      <c r="A805" s="1100"/>
      <c r="B805" s="1086"/>
      <c r="C805" s="1086"/>
      <c r="D805" s="1086"/>
      <c r="E805" s="1086"/>
      <c r="F805" s="1086"/>
      <c r="G805" s="1086"/>
      <c r="H805" s="1086"/>
      <c r="I805" s="1086"/>
      <c r="J805" s="1086"/>
      <c r="K805" s="1086"/>
      <c r="L805" s="1086"/>
      <c r="M805" s="1086"/>
      <c r="N805" s="1086"/>
      <c r="O805" s="1086"/>
      <c r="P805" s="1086"/>
      <c r="Q805" s="1086"/>
      <c r="R805" s="1086"/>
      <c r="S805" s="1086"/>
      <c r="T805" s="1086"/>
      <c r="U805" s="1086"/>
      <c r="V805" s="1086"/>
      <c r="W805" s="1086"/>
      <c r="X805" s="1086"/>
      <c r="Y805" s="1086"/>
      <c r="Z805" s="1086"/>
      <c r="AA805" s="1086"/>
      <c r="AB805" s="1086"/>
    </row>
    <row r="806">
      <c r="A806" s="1100"/>
      <c r="B806" s="1086"/>
      <c r="C806" s="1086"/>
      <c r="D806" s="1086"/>
      <c r="E806" s="1086"/>
      <c r="F806" s="1086"/>
      <c r="G806" s="1086"/>
      <c r="H806" s="1086"/>
      <c r="I806" s="1086"/>
      <c r="J806" s="1086"/>
      <c r="K806" s="1086"/>
      <c r="L806" s="1086"/>
      <c r="M806" s="1086"/>
      <c r="N806" s="1086"/>
      <c r="O806" s="1086"/>
      <c r="P806" s="1086"/>
      <c r="Q806" s="1086"/>
      <c r="R806" s="1086"/>
      <c r="S806" s="1086"/>
      <c r="T806" s="1086"/>
      <c r="U806" s="1086"/>
      <c r="V806" s="1086"/>
      <c r="W806" s="1086"/>
      <c r="X806" s="1086"/>
      <c r="Y806" s="1086"/>
      <c r="Z806" s="1086"/>
      <c r="AA806" s="1086"/>
      <c r="AB806" s="1086"/>
    </row>
    <row r="807">
      <c r="A807" s="1100"/>
      <c r="B807" s="1086"/>
      <c r="C807" s="1086"/>
      <c r="D807" s="1086"/>
      <c r="E807" s="1086"/>
      <c r="F807" s="1086"/>
      <c r="G807" s="1086"/>
      <c r="H807" s="1086"/>
      <c r="I807" s="1086"/>
      <c r="J807" s="1086"/>
      <c r="K807" s="1086"/>
      <c r="L807" s="1086"/>
      <c r="M807" s="1086"/>
      <c r="N807" s="1086"/>
      <c r="O807" s="1086"/>
      <c r="P807" s="1086"/>
      <c r="Q807" s="1086"/>
      <c r="R807" s="1086"/>
      <c r="S807" s="1086"/>
      <c r="T807" s="1086"/>
      <c r="U807" s="1086"/>
      <c r="V807" s="1086"/>
      <c r="W807" s="1086"/>
      <c r="X807" s="1086"/>
      <c r="Y807" s="1086"/>
      <c r="Z807" s="1086"/>
      <c r="AA807" s="1086"/>
      <c r="AB807" s="1086"/>
    </row>
    <row r="808">
      <c r="A808" s="1100"/>
      <c r="B808" s="1086"/>
      <c r="C808" s="1086"/>
      <c r="D808" s="1086"/>
      <c r="E808" s="1086"/>
      <c r="F808" s="1086"/>
      <c r="G808" s="1086"/>
      <c r="H808" s="1086"/>
      <c r="I808" s="1086"/>
      <c r="J808" s="1086"/>
      <c r="K808" s="1086"/>
      <c r="L808" s="1086"/>
      <c r="M808" s="1086"/>
      <c r="N808" s="1086"/>
      <c r="O808" s="1086"/>
      <c r="P808" s="1086"/>
      <c r="Q808" s="1086"/>
      <c r="R808" s="1086"/>
      <c r="S808" s="1086"/>
      <c r="T808" s="1086"/>
      <c r="U808" s="1086"/>
      <c r="V808" s="1086"/>
      <c r="W808" s="1086"/>
      <c r="X808" s="1086"/>
      <c r="Y808" s="1086"/>
      <c r="Z808" s="1086"/>
      <c r="AA808" s="1086"/>
      <c r="AB808" s="1086"/>
    </row>
    <row r="809">
      <c r="A809" s="1100"/>
      <c r="B809" s="1086"/>
      <c r="C809" s="1086"/>
      <c r="D809" s="1086"/>
      <c r="E809" s="1086"/>
      <c r="F809" s="1086"/>
      <c r="G809" s="1086"/>
      <c r="H809" s="1086"/>
      <c r="I809" s="1086"/>
      <c r="J809" s="1086"/>
      <c r="K809" s="1086"/>
      <c r="L809" s="1086"/>
      <c r="M809" s="1086"/>
      <c r="N809" s="1086"/>
      <c r="O809" s="1086"/>
      <c r="P809" s="1086"/>
      <c r="Q809" s="1086"/>
      <c r="R809" s="1086"/>
      <c r="S809" s="1086"/>
      <c r="T809" s="1086"/>
      <c r="U809" s="1086"/>
      <c r="V809" s="1086"/>
      <c r="W809" s="1086"/>
      <c r="X809" s="1086"/>
      <c r="Y809" s="1086"/>
      <c r="Z809" s="1086"/>
      <c r="AA809" s="1086"/>
      <c r="AB809" s="1086"/>
    </row>
    <row r="810">
      <c r="A810" s="1100"/>
      <c r="B810" s="1086"/>
      <c r="C810" s="1086"/>
      <c r="D810" s="1086"/>
      <c r="E810" s="1086"/>
      <c r="F810" s="1086"/>
      <c r="G810" s="1086"/>
      <c r="H810" s="1086"/>
      <c r="I810" s="1086"/>
      <c r="J810" s="1086"/>
      <c r="K810" s="1086"/>
      <c r="L810" s="1086"/>
      <c r="M810" s="1086"/>
      <c r="N810" s="1086"/>
      <c r="O810" s="1086"/>
      <c r="P810" s="1086"/>
      <c r="Q810" s="1086"/>
      <c r="R810" s="1086"/>
      <c r="S810" s="1086"/>
      <c r="T810" s="1086"/>
      <c r="U810" s="1086"/>
      <c r="V810" s="1086"/>
      <c r="W810" s="1086"/>
      <c r="X810" s="1086"/>
      <c r="Y810" s="1086"/>
      <c r="Z810" s="1086"/>
      <c r="AA810" s="1086"/>
      <c r="AB810" s="1086"/>
    </row>
    <row r="811">
      <c r="A811" s="1100"/>
      <c r="B811" s="1086"/>
      <c r="C811" s="1086"/>
      <c r="D811" s="1086"/>
      <c r="E811" s="1086"/>
      <c r="F811" s="1086"/>
      <c r="G811" s="1086"/>
      <c r="H811" s="1086"/>
      <c r="I811" s="1086"/>
      <c r="J811" s="1086"/>
      <c r="K811" s="1086"/>
      <c r="L811" s="1086"/>
      <c r="M811" s="1086"/>
      <c r="N811" s="1086"/>
      <c r="O811" s="1086"/>
      <c r="P811" s="1086"/>
      <c r="Q811" s="1086"/>
      <c r="R811" s="1086"/>
      <c r="S811" s="1086"/>
      <c r="T811" s="1086"/>
      <c r="U811" s="1086"/>
      <c r="V811" s="1086"/>
      <c r="W811" s="1086"/>
      <c r="X811" s="1086"/>
      <c r="Y811" s="1086"/>
      <c r="Z811" s="1086"/>
      <c r="AA811" s="1086"/>
      <c r="AB811" s="1086"/>
    </row>
    <row r="812">
      <c r="A812" s="1100"/>
      <c r="B812" s="1086"/>
      <c r="C812" s="1086"/>
      <c r="D812" s="1086"/>
      <c r="E812" s="1086"/>
      <c r="F812" s="1086"/>
      <c r="G812" s="1086"/>
      <c r="H812" s="1086"/>
      <c r="I812" s="1086"/>
      <c r="J812" s="1086"/>
      <c r="K812" s="1086"/>
      <c r="L812" s="1086"/>
      <c r="M812" s="1086"/>
      <c r="N812" s="1086"/>
      <c r="O812" s="1086"/>
      <c r="P812" s="1086"/>
      <c r="Q812" s="1086"/>
      <c r="R812" s="1086"/>
      <c r="S812" s="1086"/>
      <c r="T812" s="1086"/>
      <c r="U812" s="1086"/>
      <c r="V812" s="1086"/>
      <c r="W812" s="1086"/>
      <c r="X812" s="1086"/>
      <c r="Y812" s="1086"/>
      <c r="Z812" s="1086"/>
      <c r="AA812" s="1086"/>
      <c r="AB812" s="1086"/>
    </row>
    <row r="813">
      <c r="A813" s="1100"/>
      <c r="B813" s="1086"/>
      <c r="C813" s="1086"/>
      <c r="D813" s="1086"/>
      <c r="E813" s="1086"/>
      <c r="F813" s="1086"/>
      <c r="G813" s="1086"/>
      <c r="H813" s="1086"/>
      <c r="I813" s="1086"/>
      <c r="J813" s="1086"/>
      <c r="K813" s="1086"/>
      <c r="L813" s="1086"/>
      <c r="M813" s="1086"/>
      <c r="N813" s="1086"/>
      <c r="O813" s="1086"/>
      <c r="P813" s="1086"/>
      <c r="Q813" s="1086"/>
      <c r="R813" s="1086"/>
      <c r="S813" s="1086"/>
      <c r="T813" s="1086"/>
      <c r="U813" s="1086"/>
      <c r="V813" s="1086"/>
      <c r="W813" s="1086"/>
      <c r="X813" s="1086"/>
      <c r="Y813" s="1086"/>
      <c r="Z813" s="1086"/>
      <c r="AA813" s="1086"/>
      <c r="AB813" s="1086"/>
    </row>
    <row r="814">
      <c r="A814" s="1100"/>
      <c r="B814" s="1086"/>
      <c r="C814" s="1086"/>
      <c r="D814" s="1086"/>
      <c r="E814" s="1086"/>
      <c r="F814" s="1086"/>
      <c r="G814" s="1086"/>
      <c r="H814" s="1086"/>
      <c r="I814" s="1086"/>
      <c r="J814" s="1086"/>
      <c r="K814" s="1086"/>
      <c r="L814" s="1086"/>
      <c r="M814" s="1086"/>
      <c r="N814" s="1086"/>
      <c r="O814" s="1086"/>
      <c r="P814" s="1086"/>
      <c r="Q814" s="1086"/>
      <c r="R814" s="1086"/>
      <c r="S814" s="1086"/>
      <c r="T814" s="1086"/>
      <c r="U814" s="1086"/>
      <c r="V814" s="1086"/>
      <c r="W814" s="1086"/>
      <c r="X814" s="1086"/>
      <c r="Y814" s="1086"/>
      <c r="Z814" s="1086"/>
      <c r="AA814" s="1086"/>
      <c r="AB814" s="1086"/>
    </row>
    <row r="815">
      <c r="A815" s="1100"/>
      <c r="B815" s="1086"/>
      <c r="C815" s="1086"/>
      <c r="D815" s="1086"/>
      <c r="E815" s="1086"/>
      <c r="F815" s="1086"/>
      <c r="G815" s="1086"/>
      <c r="H815" s="1086"/>
      <c r="I815" s="1086"/>
      <c r="J815" s="1086"/>
      <c r="K815" s="1086"/>
      <c r="L815" s="1086"/>
      <c r="M815" s="1086"/>
      <c r="N815" s="1086"/>
      <c r="O815" s="1086"/>
      <c r="P815" s="1086"/>
      <c r="Q815" s="1086"/>
      <c r="R815" s="1086"/>
      <c r="S815" s="1086"/>
      <c r="T815" s="1086"/>
      <c r="U815" s="1086"/>
      <c r="V815" s="1086"/>
      <c r="W815" s="1086"/>
      <c r="X815" s="1086"/>
      <c r="Y815" s="1086"/>
      <c r="Z815" s="1086"/>
      <c r="AA815" s="1086"/>
      <c r="AB815" s="1086"/>
    </row>
    <row r="816">
      <c r="A816" s="1100"/>
      <c r="B816" s="1086"/>
      <c r="C816" s="1086"/>
      <c r="D816" s="1086"/>
      <c r="E816" s="1086"/>
      <c r="F816" s="1086"/>
      <c r="G816" s="1086"/>
      <c r="H816" s="1086"/>
      <c r="I816" s="1086"/>
      <c r="J816" s="1086"/>
      <c r="K816" s="1086"/>
      <c r="L816" s="1086"/>
      <c r="M816" s="1086"/>
      <c r="N816" s="1086"/>
      <c r="O816" s="1086"/>
      <c r="P816" s="1086"/>
      <c r="Q816" s="1086"/>
      <c r="R816" s="1086"/>
      <c r="S816" s="1086"/>
      <c r="T816" s="1086"/>
      <c r="U816" s="1086"/>
      <c r="V816" s="1086"/>
      <c r="W816" s="1086"/>
      <c r="X816" s="1086"/>
      <c r="Y816" s="1086"/>
      <c r="Z816" s="1086"/>
      <c r="AA816" s="1086"/>
      <c r="AB816" s="1086"/>
    </row>
    <row r="817">
      <c r="A817" s="1100"/>
      <c r="B817" s="1086"/>
      <c r="C817" s="1086"/>
      <c r="D817" s="1086"/>
      <c r="E817" s="1086"/>
      <c r="F817" s="1086"/>
      <c r="G817" s="1086"/>
      <c r="H817" s="1086"/>
      <c r="I817" s="1086"/>
      <c r="J817" s="1086"/>
      <c r="K817" s="1086"/>
      <c r="L817" s="1086"/>
      <c r="M817" s="1086"/>
      <c r="N817" s="1086"/>
      <c r="O817" s="1086"/>
      <c r="P817" s="1086"/>
      <c r="Q817" s="1086"/>
      <c r="R817" s="1086"/>
      <c r="S817" s="1086"/>
      <c r="T817" s="1086"/>
      <c r="U817" s="1086"/>
      <c r="V817" s="1086"/>
      <c r="W817" s="1086"/>
      <c r="X817" s="1086"/>
      <c r="Y817" s="1086"/>
      <c r="Z817" s="1086"/>
      <c r="AA817" s="1086"/>
      <c r="AB817" s="1086"/>
    </row>
    <row r="818">
      <c r="A818" s="1100"/>
      <c r="B818" s="1086"/>
      <c r="C818" s="1086"/>
      <c r="D818" s="1086"/>
      <c r="E818" s="1086"/>
      <c r="F818" s="1086"/>
      <c r="G818" s="1086"/>
      <c r="H818" s="1086"/>
      <c r="I818" s="1086"/>
      <c r="J818" s="1086"/>
      <c r="K818" s="1086"/>
      <c r="L818" s="1086"/>
      <c r="M818" s="1086"/>
      <c r="N818" s="1086"/>
      <c r="O818" s="1086"/>
      <c r="P818" s="1086"/>
      <c r="Q818" s="1086"/>
      <c r="R818" s="1086"/>
      <c r="S818" s="1086"/>
      <c r="T818" s="1086"/>
      <c r="U818" s="1086"/>
      <c r="V818" s="1086"/>
      <c r="W818" s="1086"/>
      <c r="X818" s="1086"/>
      <c r="Y818" s="1086"/>
      <c r="Z818" s="1086"/>
      <c r="AA818" s="1086"/>
      <c r="AB818" s="1086"/>
    </row>
    <row r="819">
      <c r="A819" s="1100"/>
      <c r="B819" s="1086"/>
      <c r="C819" s="1086"/>
      <c r="D819" s="1086"/>
      <c r="E819" s="1086"/>
      <c r="F819" s="1086"/>
      <c r="G819" s="1086"/>
      <c r="H819" s="1086"/>
      <c r="I819" s="1086"/>
      <c r="J819" s="1086"/>
      <c r="K819" s="1086"/>
      <c r="L819" s="1086"/>
      <c r="M819" s="1086"/>
      <c r="N819" s="1086"/>
      <c r="O819" s="1086"/>
      <c r="P819" s="1086"/>
      <c r="Q819" s="1086"/>
      <c r="R819" s="1086"/>
      <c r="S819" s="1086"/>
      <c r="T819" s="1086"/>
      <c r="U819" s="1086"/>
      <c r="V819" s="1086"/>
      <c r="W819" s="1086"/>
      <c r="X819" s="1086"/>
      <c r="Y819" s="1086"/>
      <c r="Z819" s="1086"/>
      <c r="AA819" s="1086"/>
      <c r="AB819" s="1086"/>
    </row>
    <row r="820">
      <c r="A820" s="1100"/>
      <c r="B820" s="1086"/>
      <c r="C820" s="1086"/>
      <c r="D820" s="1086"/>
      <c r="E820" s="1086"/>
      <c r="F820" s="1086"/>
      <c r="G820" s="1086"/>
      <c r="H820" s="1086"/>
      <c r="I820" s="1086"/>
      <c r="J820" s="1086"/>
      <c r="K820" s="1086"/>
      <c r="L820" s="1086"/>
      <c r="M820" s="1086"/>
      <c r="N820" s="1086"/>
      <c r="O820" s="1086"/>
      <c r="P820" s="1086"/>
      <c r="Q820" s="1086"/>
      <c r="R820" s="1086"/>
      <c r="S820" s="1086"/>
      <c r="T820" s="1086"/>
      <c r="U820" s="1086"/>
      <c r="V820" s="1086"/>
      <c r="W820" s="1086"/>
      <c r="X820" s="1086"/>
      <c r="Y820" s="1086"/>
      <c r="Z820" s="1086"/>
      <c r="AA820" s="1086"/>
      <c r="AB820" s="1086"/>
    </row>
    <row r="821">
      <c r="A821" s="1100"/>
      <c r="B821" s="1086"/>
      <c r="C821" s="1086"/>
      <c r="D821" s="1086"/>
      <c r="E821" s="1086"/>
      <c r="F821" s="1086"/>
      <c r="G821" s="1086"/>
      <c r="H821" s="1086"/>
      <c r="I821" s="1086"/>
      <c r="J821" s="1086"/>
      <c r="K821" s="1086"/>
      <c r="L821" s="1086"/>
      <c r="M821" s="1086"/>
      <c r="N821" s="1086"/>
      <c r="O821" s="1086"/>
      <c r="P821" s="1086"/>
      <c r="Q821" s="1086"/>
      <c r="R821" s="1086"/>
      <c r="S821" s="1086"/>
      <c r="T821" s="1086"/>
      <c r="U821" s="1086"/>
      <c r="V821" s="1086"/>
      <c r="W821" s="1086"/>
      <c r="X821" s="1086"/>
      <c r="Y821" s="1086"/>
      <c r="Z821" s="1086"/>
      <c r="AA821" s="1086"/>
      <c r="AB821" s="1086"/>
    </row>
    <row r="822">
      <c r="A822" s="1100"/>
      <c r="B822" s="1086"/>
      <c r="C822" s="1086"/>
      <c r="D822" s="1086"/>
      <c r="E822" s="1086"/>
      <c r="F822" s="1086"/>
      <c r="G822" s="1086"/>
      <c r="H822" s="1086"/>
      <c r="I822" s="1086"/>
      <c r="J822" s="1086"/>
      <c r="K822" s="1086"/>
      <c r="L822" s="1086"/>
      <c r="M822" s="1086"/>
      <c r="N822" s="1086"/>
      <c r="O822" s="1086"/>
      <c r="P822" s="1086"/>
      <c r="Q822" s="1086"/>
      <c r="R822" s="1086"/>
      <c r="S822" s="1086"/>
      <c r="T822" s="1086"/>
      <c r="U822" s="1086"/>
      <c r="V822" s="1086"/>
      <c r="W822" s="1086"/>
      <c r="X822" s="1086"/>
      <c r="Y822" s="1086"/>
      <c r="Z822" s="1086"/>
      <c r="AA822" s="1086"/>
      <c r="AB822" s="1086"/>
    </row>
    <row r="823">
      <c r="A823" s="1100"/>
      <c r="B823" s="1086"/>
      <c r="C823" s="1086"/>
      <c r="D823" s="1086"/>
      <c r="E823" s="1086"/>
      <c r="F823" s="1086"/>
      <c r="G823" s="1086"/>
      <c r="H823" s="1086"/>
      <c r="I823" s="1086"/>
      <c r="J823" s="1086"/>
      <c r="K823" s="1086"/>
      <c r="L823" s="1086"/>
      <c r="M823" s="1086"/>
      <c r="N823" s="1086"/>
      <c r="O823" s="1086"/>
      <c r="P823" s="1086"/>
      <c r="Q823" s="1086"/>
      <c r="R823" s="1086"/>
      <c r="S823" s="1086"/>
      <c r="T823" s="1086"/>
      <c r="U823" s="1086"/>
      <c r="V823" s="1086"/>
      <c r="W823" s="1086"/>
      <c r="X823" s="1086"/>
      <c r="Y823" s="1086"/>
      <c r="Z823" s="1086"/>
      <c r="AA823" s="1086"/>
      <c r="AB823" s="1086"/>
    </row>
    <row r="824">
      <c r="A824" s="1100"/>
      <c r="B824" s="1086"/>
      <c r="C824" s="1086"/>
      <c r="D824" s="1086"/>
      <c r="E824" s="1086"/>
      <c r="F824" s="1086"/>
      <c r="G824" s="1086"/>
      <c r="H824" s="1086"/>
      <c r="I824" s="1086"/>
      <c r="J824" s="1086"/>
      <c r="K824" s="1086"/>
      <c r="L824" s="1086"/>
      <c r="M824" s="1086"/>
      <c r="N824" s="1086"/>
      <c r="O824" s="1086"/>
      <c r="P824" s="1086"/>
      <c r="Q824" s="1086"/>
      <c r="R824" s="1086"/>
      <c r="S824" s="1086"/>
      <c r="T824" s="1086"/>
      <c r="U824" s="1086"/>
      <c r="V824" s="1086"/>
      <c r="W824" s="1086"/>
      <c r="X824" s="1086"/>
      <c r="Y824" s="1086"/>
      <c r="Z824" s="1086"/>
      <c r="AA824" s="1086"/>
      <c r="AB824" s="1086"/>
    </row>
    <row r="825">
      <c r="A825" s="1100"/>
      <c r="B825" s="1086"/>
      <c r="C825" s="1086"/>
      <c r="D825" s="1086"/>
      <c r="E825" s="1086"/>
      <c r="F825" s="1086"/>
      <c r="G825" s="1086"/>
      <c r="H825" s="1086"/>
      <c r="I825" s="1086"/>
      <c r="J825" s="1086"/>
      <c r="K825" s="1086"/>
      <c r="L825" s="1086"/>
      <c r="M825" s="1086"/>
      <c r="N825" s="1086"/>
      <c r="O825" s="1086"/>
      <c r="P825" s="1086"/>
      <c r="Q825" s="1086"/>
      <c r="R825" s="1086"/>
      <c r="S825" s="1086"/>
      <c r="T825" s="1086"/>
      <c r="U825" s="1086"/>
      <c r="V825" s="1086"/>
      <c r="W825" s="1086"/>
      <c r="X825" s="1086"/>
      <c r="Y825" s="1086"/>
      <c r="Z825" s="1086"/>
      <c r="AA825" s="1086"/>
      <c r="AB825" s="1086"/>
    </row>
    <row r="826">
      <c r="A826" s="1100"/>
      <c r="B826" s="1086"/>
      <c r="C826" s="1086"/>
      <c r="D826" s="1086"/>
      <c r="E826" s="1086"/>
      <c r="F826" s="1086"/>
      <c r="G826" s="1086"/>
      <c r="H826" s="1086"/>
      <c r="I826" s="1086"/>
      <c r="J826" s="1086"/>
      <c r="K826" s="1086"/>
      <c r="L826" s="1086"/>
      <c r="M826" s="1086"/>
      <c r="N826" s="1086"/>
      <c r="O826" s="1086"/>
      <c r="P826" s="1086"/>
      <c r="Q826" s="1086"/>
      <c r="R826" s="1086"/>
      <c r="S826" s="1086"/>
      <c r="T826" s="1086"/>
      <c r="U826" s="1086"/>
      <c r="V826" s="1086"/>
      <c r="W826" s="1086"/>
      <c r="X826" s="1086"/>
      <c r="Y826" s="1086"/>
      <c r="Z826" s="1086"/>
      <c r="AA826" s="1086"/>
      <c r="AB826" s="1086"/>
    </row>
    <row r="827">
      <c r="A827" s="1100"/>
      <c r="B827" s="1086"/>
      <c r="C827" s="1086"/>
      <c r="D827" s="1086"/>
      <c r="E827" s="1086"/>
      <c r="F827" s="1086"/>
      <c r="G827" s="1086"/>
      <c r="H827" s="1086"/>
      <c r="I827" s="1086"/>
      <c r="J827" s="1086"/>
      <c r="K827" s="1086"/>
      <c r="L827" s="1086"/>
      <c r="M827" s="1086"/>
      <c r="N827" s="1086"/>
      <c r="O827" s="1086"/>
      <c r="P827" s="1086"/>
      <c r="Q827" s="1086"/>
      <c r="R827" s="1086"/>
      <c r="S827" s="1086"/>
      <c r="T827" s="1086"/>
      <c r="U827" s="1086"/>
      <c r="V827" s="1086"/>
      <c r="W827" s="1086"/>
      <c r="X827" s="1086"/>
      <c r="Y827" s="1086"/>
      <c r="Z827" s="1086"/>
      <c r="AA827" s="1086"/>
      <c r="AB827" s="1086"/>
    </row>
    <row r="828">
      <c r="A828" s="1100"/>
      <c r="B828" s="1086"/>
      <c r="C828" s="1086"/>
      <c r="D828" s="1086"/>
      <c r="E828" s="1086"/>
      <c r="F828" s="1086"/>
      <c r="G828" s="1086"/>
      <c r="H828" s="1086"/>
      <c r="I828" s="1086"/>
      <c r="J828" s="1086"/>
      <c r="K828" s="1086"/>
      <c r="L828" s="1086"/>
      <c r="M828" s="1086"/>
      <c r="N828" s="1086"/>
      <c r="O828" s="1086"/>
      <c r="P828" s="1086"/>
      <c r="Q828" s="1086"/>
      <c r="R828" s="1086"/>
      <c r="S828" s="1086"/>
      <c r="T828" s="1086"/>
      <c r="U828" s="1086"/>
      <c r="V828" s="1086"/>
      <c r="W828" s="1086"/>
      <c r="X828" s="1086"/>
      <c r="Y828" s="1086"/>
      <c r="Z828" s="1086"/>
      <c r="AA828" s="1086"/>
      <c r="AB828" s="1086"/>
    </row>
    <row r="829">
      <c r="A829" s="1100"/>
      <c r="B829" s="1086"/>
      <c r="C829" s="1086"/>
      <c r="D829" s="1086"/>
      <c r="E829" s="1086"/>
      <c r="F829" s="1086"/>
      <c r="G829" s="1086"/>
      <c r="H829" s="1086"/>
      <c r="I829" s="1086"/>
      <c r="J829" s="1086"/>
      <c r="K829" s="1086"/>
      <c r="L829" s="1086"/>
      <c r="M829" s="1086"/>
      <c r="N829" s="1086"/>
      <c r="O829" s="1086"/>
      <c r="P829" s="1086"/>
      <c r="Q829" s="1086"/>
      <c r="R829" s="1086"/>
      <c r="S829" s="1086"/>
      <c r="T829" s="1086"/>
      <c r="U829" s="1086"/>
      <c r="V829" s="1086"/>
      <c r="W829" s="1086"/>
      <c r="X829" s="1086"/>
      <c r="Y829" s="1086"/>
      <c r="Z829" s="1086"/>
      <c r="AA829" s="1086"/>
      <c r="AB829" s="1086"/>
    </row>
    <row r="830">
      <c r="A830" s="1100"/>
      <c r="B830" s="1086"/>
      <c r="C830" s="1086"/>
      <c r="D830" s="1086"/>
      <c r="E830" s="1086"/>
      <c r="F830" s="1086"/>
      <c r="G830" s="1086"/>
      <c r="H830" s="1086"/>
      <c r="I830" s="1086"/>
      <c r="J830" s="1086"/>
      <c r="K830" s="1086"/>
      <c r="L830" s="1086"/>
      <c r="M830" s="1086"/>
      <c r="N830" s="1086"/>
      <c r="O830" s="1086"/>
      <c r="P830" s="1086"/>
      <c r="Q830" s="1086"/>
      <c r="R830" s="1086"/>
      <c r="S830" s="1086"/>
      <c r="T830" s="1086"/>
      <c r="U830" s="1086"/>
      <c r="V830" s="1086"/>
      <c r="W830" s="1086"/>
      <c r="X830" s="1086"/>
      <c r="Y830" s="1086"/>
      <c r="Z830" s="1086"/>
      <c r="AA830" s="1086"/>
      <c r="AB830" s="1086"/>
    </row>
    <row r="831">
      <c r="A831" s="1100"/>
      <c r="B831" s="1086"/>
      <c r="C831" s="1086"/>
      <c r="D831" s="1086"/>
      <c r="E831" s="1086"/>
      <c r="F831" s="1086"/>
      <c r="G831" s="1086"/>
      <c r="H831" s="1086"/>
      <c r="I831" s="1086"/>
      <c r="J831" s="1086"/>
      <c r="K831" s="1086"/>
      <c r="L831" s="1086"/>
      <c r="M831" s="1086"/>
      <c r="N831" s="1086"/>
      <c r="O831" s="1086"/>
      <c r="P831" s="1086"/>
      <c r="Q831" s="1086"/>
      <c r="R831" s="1086"/>
      <c r="S831" s="1086"/>
      <c r="T831" s="1086"/>
      <c r="U831" s="1086"/>
      <c r="V831" s="1086"/>
      <c r="W831" s="1086"/>
      <c r="X831" s="1086"/>
      <c r="Y831" s="1086"/>
      <c r="Z831" s="1086"/>
      <c r="AA831" s="1086"/>
      <c r="AB831" s="1086"/>
    </row>
    <row r="832">
      <c r="A832" s="1100"/>
      <c r="B832" s="1086"/>
      <c r="C832" s="1086"/>
      <c r="D832" s="1086"/>
      <c r="E832" s="1086"/>
      <c r="F832" s="1086"/>
      <c r="G832" s="1086"/>
      <c r="H832" s="1086"/>
      <c r="I832" s="1086"/>
      <c r="J832" s="1086"/>
      <c r="K832" s="1086"/>
      <c r="L832" s="1086"/>
      <c r="M832" s="1086"/>
      <c r="N832" s="1086"/>
      <c r="O832" s="1086"/>
      <c r="P832" s="1086"/>
      <c r="Q832" s="1086"/>
      <c r="R832" s="1086"/>
      <c r="S832" s="1086"/>
      <c r="T832" s="1086"/>
      <c r="U832" s="1086"/>
      <c r="V832" s="1086"/>
      <c r="W832" s="1086"/>
      <c r="X832" s="1086"/>
      <c r="Y832" s="1086"/>
      <c r="Z832" s="1086"/>
      <c r="AA832" s="1086"/>
      <c r="AB832" s="1086"/>
    </row>
    <row r="833">
      <c r="A833" s="1100"/>
      <c r="B833" s="1086"/>
      <c r="C833" s="1086"/>
      <c r="D833" s="1086"/>
      <c r="E833" s="1086"/>
      <c r="F833" s="1086"/>
      <c r="G833" s="1086"/>
      <c r="H833" s="1086"/>
      <c r="I833" s="1086"/>
      <c r="J833" s="1086"/>
      <c r="K833" s="1086"/>
      <c r="L833" s="1086"/>
      <c r="M833" s="1086"/>
      <c r="N833" s="1086"/>
      <c r="O833" s="1086"/>
      <c r="P833" s="1086"/>
      <c r="Q833" s="1086"/>
      <c r="R833" s="1086"/>
      <c r="S833" s="1086"/>
      <c r="T833" s="1086"/>
      <c r="U833" s="1086"/>
      <c r="V833" s="1086"/>
      <c r="W833" s="1086"/>
      <c r="X833" s="1086"/>
      <c r="Y833" s="1086"/>
      <c r="Z833" s="1086"/>
      <c r="AA833" s="1086"/>
      <c r="AB833" s="1086"/>
    </row>
    <row r="834">
      <c r="A834" s="1100"/>
      <c r="B834" s="1086"/>
      <c r="C834" s="1086"/>
      <c r="D834" s="1086"/>
      <c r="E834" s="1086"/>
      <c r="F834" s="1086"/>
      <c r="G834" s="1086"/>
      <c r="H834" s="1086"/>
      <c r="I834" s="1086"/>
      <c r="J834" s="1086"/>
      <c r="K834" s="1086"/>
      <c r="L834" s="1086"/>
      <c r="M834" s="1086"/>
      <c r="N834" s="1086"/>
      <c r="O834" s="1086"/>
      <c r="P834" s="1086"/>
      <c r="Q834" s="1086"/>
      <c r="R834" s="1086"/>
      <c r="S834" s="1086"/>
      <c r="T834" s="1086"/>
      <c r="U834" s="1086"/>
      <c r="V834" s="1086"/>
      <c r="W834" s="1086"/>
      <c r="X834" s="1086"/>
      <c r="Y834" s="1086"/>
      <c r="Z834" s="1086"/>
      <c r="AA834" s="1086"/>
      <c r="AB834" s="1086"/>
    </row>
    <row r="835">
      <c r="A835" s="1100"/>
      <c r="B835" s="1086"/>
      <c r="C835" s="1086"/>
      <c r="D835" s="1086"/>
      <c r="E835" s="1086"/>
      <c r="F835" s="1086"/>
      <c r="G835" s="1086"/>
      <c r="H835" s="1086"/>
      <c r="I835" s="1086"/>
      <c r="J835" s="1086"/>
      <c r="K835" s="1086"/>
      <c r="L835" s="1086"/>
      <c r="M835" s="1086"/>
      <c r="N835" s="1086"/>
      <c r="O835" s="1086"/>
      <c r="P835" s="1086"/>
      <c r="Q835" s="1086"/>
      <c r="R835" s="1086"/>
      <c r="S835" s="1086"/>
      <c r="T835" s="1086"/>
      <c r="U835" s="1086"/>
      <c r="V835" s="1086"/>
      <c r="W835" s="1086"/>
      <c r="X835" s="1086"/>
      <c r="Y835" s="1086"/>
      <c r="Z835" s="1086"/>
      <c r="AA835" s="1086"/>
      <c r="AB835" s="1086"/>
    </row>
    <row r="836">
      <c r="A836" s="1100"/>
      <c r="B836" s="1086"/>
      <c r="C836" s="1086"/>
      <c r="D836" s="1086"/>
      <c r="E836" s="1086"/>
      <c r="F836" s="1086"/>
      <c r="G836" s="1086"/>
      <c r="H836" s="1086"/>
      <c r="I836" s="1086"/>
      <c r="J836" s="1086"/>
      <c r="K836" s="1086"/>
      <c r="L836" s="1086"/>
      <c r="M836" s="1086"/>
      <c r="N836" s="1086"/>
      <c r="O836" s="1086"/>
      <c r="P836" s="1086"/>
      <c r="Q836" s="1086"/>
      <c r="R836" s="1086"/>
      <c r="S836" s="1086"/>
      <c r="T836" s="1086"/>
      <c r="U836" s="1086"/>
      <c r="V836" s="1086"/>
      <c r="W836" s="1086"/>
      <c r="X836" s="1086"/>
      <c r="Y836" s="1086"/>
      <c r="Z836" s="1086"/>
      <c r="AA836" s="1086"/>
      <c r="AB836" s="1086"/>
    </row>
    <row r="837">
      <c r="A837" s="1100"/>
      <c r="B837" s="1086"/>
      <c r="C837" s="1086"/>
      <c r="D837" s="1086"/>
      <c r="E837" s="1086"/>
      <c r="F837" s="1086"/>
      <c r="G837" s="1086"/>
      <c r="H837" s="1086"/>
      <c r="I837" s="1086"/>
      <c r="J837" s="1086"/>
      <c r="K837" s="1086"/>
      <c r="L837" s="1086"/>
      <c r="M837" s="1086"/>
      <c r="N837" s="1086"/>
      <c r="O837" s="1086"/>
      <c r="P837" s="1086"/>
      <c r="Q837" s="1086"/>
      <c r="R837" s="1086"/>
      <c r="S837" s="1086"/>
      <c r="T837" s="1086"/>
      <c r="U837" s="1086"/>
      <c r="V837" s="1086"/>
      <c r="W837" s="1086"/>
      <c r="X837" s="1086"/>
      <c r="Y837" s="1086"/>
      <c r="Z837" s="1086"/>
      <c r="AA837" s="1086"/>
      <c r="AB837" s="1086"/>
    </row>
    <row r="838">
      <c r="A838" s="1100"/>
      <c r="B838" s="1086"/>
      <c r="C838" s="1086"/>
      <c r="D838" s="1086"/>
      <c r="E838" s="1086"/>
      <c r="F838" s="1086"/>
      <c r="G838" s="1086"/>
      <c r="H838" s="1086"/>
      <c r="I838" s="1086"/>
      <c r="J838" s="1086"/>
      <c r="K838" s="1086"/>
      <c r="L838" s="1086"/>
      <c r="M838" s="1086"/>
      <c r="N838" s="1086"/>
      <c r="O838" s="1086"/>
      <c r="P838" s="1086"/>
      <c r="Q838" s="1086"/>
      <c r="R838" s="1086"/>
      <c r="S838" s="1086"/>
      <c r="T838" s="1086"/>
      <c r="U838" s="1086"/>
      <c r="V838" s="1086"/>
      <c r="W838" s="1086"/>
      <c r="X838" s="1086"/>
      <c r="Y838" s="1086"/>
      <c r="Z838" s="1086"/>
      <c r="AA838" s="1086"/>
      <c r="AB838" s="1086"/>
    </row>
    <row r="839">
      <c r="A839" s="1100"/>
      <c r="B839" s="1086"/>
      <c r="C839" s="1086"/>
      <c r="D839" s="1086"/>
      <c r="E839" s="1086"/>
      <c r="F839" s="1086"/>
      <c r="G839" s="1086"/>
      <c r="H839" s="1086"/>
      <c r="I839" s="1086"/>
      <c r="J839" s="1086"/>
      <c r="K839" s="1086"/>
      <c r="L839" s="1086"/>
      <c r="M839" s="1086"/>
      <c r="N839" s="1086"/>
      <c r="O839" s="1086"/>
      <c r="P839" s="1086"/>
      <c r="Q839" s="1086"/>
      <c r="R839" s="1086"/>
      <c r="S839" s="1086"/>
      <c r="T839" s="1086"/>
      <c r="U839" s="1086"/>
      <c r="V839" s="1086"/>
      <c r="W839" s="1086"/>
      <c r="X839" s="1086"/>
      <c r="Y839" s="1086"/>
      <c r="Z839" s="1086"/>
      <c r="AA839" s="1086"/>
      <c r="AB839" s="1086"/>
    </row>
    <row r="840">
      <c r="A840" s="1100"/>
      <c r="B840" s="1086"/>
      <c r="C840" s="1086"/>
      <c r="D840" s="1086"/>
      <c r="E840" s="1086"/>
      <c r="F840" s="1086"/>
      <c r="G840" s="1086"/>
      <c r="H840" s="1086"/>
      <c r="I840" s="1086"/>
      <c r="J840" s="1086"/>
      <c r="K840" s="1086"/>
      <c r="L840" s="1086"/>
      <c r="M840" s="1086"/>
      <c r="N840" s="1086"/>
      <c r="O840" s="1086"/>
      <c r="P840" s="1086"/>
      <c r="Q840" s="1086"/>
      <c r="R840" s="1086"/>
      <c r="S840" s="1086"/>
      <c r="T840" s="1086"/>
      <c r="U840" s="1086"/>
      <c r="V840" s="1086"/>
      <c r="W840" s="1086"/>
      <c r="X840" s="1086"/>
      <c r="Y840" s="1086"/>
      <c r="Z840" s="1086"/>
      <c r="AA840" s="1086"/>
      <c r="AB840" s="1086"/>
    </row>
    <row r="841">
      <c r="A841" s="1100"/>
      <c r="B841" s="1086"/>
      <c r="C841" s="1086"/>
      <c r="D841" s="1086"/>
      <c r="E841" s="1086"/>
      <c r="F841" s="1086"/>
      <c r="G841" s="1086"/>
      <c r="H841" s="1086"/>
      <c r="I841" s="1086"/>
      <c r="J841" s="1086"/>
      <c r="K841" s="1086"/>
      <c r="L841" s="1086"/>
      <c r="M841" s="1086"/>
      <c r="N841" s="1086"/>
      <c r="O841" s="1086"/>
      <c r="P841" s="1086"/>
      <c r="Q841" s="1086"/>
      <c r="R841" s="1086"/>
      <c r="S841" s="1086"/>
      <c r="T841" s="1086"/>
      <c r="U841" s="1086"/>
      <c r="V841" s="1086"/>
      <c r="W841" s="1086"/>
      <c r="X841" s="1086"/>
      <c r="Y841" s="1086"/>
      <c r="Z841" s="1086"/>
      <c r="AA841" s="1086"/>
      <c r="AB841" s="1086"/>
    </row>
    <row r="842">
      <c r="A842" s="1100"/>
      <c r="B842" s="1086"/>
      <c r="C842" s="1086"/>
      <c r="D842" s="1086"/>
      <c r="E842" s="1086"/>
      <c r="F842" s="1086"/>
      <c r="G842" s="1086"/>
      <c r="H842" s="1086"/>
      <c r="I842" s="1086"/>
      <c r="J842" s="1086"/>
      <c r="K842" s="1086"/>
      <c r="L842" s="1086"/>
      <c r="M842" s="1086"/>
      <c r="N842" s="1086"/>
      <c r="O842" s="1086"/>
      <c r="P842" s="1086"/>
      <c r="Q842" s="1086"/>
      <c r="R842" s="1086"/>
      <c r="S842" s="1086"/>
      <c r="T842" s="1086"/>
      <c r="U842" s="1086"/>
      <c r="V842" s="1086"/>
      <c r="W842" s="1086"/>
      <c r="X842" s="1086"/>
      <c r="Y842" s="1086"/>
      <c r="Z842" s="1086"/>
      <c r="AA842" s="1086"/>
      <c r="AB842" s="1086"/>
    </row>
    <row r="843">
      <c r="A843" s="1100"/>
      <c r="B843" s="1086"/>
      <c r="C843" s="1086"/>
      <c r="D843" s="1086"/>
      <c r="E843" s="1086"/>
      <c r="F843" s="1086"/>
      <c r="G843" s="1086"/>
      <c r="H843" s="1086"/>
      <c r="I843" s="1086"/>
      <c r="J843" s="1086"/>
      <c r="K843" s="1086"/>
      <c r="L843" s="1086"/>
      <c r="M843" s="1086"/>
      <c r="N843" s="1086"/>
      <c r="O843" s="1086"/>
      <c r="P843" s="1086"/>
      <c r="Q843" s="1086"/>
      <c r="R843" s="1086"/>
      <c r="S843" s="1086"/>
      <c r="T843" s="1086"/>
      <c r="U843" s="1086"/>
      <c r="V843" s="1086"/>
      <c r="W843" s="1086"/>
      <c r="X843" s="1086"/>
      <c r="Y843" s="1086"/>
      <c r="Z843" s="1086"/>
      <c r="AA843" s="1086"/>
      <c r="AB843" s="1086"/>
    </row>
    <row r="844">
      <c r="A844" s="1100"/>
      <c r="B844" s="1086"/>
      <c r="C844" s="1086"/>
      <c r="D844" s="1086"/>
      <c r="E844" s="1086"/>
      <c r="F844" s="1086"/>
      <c r="G844" s="1086"/>
      <c r="H844" s="1086"/>
      <c r="I844" s="1086"/>
      <c r="J844" s="1086"/>
      <c r="K844" s="1086"/>
      <c r="L844" s="1086"/>
      <c r="M844" s="1086"/>
      <c r="N844" s="1086"/>
      <c r="O844" s="1086"/>
      <c r="P844" s="1086"/>
      <c r="Q844" s="1086"/>
      <c r="R844" s="1086"/>
      <c r="S844" s="1086"/>
      <c r="T844" s="1086"/>
      <c r="U844" s="1086"/>
      <c r="V844" s="1086"/>
      <c r="W844" s="1086"/>
      <c r="X844" s="1086"/>
      <c r="Y844" s="1086"/>
      <c r="Z844" s="1086"/>
      <c r="AA844" s="1086"/>
      <c r="AB844" s="1086"/>
    </row>
    <row r="845">
      <c r="A845" s="1100"/>
      <c r="B845" s="1086"/>
      <c r="C845" s="1086"/>
      <c r="D845" s="1086"/>
      <c r="E845" s="1086"/>
      <c r="F845" s="1086"/>
      <c r="G845" s="1086"/>
      <c r="H845" s="1086"/>
      <c r="I845" s="1086"/>
      <c r="J845" s="1086"/>
      <c r="K845" s="1086"/>
      <c r="L845" s="1086"/>
      <c r="M845" s="1086"/>
      <c r="N845" s="1086"/>
      <c r="O845" s="1086"/>
      <c r="P845" s="1086"/>
      <c r="Q845" s="1086"/>
      <c r="R845" s="1086"/>
      <c r="S845" s="1086"/>
      <c r="T845" s="1086"/>
      <c r="U845" s="1086"/>
      <c r="V845" s="1086"/>
      <c r="W845" s="1086"/>
      <c r="X845" s="1086"/>
      <c r="Y845" s="1086"/>
      <c r="Z845" s="1086"/>
      <c r="AA845" s="1086"/>
      <c r="AB845" s="1086"/>
    </row>
    <row r="846">
      <c r="A846" s="1100"/>
      <c r="B846" s="1086"/>
      <c r="C846" s="1086"/>
      <c r="D846" s="1086"/>
      <c r="E846" s="1086"/>
      <c r="F846" s="1086"/>
      <c r="G846" s="1086"/>
      <c r="H846" s="1086"/>
      <c r="I846" s="1086"/>
      <c r="J846" s="1086"/>
      <c r="K846" s="1086"/>
      <c r="L846" s="1086"/>
      <c r="M846" s="1086"/>
      <c r="N846" s="1086"/>
      <c r="O846" s="1086"/>
      <c r="P846" s="1086"/>
      <c r="Q846" s="1086"/>
      <c r="R846" s="1086"/>
      <c r="S846" s="1086"/>
      <c r="T846" s="1086"/>
      <c r="U846" s="1086"/>
      <c r="V846" s="1086"/>
      <c r="W846" s="1086"/>
      <c r="X846" s="1086"/>
      <c r="Y846" s="1086"/>
      <c r="Z846" s="1086"/>
      <c r="AA846" s="1086"/>
      <c r="AB846" s="1086"/>
    </row>
    <row r="847">
      <c r="A847" s="1100"/>
      <c r="B847" s="1086"/>
      <c r="C847" s="1086"/>
      <c r="D847" s="1086"/>
      <c r="E847" s="1086"/>
      <c r="F847" s="1086"/>
      <c r="G847" s="1086"/>
      <c r="H847" s="1086"/>
      <c r="I847" s="1086"/>
      <c r="J847" s="1086"/>
      <c r="K847" s="1086"/>
      <c r="L847" s="1086"/>
      <c r="M847" s="1086"/>
      <c r="N847" s="1086"/>
      <c r="O847" s="1086"/>
      <c r="P847" s="1086"/>
      <c r="Q847" s="1086"/>
      <c r="R847" s="1086"/>
      <c r="S847" s="1086"/>
      <c r="T847" s="1086"/>
      <c r="U847" s="1086"/>
      <c r="V847" s="1086"/>
      <c r="W847" s="1086"/>
      <c r="X847" s="1086"/>
      <c r="Y847" s="1086"/>
      <c r="Z847" s="1086"/>
      <c r="AA847" s="1086"/>
      <c r="AB847" s="1086"/>
    </row>
    <row r="848">
      <c r="A848" s="1100"/>
      <c r="B848" s="1086"/>
      <c r="C848" s="1086"/>
      <c r="D848" s="1086"/>
      <c r="E848" s="1086"/>
      <c r="F848" s="1086"/>
      <c r="G848" s="1086"/>
      <c r="H848" s="1086"/>
      <c r="I848" s="1086"/>
      <c r="J848" s="1086"/>
      <c r="K848" s="1086"/>
      <c r="L848" s="1086"/>
      <c r="M848" s="1086"/>
      <c r="N848" s="1086"/>
      <c r="O848" s="1086"/>
      <c r="P848" s="1086"/>
      <c r="Q848" s="1086"/>
      <c r="R848" s="1086"/>
      <c r="S848" s="1086"/>
      <c r="T848" s="1086"/>
      <c r="U848" s="1086"/>
      <c r="V848" s="1086"/>
      <c r="W848" s="1086"/>
      <c r="X848" s="1086"/>
      <c r="Y848" s="1086"/>
      <c r="Z848" s="1086"/>
      <c r="AA848" s="1086"/>
      <c r="AB848" s="1086"/>
    </row>
    <row r="849">
      <c r="A849" s="1100"/>
      <c r="B849" s="1086"/>
      <c r="C849" s="1086"/>
      <c r="D849" s="1086"/>
      <c r="E849" s="1086"/>
      <c r="F849" s="1086"/>
      <c r="G849" s="1086"/>
      <c r="H849" s="1086"/>
      <c r="I849" s="1086"/>
      <c r="J849" s="1086"/>
      <c r="K849" s="1086"/>
      <c r="L849" s="1086"/>
      <c r="M849" s="1086"/>
      <c r="N849" s="1086"/>
      <c r="O849" s="1086"/>
      <c r="P849" s="1086"/>
      <c r="Q849" s="1086"/>
      <c r="R849" s="1086"/>
      <c r="S849" s="1086"/>
      <c r="T849" s="1086"/>
      <c r="U849" s="1086"/>
      <c r="V849" s="1086"/>
      <c r="W849" s="1086"/>
      <c r="X849" s="1086"/>
      <c r="Y849" s="1086"/>
      <c r="Z849" s="1086"/>
      <c r="AA849" s="1086"/>
      <c r="AB849" s="1086"/>
    </row>
    <row r="850">
      <c r="A850" s="1100"/>
      <c r="B850" s="1086"/>
      <c r="C850" s="1086"/>
      <c r="D850" s="1086"/>
      <c r="E850" s="1086"/>
      <c r="F850" s="1086"/>
      <c r="G850" s="1086"/>
      <c r="H850" s="1086"/>
      <c r="I850" s="1086"/>
      <c r="J850" s="1086"/>
      <c r="K850" s="1086"/>
      <c r="L850" s="1086"/>
      <c r="M850" s="1086"/>
      <c r="N850" s="1086"/>
      <c r="O850" s="1086"/>
      <c r="P850" s="1086"/>
      <c r="Q850" s="1086"/>
      <c r="R850" s="1086"/>
      <c r="S850" s="1086"/>
      <c r="T850" s="1086"/>
      <c r="U850" s="1086"/>
      <c r="V850" s="1086"/>
      <c r="W850" s="1086"/>
      <c r="X850" s="1086"/>
      <c r="Y850" s="1086"/>
      <c r="Z850" s="1086"/>
      <c r="AA850" s="1086"/>
      <c r="AB850" s="1086"/>
    </row>
    <row r="851">
      <c r="A851" s="1100"/>
      <c r="B851" s="1086"/>
      <c r="C851" s="1086"/>
      <c r="D851" s="1086"/>
      <c r="E851" s="1086"/>
      <c r="F851" s="1086"/>
      <c r="G851" s="1086"/>
      <c r="H851" s="1086"/>
      <c r="I851" s="1086"/>
      <c r="J851" s="1086"/>
      <c r="K851" s="1086"/>
      <c r="L851" s="1086"/>
      <c r="M851" s="1086"/>
      <c r="N851" s="1086"/>
      <c r="O851" s="1086"/>
      <c r="P851" s="1086"/>
      <c r="Q851" s="1086"/>
      <c r="R851" s="1086"/>
      <c r="S851" s="1086"/>
      <c r="T851" s="1086"/>
      <c r="U851" s="1086"/>
      <c r="V851" s="1086"/>
      <c r="W851" s="1086"/>
      <c r="X851" s="1086"/>
      <c r="Y851" s="1086"/>
      <c r="Z851" s="1086"/>
      <c r="AA851" s="1086"/>
      <c r="AB851" s="1086"/>
    </row>
    <row r="852">
      <c r="A852" s="1100"/>
      <c r="B852" s="1086"/>
      <c r="C852" s="1086"/>
      <c r="D852" s="1086"/>
      <c r="E852" s="1086"/>
      <c r="F852" s="1086"/>
      <c r="G852" s="1086"/>
      <c r="H852" s="1086"/>
      <c r="I852" s="1086"/>
      <c r="J852" s="1086"/>
      <c r="K852" s="1086"/>
      <c r="L852" s="1086"/>
      <c r="M852" s="1086"/>
      <c r="N852" s="1086"/>
      <c r="O852" s="1086"/>
      <c r="P852" s="1086"/>
      <c r="Q852" s="1086"/>
      <c r="R852" s="1086"/>
      <c r="S852" s="1086"/>
      <c r="T852" s="1086"/>
      <c r="U852" s="1086"/>
      <c r="V852" s="1086"/>
      <c r="W852" s="1086"/>
      <c r="X852" s="1086"/>
      <c r="Y852" s="1086"/>
      <c r="Z852" s="1086"/>
      <c r="AA852" s="1086"/>
      <c r="AB852" s="1086"/>
    </row>
    <row r="853">
      <c r="A853" s="1100"/>
      <c r="B853" s="1086"/>
      <c r="C853" s="1086"/>
      <c r="D853" s="1086"/>
      <c r="E853" s="1086"/>
      <c r="F853" s="1086"/>
      <c r="G853" s="1086"/>
      <c r="H853" s="1086"/>
      <c r="I853" s="1086"/>
      <c r="J853" s="1086"/>
      <c r="K853" s="1086"/>
      <c r="L853" s="1086"/>
      <c r="M853" s="1086"/>
      <c r="N853" s="1086"/>
      <c r="O853" s="1086"/>
      <c r="P853" s="1086"/>
      <c r="Q853" s="1086"/>
      <c r="R853" s="1086"/>
      <c r="S853" s="1086"/>
      <c r="T853" s="1086"/>
      <c r="U853" s="1086"/>
      <c r="V853" s="1086"/>
      <c r="W853" s="1086"/>
      <c r="X853" s="1086"/>
      <c r="Y853" s="1086"/>
      <c r="Z853" s="1086"/>
      <c r="AA853" s="1086"/>
      <c r="AB853" s="1086"/>
    </row>
    <row r="854">
      <c r="A854" s="1100"/>
      <c r="B854" s="1086"/>
      <c r="C854" s="1086"/>
      <c r="D854" s="1086"/>
      <c r="E854" s="1086"/>
      <c r="F854" s="1086"/>
      <c r="G854" s="1086"/>
      <c r="H854" s="1086"/>
      <c r="I854" s="1086"/>
      <c r="J854" s="1086"/>
      <c r="K854" s="1086"/>
      <c r="L854" s="1086"/>
      <c r="M854" s="1086"/>
      <c r="N854" s="1086"/>
      <c r="O854" s="1086"/>
      <c r="P854" s="1086"/>
      <c r="Q854" s="1086"/>
      <c r="R854" s="1086"/>
      <c r="S854" s="1086"/>
      <c r="T854" s="1086"/>
      <c r="U854" s="1086"/>
      <c r="V854" s="1086"/>
      <c r="W854" s="1086"/>
      <c r="X854" s="1086"/>
      <c r="Y854" s="1086"/>
      <c r="Z854" s="1086"/>
      <c r="AA854" s="1086"/>
      <c r="AB854" s="1086"/>
    </row>
    <row r="855">
      <c r="A855" s="1100"/>
      <c r="B855" s="1086"/>
      <c r="C855" s="1086"/>
      <c r="D855" s="1086"/>
      <c r="E855" s="1086"/>
      <c r="F855" s="1086"/>
      <c r="G855" s="1086"/>
      <c r="H855" s="1086"/>
      <c r="I855" s="1086"/>
      <c r="J855" s="1086"/>
      <c r="K855" s="1086"/>
      <c r="L855" s="1086"/>
      <c r="M855" s="1086"/>
      <c r="N855" s="1086"/>
      <c r="O855" s="1086"/>
      <c r="P855" s="1086"/>
      <c r="Q855" s="1086"/>
      <c r="R855" s="1086"/>
      <c r="S855" s="1086"/>
      <c r="T855" s="1086"/>
      <c r="U855" s="1086"/>
      <c r="V855" s="1086"/>
      <c r="W855" s="1086"/>
      <c r="X855" s="1086"/>
      <c r="Y855" s="1086"/>
      <c r="Z855" s="1086"/>
      <c r="AA855" s="1086"/>
      <c r="AB855" s="1086"/>
    </row>
    <row r="856">
      <c r="A856" s="1100"/>
      <c r="B856" s="1086"/>
      <c r="C856" s="1086"/>
      <c r="D856" s="1086"/>
      <c r="E856" s="1086"/>
      <c r="F856" s="1086"/>
      <c r="G856" s="1086"/>
      <c r="H856" s="1086"/>
      <c r="I856" s="1086"/>
      <c r="J856" s="1086"/>
      <c r="K856" s="1086"/>
      <c r="L856" s="1086"/>
      <c r="M856" s="1086"/>
      <c r="N856" s="1086"/>
      <c r="O856" s="1086"/>
      <c r="P856" s="1086"/>
      <c r="Q856" s="1086"/>
      <c r="R856" s="1086"/>
      <c r="S856" s="1086"/>
      <c r="T856" s="1086"/>
      <c r="U856" s="1086"/>
      <c r="V856" s="1086"/>
      <c r="W856" s="1086"/>
      <c r="X856" s="1086"/>
      <c r="Y856" s="1086"/>
      <c r="Z856" s="1086"/>
      <c r="AA856" s="1086"/>
      <c r="AB856" s="1086"/>
    </row>
    <row r="857">
      <c r="A857" s="1100"/>
      <c r="B857" s="1086"/>
      <c r="C857" s="1086"/>
      <c r="D857" s="1086"/>
      <c r="E857" s="1086"/>
      <c r="F857" s="1086"/>
      <c r="G857" s="1086"/>
      <c r="H857" s="1086"/>
      <c r="I857" s="1086"/>
      <c r="J857" s="1086"/>
      <c r="K857" s="1086"/>
      <c r="L857" s="1086"/>
      <c r="M857" s="1086"/>
      <c r="N857" s="1086"/>
      <c r="O857" s="1086"/>
      <c r="P857" s="1086"/>
      <c r="Q857" s="1086"/>
      <c r="R857" s="1086"/>
      <c r="S857" s="1086"/>
      <c r="T857" s="1086"/>
      <c r="U857" s="1086"/>
      <c r="V857" s="1086"/>
      <c r="W857" s="1086"/>
      <c r="X857" s="1086"/>
      <c r="Y857" s="1086"/>
      <c r="Z857" s="1086"/>
      <c r="AA857" s="1086"/>
      <c r="AB857" s="1086"/>
    </row>
    <row r="858">
      <c r="A858" s="1100"/>
      <c r="B858" s="1086"/>
      <c r="C858" s="1086"/>
      <c r="D858" s="1086"/>
      <c r="E858" s="1086"/>
      <c r="F858" s="1086"/>
      <c r="G858" s="1086"/>
      <c r="H858" s="1086"/>
      <c r="I858" s="1086"/>
      <c r="J858" s="1086"/>
      <c r="K858" s="1086"/>
      <c r="L858" s="1086"/>
      <c r="M858" s="1086"/>
      <c r="N858" s="1086"/>
      <c r="O858" s="1086"/>
      <c r="P858" s="1086"/>
      <c r="Q858" s="1086"/>
      <c r="R858" s="1086"/>
      <c r="S858" s="1086"/>
      <c r="T858" s="1086"/>
      <c r="U858" s="1086"/>
      <c r="V858" s="1086"/>
      <c r="W858" s="1086"/>
      <c r="X858" s="1086"/>
      <c r="Y858" s="1086"/>
      <c r="Z858" s="1086"/>
      <c r="AA858" s="1086"/>
      <c r="AB858" s="1086"/>
    </row>
    <row r="859">
      <c r="A859" s="1100"/>
      <c r="B859" s="1086"/>
      <c r="C859" s="1086"/>
      <c r="D859" s="1086"/>
      <c r="E859" s="1086"/>
      <c r="F859" s="1086"/>
      <c r="G859" s="1086"/>
      <c r="H859" s="1086"/>
      <c r="I859" s="1086"/>
      <c r="J859" s="1086"/>
      <c r="K859" s="1086"/>
      <c r="L859" s="1086"/>
      <c r="M859" s="1086"/>
      <c r="N859" s="1086"/>
      <c r="O859" s="1086"/>
      <c r="P859" s="1086"/>
      <c r="Q859" s="1086"/>
      <c r="R859" s="1086"/>
      <c r="S859" s="1086"/>
      <c r="T859" s="1086"/>
      <c r="U859" s="1086"/>
      <c r="V859" s="1086"/>
      <c r="W859" s="1086"/>
      <c r="X859" s="1086"/>
      <c r="Y859" s="1086"/>
      <c r="Z859" s="1086"/>
      <c r="AA859" s="1086"/>
      <c r="AB859" s="1086"/>
    </row>
    <row r="860">
      <c r="A860" s="1100"/>
      <c r="B860" s="1086"/>
      <c r="C860" s="1086"/>
      <c r="D860" s="1086"/>
      <c r="E860" s="1086"/>
      <c r="F860" s="1086"/>
      <c r="G860" s="1086"/>
      <c r="H860" s="1086"/>
      <c r="I860" s="1086"/>
      <c r="J860" s="1086"/>
      <c r="K860" s="1086"/>
      <c r="L860" s="1086"/>
      <c r="M860" s="1086"/>
      <c r="N860" s="1086"/>
      <c r="O860" s="1086"/>
      <c r="P860" s="1086"/>
      <c r="Q860" s="1086"/>
      <c r="R860" s="1086"/>
      <c r="S860" s="1086"/>
      <c r="T860" s="1086"/>
      <c r="U860" s="1086"/>
      <c r="V860" s="1086"/>
      <c r="W860" s="1086"/>
      <c r="X860" s="1086"/>
      <c r="Y860" s="1086"/>
      <c r="Z860" s="1086"/>
      <c r="AA860" s="1086"/>
      <c r="AB860" s="1086"/>
    </row>
    <row r="861">
      <c r="A861" s="1100"/>
      <c r="B861" s="1086"/>
      <c r="C861" s="1086"/>
      <c r="D861" s="1086"/>
      <c r="E861" s="1086"/>
      <c r="F861" s="1086"/>
      <c r="G861" s="1086"/>
      <c r="H861" s="1086"/>
      <c r="I861" s="1086"/>
      <c r="J861" s="1086"/>
      <c r="K861" s="1086"/>
      <c r="L861" s="1086"/>
      <c r="M861" s="1086"/>
      <c r="N861" s="1086"/>
      <c r="O861" s="1086"/>
      <c r="P861" s="1086"/>
      <c r="Q861" s="1086"/>
      <c r="R861" s="1086"/>
      <c r="S861" s="1086"/>
      <c r="T861" s="1086"/>
      <c r="U861" s="1086"/>
      <c r="V861" s="1086"/>
      <c r="W861" s="1086"/>
      <c r="X861" s="1086"/>
      <c r="Y861" s="1086"/>
      <c r="Z861" s="1086"/>
      <c r="AA861" s="1086"/>
      <c r="AB861" s="1086"/>
    </row>
    <row r="862">
      <c r="A862" s="1100"/>
      <c r="B862" s="1086"/>
      <c r="C862" s="1086"/>
      <c r="D862" s="1086"/>
      <c r="E862" s="1086"/>
      <c r="F862" s="1086"/>
      <c r="G862" s="1086"/>
      <c r="H862" s="1086"/>
      <c r="I862" s="1086"/>
      <c r="J862" s="1086"/>
      <c r="K862" s="1086"/>
      <c r="L862" s="1086"/>
      <c r="M862" s="1086"/>
      <c r="N862" s="1086"/>
      <c r="O862" s="1086"/>
      <c r="P862" s="1086"/>
      <c r="Q862" s="1086"/>
      <c r="R862" s="1086"/>
      <c r="S862" s="1086"/>
      <c r="T862" s="1086"/>
      <c r="U862" s="1086"/>
      <c r="V862" s="1086"/>
      <c r="W862" s="1086"/>
      <c r="X862" s="1086"/>
      <c r="Y862" s="1086"/>
      <c r="Z862" s="1086"/>
      <c r="AA862" s="1086"/>
      <c r="AB862" s="1086"/>
    </row>
    <row r="863">
      <c r="A863" s="1100"/>
      <c r="B863" s="1086"/>
      <c r="C863" s="1086"/>
      <c r="D863" s="1086"/>
      <c r="E863" s="1086"/>
      <c r="F863" s="1086"/>
      <c r="G863" s="1086"/>
      <c r="H863" s="1086"/>
      <c r="I863" s="1086"/>
      <c r="J863" s="1086"/>
      <c r="K863" s="1086"/>
      <c r="L863" s="1086"/>
      <c r="M863" s="1086"/>
      <c r="N863" s="1086"/>
      <c r="O863" s="1086"/>
      <c r="P863" s="1086"/>
      <c r="Q863" s="1086"/>
      <c r="R863" s="1086"/>
      <c r="S863" s="1086"/>
      <c r="T863" s="1086"/>
      <c r="U863" s="1086"/>
      <c r="V863" s="1086"/>
      <c r="W863" s="1086"/>
      <c r="X863" s="1086"/>
      <c r="Y863" s="1086"/>
      <c r="Z863" s="1086"/>
      <c r="AA863" s="1086"/>
      <c r="AB863" s="1086"/>
    </row>
    <row r="864">
      <c r="A864" s="1100"/>
      <c r="B864" s="1086"/>
      <c r="C864" s="1086"/>
      <c r="D864" s="1086"/>
      <c r="E864" s="1086"/>
      <c r="F864" s="1086"/>
      <c r="G864" s="1086"/>
      <c r="H864" s="1086"/>
      <c r="I864" s="1086"/>
      <c r="J864" s="1086"/>
      <c r="K864" s="1086"/>
      <c r="L864" s="1086"/>
      <c r="M864" s="1086"/>
      <c r="N864" s="1086"/>
      <c r="O864" s="1086"/>
      <c r="P864" s="1086"/>
      <c r="Q864" s="1086"/>
      <c r="R864" s="1086"/>
      <c r="S864" s="1086"/>
      <c r="T864" s="1086"/>
      <c r="U864" s="1086"/>
      <c r="V864" s="1086"/>
      <c r="W864" s="1086"/>
      <c r="X864" s="1086"/>
      <c r="Y864" s="1086"/>
      <c r="Z864" s="1086"/>
      <c r="AA864" s="1086"/>
      <c r="AB864" s="1086"/>
    </row>
    <row r="865">
      <c r="A865" s="1100"/>
      <c r="B865" s="1086"/>
      <c r="C865" s="1086"/>
      <c r="D865" s="1086"/>
      <c r="E865" s="1086"/>
      <c r="F865" s="1086"/>
      <c r="G865" s="1086"/>
      <c r="H865" s="1086"/>
      <c r="I865" s="1086"/>
      <c r="J865" s="1086"/>
      <c r="K865" s="1086"/>
      <c r="L865" s="1086"/>
      <c r="M865" s="1086"/>
      <c r="N865" s="1086"/>
      <c r="O865" s="1086"/>
      <c r="P865" s="1086"/>
      <c r="Q865" s="1086"/>
      <c r="R865" s="1086"/>
      <c r="S865" s="1086"/>
      <c r="T865" s="1086"/>
      <c r="U865" s="1086"/>
      <c r="V865" s="1086"/>
      <c r="W865" s="1086"/>
      <c r="X865" s="1086"/>
      <c r="Y865" s="1086"/>
      <c r="Z865" s="1086"/>
      <c r="AA865" s="1086"/>
      <c r="AB865" s="1086"/>
    </row>
    <row r="866">
      <c r="A866" s="1100"/>
      <c r="B866" s="1086"/>
      <c r="C866" s="1086"/>
      <c r="D866" s="1086"/>
      <c r="E866" s="1086"/>
      <c r="F866" s="1086"/>
      <c r="G866" s="1086"/>
      <c r="H866" s="1086"/>
      <c r="I866" s="1086"/>
      <c r="J866" s="1086"/>
      <c r="K866" s="1086"/>
      <c r="L866" s="1086"/>
      <c r="M866" s="1086"/>
      <c r="N866" s="1086"/>
      <c r="O866" s="1086"/>
      <c r="P866" s="1086"/>
      <c r="Q866" s="1086"/>
      <c r="R866" s="1086"/>
      <c r="S866" s="1086"/>
      <c r="T866" s="1086"/>
      <c r="U866" s="1086"/>
      <c r="V866" s="1086"/>
      <c r="W866" s="1086"/>
      <c r="X866" s="1086"/>
      <c r="Y866" s="1086"/>
      <c r="Z866" s="1086"/>
      <c r="AA866" s="1086"/>
      <c r="AB866" s="1086"/>
    </row>
    <row r="867">
      <c r="A867" s="1100"/>
      <c r="B867" s="1086"/>
      <c r="C867" s="1086"/>
      <c r="D867" s="1086"/>
      <c r="E867" s="1086"/>
      <c r="F867" s="1086"/>
      <c r="G867" s="1086"/>
      <c r="H867" s="1086"/>
      <c r="I867" s="1086"/>
      <c r="J867" s="1086"/>
      <c r="K867" s="1086"/>
      <c r="L867" s="1086"/>
      <c r="M867" s="1086"/>
      <c r="N867" s="1086"/>
      <c r="O867" s="1086"/>
      <c r="P867" s="1086"/>
      <c r="Q867" s="1086"/>
      <c r="R867" s="1086"/>
      <c r="S867" s="1086"/>
      <c r="T867" s="1086"/>
      <c r="U867" s="1086"/>
      <c r="V867" s="1086"/>
      <c r="W867" s="1086"/>
      <c r="X867" s="1086"/>
      <c r="Y867" s="1086"/>
      <c r="Z867" s="1086"/>
      <c r="AA867" s="1086"/>
      <c r="AB867" s="1086"/>
    </row>
    <row r="868">
      <c r="A868" s="1100"/>
      <c r="B868" s="1086"/>
      <c r="C868" s="1086"/>
      <c r="D868" s="1086"/>
      <c r="E868" s="1086"/>
      <c r="F868" s="1086"/>
      <c r="G868" s="1086"/>
      <c r="H868" s="1086"/>
      <c r="I868" s="1086"/>
      <c r="J868" s="1086"/>
      <c r="K868" s="1086"/>
      <c r="L868" s="1086"/>
      <c r="M868" s="1086"/>
      <c r="N868" s="1086"/>
      <c r="O868" s="1086"/>
      <c r="P868" s="1086"/>
      <c r="Q868" s="1086"/>
      <c r="R868" s="1086"/>
      <c r="S868" s="1086"/>
      <c r="T868" s="1086"/>
      <c r="U868" s="1086"/>
      <c r="V868" s="1086"/>
      <c r="W868" s="1086"/>
      <c r="X868" s="1086"/>
      <c r="Y868" s="1086"/>
      <c r="Z868" s="1086"/>
      <c r="AA868" s="1086"/>
      <c r="AB868" s="1086"/>
    </row>
    <row r="869">
      <c r="A869" s="1100"/>
      <c r="B869" s="1086"/>
      <c r="C869" s="1086"/>
      <c r="D869" s="1086"/>
      <c r="E869" s="1086"/>
      <c r="F869" s="1086"/>
      <c r="G869" s="1086"/>
      <c r="H869" s="1086"/>
      <c r="I869" s="1086"/>
      <c r="J869" s="1086"/>
      <c r="K869" s="1086"/>
      <c r="L869" s="1086"/>
      <c r="M869" s="1086"/>
      <c r="N869" s="1086"/>
      <c r="O869" s="1086"/>
      <c r="P869" s="1086"/>
      <c r="Q869" s="1086"/>
      <c r="R869" s="1086"/>
      <c r="S869" s="1086"/>
      <c r="T869" s="1086"/>
      <c r="U869" s="1086"/>
      <c r="V869" s="1086"/>
      <c r="W869" s="1086"/>
      <c r="X869" s="1086"/>
      <c r="Y869" s="1086"/>
      <c r="Z869" s="1086"/>
      <c r="AA869" s="1086"/>
      <c r="AB869" s="1086"/>
    </row>
    <row r="870">
      <c r="A870" s="1100"/>
      <c r="B870" s="1086"/>
      <c r="C870" s="1086"/>
      <c r="D870" s="1086"/>
      <c r="E870" s="1086"/>
      <c r="F870" s="1086"/>
      <c r="G870" s="1086"/>
      <c r="H870" s="1086"/>
      <c r="I870" s="1086"/>
      <c r="J870" s="1086"/>
      <c r="K870" s="1086"/>
      <c r="L870" s="1086"/>
      <c r="M870" s="1086"/>
      <c r="N870" s="1086"/>
      <c r="O870" s="1086"/>
      <c r="P870" s="1086"/>
      <c r="Q870" s="1086"/>
      <c r="R870" s="1086"/>
      <c r="S870" s="1086"/>
      <c r="T870" s="1086"/>
      <c r="U870" s="1086"/>
      <c r="V870" s="1086"/>
      <c r="W870" s="1086"/>
      <c r="X870" s="1086"/>
      <c r="Y870" s="1086"/>
      <c r="Z870" s="1086"/>
      <c r="AA870" s="1086"/>
      <c r="AB870" s="1086"/>
    </row>
    <row r="871">
      <c r="A871" s="1100"/>
      <c r="B871" s="1086"/>
      <c r="C871" s="1086"/>
      <c r="D871" s="1086"/>
      <c r="E871" s="1086"/>
      <c r="F871" s="1086"/>
      <c r="G871" s="1086"/>
      <c r="H871" s="1086"/>
      <c r="I871" s="1086"/>
      <c r="J871" s="1086"/>
      <c r="K871" s="1086"/>
      <c r="L871" s="1086"/>
      <c r="M871" s="1086"/>
      <c r="N871" s="1086"/>
      <c r="O871" s="1086"/>
      <c r="P871" s="1086"/>
      <c r="Q871" s="1086"/>
      <c r="R871" s="1086"/>
      <c r="S871" s="1086"/>
      <c r="T871" s="1086"/>
      <c r="U871" s="1086"/>
      <c r="V871" s="1086"/>
      <c r="W871" s="1086"/>
      <c r="X871" s="1086"/>
      <c r="Y871" s="1086"/>
      <c r="Z871" s="1086"/>
      <c r="AA871" s="1086"/>
      <c r="AB871" s="1086"/>
    </row>
    <row r="872">
      <c r="A872" s="1100"/>
      <c r="B872" s="1086"/>
      <c r="C872" s="1086"/>
      <c r="D872" s="1086"/>
      <c r="E872" s="1086"/>
      <c r="F872" s="1086"/>
      <c r="G872" s="1086"/>
      <c r="H872" s="1086"/>
      <c r="I872" s="1086"/>
      <c r="J872" s="1086"/>
      <c r="K872" s="1086"/>
      <c r="L872" s="1086"/>
      <c r="M872" s="1086"/>
      <c r="N872" s="1086"/>
      <c r="O872" s="1086"/>
      <c r="P872" s="1086"/>
      <c r="Q872" s="1086"/>
      <c r="R872" s="1086"/>
      <c r="S872" s="1086"/>
      <c r="T872" s="1086"/>
      <c r="U872" s="1086"/>
      <c r="V872" s="1086"/>
      <c r="W872" s="1086"/>
      <c r="X872" s="1086"/>
      <c r="Y872" s="1086"/>
      <c r="Z872" s="1086"/>
      <c r="AA872" s="1086"/>
      <c r="AB872" s="1086"/>
    </row>
    <row r="873">
      <c r="A873" s="1100"/>
      <c r="B873" s="1086"/>
      <c r="C873" s="1086"/>
      <c r="D873" s="1086"/>
      <c r="E873" s="1086"/>
      <c r="F873" s="1086"/>
      <c r="G873" s="1086"/>
      <c r="H873" s="1086"/>
      <c r="I873" s="1086"/>
      <c r="J873" s="1086"/>
      <c r="K873" s="1086"/>
      <c r="L873" s="1086"/>
      <c r="M873" s="1086"/>
      <c r="N873" s="1086"/>
      <c r="O873" s="1086"/>
      <c r="P873" s="1086"/>
      <c r="Q873" s="1086"/>
      <c r="R873" s="1086"/>
      <c r="S873" s="1086"/>
      <c r="T873" s="1086"/>
      <c r="U873" s="1086"/>
      <c r="V873" s="1086"/>
      <c r="W873" s="1086"/>
      <c r="X873" s="1086"/>
      <c r="Y873" s="1086"/>
      <c r="Z873" s="1086"/>
      <c r="AA873" s="1086"/>
      <c r="AB873" s="1086"/>
    </row>
    <row r="874">
      <c r="A874" s="1100"/>
      <c r="B874" s="1086"/>
      <c r="C874" s="1086"/>
      <c r="D874" s="1086"/>
      <c r="E874" s="1086"/>
      <c r="F874" s="1086"/>
      <c r="G874" s="1086"/>
      <c r="H874" s="1086"/>
      <c r="I874" s="1086"/>
      <c r="J874" s="1086"/>
      <c r="K874" s="1086"/>
      <c r="L874" s="1086"/>
      <c r="M874" s="1086"/>
      <c r="N874" s="1086"/>
      <c r="O874" s="1086"/>
      <c r="P874" s="1086"/>
      <c r="Q874" s="1086"/>
      <c r="R874" s="1086"/>
      <c r="S874" s="1086"/>
      <c r="T874" s="1086"/>
      <c r="U874" s="1086"/>
      <c r="V874" s="1086"/>
      <c r="W874" s="1086"/>
      <c r="X874" s="1086"/>
      <c r="Y874" s="1086"/>
      <c r="Z874" s="1086"/>
      <c r="AA874" s="1086"/>
      <c r="AB874" s="1086"/>
    </row>
    <row r="875">
      <c r="A875" s="1100"/>
      <c r="B875" s="1086"/>
      <c r="C875" s="1086"/>
      <c r="D875" s="1086"/>
      <c r="E875" s="1086"/>
      <c r="F875" s="1086"/>
      <c r="G875" s="1086"/>
      <c r="H875" s="1086"/>
      <c r="I875" s="1086"/>
      <c r="J875" s="1086"/>
      <c r="K875" s="1086"/>
      <c r="L875" s="1086"/>
      <c r="M875" s="1086"/>
      <c r="N875" s="1086"/>
      <c r="O875" s="1086"/>
      <c r="P875" s="1086"/>
      <c r="Q875" s="1086"/>
      <c r="R875" s="1086"/>
      <c r="S875" s="1086"/>
      <c r="T875" s="1086"/>
      <c r="U875" s="1086"/>
      <c r="V875" s="1086"/>
      <c r="W875" s="1086"/>
      <c r="X875" s="1086"/>
      <c r="Y875" s="1086"/>
      <c r="Z875" s="1086"/>
      <c r="AA875" s="1086"/>
      <c r="AB875" s="1086"/>
    </row>
    <row r="876">
      <c r="A876" s="1100"/>
      <c r="B876" s="1086"/>
      <c r="C876" s="1086"/>
      <c r="D876" s="1086"/>
      <c r="E876" s="1086"/>
      <c r="F876" s="1086"/>
      <c r="G876" s="1086"/>
      <c r="H876" s="1086"/>
      <c r="I876" s="1086"/>
      <c r="J876" s="1086"/>
      <c r="K876" s="1086"/>
      <c r="L876" s="1086"/>
      <c r="M876" s="1086"/>
      <c r="N876" s="1086"/>
      <c r="O876" s="1086"/>
      <c r="P876" s="1086"/>
      <c r="Q876" s="1086"/>
      <c r="R876" s="1086"/>
      <c r="S876" s="1086"/>
      <c r="T876" s="1086"/>
      <c r="U876" s="1086"/>
      <c r="V876" s="1086"/>
      <c r="W876" s="1086"/>
      <c r="X876" s="1086"/>
      <c r="Y876" s="1086"/>
      <c r="Z876" s="1086"/>
      <c r="AA876" s="1086"/>
      <c r="AB876" s="1086"/>
    </row>
    <row r="877">
      <c r="A877" s="1100"/>
      <c r="B877" s="1086"/>
      <c r="C877" s="1086"/>
      <c r="D877" s="1086"/>
      <c r="E877" s="1086"/>
      <c r="F877" s="1086"/>
      <c r="G877" s="1086"/>
      <c r="H877" s="1086"/>
      <c r="I877" s="1086"/>
      <c r="J877" s="1086"/>
      <c r="K877" s="1086"/>
      <c r="L877" s="1086"/>
      <c r="M877" s="1086"/>
      <c r="N877" s="1086"/>
      <c r="O877" s="1086"/>
      <c r="P877" s="1086"/>
      <c r="Q877" s="1086"/>
      <c r="R877" s="1086"/>
      <c r="S877" s="1086"/>
      <c r="T877" s="1086"/>
      <c r="U877" s="1086"/>
      <c r="V877" s="1086"/>
      <c r="W877" s="1086"/>
      <c r="X877" s="1086"/>
      <c r="Y877" s="1086"/>
      <c r="Z877" s="1086"/>
      <c r="AA877" s="1086"/>
      <c r="AB877" s="1086"/>
    </row>
    <row r="878">
      <c r="A878" s="1100"/>
      <c r="B878" s="1086"/>
      <c r="C878" s="1086"/>
      <c r="D878" s="1086"/>
      <c r="E878" s="1086"/>
      <c r="F878" s="1086"/>
      <c r="G878" s="1086"/>
      <c r="H878" s="1086"/>
      <c r="I878" s="1086"/>
      <c r="J878" s="1086"/>
      <c r="K878" s="1086"/>
      <c r="L878" s="1086"/>
      <c r="M878" s="1086"/>
      <c r="N878" s="1086"/>
      <c r="O878" s="1086"/>
      <c r="P878" s="1086"/>
      <c r="Q878" s="1086"/>
      <c r="R878" s="1086"/>
      <c r="S878" s="1086"/>
      <c r="T878" s="1086"/>
      <c r="U878" s="1086"/>
      <c r="V878" s="1086"/>
      <c r="W878" s="1086"/>
      <c r="X878" s="1086"/>
      <c r="Y878" s="1086"/>
      <c r="Z878" s="1086"/>
      <c r="AA878" s="1086"/>
      <c r="AB878" s="1086"/>
    </row>
    <row r="879">
      <c r="A879" s="1100"/>
      <c r="B879" s="1086"/>
      <c r="C879" s="1086"/>
      <c r="D879" s="1086"/>
      <c r="E879" s="1086"/>
      <c r="F879" s="1086"/>
      <c r="G879" s="1086"/>
      <c r="H879" s="1086"/>
      <c r="I879" s="1086"/>
      <c r="J879" s="1086"/>
      <c r="K879" s="1086"/>
      <c r="L879" s="1086"/>
      <c r="M879" s="1086"/>
      <c r="N879" s="1086"/>
      <c r="O879" s="1086"/>
      <c r="P879" s="1086"/>
      <c r="Q879" s="1086"/>
      <c r="R879" s="1086"/>
      <c r="S879" s="1086"/>
      <c r="T879" s="1086"/>
      <c r="U879" s="1086"/>
      <c r="V879" s="1086"/>
      <c r="W879" s="1086"/>
      <c r="X879" s="1086"/>
      <c r="Y879" s="1086"/>
      <c r="Z879" s="1086"/>
      <c r="AA879" s="1086"/>
      <c r="AB879" s="1086"/>
    </row>
    <row r="880">
      <c r="A880" s="1100"/>
      <c r="B880" s="1086"/>
      <c r="C880" s="1086"/>
      <c r="D880" s="1086"/>
      <c r="E880" s="1086"/>
      <c r="F880" s="1086"/>
      <c r="G880" s="1086"/>
      <c r="H880" s="1086"/>
      <c r="I880" s="1086"/>
      <c r="J880" s="1086"/>
      <c r="K880" s="1086"/>
      <c r="L880" s="1086"/>
      <c r="M880" s="1086"/>
      <c r="N880" s="1086"/>
      <c r="O880" s="1086"/>
      <c r="P880" s="1086"/>
      <c r="Q880" s="1086"/>
      <c r="R880" s="1086"/>
      <c r="S880" s="1086"/>
      <c r="T880" s="1086"/>
      <c r="U880" s="1086"/>
      <c r="V880" s="1086"/>
      <c r="W880" s="1086"/>
      <c r="X880" s="1086"/>
      <c r="Y880" s="1086"/>
      <c r="Z880" s="1086"/>
      <c r="AA880" s="1086"/>
      <c r="AB880" s="1086"/>
    </row>
    <row r="881">
      <c r="A881" s="1100"/>
      <c r="B881" s="1086"/>
      <c r="C881" s="1086"/>
      <c r="D881" s="1086"/>
      <c r="E881" s="1086"/>
      <c r="F881" s="1086"/>
      <c r="G881" s="1086"/>
      <c r="H881" s="1086"/>
      <c r="I881" s="1086"/>
      <c r="J881" s="1086"/>
      <c r="K881" s="1086"/>
      <c r="L881" s="1086"/>
      <c r="M881" s="1086"/>
      <c r="N881" s="1086"/>
      <c r="O881" s="1086"/>
      <c r="P881" s="1086"/>
      <c r="Q881" s="1086"/>
      <c r="R881" s="1086"/>
      <c r="S881" s="1086"/>
      <c r="T881" s="1086"/>
      <c r="U881" s="1086"/>
      <c r="V881" s="1086"/>
      <c r="W881" s="1086"/>
      <c r="X881" s="1086"/>
      <c r="Y881" s="1086"/>
      <c r="Z881" s="1086"/>
      <c r="AA881" s="1086"/>
      <c r="AB881" s="1086"/>
    </row>
    <row r="882">
      <c r="A882" s="1100"/>
      <c r="B882" s="1086"/>
      <c r="C882" s="1086"/>
      <c r="D882" s="1086"/>
      <c r="E882" s="1086"/>
      <c r="F882" s="1086"/>
      <c r="G882" s="1086"/>
      <c r="H882" s="1086"/>
      <c r="I882" s="1086"/>
      <c r="J882" s="1086"/>
      <c r="K882" s="1086"/>
      <c r="L882" s="1086"/>
      <c r="M882" s="1086"/>
      <c r="N882" s="1086"/>
      <c r="O882" s="1086"/>
      <c r="P882" s="1086"/>
      <c r="Q882" s="1086"/>
      <c r="R882" s="1086"/>
      <c r="S882" s="1086"/>
      <c r="T882" s="1086"/>
      <c r="U882" s="1086"/>
      <c r="V882" s="1086"/>
      <c r="W882" s="1086"/>
      <c r="X882" s="1086"/>
      <c r="Y882" s="1086"/>
      <c r="Z882" s="1086"/>
      <c r="AA882" s="1086"/>
      <c r="AB882" s="1086"/>
    </row>
    <row r="883">
      <c r="A883" s="1100"/>
      <c r="B883" s="1086"/>
      <c r="C883" s="1086"/>
      <c r="D883" s="1086"/>
      <c r="E883" s="1086"/>
      <c r="F883" s="1086"/>
      <c r="G883" s="1086"/>
      <c r="H883" s="1086"/>
      <c r="I883" s="1086"/>
      <c r="J883" s="1086"/>
      <c r="K883" s="1086"/>
      <c r="L883" s="1086"/>
      <c r="M883" s="1086"/>
      <c r="N883" s="1086"/>
      <c r="O883" s="1086"/>
      <c r="P883" s="1086"/>
      <c r="Q883" s="1086"/>
      <c r="R883" s="1086"/>
      <c r="S883" s="1086"/>
      <c r="T883" s="1086"/>
      <c r="U883" s="1086"/>
      <c r="V883" s="1086"/>
      <c r="W883" s="1086"/>
      <c r="X883" s="1086"/>
      <c r="Y883" s="1086"/>
      <c r="Z883" s="1086"/>
      <c r="AA883" s="1086"/>
      <c r="AB883" s="1086"/>
    </row>
    <row r="884">
      <c r="A884" s="1100"/>
      <c r="B884" s="1086"/>
      <c r="C884" s="1086"/>
      <c r="D884" s="1086"/>
      <c r="E884" s="1086"/>
      <c r="F884" s="1086"/>
      <c r="G884" s="1086"/>
      <c r="H884" s="1086"/>
      <c r="I884" s="1086"/>
      <c r="J884" s="1086"/>
      <c r="K884" s="1086"/>
      <c r="L884" s="1086"/>
      <c r="M884" s="1086"/>
      <c r="N884" s="1086"/>
      <c r="O884" s="1086"/>
      <c r="P884" s="1086"/>
      <c r="Q884" s="1086"/>
      <c r="R884" s="1086"/>
      <c r="S884" s="1086"/>
      <c r="T884" s="1086"/>
      <c r="U884" s="1086"/>
      <c r="V884" s="1086"/>
      <c r="W884" s="1086"/>
      <c r="X884" s="1086"/>
      <c r="Y884" s="1086"/>
      <c r="Z884" s="1086"/>
      <c r="AA884" s="1086"/>
      <c r="AB884" s="1086"/>
    </row>
    <row r="885">
      <c r="A885" s="1100"/>
      <c r="B885" s="1086"/>
      <c r="C885" s="1086"/>
      <c r="D885" s="1086"/>
      <c r="E885" s="1086"/>
      <c r="F885" s="1086"/>
      <c r="G885" s="1086"/>
      <c r="H885" s="1086"/>
      <c r="I885" s="1086"/>
      <c r="J885" s="1086"/>
      <c r="K885" s="1086"/>
      <c r="L885" s="1086"/>
      <c r="M885" s="1086"/>
      <c r="N885" s="1086"/>
      <c r="O885" s="1086"/>
      <c r="P885" s="1086"/>
      <c r="Q885" s="1086"/>
      <c r="R885" s="1086"/>
      <c r="S885" s="1086"/>
      <c r="T885" s="1086"/>
      <c r="U885" s="1086"/>
      <c r="V885" s="1086"/>
      <c r="W885" s="1086"/>
      <c r="X885" s="1086"/>
      <c r="Y885" s="1086"/>
      <c r="Z885" s="1086"/>
      <c r="AA885" s="1086"/>
      <c r="AB885" s="1086"/>
    </row>
    <row r="886">
      <c r="A886" s="1100"/>
      <c r="B886" s="1086"/>
      <c r="C886" s="1086"/>
      <c r="D886" s="1086"/>
      <c r="E886" s="1086"/>
      <c r="F886" s="1086"/>
      <c r="G886" s="1086"/>
      <c r="H886" s="1086"/>
      <c r="I886" s="1086"/>
      <c r="J886" s="1086"/>
      <c r="K886" s="1086"/>
      <c r="L886" s="1086"/>
      <c r="M886" s="1086"/>
      <c r="N886" s="1086"/>
      <c r="O886" s="1086"/>
      <c r="P886" s="1086"/>
      <c r="Q886" s="1086"/>
      <c r="R886" s="1086"/>
      <c r="S886" s="1086"/>
      <c r="T886" s="1086"/>
      <c r="U886" s="1086"/>
      <c r="V886" s="1086"/>
      <c r="W886" s="1086"/>
      <c r="X886" s="1086"/>
      <c r="Y886" s="1086"/>
      <c r="Z886" s="1086"/>
      <c r="AA886" s="1086"/>
      <c r="AB886" s="1086"/>
    </row>
    <row r="887">
      <c r="A887" s="1100"/>
      <c r="B887" s="1086"/>
      <c r="C887" s="1086"/>
      <c r="D887" s="1086"/>
      <c r="E887" s="1086"/>
      <c r="F887" s="1086"/>
      <c r="G887" s="1086"/>
      <c r="H887" s="1086"/>
      <c r="I887" s="1086"/>
      <c r="J887" s="1086"/>
      <c r="K887" s="1086"/>
      <c r="L887" s="1086"/>
      <c r="M887" s="1086"/>
      <c r="N887" s="1086"/>
      <c r="O887" s="1086"/>
      <c r="P887" s="1086"/>
      <c r="Q887" s="1086"/>
      <c r="R887" s="1086"/>
      <c r="S887" s="1086"/>
      <c r="T887" s="1086"/>
      <c r="U887" s="1086"/>
      <c r="V887" s="1086"/>
      <c r="W887" s="1086"/>
      <c r="X887" s="1086"/>
      <c r="Y887" s="1086"/>
      <c r="Z887" s="1086"/>
      <c r="AA887" s="1086"/>
      <c r="AB887" s="1086"/>
    </row>
    <row r="888">
      <c r="A888" s="1100"/>
      <c r="B888" s="1086"/>
      <c r="C888" s="1086"/>
      <c r="D888" s="1086"/>
      <c r="E888" s="1086"/>
      <c r="F888" s="1086"/>
      <c r="G888" s="1086"/>
      <c r="H888" s="1086"/>
      <c r="I888" s="1086"/>
      <c r="J888" s="1086"/>
      <c r="K888" s="1086"/>
      <c r="L888" s="1086"/>
      <c r="M888" s="1086"/>
      <c r="N888" s="1086"/>
      <c r="O888" s="1086"/>
      <c r="P888" s="1086"/>
      <c r="Q888" s="1086"/>
      <c r="R888" s="1086"/>
      <c r="S888" s="1086"/>
      <c r="T888" s="1086"/>
      <c r="U888" s="1086"/>
      <c r="V888" s="1086"/>
      <c r="W888" s="1086"/>
      <c r="X888" s="1086"/>
      <c r="Y888" s="1086"/>
      <c r="Z888" s="1086"/>
      <c r="AA888" s="1086"/>
      <c r="AB888" s="1086"/>
    </row>
    <row r="889">
      <c r="A889" s="1100"/>
      <c r="B889" s="1086"/>
      <c r="C889" s="1086"/>
      <c r="D889" s="1086"/>
      <c r="E889" s="1086"/>
      <c r="F889" s="1086"/>
      <c r="G889" s="1086"/>
      <c r="H889" s="1086"/>
      <c r="I889" s="1086"/>
      <c r="J889" s="1086"/>
      <c r="K889" s="1086"/>
      <c r="L889" s="1086"/>
      <c r="M889" s="1086"/>
      <c r="N889" s="1086"/>
      <c r="O889" s="1086"/>
      <c r="P889" s="1086"/>
      <c r="Q889" s="1086"/>
      <c r="R889" s="1086"/>
      <c r="S889" s="1086"/>
      <c r="T889" s="1086"/>
      <c r="U889" s="1086"/>
      <c r="V889" s="1086"/>
      <c r="W889" s="1086"/>
      <c r="X889" s="1086"/>
      <c r="Y889" s="1086"/>
      <c r="Z889" s="1086"/>
      <c r="AA889" s="1086"/>
      <c r="AB889" s="1086"/>
    </row>
    <row r="890">
      <c r="A890" s="1100"/>
      <c r="B890" s="1086"/>
      <c r="C890" s="1086"/>
      <c r="D890" s="1086"/>
      <c r="E890" s="1086"/>
      <c r="F890" s="1086"/>
      <c r="G890" s="1086"/>
      <c r="H890" s="1086"/>
      <c r="I890" s="1086"/>
      <c r="J890" s="1086"/>
      <c r="K890" s="1086"/>
      <c r="L890" s="1086"/>
      <c r="M890" s="1086"/>
      <c r="N890" s="1086"/>
      <c r="O890" s="1086"/>
      <c r="P890" s="1086"/>
      <c r="Q890" s="1086"/>
      <c r="R890" s="1086"/>
      <c r="S890" s="1086"/>
      <c r="T890" s="1086"/>
      <c r="U890" s="1086"/>
      <c r="V890" s="1086"/>
      <c r="W890" s="1086"/>
      <c r="X890" s="1086"/>
      <c r="Y890" s="1086"/>
      <c r="Z890" s="1086"/>
      <c r="AA890" s="1086"/>
      <c r="AB890" s="1086"/>
    </row>
    <row r="891">
      <c r="A891" s="1100"/>
      <c r="B891" s="1086"/>
      <c r="C891" s="1086"/>
      <c r="D891" s="1086"/>
      <c r="E891" s="1086"/>
      <c r="F891" s="1086"/>
      <c r="G891" s="1086"/>
      <c r="H891" s="1086"/>
      <c r="I891" s="1086"/>
      <c r="J891" s="1086"/>
      <c r="K891" s="1086"/>
      <c r="L891" s="1086"/>
      <c r="M891" s="1086"/>
      <c r="N891" s="1086"/>
      <c r="O891" s="1086"/>
      <c r="P891" s="1086"/>
      <c r="Q891" s="1086"/>
      <c r="R891" s="1086"/>
      <c r="S891" s="1086"/>
      <c r="T891" s="1086"/>
      <c r="U891" s="1086"/>
      <c r="V891" s="1086"/>
      <c r="W891" s="1086"/>
      <c r="X891" s="1086"/>
      <c r="Y891" s="1086"/>
      <c r="Z891" s="1086"/>
      <c r="AA891" s="1086"/>
      <c r="AB891" s="1086"/>
    </row>
    <row r="892">
      <c r="A892" s="1100"/>
      <c r="B892" s="1086"/>
      <c r="C892" s="1086"/>
      <c r="D892" s="1086"/>
      <c r="E892" s="1086"/>
      <c r="F892" s="1086"/>
      <c r="G892" s="1086"/>
      <c r="H892" s="1086"/>
      <c r="I892" s="1086"/>
      <c r="J892" s="1086"/>
      <c r="K892" s="1086"/>
      <c r="L892" s="1086"/>
      <c r="M892" s="1086"/>
      <c r="N892" s="1086"/>
      <c r="O892" s="1086"/>
      <c r="P892" s="1086"/>
      <c r="Q892" s="1086"/>
      <c r="R892" s="1086"/>
      <c r="S892" s="1086"/>
      <c r="T892" s="1086"/>
      <c r="U892" s="1086"/>
      <c r="V892" s="1086"/>
      <c r="W892" s="1086"/>
      <c r="X892" s="1086"/>
      <c r="Y892" s="1086"/>
      <c r="Z892" s="1086"/>
      <c r="AA892" s="1086"/>
      <c r="AB892" s="1086"/>
    </row>
    <row r="893">
      <c r="A893" s="1100"/>
      <c r="B893" s="1086"/>
      <c r="C893" s="1086"/>
      <c r="D893" s="1086"/>
      <c r="E893" s="1086"/>
      <c r="F893" s="1086"/>
      <c r="G893" s="1086"/>
      <c r="H893" s="1086"/>
      <c r="I893" s="1086"/>
      <c r="J893" s="1086"/>
      <c r="K893" s="1086"/>
      <c r="L893" s="1086"/>
      <c r="M893" s="1086"/>
      <c r="N893" s="1086"/>
      <c r="O893" s="1086"/>
      <c r="P893" s="1086"/>
      <c r="Q893" s="1086"/>
      <c r="R893" s="1086"/>
      <c r="S893" s="1086"/>
      <c r="T893" s="1086"/>
      <c r="U893" s="1086"/>
      <c r="V893" s="1086"/>
      <c r="W893" s="1086"/>
      <c r="X893" s="1086"/>
      <c r="Y893" s="1086"/>
      <c r="Z893" s="1086"/>
      <c r="AA893" s="1086"/>
      <c r="AB893" s="1086"/>
    </row>
    <row r="894">
      <c r="A894" s="1100"/>
      <c r="B894" s="1086"/>
      <c r="C894" s="1086"/>
      <c r="D894" s="1086"/>
      <c r="E894" s="1086"/>
      <c r="F894" s="1086"/>
      <c r="G894" s="1086"/>
      <c r="H894" s="1086"/>
      <c r="I894" s="1086"/>
      <c r="J894" s="1086"/>
      <c r="K894" s="1086"/>
      <c r="L894" s="1086"/>
      <c r="M894" s="1086"/>
      <c r="N894" s="1086"/>
      <c r="O894" s="1086"/>
      <c r="P894" s="1086"/>
      <c r="Q894" s="1086"/>
      <c r="R894" s="1086"/>
      <c r="S894" s="1086"/>
      <c r="T894" s="1086"/>
      <c r="U894" s="1086"/>
      <c r="V894" s="1086"/>
      <c r="W894" s="1086"/>
      <c r="X894" s="1086"/>
      <c r="Y894" s="1086"/>
      <c r="Z894" s="1086"/>
      <c r="AA894" s="1086"/>
      <c r="AB894" s="1086"/>
    </row>
    <row r="895">
      <c r="A895" s="1100"/>
      <c r="B895" s="1086"/>
      <c r="C895" s="1086"/>
      <c r="D895" s="1086"/>
      <c r="E895" s="1086"/>
      <c r="F895" s="1086"/>
      <c r="G895" s="1086"/>
      <c r="H895" s="1086"/>
      <c r="I895" s="1086"/>
      <c r="J895" s="1086"/>
      <c r="K895" s="1086"/>
      <c r="L895" s="1086"/>
      <c r="M895" s="1086"/>
      <c r="N895" s="1086"/>
      <c r="O895" s="1086"/>
      <c r="P895" s="1086"/>
      <c r="Q895" s="1086"/>
      <c r="R895" s="1086"/>
      <c r="S895" s="1086"/>
      <c r="T895" s="1086"/>
      <c r="U895" s="1086"/>
      <c r="V895" s="1086"/>
      <c r="W895" s="1086"/>
      <c r="X895" s="1086"/>
      <c r="Y895" s="1086"/>
      <c r="Z895" s="1086"/>
      <c r="AA895" s="1086"/>
      <c r="AB895" s="1086"/>
    </row>
    <row r="896">
      <c r="A896" s="1100"/>
      <c r="B896" s="1086"/>
      <c r="C896" s="1086"/>
      <c r="D896" s="1086"/>
      <c r="E896" s="1086"/>
      <c r="F896" s="1086"/>
      <c r="G896" s="1086"/>
      <c r="H896" s="1086"/>
      <c r="I896" s="1086"/>
      <c r="J896" s="1086"/>
      <c r="K896" s="1086"/>
      <c r="L896" s="1086"/>
      <c r="M896" s="1086"/>
      <c r="N896" s="1086"/>
      <c r="O896" s="1086"/>
      <c r="P896" s="1086"/>
      <c r="Q896" s="1086"/>
      <c r="R896" s="1086"/>
      <c r="S896" s="1086"/>
      <c r="T896" s="1086"/>
      <c r="U896" s="1086"/>
      <c r="V896" s="1086"/>
      <c r="W896" s="1086"/>
      <c r="X896" s="1086"/>
      <c r="Y896" s="1086"/>
      <c r="Z896" s="1086"/>
      <c r="AA896" s="1086"/>
      <c r="AB896" s="1086"/>
    </row>
    <row r="897">
      <c r="A897" s="1100"/>
      <c r="B897" s="1086"/>
      <c r="C897" s="1086"/>
      <c r="D897" s="1086"/>
      <c r="E897" s="1086"/>
      <c r="F897" s="1086"/>
      <c r="G897" s="1086"/>
      <c r="H897" s="1086"/>
      <c r="I897" s="1086"/>
      <c r="J897" s="1086"/>
      <c r="K897" s="1086"/>
      <c r="L897" s="1086"/>
      <c r="M897" s="1086"/>
      <c r="N897" s="1086"/>
      <c r="O897" s="1086"/>
      <c r="P897" s="1086"/>
      <c r="Q897" s="1086"/>
      <c r="R897" s="1086"/>
      <c r="S897" s="1086"/>
      <c r="T897" s="1086"/>
      <c r="U897" s="1086"/>
      <c r="V897" s="1086"/>
      <c r="W897" s="1086"/>
      <c r="X897" s="1086"/>
      <c r="Y897" s="1086"/>
      <c r="Z897" s="1086"/>
      <c r="AA897" s="1086"/>
      <c r="AB897" s="1086"/>
    </row>
    <row r="898">
      <c r="A898" s="1100"/>
      <c r="B898" s="1086"/>
      <c r="C898" s="1086"/>
      <c r="D898" s="1086"/>
      <c r="E898" s="1086"/>
      <c r="F898" s="1086"/>
      <c r="G898" s="1086"/>
      <c r="H898" s="1086"/>
      <c r="I898" s="1086"/>
      <c r="J898" s="1086"/>
      <c r="K898" s="1086"/>
      <c r="L898" s="1086"/>
      <c r="M898" s="1086"/>
      <c r="N898" s="1086"/>
      <c r="O898" s="1086"/>
      <c r="P898" s="1086"/>
      <c r="Q898" s="1086"/>
      <c r="R898" s="1086"/>
      <c r="S898" s="1086"/>
      <c r="T898" s="1086"/>
      <c r="U898" s="1086"/>
      <c r="V898" s="1086"/>
      <c r="W898" s="1086"/>
      <c r="X898" s="1086"/>
      <c r="Y898" s="1086"/>
      <c r="Z898" s="1086"/>
      <c r="AA898" s="1086"/>
      <c r="AB898" s="1086"/>
    </row>
    <row r="899">
      <c r="A899" s="1100"/>
      <c r="B899" s="1086"/>
      <c r="C899" s="1086"/>
      <c r="D899" s="1086"/>
      <c r="E899" s="1086"/>
      <c r="F899" s="1086"/>
      <c r="G899" s="1086"/>
      <c r="H899" s="1086"/>
      <c r="I899" s="1086"/>
      <c r="J899" s="1086"/>
      <c r="K899" s="1086"/>
      <c r="L899" s="1086"/>
      <c r="M899" s="1086"/>
      <c r="N899" s="1086"/>
      <c r="O899" s="1086"/>
      <c r="P899" s="1086"/>
      <c r="Q899" s="1086"/>
      <c r="R899" s="1086"/>
      <c r="S899" s="1086"/>
      <c r="T899" s="1086"/>
      <c r="U899" s="1086"/>
      <c r="V899" s="1086"/>
      <c r="W899" s="1086"/>
      <c r="X899" s="1086"/>
      <c r="Y899" s="1086"/>
      <c r="Z899" s="1086"/>
      <c r="AA899" s="1086"/>
      <c r="AB899" s="1086"/>
    </row>
    <row r="900">
      <c r="A900" s="1100"/>
      <c r="B900" s="1086"/>
      <c r="C900" s="1086"/>
      <c r="D900" s="1086"/>
      <c r="E900" s="1086"/>
      <c r="F900" s="1086"/>
      <c r="G900" s="1086"/>
      <c r="H900" s="1086"/>
      <c r="I900" s="1086"/>
      <c r="J900" s="1086"/>
      <c r="K900" s="1086"/>
      <c r="L900" s="1086"/>
      <c r="M900" s="1086"/>
      <c r="N900" s="1086"/>
      <c r="O900" s="1086"/>
      <c r="P900" s="1086"/>
      <c r="Q900" s="1086"/>
      <c r="R900" s="1086"/>
      <c r="S900" s="1086"/>
      <c r="T900" s="1086"/>
      <c r="U900" s="1086"/>
      <c r="V900" s="1086"/>
      <c r="W900" s="1086"/>
      <c r="X900" s="1086"/>
      <c r="Y900" s="1086"/>
      <c r="Z900" s="1086"/>
      <c r="AA900" s="1086"/>
      <c r="AB900" s="1086"/>
    </row>
    <row r="901">
      <c r="A901" s="1100"/>
      <c r="B901" s="1086"/>
      <c r="C901" s="1086"/>
      <c r="D901" s="1086"/>
      <c r="E901" s="1086"/>
      <c r="F901" s="1086"/>
      <c r="G901" s="1086"/>
      <c r="H901" s="1086"/>
      <c r="I901" s="1086"/>
      <c r="J901" s="1086"/>
      <c r="K901" s="1086"/>
      <c r="L901" s="1086"/>
      <c r="M901" s="1086"/>
      <c r="N901" s="1086"/>
      <c r="O901" s="1086"/>
      <c r="P901" s="1086"/>
      <c r="Q901" s="1086"/>
      <c r="R901" s="1086"/>
      <c r="S901" s="1086"/>
      <c r="T901" s="1086"/>
      <c r="U901" s="1086"/>
      <c r="V901" s="1086"/>
      <c r="W901" s="1086"/>
      <c r="X901" s="1086"/>
      <c r="Y901" s="1086"/>
      <c r="Z901" s="1086"/>
      <c r="AA901" s="1086"/>
      <c r="AB901" s="1086"/>
    </row>
    <row r="902">
      <c r="A902" s="1100"/>
      <c r="B902" s="1086"/>
      <c r="C902" s="1086"/>
      <c r="D902" s="1086"/>
      <c r="E902" s="1086"/>
      <c r="F902" s="1086"/>
      <c r="G902" s="1086"/>
      <c r="H902" s="1086"/>
      <c r="I902" s="1086"/>
      <c r="J902" s="1086"/>
      <c r="K902" s="1086"/>
      <c r="L902" s="1086"/>
      <c r="M902" s="1086"/>
      <c r="N902" s="1086"/>
      <c r="O902" s="1086"/>
      <c r="P902" s="1086"/>
      <c r="Q902" s="1086"/>
      <c r="R902" s="1086"/>
      <c r="S902" s="1086"/>
      <c r="T902" s="1086"/>
      <c r="U902" s="1086"/>
      <c r="V902" s="1086"/>
      <c r="W902" s="1086"/>
      <c r="X902" s="1086"/>
      <c r="Y902" s="1086"/>
      <c r="Z902" s="1086"/>
      <c r="AA902" s="1086"/>
      <c r="AB902" s="1086"/>
    </row>
    <row r="903">
      <c r="A903" s="1100"/>
      <c r="B903" s="1086"/>
      <c r="C903" s="1086"/>
      <c r="D903" s="1086"/>
      <c r="E903" s="1086"/>
      <c r="F903" s="1086"/>
      <c r="G903" s="1086"/>
      <c r="H903" s="1086"/>
      <c r="I903" s="1086"/>
      <c r="J903" s="1086"/>
      <c r="K903" s="1086"/>
      <c r="L903" s="1086"/>
      <c r="M903" s="1086"/>
      <c r="N903" s="1086"/>
      <c r="O903" s="1086"/>
      <c r="P903" s="1086"/>
      <c r="Q903" s="1086"/>
      <c r="R903" s="1086"/>
      <c r="S903" s="1086"/>
      <c r="T903" s="1086"/>
      <c r="U903" s="1086"/>
      <c r="V903" s="1086"/>
      <c r="W903" s="1086"/>
      <c r="X903" s="1086"/>
      <c r="Y903" s="1086"/>
      <c r="Z903" s="1086"/>
      <c r="AA903" s="1086"/>
      <c r="AB903" s="1086"/>
    </row>
    <row r="904">
      <c r="A904" s="1100"/>
      <c r="B904" s="1086"/>
      <c r="C904" s="1086"/>
      <c r="D904" s="1086"/>
      <c r="E904" s="1086"/>
      <c r="F904" s="1086"/>
      <c r="G904" s="1086"/>
      <c r="H904" s="1086"/>
      <c r="I904" s="1086"/>
      <c r="J904" s="1086"/>
      <c r="K904" s="1086"/>
      <c r="L904" s="1086"/>
      <c r="M904" s="1086"/>
      <c r="N904" s="1086"/>
      <c r="O904" s="1086"/>
      <c r="P904" s="1086"/>
      <c r="Q904" s="1086"/>
      <c r="R904" s="1086"/>
      <c r="S904" s="1086"/>
      <c r="T904" s="1086"/>
      <c r="U904" s="1086"/>
      <c r="V904" s="1086"/>
      <c r="W904" s="1086"/>
      <c r="X904" s="1086"/>
      <c r="Y904" s="1086"/>
      <c r="Z904" s="1086"/>
      <c r="AA904" s="1086"/>
      <c r="AB904" s="1086"/>
    </row>
    <row r="905">
      <c r="A905" s="1100"/>
      <c r="B905" s="1086"/>
      <c r="C905" s="1086"/>
      <c r="D905" s="1086"/>
      <c r="E905" s="1086"/>
      <c r="F905" s="1086"/>
      <c r="G905" s="1086"/>
      <c r="H905" s="1086"/>
      <c r="I905" s="1086"/>
      <c r="J905" s="1086"/>
      <c r="K905" s="1086"/>
      <c r="L905" s="1086"/>
      <c r="M905" s="1086"/>
      <c r="N905" s="1086"/>
      <c r="O905" s="1086"/>
      <c r="P905" s="1086"/>
      <c r="Q905" s="1086"/>
      <c r="R905" s="1086"/>
      <c r="S905" s="1086"/>
      <c r="T905" s="1086"/>
      <c r="U905" s="1086"/>
      <c r="V905" s="1086"/>
      <c r="W905" s="1086"/>
      <c r="X905" s="1086"/>
      <c r="Y905" s="1086"/>
      <c r="Z905" s="1086"/>
      <c r="AA905" s="1086"/>
      <c r="AB905" s="1086"/>
    </row>
    <row r="906">
      <c r="A906" s="1100"/>
      <c r="B906" s="1086"/>
      <c r="C906" s="1086"/>
      <c r="D906" s="1086"/>
      <c r="E906" s="1086"/>
      <c r="F906" s="1086"/>
      <c r="G906" s="1086"/>
      <c r="H906" s="1086"/>
      <c r="I906" s="1086"/>
      <c r="J906" s="1086"/>
      <c r="K906" s="1086"/>
      <c r="L906" s="1086"/>
      <c r="M906" s="1086"/>
      <c r="N906" s="1086"/>
      <c r="O906" s="1086"/>
      <c r="P906" s="1086"/>
      <c r="Q906" s="1086"/>
      <c r="R906" s="1086"/>
      <c r="S906" s="1086"/>
      <c r="T906" s="1086"/>
      <c r="U906" s="1086"/>
      <c r="V906" s="1086"/>
      <c r="W906" s="1086"/>
      <c r="X906" s="1086"/>
      <c r="Y906" s="1086"/>
      <c r="Z906" s="1086"/>
      <c r="AA906" s="1086"/>
      <c r="AB906" s="1086"/>
    </row>
    <row r="907">
      <c r="A907" s="1100"/>
      <c r="B907" s="1086"/>
      <c r="C907" s="1086"/>
      <c r="D907" s="1086"/>
      <c r="E907" s="1086"/>
      <c r="F907" s="1086"/>
      <c r="G907" s="1086"/>
      <c r="H907" s="1086"/>
      <c r="I907" s="1086"/>
      <c r="J907" s="1086"/>
      <c r="K907" s="1086"/>
      <c r="L907" s="1086"/>
      <c r="M907" s="1086"/>
      <c r="N907" s="1086"/>
      <c r="O907" s="1086"/>
      <c r="P907" s="1086"/>
      <c r="Q907" s="1086"/>
      <c r="R907" s="1086"/>
      <c r="S907" s="1086"/>
      <c r="T907" s="1086"/>
      <c r="U907" s="1086"/>
      <c r="V907" s="1086"/>
      <c r="W907" s="1086"/>
      <c r="X907" s="1086"/>
      <c r="Y907" s="1086"/>
      <c r="Z907" s="1086"/>
      <c r="AA907" s="1086"/>
      <c r="AB907" s="1086"/>
    </row>
    <row r="908">
      <c r="A908" s="1100"/>
      <c r="B908" s="1086"/>
      <c r="C908" s="1086"/>
      <c r="D908" s="1086"/>
      <c r="E908" s="1086"/>
      <c r="F908" s="1086"/>
      <c r="G908" s="1086"/>
      <c r="H908" s="1086"/>
      <c r="I908" s="1086"/>
      <c r="J908" s="1086"/>
      <c r="K908" s="1086"/>
      <c r="L908" s="1086"/>
      <c r="M908" s="1086"/>
      <c r="N908" s="1086"/>
      <c r="O908" s="1086"/>
      <c r="P908" s="1086"/>
      <c r="Q908" s="1086"/>
      <c r="R908" s="1086"/>
      <c r="S908" s="1086"/>
      <c r="T908" s="1086"/>
      <c r="U908" s="1086"/>
      <c r="V908" s="1086"/>
      <c r="W908" s="1086"/>
      <c r="X908" s="1086"/>
      <c r="Y908" s="1086"/>
      <c r="Z908" s="1086"/>
      <c r="AA908" s="1086"/>
      <c r="AB908" s="1086"/>
    </row>
    <row r="909">
      <c r="A909" s="1100"/>
      <c r="B909" s="1086"/>
      <c r="C909" s="1086"/>
      <c r="D909" s="1086"/>
      <c r="E909" s="1086"/>
      <c r="F909" s="1086"/>
      <c r="G909" s="1086"/>
      <c r="H909" s="1086"/>
      <c r="I909" s="1086"/>
      <c r="J909" s="1086"/>
      <c r="K909" s="1086"/>
      <c r="L909" s="1086"/>
      <c r="M909" s="1086"/>
      <c r="N909" s="1086"/>
      <c r="O909" s="1086"/>
      <c r="P909" s="1086"/>
      <c r="Q909" s="1086"/>
      <c r="R909" s="1086"/>
      <c r="S909" s="1086"/>
      <c r="T909" s="1086"/>
      <c r="U909" s="1086"/>
      <c r="V909" s="1086"/>
      <c r="W909" s="1086"/>
      <c r="X909" s="1086"/>
      <c r="Y909" s="1086"/>
      <c r="Z909" s="1086"/>
      <c r="AA909" s="1086"/>
      <c r="AB909" s="1086"/>
    </row>
    <row r="910">
      <c r="A910" s="1100"/>
      <c r="B910" s="1086"/>
      <c r="C910" s="1086"/>
      <c r="D910" s="1086"/>
      <c r="E910" s="1086"/>
      <c r="F910" s="1086"/>
      <c r="G910" s="1086"/>
      <c r="H910" s="1086"/>
      <c r="I910" s="1086"/>
      <c r="J910" s="1086"/>
      <c r="K910" s="1086"/>
      <c r="L910" s="1086"/>
      <c r="M910" s="1086"/>
      <c r="N910" s="1086"/>
      <c r="O910" s="1086"/>
      <c r="P910" s="1086"/>
      <c r="Q910" s="1086"/>
      <c r="R910" s="1086"/>
      <c r="S910" s="1086"/>
      <c r="T910" s="1086"/>
      <c r="U910" s="1086"/>
      <c r="V910" s="1086"/>
      <c r="W910" s="1086"/>
      <c r="X910" s="1086"/>
      <c r="Y910" s="1086"/>
      <c r="Z910" s="1086"/>
      <c r="AA910" s="1086"/>
      <c r="AB910" s="1086"/>
    </row>
    <row r="911">
      <c r="A911" s="1100"/>
      <c r="B911" s="1086"/>
      <c r="C911" s="1086"/>
      <c r="D911" s="1086"/>
      <c r="E911" s="1086"/>
      <c r="F911" s="1086"/>
      <c r="G911" s="1086"/>
      <c r="H911" s="1086"/>
      <c r="I911" s="1086"/>
      <c r="J911" s="1086"/>
      <c r="K911" s="1086"/>
      <c r="L911" s="1086"/>
      <c r="M911" s="1086"/>
      <c r="N911" s="1086"/>
      <c r="O911" s="1086"/>
      <c r="P911" s="1086"/>
      <c r="Q911" s="1086"/>
      <c r="R911" s="1086"/>
      <c r="S911" s="1086"/>
      <c r="T911" s="1086"/>
      <c r="U911" s="1086"/>
      <c r="V911" s="1086"/>
      <c r="W911" s="1086"/>
      <c r="X911" s="1086"/>
      <c r="Y911" s="1086"/>
      <c r="Z911" s="1086"/>
      <c r="AA911" s="1086"/>
      <c r="AB911" s="1086"/>
    </row>
    <row r="912">
      <c r="A912" s="1100"/>
      <c r="B912" s="1086"/>
      <c r="C912" s="1086"/>
      <c r="D912" s="1086"/>
      <c r="E912" s="1086"/>
      <c r="F912" s="1086"/>
      <c r="G912" s="1086"/>
      <c r="H912" s="1086"/>
      <c r="I912" s="1086"/>
      <c r="J912" s="1086"/>
      <c r="K912" s="1086"/>
      <c r="L912" s="1086"/>
      <c r="M912" s="1086"/>
      <c r="N912" s="1086"/>
      <c r="O912" s="1086"/>
      <c r="P912" s="1086"/>
      <c r="Q912" s="1086"/>
      <c r="R912" s="1086"/>
      <c r="S912" s="1086"/>
      <c r="T912" s="1086"/>
      <c r="U912" s="1086"/>
      <c r="V912" s="1086"/>
      <c r="W912" s="1086"/>
      <c r="X912" s="1086"/>
      <c r="Y912" s="1086"/>
      <c r="Z912" s="1086"/>
      <c r="AA912" s="1086"/>
      <c r="AB912" s="1086"/>
    </row>
    <row r="913">
      <c r="A913" s="1100"/>
      <c r="B913" s="1086"/>
      <c r="C913" s="1086"/>
      <c r="D913" s="1086"/>
      <c r="E913" s="1086"/>
      <c r="F913" s="1086"/>
      <c r="G913" s="1086"/>
      <c r="H913" s="1086"/>
      <c r="I913" s="1086"/>
      <c r="J913" s="1086"/>
      <c r="K913" s="1086"/>
      <c r="L913" s="1086"/>
      <c r="M913" s="1086"/>
      <c r="N913" s="1086"/>
      <c r="O913" s="1086"/>
      <c r="P913" s="1086"/>
      <c r="Q913" s="1086"/>
      <c r="R913" s="1086"/>
      <c r="S913" s="1086"/>
      <c r="T913" s="1086"/>
      <c r="U913" s="1086"/>
      <c r="V913" s="1086"/>
      <c r="W913" s="1086"/>
      <c r="X913" s="1086"/>
      <c r="Y913" s="1086"/>
      <c r="Z913" s="1086"/>
      <c r="AA913" s="1086"/>
      <c r="AB913" s="1086"/>
    </row>
    <row r="914">
      <c r="A914" s="1100"/>
      <c r="B914" s="1086"/>
      <c r="C914" s="1086"/>
      <c r="D914" s="1086"/>
      <c r="E914" s="1086"/>
      <c r="F914" s="1086"/>
      <c r="G914" s="1086"/>
      <c r="H914" s="1086"/>
      <c r="I914" s="1086"/>
      <c r="J914" s="1086"/>
      <c r="K914" s="1086"/>
      <c r="L914" s="1086"/>
      <c r="M914" s="1086"/>
      <c r="N914" s="1086"/>
      <c r="O914" s="1086"/>
      <c r="P914" s="1086"/>
      <c r="Q914" s="1086"/>
      <c r="R914" s="1086"/>
      <c r="S914" s="1086"/>
      <c r="T914" s="1086"/>
      <c r="U914" s="1086"/>
      <c r="V914" s="1086"/>
      <c r="W914" s="1086"/>
      <c r="X914" s="1086"/>
      <c r="Y914" s="1086"/>
      <c r="Z914" s="1086"/>
      <c r="AA914" s="1086"/>
      <c r="AB914" s="1086"/>
    </row>
    <row r="915">
      <c r="A915" s="1100"/>
      <c r="B915" s="1086"/>
      <c r="C915" s="1086"/>
      <c r="D915" s="1086"/>
      <c r="E915" s="1086"/>
      <c r="F915" s="1086"/>
      <c r="G915" s="1086"/>
      <c r="H915" s="1086"/>
      <c r="I915" s="1086"/>
      <c r="J915" s="1086"/>
      <c r="K915" s="1086"/>
      <c r="L915" s="1086"/>
      <c r="M915" s="1086"/>
      <c r="N915" s="1086"/>
      <c r="O915" s="1086"/>
      <c r="P915" s="1086"/>
      <c r="Q915" s="1086"/>
      <c r="R915" s="1086"/>
      <c r="S915" s="1086"/>
      <c r="T915" s="1086"/>
      <c r="U915" s="1086"/>
      <c r="V915" s="1086"/>
      <c r="W915" s="1086"/>
      <c r="X915" s="1086"/>
      <c r="Y915" s="1086"/>
      <c r="Z915" s="1086"/>
      <c r="AA915" s="1086"/>
      <c r="AB915" s="1086"/>
    </row>
    <row r="916">
      <c r="A916" s="1100"/>
      <c r="B916" s="1086"/>
      <c r="C916" s="1086"/>
      <c r="D916" s="1086"/>
      <c r="E916" s="1086"/>
      <c r="F916" s="1086"/>
      <c r="G916" s="1086"/>
      <c r="H916" s="1086"/>
      <c r="I916" s="1086"/>
      <c r="J916" s="1086"/>
      <c r="K916" s="1086"/>
      <c r="L916" s="1086"/>
      <c r="M916" s="1086"/>
      <c r="N916" s="1086"/>
      <c r="O916" s="1086"/>
      <c r="P916" s="1086"/>
      <c r="Q916" s="1086"/>
      <c r="R916" s="1086"/>
      <c r="S916" s="1086"/>
      <c r="T916" s="1086"/>
      <c r="U916" s="1086"/>
      <c r="V916" s="1086"/>
      <c r="W916" s="1086"/>
      <c r="X916" s="1086"/>
      <c r="Y916" s="1086"/>
      <c r="Z916" s="1086"/>
      <c r="AA916" s="1086"/>
      <c r="AB916" s="1086"/>
    </row>
    <row r="917">
      <c r="A917" s="1100"/>
      <c r="B917" s="1086"/>
      <c r="C917" s="1086"/>
      <c r="D917" s="1086"/>
      <c r="E917" s="1086"/>
      <c r="F917" s="1086"/>
      <c r="G917" s="1086"/>
      <c r="H917" s="1086"/>
      <c r="I917" s="1086"/>
      <c r="J917" s="1086"/>
      <c r="K917" s="1086"/>
      <c r="L917" s="1086"/>
      <c r="M917" s="1086"/>
      <c r="N917" s="1086"/>
      <c r="O917" s="1086"/>
      <c r="P917" s="1086"/>
      <c r="Q917" s="1086"/>
      <c r="R917" s="1086"/>
      <c r="S917" s="1086"/>
      <c r="T917" s="1086"/>
      <c r="U917" s="1086"/>
      <c r="V917" s="1086"/>
      <c r="W917" s="1086"/>
      <c r="X917" s="1086"/>
      <c r="Y917" s="1086"/>
      <c r="Z917" s="1086"/>
      <c r="AA917" s="1086"/>
      <c r="AB917" s="1086"/>
    </row>
    <row r="918">
      <c r="A918" s="1100"/>
      <c r="B918" s="1086"/>
      <c r="C918" s="1086"/>
      <c r="D918" s="1086"/>
      <c r="E918" s="1086"/>
      <c r="F918" s="1086"/>
      <c r="G918" s="1086"/>
      <c r="H918" s="1086"/>
      <c r="I918" s="1086"/>
      <c r="J918" s="1086"/>
      <c r="K918" s="1086"/>
      <c r="L918" s="1086"/>
      <c r="M918" s="1086"/>
      <c r="N918" s="1086"/>
      <c r="O918" s="1086"/>
      <c r="P918" s="1086"/>
      <c r="Q918" s="1086"/>
      <c r="R918" s="1086"/>
      <c r="S918" s="1086"/>
      <c r="T918" s="1086"/>
      <c r="U918" s="1086"/>
      <c r="V918" s="1086"/>
      <c r="W918" s="1086"/>
      <c r="X918" s="1086"/>
      <c r="Y918" s="1086"/>
      <c r="Z918" s="1086"/>
      <c r="AA918" s="1086"/>
      <c r="AB918" s="1086"/>
    </row>
    <row r="919">
      <c r="A919" s="1100"/>
      <c r="B919" s="1086"/>
      <c r="C919" s="1086"/>
      <c r="D919" s="1086"/>
      <c r="E919" s="1086"/>
      <c r="F919" s="1086"/>
      <c r="G919" s="1086"/>
      <c r="H919" s="1086"/>
      <c r="I919" s="1086"/>
      <c r="J919" s="1086"/>
      <c r="K919" s="1086"/>
      <c r="L919" s="1086"/>
      <c r="M919" s="1086"/>
      <c r="N919" s="1086"/>
      <c r="O919" s="1086"/>
      <c r="P919" s="1086"/>
      <c r="Q919" s="1086"/>
      <c r="R919" s="1086"/>
      <c r="S919" s="1086"/>
      <c r="T919" s="1086"/>
      <c r="U919" s="1086"/>
      <c r="V919" s="1086"/>
      <c r="W919" s="1086"/>
      <c r="X919" s="1086"/>
      <c r="Y919" s="1086"/>
      <c r="Z919" s="1086"/>
      <c r="AA919" s="1086"/>
      <c r="AB919" s="1086"/>
    </row>
    <row r="920">
      <c r="A920" s="1100"/>
      <c r="B920" s="1086"/>
      <c r="C920" s="1086"/>
      <c r="D920" s="1086"/>
      <c r="E920" s="1086"/>
      <c r="F920" s="1086"/>
      <c r="G920" s="1086"/>
      <c r="H920" s="1086"/>
      <c r="I920" s="1086"/>
      <c r="J920" s="1086"/>
      <c r="K920" s="1086"/>
      <c r="L920" s="1086"/>
      <c r="M920" s="1086"/>
      <c r="N920" s="1086"/>
      <c r="O920" s="1086"/>
      <c r="P920" s="1086"/>
      <c r="Q920" s="1086"/>
      <c r="R920" s="1086"/>
      <c r="S920" s="1086"/>
      <c r="T920" s="1086"/>
      <c r="U920" s="1086"/>
      <c r="V920" s="1086"/>
      <c r="W920" s="1086"/>
      <c r="X920" s="1086"/>
      <c r="Y920" s="1086"/>
      <c r="Z920" s="1086"/>
      <c r="AA920" s="1086"/>
      <c r="AB920" s="1086"/>
    </row>
    <row r="921">
      <c r="A921" s="1100"/>
      <c r="B921" s="1086"/>
      <c r="C921" s="1086"/>
      <c r="D921" s="1086"/>
      <c r="E921" s="1086"/>
      <c r="F921" s="1086"/>
      <c r="G921" s="1086"/>
      <c r="H921" s="1086"/>
      <c r="I921" s="1086"/>
      <c r="J921" s="1086"/>
      <c r="K921" s="1086"/>
      <c r="L921" s="1086"/>
      <c r="M921" s="1086"/>
      <c r="N921" s="1086"/>
      <c r="O921" s="1086"/>
      <c r="P921" s="1086"/>
      <c r="Q921" s="1086"/>
      <c r="R921" s="1086"/>
      <c r="S921" s="1086"/>
      <c r="T921" s="1086"/>
      <c r="U921" s="1086"/>
      <c r="V921" s="1086"/>
      <c r="W921" s="1086"/>
      <c r="X921" s="1086"/>
      <c r="Y921" s="1086"/>
      <c r="Z921" s="1086"/>
      <c r="AA921" s="1086"/>
      <c r="AB921" s="1086"/>
    </row>
    <row r="922">
      <c r="A922" s="1100"/>
      <c r="B922" s="1086"/>
      <c r="C922" s="1086"/>
      <c r="D922" s="1086"/>
      <c r="E922" s="1086"/>
      <c r="F922" s="1086"/>
      <c r="G922" s="1086"/>
      <c r="H922" s="1086"/>
      <c r="I922" s="1086"/>
      <c r="J922" s="1086"/>
      <c r="K922" s="1086"/>
      <c r="L922" s="1086"/>
      <c r="M922" s="1086"/>
      <c r="N922" s="1086"/>
      <c r="O922" s="1086"/>
      <c r="P922" s="1086"/>
      <c r="Q922" s="1086"/>
      <c r="R922" s="1086"/>
      <c r="S922" s="1086"/>
      <c r="T922" s="1086"/>
      <c r="U922" s="1086"/>
      <c r="V922" s="1086"/>
      <c r="W922" s="1086"/>
      <c r="X922" s="1086"/>
      <c r="Y922" s="1086"/>
      <c r="Z922" s="1086"/>
      <c r="AA922" s="1086"/>
      <c r="AB922" s="1086"/>
    </row>
    <row r="923">
      <c r="A923" s="1100"/>
      <c r="B923" s="1086"/>
      <c r="C923" s="1086"/>
      <c r="D923" s="1086"/>
      <c r="E923" s="1086"/>
      <c r="F923" s="1086"/>
      <c r="G923" s="1086"/>
      <c r="H923" s="1086"/>
      <c r="I923" s="1086"/>
      <c r="J923" s="1086"/>
      <c r="K923" s="1086"/>
      <c r="L923" s="1086"/>
      <c r="M923" s="1086"/>
      <c r="N923" s="1086"/>
      <c r="O923" s="1086"/>
      <c r="P923" s="1086"/>
      <c r="Q923" s="1086"/>
      <c r="R923" s="1086"/>
      <c r="S923" s="1086"/>
      <c r="T923" s="1086"/>
      <c r="U923" s="1086"/>
      <c r="V923" s="1086"/>
      <c r="W923" s="1086"/>
      <c r="X923" s="1086"/>
      <c r="Y923" s="1086"/>
      <c r="Z923" s="1086"/>
      <c r="AA923" s="1086"/>
      <c r="AB923" s="1086"/>
    </row>
    <row r="924">
      <c r="A924" s="1100"/>
      <c r="B924" s="1086"/>
      <c r="C924" s="1086"/>
      <c r="D924" s="1086"/>
      <c r="E924" s="1086"/>
      <c r="F924" s="1086"/>
      <c r="G924" s="1086"/>
      <c r="H924" s="1086"/>
      <c r="I924" s="1086"/>
      <c r="J924" s="1086"/>
      <c r="K924" s="1086"/>
      <c r="L924" s="1086"/>
      <c r="M924" s="1086"/>
      <c r="N924" s="1086"/>
      <c r="O924" s="1086"/>
      <c r="P924" s="1086"/>
      <c r="Q924" s="1086"/>
      <c r="R924" s="1086"/>
      <c r="S924" s="1086"/>
      <c r="T924" s="1086"/>
      <c r="U924" s="1086"/>
      <c r="V924" s="1086"/>
      <c r="W924" s="1086"/>
      <c r="X924" s="1086"/>
      <c r="Y924" s="1086"/>
      <c r="Z924" s="1086"/>
      <c r="AA924" s="1086"/>
      <c r="AB924" s="1086"/>
    </row>
    <row r="925">
      <c r="A925" s="1100"/>
      <c r="B925" s="1086"/>
      <c r="C925" s="1086"/>
      <c r="D925" s="1086"/>
      <c r="E925" s="1086"/>
      <c r="F925" s="1086"/>
      <c r="G925" s="1086"/>
      <c r="H925" s="1086"/>
      <c r="I925" s="1086"/>
      <c r="J925" s="1086"/>
      <c r="K925" s="1086"/>
      <c r="L925" s="1086"/>
      <c r="M925" s="1086"/>
      <c r="N925" s="1086"/>
      <c r="O925" s="1086"/>
      <c r="P925" s="1086"/>
      <c r="Q925" s="1086"/>
      <c r="R925" s="1086"/>
      <c r="S925" s="1086"/>
      <c r="T925" s="1086"/>
      <c r="U925" s="1086"/>
      <c r="V925" s="1086"/>
      <c r="W925" s="1086"/>
      <c r="X925" s="1086"/>
      <c r="Y925" s="1086"/>
      <c r="Z925" s="1086"/>
      <c r="AA925" s="1086"/>
      <c r="AB925" s="1086"/>
    </row>
    <row r="926">
      <c r="A926" s="1100"/>
      <c r="B926" s="1086"/>
      <c r="C926" s="1086"/>
      <c r="D926" s="1086"/>
      <c r="E926" s="1086"/>
      <c r="F926" s="1086"/>
      <c r="G926" s="1086"/>
      <c r="H926" s="1086"/>
      <c r="I926" s="1086"/>
      <c r="J926" s="1086"/>
      <c r="K926" s="1086"/>
      <c r="L926" s="1086"/>
      <c r="M926" s="1086"/>
      <c r="N926" s="1086"/>
      <c r="O926" s="1086"/>
      <c r="P926" s="1086"/>
      <c r="Q926" s="1086"/>
      <c r="R926" s="1086"/>
      <c r="S926" s="1086"/>
      <c r="T926" s="1086"/>
      <c r="U926" s="1086"/>
      <c r="V926" s="1086"/>
      <c r="W926" s="1086"/>
      <c r="X926" s="1086"/>
      <c r="Y926" s="1086"/>
      <c r="Z926" s="1086"/>
      <c r="AA926" s="1086"/>
      <c r="AB926" s="1086"/>
    </row>
    <row r="927">
      <c r="A927" s="1100"/>
      <c r="B927" s="1086"/>
      <c r="C927" s="1086"/>
      <c r="D927" s="1086"/>
      <c r="E927" s="1086"/>
      <c r="F927" s="1086"/>
      <c r="G927" s="1086"/>
      <c r="H927" s="1086"/>
      <c r="I927" s="1086"/>
      <c r="J927" s="1086"/>
      <c r="K927" s="1086"/>
      <c r="L927" s="1086"/>
      <c r="M927" s="1086"/>
      <c r="N927" s="1086"/>
      <c r="O927" s="1086"/>
      <c r="P927" s="1086"/>
      <c r="Q927" s="1086"/>
      <c r="R927" s="1086"/>
      <c r="S927" s="1086"/>
      <c r="T927" s="1086"/>
      <c r="U927" s="1086"/>
      <c r="V927" s="1086"/>
      <c r="W927" s="1086"/>
      <c r="X927" s="1086"/>
      <c r="Y927" s="1086"/>
      <c r="Z927" s="1086"/>
      <c r="AA927" s="1086"/>
      <c r="AB927" s="1086"/>
    </row>
    <row r="928">
      <c r="A928" s="1100"/>
      <c r="B928" s="1086"/>
      <c r="C928" s="1086"/>
      <c r="D928" s="1086"/>
      <c r="E928" s="1086"/>
      <c r="F928" s="1086"/>
      <c r="G928" s="1086"/>
      <c r="H928" s="1086"/>
      <c r="I928" s="1086"/>
      <c r="J928" s="1086"/>
      <c r="K928" s="1086"/>
      <c r="L928" s="1086"/>
      <c r="M928" s="1086"/>
      <c r="N928" s="1086"/>
      <c r="O928" s="1086"/>
      <c r="P928" s="1086"/>
      <c r="Q928" s="1086"/>
      <c r="R928" s="1086"/>
      <c r="S928" s="1086"/>
      <c r="T928" s="1086"/>
      <c r="U928" s="1086"/>
      <c r="V928" s="1086"/>
      <c r="W928" s="1086"/>
      <c r="X928" s="1086"/>
      <c r="Y928" s="1086"/>
      <c r="Z928" s="1086"/>
      <c r="AA928" s="1086"/>
      <c r="AB928" s="1086"/>
    </row>
    <row r="929">
      <c r="A929" s="1100"/>
      <c r="B929" s="1086"/>
      <c r="C929" s="1086"/>
      <c r="D929" s="1086"/>
      <c r="E929" s="1086"/>
      <c r="F929" s="1086"/>
      <c r="G929" s="1086"/>
      <c r="H929" s="1086"/>
      <c r="I929" s="1086"/>
      <c r="J929" s="1086"/>
      <c r="K929" s="1086"/>
      <c r="L929" s="1086"/>
      <c r="M929" s="1086"/>
      <c r="N929" s="1086"/>
      <c r="O929" s="1086"/>
      <c r="P929" s="1086"/>
      <c r="Q929" s="1086"/>
      <c r="R929" s="1086"/>
      <c r="S929" s="1086"/>
      <c r="T929" s="1086"/>
      <c r="U929" s="1086"/>
      <c r="V929" s="1086"/>
      <c r="W929" s="1086"/>
      <c r="X929" s="1086"/>
      <c r="Y929" s="1086"/>
      <c r="Z929" s="1086"/>
      <c r="AA929" s="1086"/>
      <c r="AB929" s="1086"/>
    </row>
    <row r="930">
      <c r="A930" s="1100"/>
      <c r="B930" s="1086"/>
      <c r="C930" s="1086"/>
      <c r="D930" s="1086"/>
      <c r="E930" s="1086"/>
      <c r="F930" s="1086"/>
      <c r="G930" s="1086"/>
      <c r="H930" s="1086"/>
      <c r="I930" s="1086"/>
      <c r="J930" s="1086"/>
      <c r="K930" s="1086"/>
      <c r="L930" s="1086"/>
      <c r="M930" s="1086"/>
      <c r="N930" s="1086"/>
      <c r="O930" s="1086"/>
      <c r="P930" s="1086"/>
      <c r="Q930" s="1086"/>
      <c r="R930" s="1086"/>
      <c r="S930" s="1086"/>
      <c r="T930" s="1086"/>
      <c r="U930" s="1086"/>
      <c r="V930" s="1086"/>
      <c r="W930" s="1086"/>
      <c r="X930" s="1086"/>
      <c r="Y930" s="1086"/>
      <c r="Z930" s="1086"/>
      <c r="AA930" s="1086"/>
      <c r="AB930" s="1086"/>
    </row>
    <row r="931">
      <c r="A931" s="1100"/>
      <c r="B931" s="1086"/>
      <c r="C931" s="1086"/>
      <c r="D931" s="1086"/>
      <c r="E931" s="1086"/>
      <c r="F931" s="1086"/>
      <c r="G931" s="1086"/>
      <c r="H931" s="1086"/>
      <c r="I931" s="1086"/>
      <c r="J931" s="1086"/>
      <c r="K931" s="1086"/>
      <c r="L931" s="1086"/>
      <c r="M931" s="1086"/>
      <c r="N931" s="1086"/>
      <c r="O931" s="1086"/>
      <c r="P931" s="1086"/>
      <c r="Q931" s="1086"/>
      <c r="R931" s="1086"/>
      <c r="S931" s="1086"/>
      <c r="T931" s="1086"/>
      <c r="U931" s="1086"/>
      <c r="V931" s="1086"/>
      <c r="W931" s="1086"/>
      <c r="X931" s="1086"/>
      <c r="Y931" s="1086"/>
      <c r="Z931" s="1086"/>
      <c r="AA931" s="1086"/>
      <c r="AB931" s="1086"/>
    </row>
    <row r="932">
      <c r="A932" s="1100"/>
      <c r="B932" s="1086"/>
      <c r="C932" s="1086"/>
      <c r="D932" s="1086"/>
      <c r="E932" s="1086"/>
      <c r="F932" s="1086"/>
      <c r="G932" s="1086"/>
      <c r="H932" s="1086"/>
      <c r="I932" s="1086"/>
      <c r="J932" s="1086"/>
      <c r="K932" s="1086"/>
      <c r="L932" s="1086"/>
      <c r="M932" s="1086"/>
      <c r="N932" s="1086"/>
      <c r="O932" s="1086"/>
      <c r="P932" s="1086"/>
      <c r="Q932" s="1086"/>
      <c r="R932" s="1086"/>
      <c r="S932" s="1086"/>
      <c r="T932" s="1086"/>
      <c r="U932" s="1086"/>
      <c r="V932" s="1086"/>
      <c r="W932" s="1086"/>
      <c r="X932" s="1086"/>
      <c r="Y932" s="1086"/>
      <c r="Z932" s="1086"/>
      <c r="AA932" s="1086"/>
      <c r="AB932" s="1086"/>
    </row>
    <row r="933">
      <c r="A933" s="1100"/>
      <c r="B933" s="1086"/>
      <c r="C933" s="1086"/>
      <c r="D933" s="1086"/>
      <c r="E933" s="1086"/>
      <c r="F933" s="1086"/>
      <c r="G933" s="1086"/>
      <c r="H933" s="1086"/>
      <c r="I933" s="1086"/>
      <c r="J933" s="1086"/>
      <c r="K933" s="1086"/>
      <c r="L933" s="1086"/>
      <c r="M933" s="1086"/>
      <c r="N933" s="1086"/>
      <c r="O933" s="1086"/>
      <c r="P933" s="1086"/>
      <c r="Q933" s="1086"/>
      <c r="R933" s="1086"/>
      <c r="S933" s="1086"/>
      <c r="T933" s="1086"/>
      <c r="U933" s="1086"/>
      <c r="V933" s="1086"/>
      <c r="W933" s="1086"/>
      <c r="X933" s="1086"/>
      <c r="Y933" s="1086"/>
      <c r="Z933" s="1086"/>
      <c r="AA933" s="1086"/>
      <c r="AB933" s="1086"/>
    </row>
    <row r="934">
      <c r="A934" s="1100"/>
      <c r="B934" s="1086"/>
      <c r="C934" s="1086"/>
      <c r="D934" s="1086"/>
      <c r="E934" s="1086"/>
      <c r="F934" s="1086"/>
      <c r="G934" s="1086"/>
      <c r="H934" s="1086"/>
      <c r="I934" s="1086"/>
      <c r="J934" s="1086"/>
      <c r="K934" s="1086"/>
      <c r="L934" s="1086"/>
      <c r="M934" s="1086"/>
      <c r="N934" s="1086"/>
      <c r="O934" s="1086"/>
      <c r="P934" s="1086"/>
      <c r="Q934" s="1086"/>
      <c r="R934" s="1086"/>
      <c r="S934" s="1086"/>
      <c r="T934" s="1086"/>
      <c r="U934" s="1086"/>
      <c r="V934" s="1086"/>
      <c r="W934" s="1086"/>
      <c r="X934" s="1086"/>
      <c r="Y934" s="1086"/>
      <c r="Z934" s="1086"/>
      <c r="AA934" s="1086"/>
      <c r="AB934" s="1086"/>
    </row>
    <row r="935">
      <c r="A935" s="1100"/>
      <c r="B935" s="1086"/>
      <c r="C935" s="1086"/>
      <c r="D935" s="1086"/>
      <c r="E935" s="1086"/>
      <c r="F935" s="1086"/>
      <c r="G935" s="1086"/>
      <c r="H935" s="1086"/>
      <c r="I935" s="1086"/>
      <c r="J935" s="1086"/>
      <c r="K935" s="1086"/>
      <c r="L935" s="1086"/>
      <c r="M935" s="1086"/>
      <c r="N935" s="1086"/>
      <c r="O935" s="1086"/>
      <c r="P935" s="1086"/>
      <c r="Q935" s="1086"/>
      <c r="R935" s="1086"/>
      <c r="S935" s="1086"/>
      <c r="T935" s="1086"/>
      <c r="U935" s="1086"/>
      <c r="V935" s="1086"/>
      <c r="W935" s="1086"/>
      <c r="X935" s="1086"/>
      <c r="Y935" s="1086"/>
      <c r="Z935" s="1086"/>
      <c r="AA935" s="1086"/>
      <c r="AB935" s="1086"/>
    </row>
    <row r="936">
      <c r="A936" s="1100"/>
      <c r="B936" s="1086"/>
      <c r="C936" s="1086"/>
      <c r="D936" s="1086"/>
      <c r="E936" s="1086"/>
      <c r="F936" s="1086"/>
      <c r="G936" s="1086"/>
      <c r="H936" s="1086"/>
      <c r="I936" s="1086"/>
      <c r="J936" s="1086"/>
      <c r="K936" s="1086"/>
      <c r="L936" s="1086"/>
      <c r="M936" s="1086"/>
      <c r="N936" s="1086"/>
      <c r="O936" s="1086"/>
      <c r="P936" s="1086"/>
      <c r="Q936" s="1086"/>
      <c r="R936" s="1086"/>
      <c r="S936" s="1086"/>
      <c r="T936" s="1086"/>
      <c r="U936" s="1086"/>
      <c r="V936" s="1086"/>
      <c r="W936" s="1086"/>
      <c r="X936" s="1086"/>
      <c r="Y936" s="1086"/>
      <c r="Z936" s="1086"/>
      <c r="AA936" s="1086"/>
      <c r="AB936" s="1086"/>
    </row>
    <row r="937">
      <c r="A937" s="1100"/>
      <c r="B937" s="1086"/>
      <c r="C937" s="1086"/>
      <c r="D937" s="1086"/>
      <c r="E937" s="1086"/>
      <c r="F937" s="1086"/>
      <c r="G937" s="1086"/>
      <c r="H937" s="1086"/>
      <c r="I937" s="1086"/>
      <c r="J937" s="1086"/>
      <c r="K937" s="1086"/>
      <c r="L937" s="1086"/>
      <c r="M937" s="1086"/>
      <c r="N937" s="1086"/>
      <c r="O937" s="1086"/>
      <c r="P937" s="1086"/>
      <c r="Q937" s="1086"/>
      <c r="R937" s="1086"/>
      <c r="S937" s="1086"/>
      <c r="T937" s="1086"/>
      <c r="U937" s="1086"/>
      <c r="V937" s="1086"/>
      <c r="W937" s="1086"/>
      <c r="X937" s="1086"/>
      <c r="Y937" s="1086"/>
      <c r="Z937" s="1086"/>
      <c r="AA937" s="1086"/>
      <c r="AB937" s="1086"/>
    </row>
    <row r="938">
      <c r="A938" s="1100"/>
      <c r="B938" s="1086"/>
      <c r="C938" s="1086"/>
      <c r="D938" s="1086"/>
      <c r="E938" s="1086"/>
      <c r="F938" s="1086"/>
      <c r="G938" s="1086"/>
      <c r="H938" s="1086"/>
      <c r="I938" s="1086"/>
      <c r="J938" s="1086"/>
      <c r="K938" s="1086"/>
      <c r="L938" s="1086"/>
      <c r="M938" s="1086"/>
      <c r="N938" s="1086"/>
      <c r="O938" s="1086"/>
      <c r="P938" s="1086"/>
      <c r="Q938" s="1086"/>
      <c r="R938" s="1086"/>
      <c r="S938" s="1086"/>
      <c r="T938" s="1086"/>
      <c r="U938" s="1086"/>
      <c r="V938" s="1086"/>
      <c r="W938" s="1086"/>
      <c r="X938" s="1086"/>
      <c r="Y938" s="1086"/>
      <c r="Z938" s="1086"/>
      <c r="AA938" s="1086"/>
      <c r="AB938" s="1086"/>
    </row>
    <row r="939">
      <c r="A939" s="1100"/>
      <c r="B939" s="1086"/>
      <c r="C939" s="1086"/>
      <c r="D939" s="1086"/>
      <c r="E939" s="1086"/>
      <c r="F939" s="1086"/>
      <c r="G939" s="1086"/>
      <c r="H939" s="1086"/>
      <c r="I939" s="1086"/>
      <c r="J939" s="1086"/>
      <c r="K939" s="1086"/>
      <c r="L939" s="1086"/>
      <c r="M939" s="1086"/>
      <c r="N939" s="1086"/>
      <c r="O939" s="1086"/>
      <c r="P939" s="1086"/>
      <c r="Q939" s="1086"/>
      <c r="R939" s="1086"/>
      <c r="S939" s="1086"/>
      <c r="T939" s="1086"/>
      <c r="U939" s="1086"/>
      <c r="V939" s="1086"/>
      <c r="W939" s="1086"/>
      <c r="X939" s="1086"/>
      <c r="Y939" s="1086"/>
      <c r="Z939" s="1086"/>
      <c r="AA939" s="1086"/>
      <c r="AB939" s="1086"/>
    </row>
    <row r="940">
      <c r="A940" s="1100"/>
      <c r="B940" s="1086"/>
      <c r="C940" s="1086"/>
      <c r="D940" s="1086"/>
      <c r="E940" s="1086"/>
      <c r="F940" s="1086"/>
      <c r="G940" s="1086"/>
      <c r="H940" s="1086"/>
      <c r="I940" s="1086"/>
      <c r="J940" s="1086"/>
      <c r="K940" s="1086"/>
      <c r="L940" s="1086"/>
      <c r="M940" s="1086"/>
      <c r="N940" s="1086"/>
      <c r="O940" s="1086"/>
      <c r="P940" s="1086"/>
      <c r="Q940" s="1086"/>
      <c r="R940" s="1086"/>
      <c r="S940" s="1086"/>
      <c r="T940" s="1086"/>
      <c r="U940" s="1086"/>
      <c r="V940" s="1086"/>
      <c r="W940" s="1086"/>
      <c r="X940" s="1086"/>
      <c r="Y940" s="1086"/>
      <c r="Z940" s="1086"/>
      <c r="AA940" s="1086"/>
      <c r="AB940" s="1086"/>
    </row>
    <row r="941">
      <c r="A941" s="1100"/>
      <c r="B941" s="1086"/>
      <c r="C941" s="1086"/>
      <c r="D941" s="1086"/>
      <c r="E941" s="1086"/>
      <c r="F941" s="1086"/>
      <c r="G941" s="1086"/>
      <c r="H941" s="1086"/>
      <c r="I941" s="1086"/>
      <c r="J941" s="1086"/>
      <c r="K941" s="1086"/>
      <c r="L941" s="1086"/>
      <c r="M941" s="1086"/>
      <c r="N941" s="1086"/>
      <c r="O941" s="1086"/>
      <c r="P941" s="1086"/>
      <c r="Q941" s="1086"/>
      <c r="R941" s="1086"/>
      <c r="S941" s="1086"/>
      <c r="T941" s="1086"/>
      <c r="U941" s="1086"/>
      <c r="V941" s="1086"/>
      <c r="W941" s="1086"/>
      <c r="X941" s="1086"/>
      <c r="Y941" s="1086"/>
      <c r="Z941" s="1086"/>
      <c r="AA941" s="1086"/>
      <c r="AB941" s="1086"/>
    </row>
    <row r="942">
      <c r="A942" s="1100"/>
      <c r="B942" s="1086"/>
      <c r="C942" s="1086"/>
      <c r="D942" s="1086"/>
      <c r="E942" s="1086"/>
      <c r="F942" s="1086"/>
      <c r="G942" s="1086"/>
      <c r="H942" s="1086"/>
      <c r="I942" s="1086"/>
      <c r="J942" s="1086"/>
      <c r="K942" s="1086"/>
      <c r="L942" s="1086"/>
      <c r="M942" s="1086"/>
      <c r="N942" s="1086"/>
      <c r="O942" s="1086"/>
      <c r="P942" s="1086"/>
      <c r="Q942" s="1086"/>
      <c r="R942" s="1086"/>
      <c r="S942" s="1086"/>
      <c r="T942" s="1086"/>
      <c r="U942" s="1086"/>
      <c r="V942" s="1086"/>
      <c r="W942" s="1086"/>
      <c r="X942" s="1086"/>
      <c r="Y942" s="1086"/>
      <c r="Z942" s="1086"/>
      <c r="AA942" s="1086"/>
      <c r="AB942" s="1086"/>
    </row>
    <row r="943">
      <c r="A943" s="1100"/>
      <c r="B943" s="1086"/>
      <c r="C943" s="1086"/>
      <c r="D943" s="1086"/>
      <c r="E943" s="1086"/>
      <c r="F943" s="1086"/>
      <c r="G943" s="1086"/>
      <c r="H943" s="1086"/>
      <c r="I943" s="1086"/>
      <c r="J943" s="1086"/>
      <c r="K943" s="1086"/>
      <c r="L943" s="1086"/>
      <c r="M943" s="1086"/>
      <c r="N943" s="1086"/>
      <c r="O943" s="1086"/>
      <c r="P943" s="1086"/>
      <c r="Q943" s="1086"/>
      <c r="R943" s="1086"/>
      <c r="S943" s="1086"/>
      <c r="T943" s="1086"/>
      <c r="U943" s="1086"/>
      <c r="V943" s="1086"/>
      <c r="W943" s="1086"/>
      <c r="X943" s="1086"/>
      <c r="Y943" s="1086"/>
      <c r="Z943" s="1086"/>
      <c r="AA943" s="1086"/>
      <c r="AB943" s="1086"/>
    </row>
    <row r="944">
      <c r="A944" s="1100"/>
      <c r="B944" s="1086"/>
      <c r="C944" s="1086"/>
      <c r="D944" s="1086"/>
      <c r="E944" s="1086"/>
      <c r="F944" s="1086"/>
      <c r="G944" s="1086"/>
      <c r="H944" s="1086"/>
      <c r="I944" s="1086"/>
      <c r="J944" s="1086"/>
      <c r="K944" s="1086"/>
      <c r="L944" s="1086"/>
      <c r="M944" s="1086"/>
      <c r="N944" s="1086"/>
      <c r="O944" s="1086"/>
      <c r="P944" s="1086"/>
      <c r="Q944" s="1086"/>
      <c r="R944" s="1086"/>
      <c r="S944" s="1086"/>
      <c r="T944" s="1086"/>
      <c r="U944" s="1086"/>
      <c r="V944" s="1086"/>
      <c r="W944" s="1086"/>
      <c r="X944" s="1086"/>
      <c r="Y944" s="1086"/>
      <c r="Z944" s="1086"/>
      <c r="AA944" s="1086"/>
      <c r="AB944" s="1086"/>
    </row>
    <row r="945">
      <c r="A945" s="1100"/>
      <c r="B945" s="1086"/>
      <c r="C945" s="1086"/>
      <c r="D945" s="1086"/>
      <c r="E945" s="1086"/>
      <c r="F945" s="1086"/>
      <c r="G945" s="1086"/>
      <c r="H945" s="1086"/>
      <c r="I945" s="1086"/>
      <c r="J945" s="1086"/>
      <c r="K945" s="1086"/>
      <c r="L945" s="1086"/>
      <c r="M945" s="1086"/>
      <c r="N945" s="1086"/>
      <c r="O945" s="1086"/>
      <c r="P945" s="1086"/>
      <c r="Q945" s="1086"/>
      <c r="R945" s="1086"/>
      <c r="S945" s="1086"/>
      <c r="T945" s="1086"/>
      <c r="U945" s="1086"/>
      <c r="V945" s="1086"/>
      <c r="W945" s="1086"/>
      <c r="X945" s="1086"/>
      <c r="Y945" s="1086"/>
      <c r="Z945" s="1086"/>
      <c r="AA945" s="1086"/>
      <c r="AB945" s="1086"/>
    </row>
    <row r="946">
      <c r="A946" s="1100"/>
      <c r="B946" s="1086"/>
      <c r="C946" s="1086"/>
      <c r="D946" s="1086"/>
      <c r="E946" s="1086"/>
      <c r="F946" s="1086"/>
      <c r="G946" s="1086"/>
      <c r="H946" s="1086"/>
      <c r="I946" s="1086"/>
      <c r="J946" s="1086"/>
      <c r="K946" s="1086"/>
      <c r="L946" s="1086"/>
      <c r="M946" s="1086"/>
      <c r="N946" s="1086"/>
      <c r="O946" s="1086"/>
      <c r="P946" s="1086"/>
      <c r="Q946" s="1086"/>
      <c r="R946" s="1086"/>
      <c r="S946" s="1086"/>
      <c r="T946" s="1086"/>
      <c r="U946" s="1086"/>
      <c r="V946" s="1086"/>
      <c r="W946" s="1086"/>
      <c r="X946" s="1086"/>
      <c r="Y946" s="1086"/>
      <c r="Z946" s="1086"/>
      <c r="AA946" s="1086"/>
      <c r="AB946" s="1086"/>
    </row>
    <row r="947">
      <c r="A947" s="1100"/>
      <c r="B947" s="1086"/>
      <c r="C947" s="1086"/>
      <c r="D947" s="1086"/>
      <c r="E947" s="1086"/>
      <c r="F947" s="1086"/>
      <c r="G947" s="1086"/>
      <c r="H947" s="1086"/>
      <c r="I947" s="1086"/>
      <c r="J947" s="1086"/>
      <c r="K947" s="1086"/>
      <c r="L947" s="1086"/>
      <c r="M947" s="1086"/>
      <c r="N947" s="1086"/>
      <c r="O947" s="1086"/>
      <c r="P947" s="1086"/>
      <c r="Q947" s="1086"/>
      <c r="R947" s="1086"/>
      <c r="S947" s="1086"/>
      <c r="T947" s="1086"/>
      <c r="U947" s="1086"/>
      <c r="V947" s="1086"/>
      <c r="W947" s="1086"/>
      <c r="X947" s="1086"/>
      <c r="Y947" s="1086"/>
      <c r="Z947" s="1086"/>
      <c r="AA947" s="1086"/>
      <c r="AB947" s="1086"/>
    </row>
    <row r="948">
      <c r="A948" s="1100"/>
      <c r="B948" s="1086"/>
      <c r="C948" s="1086"/>
      <c r="D948" s="1086"/>
      <c r="E948" s="1086"/>
      <c r="F948" s="1086"/>
      <c r="G948" s="1086"/>
      <c r="H948" s="1086"/>
      <c r="I948" s="1086"/>
      <c r="J948" s="1086"/>
      <c r="K948" s="1086"/>
      <c r="L948" s="1086"/>
      <c r="M948" s="1086"/>
      <c r="N948" s="1086"/>
      <c r="O948" s="1086"/>
      <c r="P948" s="1086"/>
      <c r="Q948" s="1086"/>
      <c r="R948" s="1086"/>
      <c r="S948" s="1086"/>
      <c r="T948" s="1086"/>
      <c r="U948" s="1086"/>
      <c r="V948" s="1086"/>
      <c r="W948" s="1086"/>
      <c r="X948" s="1086"/>
      <c r="Y948" s="1086"/>
      <c r="Z948" s="1086"/>
      <c r="AA948" s="1086"/>
      <c r="AB948" s="1086"/>
    </row>
    <row r="949">
      <c r="A949" s="1100"/>
      <c r="B949" s="1086"/>
      <c r="C949" s="1086"/>
      <c r="D949" s="1086"/>
      <c r="E949" s="1086"/>
      <c r="F949" s="1086"/>
      <c r="G949" s="1086"/>
      <c r="H949" s="1086"/>
      <c r="I949" s="1086"/>
      <c r="J949" s="1086"/>
      <c r="K949" s="1086"/>
      <c r="L949" s="1086"/>
      <c r="M949" s="1086"/>
      <c r="N949" s="1086"/>
      <c r="O949" s="1086"/>
      <c r="P949" s="1086"/>
      <c r="Q949" s="1086"/>
      <c r="R949" s="1086"/>
      <c r="S949" s="1086"/>
      <c r="T949" s="1086"/>
      <c r="U949" s="1086"/>
      <c r="V949" s="1086"/>
      <c r="W949" s="1086"/>
      <c r="X949" s="1086"/>
      <c r="Y949" s="1086"/>
      <c r="Z949" s="1086"/>
      <c r="AA949" s="1086"/>
      <c r="AB949" s="1086"/>
    </row>
    <row r="950">
      <c r="A950" s="1100"/>
      <c r="B950" s="1086"/>
      <c r="C950" s="1086"/>
      <c r="D950" s="1086"/>
      <c r="E950" s="1086"/>
      <c r="F950" s="1086"/>
      <c r="G950" s="1086"/>
      <c r="H950" s="1086"/>
      <c r="I950" s="1086"/>
      <c r="J950" s="1086"/>
      <c r="K950" s="1086"/>
      <c r="L950" s="1086"/>
      <c r="M950" s="1086"/>
      <c r="N950" s="1086"/>
      <c r="O950" s="1086"/>
      <c r="P950" s="1086"/>
      <c r="Q950" s="1086"/>
      <c r="R950" s="1086"/>
      <c r="S950" s="1086"/>
      <c r="T950" s="1086"/>
      <c r="U950" s="1086"/>
      <c r="V950" s="1086"/>
      <c r="W950" s="1086"/>
      <c r="X950" s="1086"/>
      <c r="Y950" s="1086"/>
      <c r="Z950" s="1086"/>
      <c r="AA950" s="1086"/>
      <c r="AB950" s="1086"/>
    </row>
    <row r="951">
      <c r="A951" s="1100"/>
      <c r="B951" s="1086"/>
      <c r="C951" s="1086"/>
      <c r="D951" s="1086"/>
      <c r="E951" s="1086"/>
      <c r="F951" s="1086"/>
      <c r="G951" s="1086"/>
      <c r="H951" s="1086"/>
      <c r="I951" s="1086"/>
      <c r="J951" s="1086"/>
      <c r="K951" s="1086"/>
      <c r="L951" s="1086"/>
      <c r="M951" s="1086"/>
      <c r="N951" s="1086"/>
      <c r="O951" s="1086"/>
      <c r="P951" s="1086"/>
      <c r="Q951" s="1086"/>
      <c r="R951" s="1086"/>
      <c r="S951" s="1086"/>
      <c r="T951" s="1086"/>
      <c r="U951" s="1086"/>
      <c r="V951" s="1086"/>
      <c r="W951" s="1086"/>
      <c r="X951" s="1086"/>
      <c r="Y951" s="1086"/>
      <c r="Z951" s="1086"/>
      <c r="AA951" s="1086"/>
      <c r="AB951" s="1086"/>
    </row>
    <row r="952">
      <c r="A952" s="1100"/>
      <c r="B952" s="1086"/>
      <c r="C952" s="1086"/>
      <c r="D952" s="1086"/>
      <c r="E952" s="1086"/>
      <c r="F952" s="1086"/>
      <c r="G952" s="1086"/>
      <c r="H952" s="1086"/>
      <c r="I952" s="1086"/>
      <c r="J952" s="1086"/>
      <c r="K952" s="1086"/>
      <c r="L952" s="1086"/>
      <c r="M952" s="1086"/>
      <c r="N952" s="1086"/>
      <c r="O952" s="1086"/>
      <c r="P952" s="1086"/>
      <c r="Q952" s="1086"/>
      <c r="R952" s="1086"/>
      <c r="S952" s="1086"/>
      <c r="T952" s="1086"/>
      <c r="U952" s="1086"/>
      <c r="V952" s="1086"/>
      <c r="W952" s="1086"/>
      <c r="X952" s="1086"/>
      <c r="Y952" s="1086"/>
      <c r="Z952" s="1086"/>
      <c r="AA952" s="1086"/>
      <c r="AB952" s="1086"/>
    </row>
    <row r="953">
      <c r="A953" s="1100"/>
      <c r="B953" s="1086"/>
      <c r="C953" s="1086"/>
      <c r="D953" s="1086"/>
      <c r="E953" s="1086"/>
      <c r="F953" s="1086"/>
      <c r="G953" s="1086"/>
      <c r="H953" s="1086"/>
      <c r="I953" s="1086"/>
      <c r="J953" s="1086"/>
      <c r="K953" s="1086"/>
      <c r="L953" s="1086"/>
      <c r="M953" s="1086"/>
      <c r="N953" s="1086"/>
      <c r="O953" s="1086"/>
      <c r="P953" s="1086"/>
      <c r="Q953" s="1086"/>
      <c r="R953" s="1086"/>
      <c r="S953" s="1086"/>
      <c r="T953" s="1086"/>
      <c r="U953" s="1086"/>
      <c r="V953" s="1086"/>
      <c r="W953" s="1086"/>
      <c r="X953" s="1086"/>
      <c r="Y953" s="1086"/>
      <c r="Z953" s="1086"/>
      <c r="AA953" s="1086"/>
      <c r="AB953" s="1086"/>
    </row>
    <row r="954">
      <c r="A954" s="1100"/>
      <c r="B954" s="1086"/>
      <c r="C954" s="1086"/>
      <c r="D954" s="1086"/>
      <c r="E954" s="1086"/>
      <c r="F954" s="1086"/>
      <c r="G954" s="1086"/>
      <c r="H954" s="1086"/>
      <c r="I954" s="1086"/>
      <c r="J954" s="1086"/>
      <c r="K954" s="1086"/>
      <c r="L954" s="1086"/>
      <c r="M954" s="1086"/>
      <c r="N954" s="1086"/>
      <c r="O954" s="1086"/>
      <c r="P954" s="1086"/>
      <c r="Q954" s="1086"/>
      <c r="R954" s="1086"/>
      <c r="S954" s="1086"/>
      <c r="T954" s="1086"/>
      <c r="U954" s="1086"/>
      <c r="V954" s="1086"/>
      <c r="W954" s="1086"/>
      <c r="X954" s="1086"/>
      <c r="Y954" s="1086"/>
      <c r="Z954" s="1086"/>
      <c r="AA954" s="1086"/>
      <c r="AB954" s="1086"/>
    </row>
    <row r="955">
      <c r="A955" s="1100"/>
      <c r="B955" s="1086"/>
      <c r="C955" s="1086"/>
      <c r="D955" s="1086"/>
      <c r="E955" s="1086"/>
      <c r="F955" s="1086"/>
      <c r="G955" s="1086"/>
      <c r="H955" s="1086"/>
      <c r="I955" s="1086"/>
      <c r="J955" s="1086"/>
      <c r="K955" s="1086"/>
      <c r="L955" s="1086"/>
      <c r="M955" s="1086"/>
      <c r="N955" s="1086"/>
      <c r="O955" s="1086"/>
      <c r="P955" s="1086"/>
      <c r="Q955" s="1086"/>
      <c r="R955" s="1086"/>
      <c r="S955" s="1086"/>
      <c r="T955" s="1086"/>
      <c r="U955" s="1086"/>
      <c r="V955" s="1086"/>
      <c r="W955" s="1086"/>
      <c r="X955" s="1086"/>
      <c r="Y955" s="1086"/>
      <c r="Z955" s="1086"/>
      <c r="AA955" s="1086"/>
      <c r="AB955" s="1086"/>
    </row>
    <row r="956">
      <c r="A956" s="1100"/>
      <c r="B956" s="1086"/>
      <c r="C956" s="1086"/>
      <c r="D956" s="1086"/>
      <c r="E956" s="1086"/>
      <c r="F956" s="1086"/>
      <c r="G956" s="1086"/>
      <c r="H956" s="1086"/>
      <c r="I956" s="1086"/>
      <c r="J956" s="1086"/>
      <c r="K956" s="1086"/>
      <c r="L956" s="1086"/>
      <c r="M956" s="1086"/>
      <c r="N956" s="1086"/>
      <c r="O956" s="1086"/>
      <c r="P956" s="1086"/>
      <c r="Q956" s="1086"/>
      <c r="R956" s="1086"/>
      <c r="S956" s="1086"/>
      <c r="T956" s="1086"/>
      <c r="U956" s="1086"/>
      <c r="V956" s="1086"/>
      <c r="W956" s="1086"/>
      <c r="X956" s="1086"/>
      <c r="Y956" s="1086"/>
      <c r="Z956" s="1086"/>
      <c r="AA956" s="1086"/>
      <c r="AB956" s="1086"/>
    </row>
    <row r="957">
      <c r="A957" s="1100"/>
      <c r="B957" s="1086"/>
      <c r="C957" s="1086"/>
      <c r="D957" s="1086"/>
      <c r="E957" s="1086"/>
      <c r="F957" s="1086"/>
      <c r="G957" s="1086"/>
      <c r="H957" s="1086"/>
      <c r="I957" s="1086"/>
      <c r="J957" s="1086"/>
      <c r="K957" s="1086"/>
      <c r="L957" s="1086"/>
      <c r="M957" s="1086"/>
      <c r="N957" s="1086"/>
      <c r="O957" s="1086"/>
      <c r="P957" s="1086"/>
      <c r="Q957" s="1086"/>
      <c r="R957" s="1086"/>
      <c r="S957" s="1086"/>
      <c r="T957" s="1086"/>
      <c r="U957" s="1086"/>
      <c r="V957" s="1086"/>
      <c r="W957" s="1086"/>
      <c r="X957" s="1086"/>
      <c r="Y957" s="1086"/>
      <c r="Z957" s="1086"/>
      <c r="AA957" s="1086"/>
      <c r="AB957" s="1086"/>
    </row>
    <row r="958">
      <c r="A958" s="1100"/>
      <c r="B958" s="1086"/>
      <c r="C958" s="1086"/>
      <c r="D958" s="1086"/>
      <c r="E958" s="1086"/>
      <c r="F958" s="1086"/>
      <c r="G958" s="1086"/>
      <c r="H958" s="1086"/>
      <c r="I958" s="1086"/>
      <c r="J958" s="1086"/>
      <c r="K958" s="1086"/>
      <c r="L958" s="1086"/>
      <c r="M958" s="1086"/>
      <c r="N958" s="1086"/>
      <c r="O958" s="1086"/>
      <c r="P958" s="1086"/>
      <c r="Q958" s="1086"/>
      <c r="R958" s="1086"/>
      <c r="S958" s="1086"/>
      <c r="T958" s="1086"/>
      <c r="U958" s="1086"/>
      <c r="V958" s="1086"/>
      <c r="W958" s="1086"/>
      <c r="X958" s="1086"/>
      <c r="Y958" s="1086"/>
      <c r="Z958" s="1086"/>
      <c r="AA958" s="1086"/>
      <c r="AB958" s="1086"/>
    </row>
    <row r="959">
      <c r="A959" s="1100"/>
      <c r="B959" s="1086"/>
      <c r="C959" s="1086"/>
      <c r="D959" s="1086"/>
      <c r="E959" s="1086"/>
      <c r="F959" s="1086"/>
      <c r="G959" s="1086"/>
      <c r="H959" s="1086"/>
      <c r="I959" s="1086"/>
      <c r="J959" s="1086"/>
      <c r="K959" s="1086"/>
      <c r="L959" s="1086"/>
      <c r="M959" s="1086"/>
      <c r="N959" s="1086"/>
      <c r="O959" s="1086"/>
      <c r="P959" s="1086"/>
      <c r="Q959" s="1086"/>
      <c r="R959" s="1086"/>
      <c r="S959" s="1086"/>
      <c r="T959" s="1086"/>
      <c r="U959" s="1086"/>
      <c r="V959" s="1086"/>
      <c r="W959" s="1086"/>
      <c r="X959" s="1086"/>
      <c r="Y959" s="1086"/>
      <c r="Z959" s="1086"/>
      <c r="AA959" s="1086"/>
      <c r="AB959" s="1086"/>
    </row>
    <row r="960">
      <c r="A960" s="1100"/>
      <c r="B960" s="1086"/>
      <c r="C960" s="1086"/>
      <c r="D960" s="1086"/>
      <c r="E960" s="1086"/>
      <c r="F960" s="1086"/>
      <c r="G960" s="1086"/>
      <c r="H960" s="1086"/>
      <c r="I960" s="1086"/>
      <c r="J960" s="1086"/>
      <c r="K960" s="1086"/>
      <c r="L960" s="1086"/>
      <c r="M960" s="1086"/>
      <c r="N960" s="1086"/>
      <c r="O960" s="1086"/>
      <c r="P960" s="1086"/>
      <c r="Q960" s="1086"/>
      <c r="R960" s="1086"/>
      <c r="S960" s="1086"/>
      <c r="T960" s="1086"/>
      <c r="U960" s="1086"/>
      <c r="V960" s="1086"/>
      <c r="W960" s="1086"/>
      <c r="X960" s="1086"/>
      <c r="Y960" s="1086"/>
      <c r="Z960" s="1086"/>
      <c r="AA960" s="1086"/>
      <c r="AB960" s="1086"/>
    </row>
    <row r="961">
      <c r="A961" s="1100"/>
      <c r="B961" s="1086"/>
      <c r="C961" s="1086"/>
      <c r="D961" s="1086"/>
      <c r="E961" s="1086"/>
      <c r="F961" s="1086"/>
      <c r="G961" s="1086"/>
      <c r="H961" s="1086"/>
      <c r="I961" s="1086"/>
      <c r="J961" s="1086"/>
      <c r="K961" s="1086"/>
      <c r="L961" s="1086"/>
      <c r="M961" s="1086"/>
      <c r="N961" s="1086"/>
      <c r="O961" s="1086"/>
      <c r="P961" s="1086"/>
      <c r="Q961" s="1086"/>
      <c r="R961" s="1086"/>
      <c r="S961" s="1086"/>
      <c r="T961" s="1086"/>
      <c r="U961" s="1086"/>
      <c r="V961" s="1086"/>
      <c r="W961" s="1086"/>
      <c r="X961" s="1086"/>
      <c r="Y961" s="1086"/>
      <c r="Z961" s="1086"/>
      <c r="AA961" s="1086"/>
      <c r="AB961" s="1086"/>
    </row>
    <row r="962">
      <c r="A962" s="1100"/>
      <c r="B962" s="1086"/>
      <c r="C962" s="1086"/>
      <c r="D962" s="1086"/>
      <c r="E962" s="1086"/>
      <c r="F962" s="1086"/>
      <c r="G962" s="1086"/>
      <c r="H962" s="1086"/>
      <c r="I962" s="1086"/>
      <c r="J962" s="1086"/>
      <c r="K962" s="1086"/>
      <c r="L962" s="1086"/>
      <c r="M962" s="1086"/>
      <c r="N962" s="1086"/>
      <c r="O962" s="1086"/>
      <c r="P962" s="1086"/>
      <c r="Q962" s="1086"/>
      <c r="R962" s="1086"/>
      <c r="S962" s="1086"/>
      <c r="T962" s="1086"/>
      <c r="U962" s="1086"/>
      <c r="V962" s="1086"/>
      <c r="W962" s="1086"/>
      <c r="X962" s="1086"/>
      <c r="Y962" s="1086"/>
      <c r="Z962" s="1086"/>
      <c r="AA962" s="1086"/>
      <c r="AB962" s="1086"/>
    </row>
    <row r="963">
      <c r="A963" s="1100"/>
      <c r="B963" s="1086"/>
      <c r="C963" s="1086"/>
      <c r="D963" s="1086"/>
      <c r="E963" s="1086"/>
      <c r="F963" s="1086"/>
      <c r="G963" s="1086"/>
      <c r="H963" s="1086"/>
      <c r="I963" s="1086"/>
      <c r="J963" s="1086"/>
      <c r="K963" s="1086"/>
      <c r="L963" s="1086"/>
      <c r="M963" s="1086"/>
      <c r="N963" s="1086"/>
      <c r="O963" s="1086"/>
      <c r="P963" s="1086"/>
      <c r="Q963" s="1086"/>
      <c r="R963" s="1086"/>
      <c r="S963" s="1086"/>
      <c r="T963" s="1086"/>
      <c r="U963" s="1086"/>
      <c r="V963" s="1086"/>
      <c r="W963" s="1086"/>
      <c r="X963" s="1086"/>
      <c r="Y963" s="1086"/>
      <c r="Z963" s="1086"/>
      <c r="AA963" s="1086"/>
      <c r="AB963" s="1086"/>
    </row>
    <row r="964">
      <c r="A964" s="1100"/>
      <c r="B964" s="1086"/>
      <c r="C964" s="1086"/>
      <c r="D964" s="1086"/>
      <c r="E964" s="1086"/>
      <c r="F964" s="1086"/>
      <c r="G964" s="1086"/>
      <c r="H964" s="1086"/>
      <c r="I964" s="1086"/>
      <c r="J964" s="1086"/>
      <c r="K964" s="1086"/>
      <c r="L964" s="1086"/>
      <c r="M964" s="1086"/>
      <c r="N964" s="1086"/>
      <c r="O964" s="1086"/>
      <c r="P964" s="1086"/>
      <c r="Q964" s="1086"/>
      <c r="R964" s="1086"/>
      <c r="S964" s="1086"/>
      <c r="T964" s="1086"/>
      <c r="U964" s="1086"/>
      <c r="V964" s="1086"/>
      <c r="W964" s="1086"/>
      <c r="X964" s="1086"/>
      <c r="Y964" s="1086"/>
      <c r="Z964" s="1086"/>
      <c r="AA964" s="1086"/>
      <c r="AB964" s="1086"/>
    </row>
    <row r="965">
      <c r="A965" s="1100"/>
      <c r="B965" s="1086"/>
      <c r="C965" s="1086"/>
      <c r="D965" s="1086"/>
      <c r="E965" s="1086"/>
      <c r="F965" s="1086"/>
      <c r="G965" s="1086"/>
      <c r="H965" s="1086"/>
      <c r="I965" s="1086"/>
      <c r="J965" s="1086"/>
      <c r="K965" s="1086"/>
      <c r="L965" s="1086"/>
      <c r="M965" s="1086"/>
      <c r="N965" s="1086"/>
      <c r="O965" s="1086"/>
      <c r="P965" s="1086"/>
      <c r="Q965" s="1086"/>
      <c r="R965" s="1086"/>
      <c r="S965" s="1086"/>
      <c r="T965" s="1086"/>
      <c r="U965" s="1086"/>
      <c r="V965" s="1086"/>
      <c r="W965" s="1086"/>
      <c r="X965" s="1086"/>
      <c r="Y965" s="1086"/>
      <c r="Z965" s="1086"/>
      <c r="AA965" s="1086"/>
      <c r="AB965" s="1086"/>
    </row>
    <row r="966">
      <c r="A966" s="1100"/>
      <c r="B966" s="1086"/>
      <c r="C966" s="1086"/>
      <c r="D966" s="1086"/>
      <c r="E966" s="1086"/>
      <c r="F966" s="1086"/>
      <c r="G966" s="1086"/>
      <c r="H966" s="1086"/>
      <c r="I966" s="1086"/>
      <c r="J966" s="1086"/>
      <c r="K966" s="1086"/>
      <c r="L966" s="1086"/>
      <c r="M966" s="1086"/>
      <c r="N966" s="1086"/>
      <c r="O966" s="1086"/>
      <c r="P966" s="1086"/>
      <c r="Q966" s="1086"/>
      <c r="R966" s="1086"/>
      <c r="S966" s="1086"/>
      <c r="T966" s="1086"/>
      <c r="U966" s="1086"/>
      <c r="V966" s="1086"/>
      <c r="W966" s="1086"/>
      <c r="X966" s="1086"/>
      <c r="Y966" s="1086"/>
      <c r="Z966" s="1086"/>
      <c r="AA966" s="1086"/>
      <c r="AB966" s="1086"/>
    </row>
    <row r="967">
      <c r="A967" s="1100"/>
      <c r="B967" s="1086"/>
      <c r="C967" s="1086"/>
      <c r="D967" s="1086"/>
      <c r="E967" s="1086"/>
      <c r="F967" s="1086"/>
      <c r="G967" s="1086"/>
      <c r="H967" s="1086"/>
      <c r="I967" s="1086"/>
      <c r="J967" s="1086"/>
      <c r="K967" s="1086"/>
      <c r="L967" s="1086"/>
      <c r="M967" s="1086"/>
      <c r="N967" s="1086"/>
      <c r="O967" s="1086"/>
      <c r="P967" s="1086"/>
      <c r="Q967" s="1086"/>
      <c r="R967" s="1086"/>
      <c r="S967" s="1086"/>
      <c r="T967" s="1086"/>
      <c r="U967" s="1086"/>
      <c r="V967" s="1086"/>
      <c r="W967" s="1086"/>
      <c r="X967" s="1086"/>
      <c r="Y967" s="1086"/>
      <c r="Z967" s="1086"/>
      <c r="AA967" s="1086"/>
      <c r="AB967" s="1086"/>
    </row>
    <row r="968">
      <c r="A968" s="1100"/>
      <c r="B968" s="1086"/>
      <c r="C968" s="1086"/>
      <c r="D968" s="1086"/>
      <c r="E968" s="1086"/>
      <c r="F968" s="1086"/>
      <c r="G968" s="1086"/>
      <c r="H968" s="1086"/>
      <c r="I968" s="1086"/>
      <c r="J968" s="1086"/>
      <c r="K968" s="1086"/>
      <c r="L968" s="1086"/>
      <c r="M968" s="1086"/>
      <c r="N968" s="1086"/>
      <c r="O968" s="1086"/>
      <c r="P968" s="1086"/>
      <c r="Q968" s="1086"/>
      <c r="R968" s="1086"/>
      <c r="S968" s="1086"/>
      <c r="T968" s="1086"/>
      <c r="U968" s="1086"/>
      <c r="V968" s="1086"/>
      <c r="W968" s="1086"/>
      <c r="X968" s="1086"/>
      <c r="Y968" s="1086"/>
      <c r="Z968" s="1086"/>
      <c r="AA968" s="1086"/>
      <c r="AB968" s="1086"/>
    </row>
    <row r="969">
      <c r="A969" s="1100"/>
      <c r="B969" s="1086"/>
      <c r="C969" s="1086"/>
      <c r="D969" s="1086"/>
      <c r="E969" s="1086"/>
      <c r="F969" s="1086"/>
      <c r="G969" s="1086"/>
      <c r="H969" s="1086"/>
      <c r="I969" s="1086"/>
      <c r="J969" s="1086"/>
      <c r="K969" s="1086"/>
      <c r="L969" s="1086"/>
      <c r="M969" s="1086"/>
      <c r="N969" s="1086"/>
      <c r="O969" s="1086"/>
      <c r="P969" s="1086"/>
      <c r="Q969" s="1086"/>
      <c r="R969" s="1086"/>
      <c r="S969" s="1086"/>
      <c r="T969" s="1086"/>
      <c r="U969" s="1086"/>
      <c r="V969" s="1086"/>
      <c r="W969" s="1086"/>
      <c r="X969" s="1086"/>
      <c r="Y969" s="1086"/>
      <c r="Z969" s="1086"/>
      <c r="AA969" s="1086"/>
      <c r="AB969" s="1086"/>
    </row>
    <row r="970">
      <c r="A970" s="1100"/>
      <c r="B970" s="1086"/>
      <c r="C970" s="1086"/>
      <c r="D970" s="1086"/>
      <c r="E970" s="1086"/>
      <c r="F970" s="1086"/>
      <c r="G970" s="1086"/>
      <c r="H970" s="1086"/>
      <c r="I970" s="1086"/>
      <c r="J970" s="1086"/>
      <c r="K970" s="1086"/>
      <c r="L970" s="1086"/>
      <c r="M970" s="1086"/>
      <c r="N970" s="1086"/>
      <c r="O970" s="1086"/>
      <c r="P970" s="1086"/>
      <c r="Q970" s="1086"/>
      <c r="R970" s="1086"/>
      <c r="S970" s="1086"/>
      <c r="T970" s="1086"/>
      <c r="U970" s="1086"/>
      <c r="V970" s="1086"/>
      <c r="W970" s="1086"/>
      <c r="X970" s="1086"/>
      <c r="Y970" s="1086"/>
      <c r="Z970" s="1086"/>
      <c r="AA970" s="1086"/>
      <c r="AB970" s="1086"/>
    </row>
    <row r="971">
      <c r="A971" s="1100"/>
      <c r="B971" s="1086"/>
      <c r="C971" s="1086"/>
      <c r="D971" s="1086"/>
      <c r="E971" s="1086"/>
      <c r="F971" s="1086"/>
      <c r="G971" s="1086"/>
      <c r="H971" s="1086"/>
      <c r="I971" s="1086"/>
      <c r="J971" s="1086"/>
      <c r="K971" s="1086"/>
      <c r="L971" s="1086"/>
      <c r="M971" s="1086"/>
      <c r="N971" s="1086"/>
      <c r="O971" s="1086"/>
      <c r="P971" s="1086"/>
      <c r="Q971" s="1086"/>
      <c r="R971" s="1086"/>
      <c r="S971" s="1086"/>
      <c r="T971" s="1086"/>
      <c r="U971" s="1086"/>
      <c r="V971" s="1086"/>
      <c r="W971" s="1086"/>
      <c r="X971" s="1086"/>
      <c r="Y971" s="1086"/>
      <c r="Z971" s="1086"/>
      <c r="AA971" s="1086"/>
      <c r="AB971" s="1086"/>
    </row>
    <row r="972">
      <c r="A972" s="1100"/>
      <c r="B972" s="1086"/>
      <c r="C972" s="1086"/>
      <c r="D972" s="1086"/>
      <c r="E972" s="1086"/>
      <c r="F972" s="1086"/>
      <c r="G972" s="1086"/>
      <c r="H972" s="1086"/>
      <c r="I972" s="1086"/>
      <c r="J972" s="1086"/>
      <c r="K972" s="1086"/>
      <c r="L972" s="1086"/>
      <c r="M972" s="1086"/>
      <c r="N972" s="1086"/>
      <c r="O972" s="1086"/>
      <c r="P972" s="1086"/>
      <c r="Q972" s="1086"/>
      <c r="R972" s="1086"/>
      <c r="S972" s="1086"/>
      <c r="T972" s="1086"/>
      <c r="U972" s="1086"/>
      <c r="V972" s="1086"/>
      <c r="W972" s="1086"/>
      <c r="X972" s="1086"/>
      <c r="Y972" s="1086"/>
      <c r="Z972" s="1086"/>
      <c r="AA972" s="1086"/>
      <c r="AB972" s="1086"/>
    </row>
    <row r="973">
      <c r="A973" s="1100"/>
      <c r="B973" s="1086"/>
      <c r="C973" s="1086"/>
      <c r="D973" s="1086"/>
      <c r="E973" s="1086"/>
      <c r="F973" s="1086"/>
      <c r="G973" s="1086"/>
      <c r="H973" s="1086"/>
      <c r="I973" s="1086"/>
      <c r="J973" s="1086"/>
      <c r="K973" s="1086"/>
      <c r="L973" s="1086"/>
      <c r="M973" s="1086"/>
      <c r="N973" s="1086"/>
      <c r="O973" s="1086"/>
      <c r="P973" s="1086"/>
      <c r="Q973" s="1086"/>
      <c r="R973" s="1086"/>
      <c r="S973" s="1086"/>
      <c r="T973" s="1086"/>
      <c r="U973" s="1086"/>
      <c r="V973" s="1086"/>
      <c r="W973" s="1086"/>
      <c r="X973" s="1086"/>
      <c r="Y973" s="1086"/>
      <c r="Z973" s="1086"/>
      <c r="AA973" s="1086"/>
      <c r="AB973" s="1086"/>
    </row>
    <row r="974">
      <c r="A974" s="1100"/>
      <c r="B974" s="1086"/>
      <c r="C974" s="1086"/>
      <c r="D974" s="1086"/>
      <c r="E974" s="1086"/>
      <c r="F974" s="1086"/>
      <c r="G974" s="1086"/>
      <c r="H974" s="1086"/>
      <c r="I974" s="1086"/>
      <c r="J974" s="1086"/>
      <c r="K974" s="1086"/>
      <c r="L974" s="1086"/>
      <c r="M974" s="1086"/>
      <c r="N974" s="1086"/>
      <c r="O974" s="1086"/>
      <c r="P974" s="1086"/>
      <c r="Q974" s="1086"/>
      <c r="R974" s="1086"/>
      <c r="S974" s="1086"/>
      <c r="T974" s="1086"/>
      <c r="U974" s="1086"/>
      <c r="V974" s="1086"/>
      <c r="W974" s="1086"/>
      <c r="X974" s="1086"/>
      <c r="Y974" s="1086"/>
      <c r="Z974" s="1086"/>
      <c r="AA974" s="1086"/>
      <c r="AB974" s="1086"/>
    </row>
    <row r="975">
      <c r="A975" s="1100"/>
      <c r="B975" s="1086"/>
      <c r="C975" s="1086"/>
      <c r="D975" s="1086"/>
      <c r="E975" s="1086"/>
      <c r="F975" s="1086"/>
      <c r="G975" s="1086"/>
      <c r="H975" s="1086"/>
      <c r="I975" s="1086"/>
      <c r="J975" s="1086"/>
      <c r="K975" s="1086"/>
      <c r="L975" s="1086"/>
      <c r="M975" s="1086"/>
      <c r="N975" s="1086"/>
      <c r="O975" s="1086"/>
      <c r="P975" s="1086"/>
      <c r="Q975" s="1086"/>
      <c r="R975" s="1086"/>
      <c r="S975" s="1086"/>
      <c r="T975" s="1086"/>
      <c r="U975" s="1086"/>
      <c r="V975" s="1086"/>
      <c r="W975" s="1086"/>
      <c r="X975" s="1086"/>
      <c r="Y975" s="1086"/>
      <c r="Z975" s="1086"/>
      <c r="AA975" s="1086"/>
      <c r="AB975" s="1086"/>
    </row>
    <row r="976">
      <c r="A976" s="1100"/>
      <c r="B976" s="1086"/>
      <c r="C976" s="1086"/>
      <c r="D976" s="1086"/>
      <c r="E976" s="1086"/>
      <c r="F976" s="1086"/>
      <c r="G976" s="1086"/>
      <c r="H976" s="1086"/>
      <c r="I976" s="1086"/>
      <c r="J976" s="1086"/>
      <c r="K976" s="1086"/>
      <c r="L976" s="1086"/>
      <c r="M976" s="1086"/>
      <c r="N976" s="1086"/>
      <c r="O976" s="1086"/>
      <c r="P976" s="1086"/>
      <c r="Q976" s="1086"/>
      <c r="R976" s="1086"/>
      <c r="S976" s="1086"/>
      <c r="T976" s="1086"/>
      <c r="U976" s="1086"/>
      <c r="V976" s="1086"/>
      <c r="W976" s="1086"/>
      <c r="X976" s="1086"/>
      <c r="Y976" s="1086"/>
      <c r="Z976" s="1086"/>
      <c r="AA976" s="1086"/>
      <c r="AB976" s="1086"/>
    </row>
    <row r="977">
      <c r="A977" s="1100"/>
      <c r="B977" s="1086"/>
      <c r="C977" s="1086"/>
      <c r="D977" s="1086"/>
      <c r="E977" s="1086"/>
      <c r="F977" s="1086"/>
      <c r="G977" s="1086"/>
      <c r="H977" s="1086"/>
      <c r="I977" s="1086"/>
      <c r="J977" s="1086"/>
      <c r="K977" s="1086"/>
      <c r="L977" s="1086"/>
      <c r="M977" s="1086"/>
      <c r="N977" s="1086"/>
      <c r="O977" s="1086"/>
      <c r="P977" s="1086"/>
      <c r="Q977" s="1086"/>
      <c r="R977" s="1086"/>
      <c r="S977" s="1086"/>
      <c r="T977" s="1086"/>
      <c r="U977" s="1086"/>
      <c r="V977" s="1086"/>
      <c r="W977" s="1086"/>
      <c r="X977" s="1086"/>
      <c r="Y977" s="1086"/>
      <c r="Z977" s="1086"/>
      <c r="AA977" s="1086"/>
      <c r="AB977" s="1086"/>
    </row>
    <row r="978">
      <c r="A978" s="1100"/>
      <c r="B978" s="1086"/>
      <c r="C978" s="1086"/>
      <c r="D978" s="1086"/>
      <c r="E978" s="1086"/>
      <c r="F978" s="1086"/>
      <c r="G978" s="1086"/>
      <c r="H978" s="1086"/>
      <c r="I978" s="1086"/>
      <c r="J978" s="1086"/>
      <c r="K978" s="1086"/>
      <c r="L978" s="1086"/>
      <c r="M978" s="1086"/>
      <c r="N978" s="1086"/>
      <c r="O978" s="1086"/>
      <c r="P978" s="1086"/>
      <c r="Q978" s="1086"/>
      <c r="R978" s="1086"/>
      <c r="S978" s="1086"/>
      <c r="T978" s="1086"/>
      <c r="U978" s="1086"/>
      <c r="V978" s="1086"/>
      <c r="W978" s="1086"/>
      <c r="X978" s="1086"/>
      <c r="Y978" s="1086"/>
      <c r="Z978" s="1086"/>
      <c r="AA978" s="1086"/>
      <c r="AB978" s="1086"/>
    </row>
    <row r="979">
      <c r="A979" s="1100"/>
      <c r="B979" s="1086"/>
      <c r="C979" s="1086"/>
      <c r="D979" s="1086"/>
      <c r="E979" s="1086"/>
      <c r="F979" s="1086"/>
      <c r="G979" s="1086"/>
      <c r="H979" s="1086"/>
      <c r="I979" s="1086"/>
      <c r="J979" s="1086"/>
      <c r="K979" s="1086"/>
      <c r="L979" s="1086"/>
      <c r="M979" s="1086"/>
      <c r="N979" s="1086"/>
      <c r="O979" s="1086"/>
      <c r="P979" s="1086"/>
      <c r="Q979" s="1086"/>
      <c r="R979" s="1086"/>
      <c r="S979" s="1086"/>
      <c r="T979" s="1086"/>
      <c r="U979" s="1086"/>
      <c r="V979" s="1086"/>
      <c r="W979" s="1086"/>
      <c r="X979" s="1086"/>
      <c r="Y979" s="1086"/>
      <c r="Z979" s="1086"/>
      <c r="AA979" s="1086"/>
      <c r="AB979" s="1086"/>
    </row>
    <row r="980">
      <c r="A980" s="1100"/>
      <c r="B980" s="1086"/>
      <c r="C980" s="1086"/>
      <c r="D980" s="1086"/>
      <c r="E980" s="1086"/>
      <c r="F980" s="1086"/>
      <c r="G980" s="1086"/>
      <c r="H980" s="1086"/>
      <c r="I980" s="1086"/>
      <c r="J980" s="1086"/>
      <c r="K980" s="1086"/>
      <c r="L980" s="1086"/>
      <c r="M980" s="1086"/>
      <c r="N980" s="1086"/>
      <c r="O980" s="1086"/>
      <c r="P980" s="1086"/>
      <c r="Q980" s="1086"/>
      <c r="R980" s="1086"/>
      <c r="S980" s="1086"/>
      <c r="T980" s="1086"/>
      <c r="U980" s="1086"/>
      <c r="V980" s="1086"/>
      <c r="W980" s="1086"/>
      <c r="X980" s="1086"/>
      <c r="Y980" s="1086"/>
      <c r="Z980" s="1086"/>
      <c r="AA980" s="1086"/>
      <c r="AB980" s="1086"/>
    </row>
    <row r="981">
      <c r="A981" s="1100"/>
      <c r="B981" s="1086"/>
      <c r="C981" s="1086"/>
      <c r="D981" s="1086"/>
      <c r="E981" s="1086"/>
      <c r="F981" s="1086"/>
      <c r="G981" s="1086"/>
      <c r="H981" s="1086"/>
      <c r="I981" s="1086"/>
      <c r="J981" s="1086"/>
      <c r="K981" s="1086"/>
      <c r="L981" s="1086"/>
      <c r="M981" s="1086"/>
      <c r="N981" s="1086"/>
      <c r="O981" s="1086"/>
      <c r="P981" s="1086"/>
      <c r="Q981" s="1086"/>
      <c r="R981" s="1086"/>
      <c r="S981" s="1086"/>
      <c r="T981" s="1086"/>
      <c r="U981" s="1086"/>
      <c r="V981" s="1086"/>
      <c r="W981" s="1086"/>
      <c r="X981" s="1086"/>
      <c r="Y981" s="1086"/>
      <c r="Z981" s="1086"/>
      <c r="AA981" s="1086"/>
      <c r="AB981" s="1086"/>
    </row>
    <row r="982">
      <c r="A982" s="1100"/>
      <c r="B982" s="1086"/>
      <c r="C982" s="1086"/>
      <c r="D982" s="1086"/>
      <c r="E982" s="1086"/>
      <c r="F982" s="1086"/>
      <c r="G982" s="1086"/>
      <c r="H982" s="1086"/>
      <c r="I982" s="1086"/>
      <c r="J982" s="1086"/>
      <c r="K982" s="1086"/>
      <c r="L982" s="1086"/>
      <c r="M982" s="1086"/>
      <c r="N982" s="1086"/>
      <c r="O982" s="1086"/>
      <c r="P982" s="1086"/>
      <c r="Q982" s="1086"/>
      <c r="R982" s="1086"/>
      <c r="S982" s="1086"/>
      <c r="T982" s="1086"/>
      <c r="U982" s="1086"/>
      <c r="V982" s="1086"/>
      <c r="W982" s="1086"/>
      <c r="X982" s="1086"/>
      <c r="Y982" s="1086"/>
      <c r="Z982" s="1086"/>
      <c r="AA982" s="1086"/>
      <c r="AB982" s="1086"/>
    </row>
    <row r="983">
      <c r="A983" s="1100"/>
      <c r="B983" s="1086"/>
      <c r="C983" s="1086"/>
      <c r="D983" s="1086"/>
      <c r="E983" s="1086"/>
      <c r="F983" s="1086"/>
      <c r="G983" s="1086"/>
      <c r="H983" s="1086"/>
      <c r="I983" s="1086"/>
      <c r="J983" s="1086"/>
      <c r="K983" s="1086"/>
      <c r="L983" s="1086"/>
      <c r="M983" s="1086"/>
      <c r="N983" s="1086"/>
      <c r="O983" s="1086"/>
      <c r="P983" s="1086"/>
      <c r="Q983" s="1086"/>
      <c r="R983" s="1086"/>
      <c r="S983" s="1086"/>
      <c r="T983" s="1086"/>
      <c r="U983" s="1086"/>
      <c r="V983" s="1086"/>
      <c r="W983" s="1086"/>
      <c r="X983" s="1086"/>
      <c r="Y983" s="1086"/>
      <c r="Z983" s="1086"/>
      <c r="AA983" s="1086"/>
      <c r="AB983" s="1086"/>
    </row>
    <row r="984">
      <c r="A984" s="1100"/>
      <c r="B984" s="1086"/>
      <c r="C984" s="1086"/>
      <c r="D984" s="1086"/>
      <c r="E984" s="1086"/>
      <c r="F984" s="1086"/>
      <c r="G984" s="1086"/>
      <c r="H984" s="1086"/>
      <c r="I984" s="1086"/>
      <c r="J984" s="1086"/>
      <c r="K984" s="1086"/>
      <c r="L984" s="1086"/>
      <c r="M984" s="1086"/>
      <c r="N984" s="1086"/>
      <c r="O984" s="1086"/>
      <c r="P984" s="1086"/>
      <c r="Q984" s="1086"/>
      <c r="R984" s="1086"/>
      <c r="S984" s="1086"/>
      <c r="T984" s="1086"/>
      <c r="U984" s="1086"/>
      <c r="V984" s="1086"/>
      <c r="W984" s="1086"/>
      <c r="X984" s="1086"/>
      <c r="Y984" s="1086"/>
      <c r="Z984" s="1086"/>
      <c r="AA984" s="1086"/>
      <c r="AB984" s="1086"/>
    </row>
    <row r="985">
      <c r="A985" s="1100"/>
      <c r="B985" s="1086"/>
      <c r="C985" s="1086"/>
      <c r="D985" s="1086"/>
      <c r="E985" s="1086"/>
      <c r="F985" s="1086"/>
      <c r="G985" s="1086"/>
      <c r="H985" s="1086"/>
      <c r="I985" s="1086"/>
      <c r="J985" s="1086"/>
      <c r="K985" s="1086"/>
      <c r="L985" s="1086"/>
      <c r="M985" s="1086"/>
      <c r="N985" s="1086"/>
      <c r="O985" s="1086"/>
      <c r="P985" s="1086"/>
      <c r="Q985" s="1086"/>
      <c r="R985" s="1086"/>
      <c r="S985" s="1086"/>
      <c r="T985" s="1086"/>
      <c r="U985" s="1086"/>
      <c r="V985" s="1086"/>
      <c r="W985" s="1086"/>
      <c r="X985" s="1086"/>
      <c r="Y985" s="1086"/>
      <c r="Z985" s="1086"/>
      <c r="AA985" s="1086"/>
      <c r="AB985" s="1086"/>
    </row>
    <row r="986">
      <c r="A986" s="1100"/>
      <c r="B986" s="1086"/>
      <c r="C986" s="1086"/>
      <c r="D986" s="1086"/>
      <c r="E986" s="1086"/>
      <c r="F986" s="1086"/>
      <c r="G986" s="1086"/>
      <c r="H986" s="1086"/>
      <c r="I986" s="1086"/>
      <c r="J986" s="1086"/>
      <c r="K986" s="1086"/>
      <c r="L986" s="1086"/>
      <c r="M986" s="1086"/>
      <c r="N986" s="1086"/>
      <c r="O986" s="1086"/>
      <c r="P986" s="1086"/>
      <c r="Q986" s="1086"/>
      <c r="R986" s="1086"/>
      <c r="S986" s="1086"/>
      <c r="T986" s="1086"/>
      <c r="U986" s="1086"/>
      <c r="V986" s="1086"/>
      <c r="W986" s="1086"/>
      <c r="X986" s="1086"/>
      <c r="Y986" s="1086"/>
      <c r="Z986" s="1086"/>
      <c r="AA986" s="1086"/>
      <c r="AB986" s="1086"/>
    </row>
    <row r="987">
      <c r="A987" s="1100"/>
      <c r="B987" s="1086"/>
      <c r="C987" s="1086"/>
      <c r="D987" s="1086"/>
      <c r="E987" s="1086"/>
      <c r="F987" s="1086"/>
      <c r="G987" s="1086"/>
      <c r="H987" s="1086"/>
      <c r="I987" s="1086"/>
      <c r="J987" s="1086"/>
      <c r="K987" s="1086"/>
      <c r="L987" s="1086"/>
      <c r="M987" s="1086"/>
      <c r="N987" s="1086"/>
      <c r="O987" s="1086"/>
      <c r="P987" s="1086"/>
      <c r="Q987" s="1086"/>
      <c r="R987" s="1086"/>
      <c r="S987" s="1086"/>
      <c r="T987" s="1086"/>
      <c r="U987" s="1086"/>
      <c r="V987" s="1086"/>
      <c r="W987" s="1086"/>
      <c r="X987" s="1086"/>
      <c r="Y987" s="1086"/>
      <c r="Z987" s="1086"/>
      <c r="AA987" s="1086"/>
      <c r="AB987" s="1086"/>
    </row>
    <row r="988">
      <c r="A988" s="1100"/>
      <c r="B988" s="1086"/>
      <c r="C988" s="1086"/>
      <c r="D988" s="1086"/>
      <c r="E988" s="1086"/>
      <c r="F988" s="1086"/>
      <c r="G988" s="1086"/>
      <c r="H988" s="1086"/>
      <c r="I988" s="1086"/>
      <c r="J988" s="1086"/>
      <c r="K988" s="1086"/>
      <c r="L988" s="1086"/>
      <c r="M988" s="1086"/>
      <c r="N988" s="1086"/>
      <c r="O988" s="1086"/>
      <c r="P988" s="1086"/>
      <c r="Q988" s="1086"/>
      <c r="R988" s="1086"/>
      <c r="S988" s="1086"/>
      <c r="T988" s="1086"/>
      <c r="U988" s="1086"/>
      <c r="V988" s="1086"/>
      <c r="W988" s="1086"/>
      <c r="X988" s="1086"/>
      <c r="Y988" s="1086"/>
      <c r="Z988" s="1086"/>
      <c r="AA988" s="1086"/>
      <c r="AB988" s="1086"/>
    </row>
    <row r="989">
      <c r="A989" s="1100"/>
      <c r="B989" s="1086"/>
      <c r="C989" s="1086"/>
      <c r="D989" s="1086"/>
      <c r="E989" s="1086"/>
      <c r="F989" s="1086"/>
      <c r="G989" s="1086"/>
      <c r="H989" s="1086"/>
      <c r="I989" s="1086"/>
      <c r="J989" s="1086"/>
      <c r="K989" s="1086"/>
      <c r="L989" s="1086"/>
      <c r="M989" s="1086"/>
      <c r="N989" s="1086"/>
      <c r="O989" s="1086"/>
      <c r="P989" s="1086"/>
      <c r="Q989" s="1086"/>
      <c r="R989" s="1086"/>
      <c r="S989" s="1086"/>
      <c r="T989" s="1086"/>
      <c r="U989" s="1086"/>
      <c r="V989" s="1086"/>
      <c r="W989" s="1086"/>
      <c r="X989" s="1086"/>
      <c r="Y989" s="1086"/>
      <c r="Z989" s="1086"/>
      <c r="AA989" s="1086"/>
      <c r="AB989" s="1086"/>
    </row>
    <row r="990">
      <c r="A990" s="1100"/>
      <c r="B990" s="1086"/>
      <c r="C990" s="1086"/>
      <c r="D990" s="1086"/>
      <c r="E990" s="1086"/>
      <c r="F990" s="1086"/>
      <c r="G990" s="1086"/>
      <c r="H990" s="1086"/>
      <c r="I990" s="1086"/>
      <c r="J990" s="1086"/>
      <c r="K990" s="1086"/>
      <c r="L990" s="1086"/>
      <c r="M990" s="1086"/>
      <c r="N990" s="1086"/>
      <c r="O990" s="1086"/>
      <c r="P990" s="1086"/>
      <c r="Q990" s="1086"/>
      <c r="R990" s="1086"/>
      <c r="S990" s="1086"/>
      <c r="T990" s="1086"/>
      <c r="U990" s="1086"/>
      <c r="V990" s="1086"/>
      <c r="W990" s="1086"/>
      <c r="X990" s="1086"/>
      <c r="Y990" s="1086"/>
      <c r="Z990" s="1086"/>
      <c r="AA990" s="1086"/>
      <c r="AB990" s="1086"/>
    </row>
    <row r="991">
      <c r="A991" s="1100"/>
      <c r="B991" s="1086"/>
      <c r="C991" s="1086"/>
      <c r="D991" s="1086"/>
      <c r="E991" s="1086"/>
      <c r="F991" s="1086"/>
      <c r="G991" s="1086"/>
      <c r="H991" s="1086"/>
      <c r="I991" s="1086"/>
      <c r="J991" s="1086"/>
      <c r="K991" s="1086"/>
      <c r="L991" s="1086"/>
      <c r="M991" s="1086"/>
      <c r="N991" s="1086"/>
      <c r="O991" s="1086"/>
      <c r="P991" s="1086"/>
      <c r="Q991" s="1086"/>
      <c r="R991" s="1086"/>
      <c r="S991" s="1086"/>
      <c r="T991" s="1086"/>
      <c r="U991" s="1086"/>
      <c r="V991" s="1086"/>
      <c r="W991" s="1086"/>
      <c r="X991" s="1086"/>
      <c r="Y991" s="1086"/>
      <c r="Z991" s="1086"/>
      <c r="AA991" s="1086"/>
      <c r="AB991" s="1086"/>
    </row>
    <row r="992">
      <c r="A992" s="1100"/>
      <c r="B992" s="1086"/>
      <c r="C992" s="1086"/>
      <c r="D992" s="1086"/>
      <c r="E992" s="1086"/>
      <c r="F992" s="1086"/>
      <c r="G992" s="1086"/>
      <c r="H992" s="1086"/>
      <c r="I992" s="1086"/>
      <c r="J992" s="1086"/>
      <c r="K992" s="1086"/>
      <c r="L992" s="1086"/>
      <c r="M992" s="1086"/>
      <c r="N992" s="1086"/>
      <c r="O992" s="1086"/>
      <c r="P992" s="1086"/>
      <c r="Q992" s="1086"/>
      <c r="R992" s="1086"/>
      <c r="S992" s="1086"/>
      <c r="T992" s="1086"/>
      <c r="U992" s="1086"/>
      <c r="V992" s="1086"/>
      <c r="W992" s="1086"/>
      <c r="X992" s="1086"/>
      <c r="Y992" s="1086"/>
      <c r="Z992" s="1086"/>
      <c r="AA992" s="1086"/>
      <c r="AB992" s="1086"/>
    </row>
    <row r="993">
      <c r="A993" s="1100"/>
      <c r="B993" s="1086"/>
      <c r="C993" s="1086"/>
      <c r="D993" s="1086"/>
      <c r="E993" s="1086"/>
      <c r="F993" s="1086"/>
      <c r="G993" s="1086"/>
      <c r="H993" s="1086"/>
      <c r="I993" s="1086"/>
      <c r="J993" s="1086"/>
      <c r="K993" s="1086"/>
      <c r="L993" s="1086"/>
      <c r="M993" s="1086"/>
      <c r="N993" s="1086"/>
      <c r="O993" s="1086"/>
      <c r="P993" s="1086"/>
      <c r="Q993" s="1086"/>
      <c r="R993" s="1086"/>
      <c r="S993" s="1086"/>
      <c r="T993" s="1086"/>
      <c r="U993" s="1086"/>
      <c r="V993" s="1086"/>
      <c r="W993" s="1086"/>
      <c r="X993" s="1086"/>
      <c r="Y993" s="1086"/>
      <c r="Z993" s="1086"/>
      <c r="AA993" s="1086"/>
      <c r="AB993" s="1086"/>
    </row>
    <row r="994">
      <c r="A994" s="1100"/>
      <c r="B994" s="1086"/>
      <c r="C994" s="1086"/>
      <c r="D994" s="1086"/>
      <c r="E994" s="1086"/>
      <c r="F994" s="1086"/>
      <c r="G994" s="1086"/>
      <c r="H994" s="1086"/>
      <c r="I994" s="1086"/>
      <c r="J994" s="1086"/>
      <c r="K994" s="1086"/>
      <c r="L994" s="1086"/>
      <c r="M994" s="1086"/>
      <c r="N994" s="1086"/>
      <c r="O994" s="1086"/>
      <c r="P994" s="1086"/>
      <c r="Q994" s="1086"/>
      <c r="R994" s="1086"/>
      <c r="S994" s="1086"/>
      <c r="T994" s="1086"/>
      <c r="U994" s="1086"/>
      <c r="V994" s="1086"/>
      <c r="W994" s="1086"/>
      <c r="X994" s="1086"/>
      <c r="Y994" s="1086"/>
      <c r="Z994" s="1086"/>
      <c r="AA994" s="1086"/>
      <c r="AB994" s="1086"/>
    </row>
    <row r="995">
      <c r="A995" s="1100"/>
      <c r="B995" s="1086"/>
      <c r="C995" s="1086"/>
      <c r="D995" s="1086"/>
      <c r="E995" s="1086"/>
      <c r="F995" s="1086"/>
      <c r="G995" s="1086"/>
      <c r="H995" s="1086"/>
      <c r="I995" s="1086"/>
      <c r="J995" s="1086"/>
      <c r="K995" s="1086"/>
      <c r="L995" s="1086"/>
      <c r="M995" s="1086"/>
      <c r="N995" s="1086"/>
      <c r="O995" s="1086"/>
      <c r="P995" s="1086"/>
      <c r="Q995" s="1086"/>
      <c r="R995" s="1086"/>
      <c r="S995" s="1086"/>
      <c r="T995" s="1086"/>
      <c r="U995" s="1086"/>
      <c r="V995" s="1086"/>
      <c r="W995" s="1086"/>
      <c r="X995" s="1086"/>
      <c r="Y995" s="1086"/>
      <c r="Z995" s="1086"/>
      <c r="AA995" s="1086"/>
      <c r="AB995" s="1086"/>
    </row>
    <row r="996">
      <c r="A996" s="1100"/>
      <c r="B996" s="1086"/>
      <c r="C996" s="1086"/>
      <c r="D996" s="1086"/>
      <c r="E996" s="1086"/>
      <c r="F996" s="1086"/>
      <c r="G996" s="1086"/>
      <c r="H996" s="1086"/>
      <c r="I996" s="1086"/>
      <c r="J996" s="1086"/>
      <c r="K996" s="1086"/>
      <c r="L996" s="1086"/>
      <c r="M996" s="1086"/>
      <c r="N996" s="1086"/>
      <c r="O996" s="1086"/>
      <c r="P996" s="1086"/>
      <c r="Q996" s="1086"/>
      <c r="R996" s="1086"/>
      <c r="S996" s="1086"/>
      <c r="T996" s="1086"/>
      <c r="U996" s="1086"/>
      <c r="V996" s="1086"/>
      <c r="W996" s="1086"/>
      <c r="X996" s="1086"/>
      <c r="Y996" s="1086"/>
      <c r="Z996" s="1086"/>
      <c r="AA996" s="1086"/>
      <c r="AB996" s="1086"/>
    </row>
    <row r="997">
      <c r="A997" s="1100"/>
      <c r="B997" s="1086"/>
      <c r="C997" s="1086"/>
      <c r="D997" s="1086"/>
      <c r="E997" s="1086"/>
      <c r="F997" s="1086"/>
      <c r="G997" s="1086"/>
      <c r="H997" s="1086"/>
      <c r="I997" s="1086"/>
      <c r="J997" s="1086"/>
      <c r="K997" s="1086"/>
      <c r="L997" s="1086"/>
      <c r="M997" s="1086"/>
      <c r="N997" s="1086"/>
      <c r="O997" s="1086"/>
      <c r="P997" s="1086"/>
      <c r="Q997" s="1086"/>
      <c r="R997" s="1086"/>
      <c r="S997" s="1086"/>
      <c r="T997" s="1086"/>
      <c r="U997" s="1086"/>
      <c r="V997" s="1086"/>
      <c r="W997" s="1086"/>
      <c r="X997" s="1086"/>
      <c r="Y997" s="1086"/>
      <c r="Z997" s="1086"/>
      <c r="AA997" s="1086"/>
      <c r="AB997" s="1086"/>
    </row>
    <row r="998">
      <c r="A998" s="1100"/>
      <c r="B998" s="1086"/>
      <c r="C998" s="1086"/>
      <c r="D998" s="1086"/>
      <c r="E998" s="1086"/>
      <c r="F998" s="1086"/>
      <c r="G998" s="1086"/>
      <c r="H998" s="1086"/>
      <c r="I998" s="1086"/>
      <c r="J998" s="1086"/>
      <c r="K998" s="1086"/>
      <c r="L998" s="1086"/>
      <c r="M998" s="1086"/>
      <c r="N998" s="1086"/>
      <c r="O998" s="1086"/>
      <c r="P998" s="1086"/>
      <c r="Q998" s="1086"/>
      <c r="R998" s="1086"/>
      <c r="S998" s="1086"/>
      <c r="T998" s="1086"/>
      <c r="U998" s="1086"/>
      <c r="V998" s="1086"/>
      <c r="W998" s="1086"/>
      <c r="X998" s="1086"/>
      <c r="Y998" s="1086"/>
      <c r="Z998" s="1086"/>
      <c r="AA998" s="1086"/>
      <c r="AB998" s="1086"/>
    </row>
    <row r="999">
      <c r="A999" s="1100"/>
      <c r="B999" s="1086"/>
      <c r="C999" s="1086"/>
      <c r="D999" s="1086"/>
      <c r="E999" s="1086"/>
      <c r="F999" s="1086"/>
      <c r="G999" s="1086"/>
      <c r="H999" s="1086"/>
      <c r="I999" s="1086"/>
      <c r="J999" s="1086"/>
      <c r="K999" s="1086"/>
      <c r="L999" s="1086"/>
      <c r="M999" s="1086"/>
      <c r="N999" s="1086"/>
      <c r="O999" s="1086"/>
      <c r="P999" s="1086"/>
      <c r="Q999" s="1086"/>
      <c r="R999" s="1086"/>
      <c r="S999" s="1086"/>
      <c r="T999" s="1086"/>
      <c r="U999" s="1086"/>
      <c r="V999" s="1086"/>
      <c r="W999" s="1086"/>
      <c r="X999" s="1086"/>
      <c r="Y999" s="1086"/>
      <c r="Z999" s="1086"/>
      <c r="AA999" s="1086"/>
      <c r="AB999" s="1086"/>
    </row>
    <row r="1000">
      <c r="A1000" s="1100"/>
      <c r="B1000" s="1086"/>
      <c r="C1000" s="1086"/>
      <c r="D1000" s="1086"/>
      <c r="E1000" s="1086"/>
      <c r="F1000" s="1086"/>
      <c r="G1000" s="1086"/>
      <c r="H1000" s="1086"/>
      <c r="I1000" s="1086"/>
      <c r="J1000" s="1086"/>
      <c r="K1000" s="1086"/>
      <c r="L1000" s="1086"/>
      <c r="M1000" s="1086"/>
      <c r="N1000" s="1086"/>
      <c r="O1000" s="1086"/>
      <c r="P1000" s="1086"/>
      <c r="Q1000" s="1086"/>
      <c r="R1000" s="1086"/>
      <c r="S1000" s="1086"/>
      <c r="T1000" s="1086"/>
      <c r="U1000" s="1086"/>
      <c r="V1000" s="1086"/>
      <c r="W1000" s="1086"/>
      <c r="X1000" s="1086"/>
      <c r="Y1000" s="1086"/>
      <c r="Z1000" s="1086"/>
      <c r="AA1000" s="1086"/>
      <c r="AB1000" s="1086"/>
    </row>
    <row r="1001">
      <c r="A1001" s="1100"/>
      <c r="B1001" s="1086"/>
      <c r="C1001" s="1086"/>
      <c r="D1001" s="1086"/>
      <c r="E1001" s="1086"/>
      <c r="F1001" s="1086"/>
      <c r="G1001" s="1086"/>
      <c r="H1001" s="1086"/>
      <c r="I1001" s="1086"/>
      <c r="J1001" s="1086"/>
      <c r="K1001" s="1086"/>
      <c r="L1001" s="1086"/>
      <c r="M1001" s="1086"/>
      <c r="N1001" s="1086"/>
      <c r="O1001" s="1086"/>
      <c r="P1001" s="1086"/>
      <c r="Q1001" s="1086"/>
      <c r="R1001" s="1086"/>
      <c r="S1001" s="1086"/>
      <c r="T1001" s="1086"/>
      <c r="U1001" s="1086"/>
      <c r="V1001" s="1086"/>
      <c r="W1001" s="1086"/>
      <c r="X1001" s="1086"/>
      <c r="Y1001" s="1086"/>
      <c r="Z1001" s="1086"/>
      <c r="AA1001" s="1086"/>
      <c r="AB1001" s="1086"/>
    </row>
    <row r="1002">
      <c r="A1002" s="1100"/>
      <c r="B1002" s="1086"/>
      <c r="C1002" s="1086"/>
      <c r="D1002" s="1086"/>
      <c r="E1002" s="1086"/>
      <c r="F1002" s="1086"/>
      <c r="G1002" s="1086"/>
      <c r="H1002" s="1086"/>
      <c r="I1002" s="1086"/>
      <c r="J1002" s="1086"/>
      <c r="K1002" s="1086"/>
      <c r="L1002" s="1086"/>
      <c r="M1002" s="1086"/>
      <c r="N1002" s="1086"/>
      <c r="O1002" s="1086"/>
      <c r="P1002" s="1086"/>
      <c r="Q1002" s="1086"/>
      <c r="R1002" s="1086"/>
      <c r="S1002" s="1086"/>
      <c r="T1002" s="1086"/>
      <c r="U1002" s="1086"/>
      <c r="V1002" s="1086"/>
      <c r="W1002" s="1086"/>
      <c r="X1002" s="1086"/>
      <c r="Y1002" s="1086"/>
      <c r="Z1002" s="1086"/>
      <c r="AA1002" s="1086"/>
      <c r="AB1002" s="1086"/>
    </row>
    <row r="1003">
      <c r="A1003" s="1100"/>
      <c r="B1003" s="1086"/>
      <c r="C1003" s="1086"/>
      <c r="D1003" s="1086"/>
      <c r="E1003" s="1086"/>
      <c r="F1003" s="1086"/>
      <c r="G1003" s="1086"/>
      <c r="H1003" s="1086"/>
      <c r="I1003" s="1086"/>
      <c r="J1003" s="1086"/>
      <c r="K1003" s="1086"/>
      <c r="L1003" s="1086"/>
      <c r="M1003" s="1086"/>
      <c r="N1003" s="1086"/>
      <c r="O1003" s="1086"/>
      <c r="P1003" s="1086"/>
      <c r="Q1003" s="1086"/>
      <c r="R1003" s="1086"/>
      <c r="S1003" s="1086"/>
      <c r="T1003" s="1086"/>
      <c r="U1003" s="1086"/>
      <c r="V1003" s="1086"/>
      <c r="W1003" s="1086"/>
      <c r="X1003" s="1086"/>
      <c r="Y1003" s="1086"/>
      <c r="Z1003" s="1086"/>
      <c r="AA1003" s="1086"/>
      <c r="AB1003" s="1086"/>
    </row>
    <row r="1004">
      <c r="A1004" s="1100"/>
      <c r="B1004" s="1086"/>
      <c r="C1004" s="1086"/>
      <c r="D1004" s="1086"/>
      <c r="E1004" s="1086"/>
      <c r="F1004" s="1086"/>
      <c r="G1004" s="1086"/>
      <c r="H1004" s="1086"/>
      <c r="I1004" s="1086"/>
      <c r="J1004" s="1086"/>
      <c r="K1004" s="1086"/>
      <c r="L1004" s="1086"/>
      <c r="M1004" s="1086"/>
      <c r="N1004" s="1086"/>
      <c r="O1004" s="1086"/>
      <c r="P1004" s="1086"/>
      <c r="Q1004" s="1086"/>
      <c r="R1004" s="1086"/>
      <c r="S1004" s="1086"/>
      <c r="T1004" s="1086"/>
      <c r="U1004" s="1086"/>
      <c r="V1004" s="1086"/>
      <c r="W1004" s="1086"/>
      <c r="X1004" s="1086"/>
      <c r="Y1004" s="1086"/>
      <c r="Z1004" s="1086"/>
      <c r="AA1004" s="1086"/>
      <c r="AB1004" s="1086"/>
    </row>
    <row r="1005">
      <c r="A1005" s="1100"/>
      <c r="B1005" s="1086"/>
      <c r="C1005" s="1086"/>
      <c r="D1005" s="1086"/>
      <c r="E1005" s="1086"/>
      <c r="F1005" s="1086"/>
      <c r="G1005" s="1086"/>
      <c r="H1005" s="1086"/>
      <c r="I1005" s="1086"/>
      <c r="J1005" s="1086"/>
      <c r="K1005" s="1086"/>
      <c r="L1005" s="1086"/>
      <c r="M1005" s="1086"/>
      <c r="N1005" s="1086"/>
      <c r="O1005" s="1086"/>
      <c r="P1005" s="1086"/>
      <c r="Q1005" s="1086"/>
      <c r="R1005" s="1086"/>
      <c r="S1005" s="1086"/>
      <c r="T1005" s="1086"/>
      <c r="U1005" s="1086"/>
      <c r="V1005" s="1086"/>
      <c r="W1005" s="1086"/>
      <c r="X1005" s="1086"/>
      <c r="Y1005" s="1086"/>
      <c r="Z1005" s="1086"/>
      <c r="AA1005" s="1086"/>
      <c r="AB1005" s="1086"/>
    </row>
    <row r="1006">
      <c r="A1006" s="1100"/>
      <c r="B1006" s="1086"/>
      <c r="C1006" s="1086"/>
      <c r="D1006" s="1086"/>
      <c r="E1006" s="1086"/>
      <c r="F1006" s="1086"/>
      <c r="G1006" s="1086"/>
      <c r="H1006" s="1086"/>
      <c r="I1006" s="1086"/>
      <c r="J1006" s="1086"/>
      <c r="K1006" s="1086"/>
      <c r="L1006" s="1086"/>
      <c r="M1006" s="1086"/>
      <c r="N1006" s="1086"/>
      <c r="O1006" s="1086"/>
      <c r="P1006" s="1086"/>
      <c r="Q1006" s="1086"/>
      <c r="R1006" s="1086"/>
      <c r="S1006" s="1086"/>
      <c r="T1006" s="1086"/>
      <c r="U1006" s="1086"/>
      <c r="V1006" s="1086"/>
      <c r="W1006" s="1086"/>
      <c r="X1006" s="1086"/>
      <c r="Y1006" s="1086"/>
      <c r="Z1006" s="1086"/>
      <c r="AA1006" s="1086"/>
      <c r="AB1006" s="1086"/>
    </row>
    <row r="1007">
      <c r="A1007" s="1100"/>
      <c r="B1007" s="1086"/>
      <c r="C1007" s="1086"/>
      <c r="D1007" s="1086"/>
      <c r="E1007" s="1086"/>
      <c r="F1007" s="1086"/>
      <c r="G1007" s="1086"/>
      <c r="H1007" s="1086"/>
      <c r="I1007" s="1086"/>
      <c r="J1007" s="1086"/>
      <c r="K1007" s="1086"/>
      <c r="L1007" s="1086"/>
      <c r="M1007" s="1086"/>
      <c r="N1007" s="1086"/>
      <c r="O1007" s="1086"/>
      <c r="P1007" s="1086"/>
      <c r="Q1007" s="1086"/>
      <c r="R1007" s="1086"/>
      <c r="S1007" s="1086"/>
      <c r="T1007" s="1086"/>
      <c r="U1007" s="1086"/>
      <c r="V1007" s="1086"/>
      <c r="W1007" s="1086"/>
      <c r="X1007" s="1086"/>
      <c r="Y1007" s="1086"/>
      <c r="Z1007" s="1086"/>
      <c r="AA1007" s="1086"/>
      <c r="AB1007" s="1086"/>
    </row>
  </sheetData>
  <mergeCells count="19">
    <mergeCell ref="D1:E1"/>
    <mergeCell ref="H2:I2"/>
    <mergeCell ref="A5:A6"/>
    <mergeCell ref="H5:I5"/>
    <mergeCell ref="L5:Q5"/>
    <mergeCell ref="A7:A8"/>
    <mergeCell ref="H7:I7"/>
    <mergeCell ref="L9:Q9"/>
    <mergeCell ref="H11:I11"/>
    <mergeCell ref="B12:J12"/>
    <mergeCell ref="D13:E13"/>
    <mergeCell ref="D14:E14"/>
    <mergeCell ref="C6:G6"/>
    <mergeCell ref="C8:G8"/>
    <mergeCell ref="D9:E9"/>
    <mergeCell ref="D10:E10"/>
    <mergeCell ref="H10:I10"/>
    <mergeCell ref="A11:A12"/>
    <mergeCell ref="D11:E11"/>
  </mergeCells>
  <printOptions gridLines="1" horizontalCentered="1"/>
  <pageMargins bottom="0.75" footer="0.0" header="0.0" left="0.7" right="0.7" top="0.75"/>
  <pageSetup fitToHeight="0" paperSize="9" cellComments="atEnd" orientation="landscape" pageOrder="overThenDown"/>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6.38"/>
    <col customWidth="1" min="2" max="2" width="11.88"/>
    <col customWidth="1" min="3" max="3" width="17.13"/>
    <col customWidth="1" min="4" max="4" width="40.25"/>
    <col customWidth="1" min="5" max="5" width="19.13"/>
    <col customWidth="1" min="6" max="6" width="33.88"/>
    <col customWidth="1" min="7" max="7" width="27.0"/>
    <col customWidth="1" min="8" max="8" width="19.88"/>
  </cols>
  <sheetData>
    <row r="1" ht="22.5" customHeight="1">
      <c r="A1" s="1103" t="s">
        <v>12381</v>
      </c>
      <c r="B1" s="1103" t="s">
        <v>12382</v>
      </c>
      <c r="C1" s="1103" t="s">
        <v>12383</v>
      </c>
      <c r="D1" s="1103" t="s">
        <v>12384</v>
      </c>
      <c r="E1" s="1103" t="s">
        <v>12385</v>
      </c>
      <c r="F1" s="1103" t="s">
        <v>12386</v>
      </c>
      <c r="G1" s="1103" t="s">
        <v>12387</v>
      </c>
      <c r="H1" s="1103" t="s">
        <v>12388</v>
      </c>
      <c r="I1" s="1104"/>
      <c r="J1" s="1105"/>
      <c r="K1" s="1105"/>
      <c r="L1" s="1105"/>
      <c r="M1" s="1105"/>
      <c r="N1" s="1105"/>
      <c r="O1" s="1105"/>
      <c r="P1" s="1105"/>
      <c r="Q1" s="1105"/>
      <c r="R1" s="1105"/>
      <c r="S1" s="1105"/>
      <c r="T1" s="1105"/>
      <c r="U1" s="1105"/>
      <c r="V1" s="1105"/>
      <c r="W1" s="1105"/>
      <c r="X1" s="1105"/>
      <c r="Y1" s="1105"/>
      <c r="Z1" s="1105"/>
    </row>
    <row r="2" ht="22.5" customHeight="1">
      <c r="A2" s="1106" t="s">
        <v>12389</v>
      </c>
      <c r="B2" s="1106" t="s">
        <v>12390</v>
      </c>
      <c r="C2" s="1106" t="s">
        <v>12391</v>
      </c>
      <c r="D2" s="1107" t="s">
        <v>12392</v>
      </c>
      <c r="E2" s="1108" t="s">
        <v>12393</v>
      </c>
      <c r="F2" s="1106" t="s">
        <v>12394</v>
      </c>
      <c r="G2" s="1106"/>
      <c r="H2" s="1109" t="str">
        <f>HYPERLINK(CONCATENATE("https://api.whatsapp.com/send?phone=",E2))</f>
        <v>https://api.whatsapp.com/send?phone=+7-916-080-95-43</v>
      </c>
      <c r="I2" s="1110" t="str">
        <f>HYPERLINK(CONCATENATE("https://web.whatsapp.com/send?phone=",E2))</f>
        <v>https://web.whatsapp.com/send?phone=+7-916-080-95-43</v>
      </c>
      <c r="J2" s="1111"/>
      <c r="K2" s="1111"/>
      <c r="L2" s="1111"/>
      <c r="M2" s="1112"/>
      <c r="N2" s="1112"/>
      <c r="O2" s="1112"/>
      <c r="P2" s="1112"/>
      <c r="Q2" s="1112"/>
      <c r="R2" s="1112"/>
      <c r="S2" s="1112"/>
      <c r="T2" s="1112"/>
      <c r="U2" s="1112"/>
      <c r="V2" s="1112"/>
      <c r="W2" s="1112"/>
      <c r="X2" s="1112"/>
      <c r="Y2" s="1112"/>
      <c r="Z2" s="1112"/>
    </row>
    <row r="3" ht="22.5" customHeight="1">
      <c r="A3" s="1113" t="s">
        <v>11976</v>
      </c>
      <c r="B3" s="1113" t="s">
        <v>12267</v>
      </c>
      <c r="C3" s="1113" t="s">
        <v>12395</v>
      </c>
      <c r="D3" s="1107" t="s">
        <v>12396</v>
      </c>
      <c r="E3" s="1114" t="s">
        <v>12397</v>
      </c>
      <c r="F3" s="1113" t="s">
        <v>12398</v>
      </c>
      <c r="G3" s="1106"/>
      <c r="H3" s="1109"/>
      <c r="I3" s="1110"/>
      <c r="J3" s="1111"/>
      <c r="K3" s="1111"/>
      <c r="L3" s="1111"/>
      <c r="M3" s="1112"/>
      <c r="N3" s="1112"/>
      <c r="O3" s="1112"/>
      <c r="P3" s="1112"/>
      <c r="Q3" s="1112"/>
      <c r="R3" s="1112"/>
      <c r="S3" s="1112"/>
      <c r="T3" s="1112"/>
      <c r="U3" s="1112"/>
      <c r="V3" s="1112"/>
      <c r="W3" s="1112"/>
      <c r="X3" s="1112"/>
      <c r="Y3" s="1112"/>
      <c r="Z3" s="1112"/>
    </row>
    <row r="4" ht="22.5" customHeight="1">
      <c r="A4" s="1106" t="s">
        <v>12399</v>
      </c>
      <c r="B4" s="1106" t="s">
        <v>12400</v>
      </c>
      <c r="C4" s="1106" t="s">
        <v>12401</v>
      </c>
      <c r="D4" s="1107" t="s">
        <v>12402</v>
      </c>
      <c r="E4" s="1108" t="s">
        <v>12403</v>
      </c>
      <c r="F4" s="1106" t="s">
        <v>12404</v>
      </c>
      <c r="G4" s="1106"/>
      <c r="H4" s="1109" t="str">
        <f t="shared" ref="H4:H6" si="1">HYPERLINK(CONCATENATE("https://api.whatsapp.com/send?phone=",E4))</f>
        <v>https://api.whatsapp.com/send?phone=+7-967-267-11-15</v>
      </c>
      <c r="I4" s="1110" t="str">
        <f t="shared" ref="I4:I6" si="2">HYPERLINK(CONCATENATE("https://web.whatsapp.com/send?phone=",E4))</f>
        <v>https://web.whatsapp.com/send?phone=+7-967-267-11-15</v>
      </c>
      <c r="J4" s="1111"/>
      <c r="K4" s="1111"/>
      <c r="L4" s="1111"/>
      <c r="M4" s="1112"/>
      <c r="N4" s="1112"/>
      <c r="O4" s="1112"/>
      <c r="P4" s="1112"/>
      <c r="Q4" s="1112"/>
      <c r="R4" s="1112"/>
      <c r="S4" s="1112"/>
      <c r="T4" s="1112"/>
      <c r="U4" s="1112"/>
      <c r="V4" s="1112"/>
      <c r="W4" s="1112"/>
      <c r="X4" s="1112"/>
      <c r="Y4" s="1112"/>
      <c r="Z4" s="1112"/>
    </row>
    <row r="5" ht="22.5" customHeight="1">
      <c r="A5" s="1106" t="s">
        <v>11982</v>
      </c>
      <c r="B5" s="1106" t="s">
        <v>12405</v>
      </c>
      <c r="C5" s="1106" t="s">
        <v>12252</v>
      </c>
      <c r="D5" s="1107" t="s">
        <v>12406</v>
      </c>
      <c r="E5" s="1108" t="s">
        <v>12407</v>
      </c>
      <c r="F5" s="1106" t="s">
        <v>12408</v>
      </c>
      <c r="G5" s="1115" t="s">
        <v>12409</v>
      </c>
      <c r="H5" s="1109" t="str">
        <f t="shared" si="1"/>
        <v>https://api.whatsapp.com/send?phone=+7-964-568-69-11</v>
      </c>
      <c r="I5" s="1110" t="str">
        <f t="shared" si="2"/>
        <v>https://web.whatsapp.com/send?phone=+7-964-568-69-11</v>
      </c>
      <c r="J5" s="1111"/>
      <c r="K5" s="1111"/>
      <c r="L5" s="1111"/>
      <c r="M5" s="1112"/>
      <c r="N5" s="1112"/>
      <c r="O5" s="1112"/>
      <c r="P5" s="1112"/>
      <c r="Q5" s="1112"/>
      <c r="R5" s="1112"/>
      <c r="S5" s="1112"/>
      <c r="T5" s="1112"/>
      <c r="U5" s="1112"/>
      <c r="V5" s="1112"/>
      <c r="W5" s="1112"/>
      <c r="X5" s="1112"/>
      <c r="Y5" s="1112"/>
      <c r="Z5" s="1112"/>
    </row>
    <row r="6" ht="22.5" customHeight="1">
      <c r="A6" s="1106" t="s">
        <v>12410</v>
      </c>
      <c r="B6" s="1106" t="s">
        <v>12411</v>
      </c>
      <c r="C6" s="1106" t="s">
        <v>12412</v>
      </c>
      <c r="D6" s="1107" t="s">
        <v>12413</v>
      </c>
      <c r="E6" s="1108" t="s">
        <v>12414</v>
      </c>
      <c r="F6" s="1106" t="s">
        <v>12415</v>
      </c>
      <c r="G6" s="1115" t="s">
        <v>12416</v>
      </c>
      <c r="H6" s="1109" t="str">
        <f t="shared" si="1"/>
        <v>https://api.whatsapp.com/send?phone=+7-915-210-25-53</v>
      </c>
      <c r="I6" s="1110" t="str">
        <f t="shared" si="2"/>
        <v>https://web.whatsapp.com/send?phone=+7-915-210-25-53</v>
      </c>
      <c r="J6" s="1111"/>
      <c r="K6" s="1111"/>
      <c r="L6" s="1111"/>
      <c r="M6" s="1112"/>
      <c r="N6" s="1112"/>
      <c r="O6" s="1112"/>
      <c r="P6" s="1112"/>
      <c r="Q6" s="1112"/>
      <c r="R6" s="1112"/>
      <c r="S6" s="1112"/>
      <c r="T6" s="1112"/>
      <c r="U6" s="1112"/>
      <c r="V6" s="1112"/>
      <c r="W6" s="1112"/>
      <c r="X6" s="1112"/>
      <c r="Y6" s="1112"/>
      <c r="Z6" s="1112"/>
    </row>
    <row r="7" ht="22.5" customHeight="1">
      <c r="A7" s="1113" t="s">
        <v>12417</v>
      </c>
      <c r="B7" s="1113" t="s">
        <v>12304</v>
      </c>
      <c r="C7" s="1113" t="s">
        <v>12271</v>
      </c>
      <c r="D7" s="1107" t="s">
        <v>12396</v>
      </c>
      <c r="E7" s="1113" t="s">
        <v>12418</v>
      </c>
      <c r="F7" s="1113" t="s">
        <v>12419</v>
      </c>
      <c r="G7" s="1115"/>
      <c r="H7" s="1109"/>
      <c r="I7" s="1110"/>
      <c r="J7" s="1111"/>
      <c r="K7" s="1111"/>
      <c r="L7" s="1111"/>
      <c r="M7" s="1112"/>
      <c r="N7" s="1112"/>
      <c r="O7" s="1112"/>
      <c r="P7" s="1112"/>
      <c r="Q7" s="1112"/>
      <c r="R7" s="1112"/>
      <c r="S7" s="1112"/>
      <c r="T7" s="1112"/>
      <c r="U7" s="1112"/>
      <c r="V7" s="1112"/>
      <c r="W7" s="1112"/>
      <c r="X7" s="1112"/>
      <c r="Y7" s="1112"/>
      <c r="Z7" s="1112"/>
    </row>
    <row r="8" ht="22.5" customHeight="1">
      <c r="A8" s="1106" t="s">
        <v>12420</v>
      </c>
      <c r="B8" s="1106" t="s">
        <v>12421</v>
      </c>
      <c r="C8" s="1106" t="s">
        <v>12422</v>
      </c>
      <c r="D8" s="1107" t="s">
        <v>12402</v>
      </c>
      <c r="E8" s="1108" t="s">
        <v>12423</v>
      </c>
      <c r="F8" s="1106" t="s">
        <v>12424</v>
      </c>
      <c r="G8" s="1115" t="s">
        <v>12425</v>
      </c>
      <c r="H8" s="1109" t="str">
        <f t="shared" ref="H8:H9" si="3">HYPERLINK(CONCATENATE("https://api.whatsapp.com/send?phone=",E8))</f>
        <v>https://api.whatsapp.com/send?phone=+7-963-642-42-53</v>
      </c>
      <c r="I8" s="1110" t="str">
        <f t="shared" ref="I8:I9" si="4">HYPERLINK(CONCATENATE("https://web.whatsapp.com/send?phone=",E8))</f>
        <v>https://web.whatsapp.com/send?phone=+7-963-642-42-53</v>
      </c>
      <c r="J8" s="1111"/>
      <c r="K8" s="1111"/>
      <c r="L8" s="1111"/>
      <c r="M8" s="1112"/>
      <c r="N8" s="1112"/>
      <c r="O8" s="1112"/>
      <c r="P8" s="1112"/>
      <c r="Q8" s="1112"/>
      <c r="R8" s="1112"/>
      <c r="S8" s="1112"/>
      <c r="T8" s="1112"/>
      <c r="U8" s="1112"/>
      <c r="V8" s="1112"/>
      <c r="W8" s="1112"/>
      <c r="X8" s="1112"/>
      <c r="Y8" s="1112"/>
      <c r="Z8" s="1112"/>
    </row>
    <row r="9" ht="22.5" customHeight="1">
      <c r="A9" s="1106" t="s">
        <v>11973</v>
      </c>
      <c r="B9" s="1106" t="s">
        <v>12287</v>
      </c>
      <c r="C9" s="1106" t="s">
        <v>12426</v>
      </c>
      <c r="D9" s="1107" t="s">
        <v>12427</v>
      </c>
      <c r="E9" s="1108" t="s">
        <v>12428</v>
      </c>
      <c r="F9" s="1106" t="s">
        <v>12429</v>
      </c>
      <c r="G9" s="1116" t="s">
        <v>12430</v>
      </c>
      <c r="H9" s="1109" t="str">
        <f t="shared" si="3"/>
        <v>https://api.whatsapp.com/send?phone=+7-903-748-44-56</v>
      </c>
      <c r="I9" s="1110" t="str">
        <f t="shared" si="4"/>
        <v>https://web.whatsapp.com/send?phone=+7-903-748-44-56</v>
      </c>
      <c r="J9" s="1111"/>
      <c r="K9" s="1111"/>
      <c r="L9" s="1111"/>
      <c r="M9" s="1112"/>
      <c r="N9" s="1112"/>
      <c r="O9" s="1112"/>
      <c r="P9" s="1112"/>
      <c r="Q9" s="1112"/>
      <c r="R9" s="1112"/>
      <c r="S9" s="1112"/>
      <c r="T9" s="1112"/>
      <c r="U9" s="1112"/>
      <c r="V9" s="1112"/>
      <c r="W9" s="1112"/>
      <c r="X9" s="1112"/>
      <c r="Y9" s="1112"/>
      <c r="Z9" s="1112"/>
    </row>
    <row r="10" ht="22.5" customHeight="1">
      <c r="A10" s="1106" t="s">
        <v>12431</v>
      </c>
      <c r="B10" s="1106" t="s">
        <v>12432</v>
      </c>
      <c r="C10" s="1106" t="s">
        <v>12433</v>
      </c>
      <c r="D10" s="1117" t="s">
        <v>12434</v>
      </c>
      <c r="E10" s="1108" t="s">
        <v>12435</v>
      </c>
      <c r="F10" s="1106" t="s">
        <v>12436</v>
      </c>
      <c r="G10" s="1106"/>
      <c r="H10" s="1118"/>
      <c r="I10" s="1118"/>
      <c r="J10" s="1111"/>
      <c r="K10" s="1111"/>
      <c r="L10" s="1111"/>
      <c r="M10" s="1112"/>
      <c r="N10" s="1112"/>
      <c r="O10" s="1112"/>
      <c r="P10" s="1112"/>
      <c r="Q10" s="1112"/>
      <c r="R10" s="1112"/>
      <c r="S10" s="1112"/>
      <c r="T10" s="1112"/>
      <c r="U10" s="1112"/>
      <c r="V10" s="1112"/>
      <c r="W10" s="1112"/>
      <c r="X10" s="1112"/>
      <c r="Y10" s="1112"/>
      <c r="Z10" s="1112"/>
    </row>
    <row r="11" ht="22.5" customHeight="1">
      <c r="A11" s="1106" t="s">
        <v>12437</v>
      </c>
      <c r="B11" s="1106" t="s">
        <v>12438</v>
      </c>
      <c r="C11" s="1106" t="s">
        <v>12281</v>
      </c>
      <c r="D11" s="1107" t="s">
        <v>12392</v>
      </c>
      <c r="E11" s="1108" t="s">
        <v>12439</v>
      </c>
      <c r="F11" s="1106" t="s">
        <v>12440</v>
      </c>
      <c r="G11" s="1116" t="s">
        <v>12441</v>
      </c>
      <c r="H11" s="1109" t="str">
        <f t="shared" ref="H11:H12" si="5">HYPERLINK(CONCATENATE("https://api.whatsapp.com/send?phone=",E11))</f>
        <v>https://api.whatsapp.com/send?phone=+7-985-634-64-08</v>
      </c>
      <c r="I11" s="1110" t="str">
        <f t="shared" ref="I11:I12" si="6">HYPERLINK(CONCATENATE("https://web.whatsapp.com/send?phone=",E11))</f>
        <v>https://web.whatsapp.com/send?phone=+7-985-634-64-08</v>
      </c>
      <c r="J11" s="1111"/>
      <c r="K11" s="1111"/>
      <c r="L11" s="1111"/>
      <c r="M11" s="1112"/>
      <c r="N11" s="1112"/>
      <c r="O11" s="1112"/>
      <c r="P11" s="1112"/>
      <c r="Q11" s="1112"/>
      <c r="R11" s="1112"/>
      <c r="S11" s="1112"/>
      <c r="T11" s="1112"/>
      <c r="U11" s="1112"/>
      <c r="V11" s="1112"/>
      <c r="W11" s="1112"/>
      <c r="X11" s="1112"/>
      <c r="Y11" s="1112"/>
      <c r="Z11" s="1112"/>
    </row>
    <row r="12" ht="22.5" customHeight="1">
      <c r="A12" s="1106" t="s">
        <v>12442</v>
      </c>
      <c r="B12" s="1106" t="s">
        <v>12443</v>
      </c>
      <c r="C12" s="1106" t="s">
        <v>12444</v>
      </c>
      <c r="D12" s="1107" t="s">
        <v>12445</v>
      </c>
      <c r="E12" s="1108" t="s">
        <v>12446</v>
      </c>
      <c r="F12" s="1106" t="s">
        <v>12447</v>
      </c>
      <c r="G12" s="1106"/>
      <c r="H12" s="1109" t="str">
        <f t="shared" si="5"/>
        <v>https://api.whatsapp.com/send?phone=+7-929-573-62-36</v>
      </c>
      <c r="I12" s="1110" t="str">
        <f t="shared" si="6"/>
        <v>https://web.whatsapp.com/send?phone=+7-929-573-62-36</v>
      </c>
      <c r="J12" s="1111"/>
      <c r="K12" s="1111"/>
      <c r="L12" s="1111"/>
      <c r="M12" s="1112"/>
      <c r="N12" s="1112"/>
      <c r="O12" s="1112"/>
      <c r="P12" s="1112"/>
      <c r="Q12" s="1112"/>
      <c r="R12" s="1112"/>
      <c r="S12" s="1112"/>
      <c r="T12" s="1112"/>
      <c r="U12" s="1112"/>
      <c r="V12" s="1112"/>
      <c r="W12" s="1112"/>
      <c r="X12" s="1112"/>
      <c r="Y12" s="1112"/>
      <c r="Z12" s="1112"/>
    </row>
    <row r="13" ht="22.5" customHeight="1">
      <c r="A13" s="1106" t="s">
        <v>12448</v>
      </c>
      <c r="B13" s="1106" t="s">
        <v>12449</v>
      </c>
      <c r="C13" s="1106" t="s">
        <v>12401</v>
      </c>
      <c r="D13" s="1107" t="s">
        <v>12450</v>
      </c>
      <c r="E13" s="1114" t="s">
        <v>12451</v>
      </c>
      <c r="F13" s="1113" t="s">
        <v>12452</v>
      </c>
      <c r="G13" s="1106"/>
      <c r="H13" s="1118"/>
      <c r="I13" s="1118"/>
      <c r="J13" s="1111"/>
      <c r="K13" s="1111"/>
      <c r="L13" s="1111"/>
      <c r="M13" s="1112"/>
      <c r="N13" s="1112"/>
      <c r="O13" s="1112"/>
      <c r="P13" s="1112"/>
      <c r="Q13" s="1112"/>
      <c r="R13" s="1112"/>
      <c r="S13" s="1112"/>
      <c r="T13" s="1112"/>
      <c r="U13" s="1112"/>
      <c r="V13" s="1112"/>
      <c r="W13" s="1112"/>
      <c r="X13" s="1112"/>
      <c r="Y13" s="1112"/>
      <c r="Z13" s="1112"/>
    </row>
    <row r="14" ht="22.5" customHeight="1">
      <c r="A14" s="1106" t="s">
        <v>12453</v>
      </c>
      <c r="B14" s="1106" t="s">
        <v>12255</v>
      </c>
      <c r="C14" s="1106" t="s">
        <v>12454</v>
      </c>
      <c r="D14" s="1107" t="s">
        <v>12396</v>
      </c>
      <c r="E14" s="1106"/>
      <c r="F14" s="1106"/>
      <c r="G14" s="1106"/>
      <c r="H14" s="1118"/>
      <c r="I14" s="1118"/>
      <c r="J14" s="1111"/>
      <c r="K14" s="1111"/>
      <c r="L14" s="1111"/>
      <c r="M14" s="1112"/>
      <c r="N14" s="1112"/>
      <c r="O14" s="1112"/>
      <c r="P14" s="1112"/>
      <c r="Q14" s="1112"/>
      <c r="R14" s="1112"/>
      <c r="S14" s="1112"/>
      <c r="T14" s="1112"/>
      <c r="U14" s="1112"/>
      <c r="V14" s="1112"/>
      <c r="W14" s="1112"/>
      <c r="X14" s="1112"/>
      <c r="Y14" s="1112"/>
      <c r="Z14" s="1112"/>
    </row>
    <row r="15" ht="22.5" customHeight="1">
      <c r="A15" s="1106" t="s">
        <v>12455</v>
      </c>
      <c r="B15" s="1106" t="s">
        <v>12421</v>
      </c>
      <c r="C15" s="1106" t="s">
        <v>12252</v>
      </c>
      <c r="D15" s="1107" t="s">
        <v>12456</v>
      </c>
      <c r="E15" s="1108" t="s">
        <v>12457</v>
      </c>
      <c r="F15" s="1106" t="s">
        <v>12458</v>
      </c>
      <c r="G15" s="1115" t="s">
        <v>12459</v>
      </c>
      <c r="H15" s="1109" t="str">
        <f t="shared" ref="H15:H20" si="7">HYPERLINK(CONCATENATE("https://api.whatsapp.com/send?phone=",E15))</f>
        <v>https://api.whatsapp.com/send?phone=+7-916-259-27-08</v>
      </c>
      <c r="I15" s="1110" t="str">
        <f t="shared" ref="I15:I20" si="8">HYPERLINK(CONCATENATE("https://web.whatsapp.com/send?phone=",E15))</f>
        <v>https://web.whatsapp.com/send?phone=+7-916-259-27-08</v>
      </c>
      <c r="J15" s="1111"/>
      <c r="K15" s="1111"/>
      <c r="L15" s="1111"/>
      <c r="M15" s="1112"/>
      <c r="N15" s="1112"/>
      <c r="O15" s="1112"/>
      <c r="P15" s="1112"/>
      <c r="Q15" s="1112"/>
      <c r="R15" s="1112"/>
      <c r="S15" s="1112"/>
      <c r="T15" s="1112"/>
      <c r="U15" s="1112"/>
      <c r="V15" s="1112"/>
      <c r="W15" s="1112"/>
      <c r="X15" s="1112"/>
      <c r="Y15" s="1112"/>
      <c r="Z15" s="1112"/>
    </row>
    <row r="16" ht="22.5" customHeight="1">
      <c r="A16" s="1106" t="s">
        <v>12460</v>
      </c>
      <c r="B16" s="1106" t="s">
        <v>12270</v>
      </c>
      <c r="C16" s="1106" t="s">
        <v>12256</v>
      </c>
      <c r="D16" s="1107" t="s">
        <v>12461</v>
      </c>
      <c r="E16" s="1106"/>
      <c r="F16" s="1113" t="s">
        <v>12462</v>
      </c>
      <c r="G16" s="1116" t="s">
        <v>12463</v>
      </c>
      <c r="H16" s="1109" t="str">
        <f t="shared" si="7"/>
        <v>https://api.whatsapp.com/send?phone=</v>
      </c>
      <c r="I16" s="1110" t="str">
        <f t="shared" si="8"/>
        <v>https://web.whatsapp.com/send?phone=</v>
      </c>
      <c r="J16" s="1111"/>
      <c r="K16" s="1111"/>
      <c r="L16" s="1111"/>
      <c r="M16" s="1112"/>
      <c r="N16" s="1112"/>
      <c r="O16" s="1112"/>
      <c r="P16" s="1112"/>
      <c r="Q16" s="1112"/>
      <c r="R16" s="1112"/>
      <c r="S16" s="1112"/>
      <c r="T16" s="1112"/>
      <c r="U16" s="1112"/>
      <c r="V16" s="1112"/>
      <c r="W16" s="1112"/>
      <c r="X16" s="1112"/>
      <c r="Y16" s="1112"/>
      <c r="Z16" s="1112"/>
    </row>
    <row r="17" ht="22.5" customHeight="1">
      <c r="A17" s="1106" t="s">
        <v>12464</v>
      </c>
      <c r="B17" s="1106" t="s">
        <v>12465</v>
      </c>
      <c r="C17" s="1106" t="s">
        <v>12466</v>
      </c>
      <c r="D17" s="1107" t="s">
        <v>12467</v>
      </c>
      <c r="E17" s="1108" t="s">
        <v>12468</v>
      </c>
      <c r="F17" s="1106" t="s">
        <v>12469</v>
      </c>
      <c r="G17" s="1115" t="s">
        <v>12470</v>
      </c>
      <c r="H17" s="1109" t="str">
        <f t="shared" si="7"/>
        <v>https://api.whatsapp.com/send?phone=+7-915-136-97-54</v>
      </c>
      <c r="I17" s="1110" t="str">
        <f t="shared" si="8"/>
        <v>https://web.whatsapp.com/send?phone=+7-915-136-97-54</v>
      </c>
      <c r="J17" s="1111"/>
      <c r="K17" s="1111"/>
      <c r="L17" s="1111"/>
      <c r="M17" s="1112"/>
      <c r="N17" s="1112"/>
      <c r="O17" s="1112"/>
      <c r="P17" s="1112"/>
      <c r="Q17" s="1112"/>
      <c r="R17" s="1112"/>
      <c r="S17" s="1112"/>
      <c r="T17" s="1112"/>
      <c r="U17" s="1112"/>
      <c r="V17" s="1112"/>
      <c r="W17" s="1112"/>
      <c r="X17" s="1112"/>
      <c r="Y17" s="1112"/>
      <c r="Z17" s="1112"/>
    </row>
    <row r="18" ht="22.5" customHeight="1">
      <c r="A18" s="1106" t="s">
        <v>12011</v>
      </c>
      <c r="B18" s="1106" t="s">
        <v>12255</v>
      </c>
      <c r="C18" s="1106" t="s">
        <v>12281</v>
      </c>
      <c r="D18" s="1107" t="s">
        <v>12471</v>
      </c>
      <c r="E18" s="1108" t="s">
        <v>12472</v>
      </c>
      <c r="F18" s="1106" t="s">
        <v>12473</v>
      </c>
      <c r="G18" s="1106"/>
      <c r="H18" s="1109" t="str">
        <f t="shared" si="7"/>
        <v>https://api.whatsapp.com/send?phone=+7-926-585-20-01</v>
      </c>
      <c r="I18" s="1110" t="str">
        <f t="shared" si="8"/>
        <v>https://web.whatsapp.com/send?phone=+7-926-585-20-01</v>
      </c>
      <c r="J18" s="1111"/>
      <c r="K18" s="1111"/>
      <c r="L18" s="1111"/>
      <c r="M18" s="1112"/>
      <c r="N18" s="1112"/>
      <c r="O18" s="1112"/>
      <c r="P18" s="1112"/>
      <c r="Q18" s="1112"/>
      <c r="R18" s="1112"/>
      <c r="S18" s="1112"/>
      <c r="T18" s="1112"/>
      <c r="U18" s="1112"/>
      <c r="V18" s="1112"/>
      <c r="W18" s="1112"/>
      <c r="X18" s="1112"/>
      <c r="Y18" s="1112"/>
      <c r="Z18" s="1112"/>
    </row>
    <row r="19" ht="22.5" customHeight="1">
      <c r="A19" s="1106" t="s">
        <v>12474</v>
      </c>
      <c r="B19" s="1106" t="s">
        <v>12475</v>
      </c>
      <c r="C19" s="1106" t="s">
        <v>12476</v>
      </c>
      <c r="D19" s="1107" t="s">
        <v>12477</v>
      </c>
      <c r="E19" s="1108" t="s">
        <v>12478</v>
      </c>
      <c r="F19" s="1106" t="s">
        <v>12479</v>
      </c>
      <c r="G19" s="1106"/>
      <c r="H19" s="1109" t="str">
        <f t="shared" si="7"/>
        <v>https://api.whatsapp.com/send?phone=+7-915-193-07-54</v>
      </c>
      <c r="I19" s="1110" t="str">
        <f t="shared" si="8"/>
        <v>https://web.whatsapp.com/send?phone=+7-915-193-07-54</v>
      </c>
      <c r="J19" s="1111"/>
      <c r="K19" s="1111"/>
      <c r="L19" s="1111"/>
      <c r="M19" s="1112"/>
      <c r="N19" s="1112"/>
      <c r="O19" s="1112"/>
      <c r="P19" s="1112"/>
      <c r="Q19" s="1112"/>
      <c r="R19" s="1112"/>
      <c r="S19" s="1112"/>
      <c r="T19" s="1112"/>
      <c r="U19" s="1112"/>
      <c r="V19" s="1112"/>
      <c r="W19" s="1112"/>
      <c r="X19" s="1112"/>
      <c r="Y19" s="1112"/>
      <c r="Z19" s="1112"/>
    </row>
    <row r="20" ht="22.5" customHeight="1">
      <c r="A20" s="1106" t="s">
        <v>12480</v>
      </c>
      <c r="B20" s="1106" t="s">
        <v>12481</v>
      </c>
      <c r="C20" s="1106" t="s">
        <v>12288</v>
      </c>
      <c r="D20" s="1107" t="s">
        <v>12482</v>
      </c>
      <c r="E20" s="1108" t="s">
        <v>12483</v>
      </c>
      <c r="F20" s="1106" t="s">
        <v>12484</v>
      </c>
      <c r="G20" s="1106"/>
      <c r="H20" s="1109" t="str">
        <f t="shared" si="7"/>
        <v>https://api.whatsapp.com/send?phone=+7-926-560-87-33</v>
      </c>
      <c r="I20" s="1110" t="str">
        <f t="shared" si="8"/>
        <v>https://web.whatsapp.com/send?phone=+7-926-560-87-33</v>
      </c>
      <c r="J20" s="1111"/>
      <c r="K20" s="1111"/>
      <c r="L20" s="1111"/>
      <c r="M20" s="1112"/>
      <c r="N20" s="1112"/>
      <c r="O20" s="1112"/>
      <c r="P20" s="1112"/>
      <c r="Q20" s="1112"/>
      <c r="R20" s="1112"/>
      <c r="S20" s="1112"/>
      <c r="T20" s="1112"/>
      <c r="U20" s="1112"/>
      <c r="V20" s="1112"/>
      <c r="W20" s="1112"/>
      <c r="X20" s="1112"/>
      <c r="Y20" s="1112"/>
      <c r="Z20" s="1112"/>
    </row>
    <row r="21" ht="22.5" customHeight="1">
      <c r="A21" s="1113" t="s">
        <v>12485</v>
      </c>
      <c r="B21" s="1113" t="s">
        <v>12449</v>
      </c>
      <c r="C21" s="1113" t="s">
        <v>12486</v>
      </c>
      <c r="D21" s="1107" t="s">
        <v>12445</v>
      </c>
      <c r="E21" s="1114" t="s">
        <v>12487</v>
      </c>
      <c r="F21" s="1113" t="s">
        <v>12488</v>
      </c>
      <c r="G21" s="1106"/>
      <c r="H21" s="1109"/>
      <c r="I21" s="1110"/>
      <c r="J21" s="1111"/>
      <c r="K21" s="1111"/>
      <c r="L21" s="1111"/>
      <c r="M21" s="1112"/>
      <c r="N21" s="1112"/>
      <c r="O21" s="1112"/>
      <c r="P21" s="1112"/>
      <c r="Q21" s="1112"/>
      <c r="R21" s="1112"/>
      <c r="S21" s="1112"/>
      <c r="T21" s="1112"/>
      <c r="U21" s="1112"/>
      <c r="V21" s="1112"/>
      <c r="W21" s="1112"/>
      <c r="X21" s="1112"/>
      <c r="Y21" s="1112"/>
      <c r="Z21" s="1112"/>
    </row>
    <row r="22" ht="22.5" customHeight="1">
      <c r="A22" s="1113" t="s">
        <v>12489</v>
      </c>
      <c r="B22" s="1113" t="s">
        <v>12306</v>
      </c>
      <c r="C22" s="1113" t="s">
        <v>12490</v>
      </c>
      <c r="D22" s="1107" t="s">
        <v>12445</v>
      </c>
      <c r="E22" s="1114" t="s">
        <v>12491</v>
      </c>
      <c r="F22" s="1119" t="s">
        <v>12492</v>
      </c>
      <c r="G22" s="1106"/>
      <c r="H22" s="1109"/>
      <c r="I22" s="1110"/>
      <c r="J22" s="1111"/>
      <c r="K22" s="1111"/>
      <c r="L22" s="1111"/>
      <c r="M22" s="1112"/>
      <c r="N22" s="1112"/>
      <c r="O22" s="1112"/>
      <c r="P22" s="1112"/>
      <c r="Q22" s="1112"/>
      <c r="R22" s="1112"/>
      <c r="S22" s="1112"/>
      <c r="T22" s="1112"/>
      <c r="U22" s="1112"/>
      <c r="V22" s="1112"/>
      <c r="W22" s="1112"/>
      <c r="X22" s="1112"/>
      <c r="Y22" s="1112"/>
      <c r="Z22" s="1112"/>
    </row>
    <row r="23" ht="22.5" customHeight="1">
      <c r="A23" s="1113" t="s">
        <v>12493</v>
      </c>
      <c r="B23" s="1113" t="s">
        <v>12309</v>
      </c>
      <c r="C23" s="1113" t="s">
        <v>12288</v>
      </c>
      <c r="D23" s="1107" t="s">
        <v>12445</v>
      </c>
      <c r="E23" s="1114" t="s">
        <v>12494</v>
      </c>
      <c r="F23" s="1120" t="s">
        <v>12495</v>
      </c>
      <c r="G23" s="1106"/>
      <c r="H23" s="1109"/>
      <c r="I23" s="1110"/>
      <c r="J23" s="1111"/>
      <c r="K23" s="1111"/>
      <c r="L23" s="1111"/>
      <c r="M23" s="1112"/>
      <c r="N23" s="1112"/>
      <c r="O23" s="1112"/>
      <c r="P23" s="1112"/>
      <c r="Q23" s="1112"/>
      <c r="R23" s="1112"/>
      <c r="S23" s="1112"/>
      <c r="T23" s="1112"/>
      <c r="U23" s="1112"/>
      <c r="V23" s="1112"/>
      <c r="W23" s="1112"/>
      <c r="X23" s="1112"/>
      <c r="Y23" s="1112"/>
      <c r="Z23" s="1112"/>
    </row>
    <row r="24" ht="22.5" customHeight="1">
      <c r="A24" s="1106" t="s">
        <v>12496</v>
      </c>
      <c r="B24" s="1106" t="s">
        <v>12497</v>
      </c>
      <c r="C24" s="1106" t="s">
        <v>12498</v>
      </c>
      <c r="D24" s="1107" t="s">
        <v>12499</v>
      </c>
      <c r="E24" s="1108" t="s">
        <v>12500</v>
      </c>
      <c r="F24" s="1106"/>
      <c r="G24" s="1106"/>
      <c r="H24" s="1109" t="str">
        <f t="shared" ref="H24:H26" si="9">HYPERLINK(CONCATENATE("https://api.whatsapp.com/send?phone=",E24))</f>
        <v>https://api.whatsapp.com/send?phone=+7-903-172-94-89</v>
      </c>
      <c r="I24" s="1110" t="str">
        <f t="shared" ref="I24:I26" si="10">HYPERLINK(CONCATENATE("https://web.whatsapp.com/send?phone=",E24))</f>
        <v>https://web.whatsapp.com/send?phone=+7-903-172-94-89</v>
      </c>
      <c r="J24" s="1111"/>
      <c r="K24" s="1111"/>
      <c r="L24" s="1111"/>
      <c r="M24" s="1112"/>
      <c r="N24" s="1112"/>
      <c r="O24" s="1112"/>
      <c r="P24" s="1112"/>
      <c r="Q24" s="1112"/>
      <c r="R24" s="1112"/>
      <c r="S24" s="1112"/>
      <c r="T24" s="1112"/>
      <c r="U24" s="1112"/>
      <c r="V24" s="1112"/>
      <c r="W24" s="1112"/>
      <c r="X24" s="1112"/>
      <c r="Y24" s="1112"/>
      <c r="Z24" s="1112"/>
    </row>
    <row r="25" ht="22.5" customHeight="1">
      <c r="A25" s="1106" t="s">
        <v>12501</v>
      </c>
      <c r="B25" s="1106" t="s">
        <v>12411</v>
      </c>
      <c r="C25" s="1106" t="s">
        <v>12502</v>
      </c>
      <c r="D25" s="1107" t="s">
        <v>12503</v>
      </c>
      <c r="E25" s="1108" t="s">
        <v>12504</v>
      </c>
      <c r="F25" s="1106" t="s">
        <v>12505</v>
      </c>
      <c r="G25" s="1116" t="s">
        <v>12506</v>
      </c>
      <c r="H25" s="1109" t="str">
        <f t="shared" si="9"/>
        <v>https://api.whatsapp.com/send?phone=+7 905 532-21-51</v>
      </c>
      <c r="I25" s="1110" t="str">
        <f t="shared" si="10"/>
        <v>https://web.whatsapp.com/send?phone=+7 905 532-21-51</v>
      </c>
      <c r="J25" s="1111"/>
      <c r="K25" s="1111"/>
      <c r="L25" s="1111"/>
      <c r="M25" s="1112"/>
      <c r="N25" s="1112"/>
      <c r="O25" s="1112"/>
      <c r="P25" s="1112"/>
      <c r="Q25" s="1112"/>
      <c r="R25" s="1112"/>
      <c r="S25" s="1112"/>
      <c r="T25" s="1112"/>
      <c r="U25" s="1112"/>
      <c r="V25" s="1112"/>
      <c r="W25" s="1112"/>
      <c r="X25" s="1112"/>
      <c r="Y25" s="1112"/>
      <c r="Z25" s="1112"/>
    </row>
    <row r="26" ht="22.5" customHeight="1">
      <c r="A26" s="1106" t="s">
        <v>12507</v>
      </c>
      <c r="B26" s="1106" t="s">
        <v>12508</v>
      </c>
      <c r="C26" s="1106" t="s">
        <v>12476</v>
      </c>
      <c r="D26" s="1107" t="s">
        <v>12509</v>
      </c>
      <c r="E26" s="1108" t="s">
        <v>12510</v>
      </c>
      <c r="F26" s="1121" t="s">
        <v>12511</v>
      </c>
      <c r="G26" s="1106"/>
      <c r="H26" s="1109" t="str">
        <f t="shared" si="9"/>
        <v>https://api.whatsapp.com/send?phone=+7 905 507-97-11</v>
      </c>
      <c r="I26" s="1110" t="str">
        <f t="shared" si="10"/>
        <v>https://web.whatsapp.com/send?phone=+7 905 507-97-11</v>
      </c>
      <c r="J26" s="1111"/>
      <c r="K26" s="1111"/>
      <c r="L26" s="1111"/>
      <c r="M26" s="1112"/>
      <c r="N26" s="1112"/>
      <c r="O26" s="1112"/>
      <c r="P26" s="1112"/>
      <c r="Q26" s="1112"/>
      <c r="R26" s="1112"/>
      <c r="S26" s="1112"/>
      <c r="T26" s="1112"/>
      <c r="U26" s="1112"/>
      <c r="V26" s="1112"/>
      <c r="W26" s="1112"/>
      <c r="X26" s="1112"/>
      <c r="Y26" s="1112"/>
      <c r="Z26" s="1112"/>
    </row>
    <row r="27" ht="22.5" customHeight="1">
      <c r="A27" s="1113" t="s">
        <v>12512</v>
      </c>
      <c r="B27" s="1113" t="s">
        <v>12513</v>
      </c>
      <c r="C27" s="1113" t="s">
        <v>12433</v>
      </c>
      <c r="D27" s="1107" t="s">
        <v>12514</v>
      </c>
      <c r="E27" s="1114" t="s">
        <v>12515</v>
      </c>
      <c r="F27" s="1122" t="s">
        <v>12516</v>
      </c>
      <c r="G27" s="1106"/>
      <c r="H27" s="1109"/>
      <c r="I27" s="1110"/>
      <c r="J27" s="1111"/>
      <c r="K27" s="1111"/>
      <c r="L27" s="1111"/>
      <c r="M27" s="1112"/>
      <c r="N27" s="1112"/>
      <c r="O27" s="1112"/>
      <c r="P27" s="1112"/>
      <c r="Q27" s="1112"/>
      <c r="R27" s="1112"/>
      <c r="S27" s="1112"/>
      <c r="T27" s="1112"/>
      <c r="U27" s="1112"/>
      <c r="V27" s="1112"/>
      <c r="W27" s="1112"/>
      <c r="X27" s="1112"/>
      <c r="Y27" s="1112"/>
      <c r="Z27" s="1112"/>
    </row>
    <row r="28" ht="22.5" customHeight="1">
      <c r="A28" s="1106" t="s">
        <v>12517</v>
      </c>
      <c r="B28" s="1106" t="s">
        <v>12411</v>
      </c>
      <c r="C28" s="1106" t="s">
        <v>12518</v>
      </c>
      <c r="D28" s="1107" t="s">
        <v>12519</v>
      </c>
      <c r="E28" s="1108" t="s">
        <v>12520</v>
      </c>
      <c r="F28" s="1106" t="s">
        <v>12521</v>
      </c>
      <c r="G28" s="1106"/>
      <c r="H28" s="1109" t="str">
        <f>HYPERLINK(CONCATENATE("https://api.whatsapp.com/send?phone=",E28))</f>
        <v>https://api.whatsapp.com/send?phone=+7 917 585-30-14</v>
      </c>
      <c r="I28" s="1110" t="str">
        <f>HYPERLINK(CONCATENATE("https://web.whatsapp.com/send?phone=",E28))</f>
        <v>https://web.whatsapp.com/send?phone=+7 917 585-30-14</v>
      </c>
      <c r="J28" s="1111"/>
      <c r="K28" s="1111"/>
      <c r="L28" s="1111"/>
      <c r="M28" s="1112"/>
      <c r="N28" s="1112"/>
      <c r="O28" s="1112"/>
      <c r="P28" s="1112"/>
      <c r="Q28" s="1112"/>
      <c r="R28" s="1112"/>
      <c r="S28" s="1112"/>
      <c r="T28" s="1112"/>
      <c r="U28" s="1112"/>
      <c r="V28" s="1112"/>
      <c r="W28" s="1112"/>
      <c r="X28" s="1112"/>
      <c r="Y28" s="1112"/>
      <c r="Z28" s="1112"/>
    </row>
    <row r="29" ht="22.5" customHeight="1">
      <c r="A29" s="1123" t="s">
        <v>12522</v>
      </c>
      <c r="B29" s="1106"/>
      <c r="C29" s="1106"/>
      <c r="D29" s="1117"/>
      <c r="E29" s="1106"/>
      <c r="F29" s="1106" t="s">
        <v>12523</v>
      </c>
      <c r="G29" s="1106"/>
      <c r="H29" s="1109"/>
      <c r="I29" s="1110"/>
      <c r="J29" s="1111"/>
      <c r="K29" s="1111"/>
      <c r="L29" s="1111"/>
      <c r="M29" s="1112"/>
      <c r="N29" s="1112"/>
      <c r="O29" s="1112"/>
      <c r="P29" s="1112"/>
      <c r="Q29" s="1112"/>
      <c r="R29" s="1112"/>
      <c r="S29" s="1112"/>
      <c r="T29" s="1112"/>
      <c r="U29" s="1112"/>
      <c r="V29" s="1112"/>
      <c r="W29" s="1112"/>
      <c r="X29" s="1112"/>
      <c r="Y29" s="1112"/>
      <c r="Z29" s="1112"/>
    </row>
    <row r="30" ht="22.5" customHeight="1">
      <c r="A30" s="1113" t="s">
        <v>12524</v>
      </c>
      <c r="B30" s="1106"/>
      <c r="C30" s="1106"/>
      <c r="D30" s="1106"/>
      <c r="E30" s="1106"/>
      <c r="F30" s="1124" t="s">
        <v>12525</v>
      </c>
      <c r="G30" s="1106"/>
      <c r="H30" s="1109"/>
      <c r="I30" s="1110"/>
      <c r="J30" s="1111"/>
      <c r="K30" s="1111"/>
      <c r="L30" s="1111"/>
      <c r="M30" s="1112"/>
      <c r="N30" s="1112"/>
      <c r="O30" s="1112"/>
      <c r="P30" s="1112"/>
      <c r="Q30" s="1112"/>
      <c r="R30" s="1112"/>
      <c r="S30" s="1112"/>
      <c r="T30" s="1112"/>
      <c r="U30" s="1112"/>
      <c r="V30" s="1112"/>
      <c r="W30" s="1112"/>
      <c r="X30" s="1112"/>
      <c r="Y30" s="1112"/>
      <c r="Z30" s="1112"/>
    </row>
    <row r="31" ht="22.5" customHeight="1">
      <c r="A31" s="1106" t="s">
        <v>12526</v>
      </c>
      <c r="B31" s="1106" t="s">
        <v>12527</v>
      </c>
      <c r="C31" s="1106" t="s">
        <v>12528</v>
      </c>
      <c r="D31" s="1106"/>
      <c r="E31" s="1108" t="s">
        <v>12529</v>
      </c>
      <c r="F31" s="1106"/>
      <c r="G31" s="1106"/>
      <c r="H31" s="1109" t="str">
        <f t="shared" ref="H31:H32" si="11">HYPERLINK(CONCATENATE("https://api.whatsapp.com/send?phone=",E31))</f>
        <v>https://api.whatsapp.com/send?phone=+7-916-441-88-38</v>
      </c>
      <c r="I31" s="1110" t="str">
        <f t="shared" ref="I31:I32" si="12">HYPERLINK(CONCATENATE("https://web.whatsapp.com/send?phone=",E31))</f>
        <v>https://web.whatsapp.com/send?phone=+7-916-441-88-38</v>
      </c>
      <c r="J31" s="1111"/>
      <c r="K31" s="1111"/>
      <c r="L31" s="1111"/>
      <c r="M31" s="1111"/>
      <c r="N31" s="1111"/>
      <c r="O31" s="1112"/>
      <c r="P31" s="1112"/>
      <c r="Q31" s="1112"/>
      <c r="R31" s="1112"/>
      <c r="S31" s="1112"/>
      <c r="T31" s="1112"/>
      <c r="U31" s="1112"/>
      <c r="V31" s="1112"/>
      <c r="W31" s="1112"/>
      <c r="X31" s="1112"/>
      <c r="Y31" s="1112"/>
      <c r="Z31" s="1112"/>
    </row>
    <row r="32" ht="22.5" customHeight="1">
      <c r="A32" s="1106" t="s">
        <v>12530</v>
      </c>
      <c r="B32" s="1106" t="s">
        <v>12531</v>
      </c>
      <c r="C32" s="1106" t="s">
        <v>12283</v>
      </c>
      <c r="D32" s="1107" t="s">
        <v>12445</v>
      </c>
      <c r="E32" s="1108" t="s">
        <v>12532</v>
      </c>
      <c r="F32" s="1106" t="s">
        <v>12533</v>
      </c>
      <c r="G32" s="1116" t="s">
        <v>12534</v>
      </c>
      <c r="H32" s="1109" t="str">
        <f t="shared" si="11"/>
        <v>https://api.whatsapp.com/send?phone=+7-926-625-42-63</v>
      </c>
      <c r="I32" s="1110" t="str">
        <f t="shared" si="12"/>
        <v>https://web.whatsapp.com/send?phone=+7-926-625-42-63</v>
      </c>
      <c r="J32" s="1111"/>
      <c r="K32" s="1111"/>
      <c r="L32" s="1111"/>
      <c r="M32" s="1112"/>
      <c r="N32" s="1112"/>
      <c r="O32" s="1112"/>
      <c r="P32" s="1112"/>
      <c r="Q32" s="1112"/>
      <c r="R32" s="1112"/>
      <c r="S32" s="1112"/>
      <c r="T32" s="1112"/>
      <c r="U32" s="1112"/>
      <c r="V32" s="1112"/>
      <c r="W32" s="1112"/>
      <c r="X32" s="1112"/>
      <c r="Y32" s="1112"/>
      <c r="Z32" s="1112"/>
    </row>
    <row r="33" ht="22.5" customHeight="1">
      <c r="A33" s="1113" t="s">
        <v>11979</v>
      </c>
      <c r="B33" s="1113" t="s">
        <v>12535</v>
      </c>
      <c r="C33" s="1125" t="s">
        <v>12433</v>
      </c>
      <c r="D33" s="1107" t="s">
        <v>12536</v>
      </c>
      <c r="E33" s="1121"/>
      <c r="F33" s="1113" t="s">
        <v>12537</v>
      </c>
      <c r="G33" s="1116"/>
      <c r="H33" s="1109"/>
      <c r="I33" s="1110"/>
      <c r="J33" s="1111"/>
      <c r="K33" s="1111"/>
      <c r="L33" s="1111"/>
      <c r="M33" s="1112"/>
      <c r="N33" s="1112"/>
      <c r="O33" s="1112"/>
      <c r="P33" s="1112"/>
      <c r="Q33" s="1112"/>
      <c r="R33" s="1112"/>
      <c r="S33" s="1112"/>
      <c r="T33" s="1112"/>
      <c r="U33" s="1112"/>
      <c r="V33" s="1112"/>
      <c r="W33" s="1112"/>
      <c r="X33" s="1112"/>
      <c r="Y33" s="1112"/>
      <c r="Z33" s="1112"/>
    </row>
    <row r="34" ht="22.5" customHeight="1">
      <c r="A34" s="1106" t="s">
        <v>11970</v>
      </c>
      <c r="B34" s="1106" t="s">
        <v>12255</v>
      </c>
      <c r="C34" s="1121" t="s">
        <v>12538</v>
      </c>
      <c r="D34" s="1107" t="s">
        <v>12392</v>
      </c>
      <c r="E34" s="1126" t="s">
        <v>12539</v>
      </c>
      <c r="F34" s="1106" t="s">
        <v>12540</v>
      </c>
      <c r="G34" s="1116" t="s">
        <v>12541</v>
      </c>
      <c r="H34" s="1109" t="str">
        <f t="shared" ref="H34:H38" si="13">HYPERLINK(CONCATENATE("https://api.whatsapp.com/send?phone=",E34))</f>
        <v>https://api.whatsapp.com/send?phone=+7-922-104-47-32</v>
      </c>
      <c r="I34" s="1110" t="str">
        <f t="shared" ref="I34:I38" si="14">HYPERLINK(CONCATENATE("https://web.whatsapp.com/send?phone=",E34))</f>
        <v>https://web.whatsapp.com/send?phone=+7-922-104-47-32</v>
      </c>
      <c r="J34" s="1111"/>
      <c r="K34" s="1111"/>
      <c r="L34" s="1111"/>
      <c r="M34" s="1112"/>
      <c r="N34" s="1112"/>
      <c r="O34" s="1112"/>
      <c r="P34" s="1112"/>
      <c r="Q34" s="1112"/>
      <c r="R34" s="1112"/>
      <c r="S34" s="1112"/>
      <c r="T34" s="1112"/>
      <c r="U34" s="1112"/>
      <c r="V34" s="1112"/>
      <c r="W34" s="1112"/>
      <c r="X34" s="1112"/>
      <c r="Y34" s="1112"/>
      <c r="Z34" s="1112"/>
    </row>
    <row r="35" ht="22.5" customHeight="1">
      <c r="A35" s="1106" t="s">
        <v>11967</v>
      </c>
      <c r="B35" s="1106" t="s">
        <v>12438</v>
      </c>
      <c r="C35" s="1121" t="s">
        <v>12542</v>
      </c>
      <c r="D35" s="1107" t="s">
        <v>12543</v>
      </c>
      <c r="E35" s="1126" t="s">
        <v>12544</v>
      </c>
      <c r="F35" s="1121" t="s">
        <v>12545</v>
      </c>
      <c r="G35" s="1127" t="s">
        <v>12546</v>
      </c>
      <c r="H35" s="1109" t="str">
        <f t="shared" si="13"/>
        <v>https://api.whatsapp.com/send?phone=+7-985-987-33-27</v>
      </c>
      <c r="I35" s="1110" t="str">
        <f t="shared" si="14"/>
        <v>https://web.whatsapp.com/send?phone=+7-985-987-33-27</v>
      </c>
      <c r="J35" s="1111"/>
      <c r="K35" s="1111"/>
      <c r="L35" s="1111"/>
      <c r="M35" s="1112"/>
      <c r="N35" s="1112"/>
      <c r="O35" s="1112"/>
      <c r="P35" s="1112"/>
      <c r="Q35" s="1112"/>
      <c r="R35" s="1112"/>
      <c r="S35" s="1112"/>
      <c r="T35" s="1112"/>
      <c r="U35" s="1112"/>
      <c r="V35" s="1112"/>
      <c r="W35" s="1112"/>
      <c r="X35" s="1112"/>
      <c r="Y35" s="1112"/>
      <c r="Z35" s="1112"/>
    </row>
    <row r="36" ht="22.5" customHeight="1">
      <c r="A36" s="1106" t="s">
        <v>12547</v>
      </c>
      <c r="B36" s="1106" t="s">
        <v>12548</v>
      </c>
      <c r="C36" s="1106" t="s">
        <v>12277</v>
      </c>
      <c r="D36" s="1107" t="s">
        <v>12549</v>
      </c>
      <c r="E36" s="1108" t="s">
        <v>12550</v>
      </c>
      <c r="F36" s="1106" t="s">
        <v>12551</v>
      </c>
      <c r="G36" s="1115" t="s">
        <v>12552</v>
      </c>
      <c r="H36" s="1109" t="str">
        <f t="shared" si="13"/>
        <v>https://api.whatsapp.com/send?phone=+7-915-117-59-28</v>
      </c>
      <c r="I36" s="1110" t="str">
        <f t="shared" si="14"/>
        <v>https://web.whatsapp.com/send?phone=+7-915-117-59-28</v>
      </c>
      <c r="J36" s="1111"/>
      <c r="K36" s="1111"/>
      <c r="L36" s="1111"/>
      <c r="M36" s="1112"/>
      <c r="N36" s="1112"/>
      <c r="O36" s="1112"/>
      <c r="P36" s="1112"/>
      <c r="Q36" s="1112"/>
      <c r="R36" s="1112"/>
      <c r="S36" s="1112"/>
      <c r="T36" s="1112"/>
      <c r="U36" s="1112"/>
      <c r="V36" s="1112"/>
      <c r="W36" s="1112"/>
      <c r="X36" s="1112"/>
      <c r="Y36" s="1112"/>
      <c r="Z36" s="1112"/>
    </row>
    <row r="37" ht="22.5" customHeight="1">
      <c r="A37" s="1106" t="s">
        <v>12016</v>
      </c>
      <c r="B37" s="1106" t="s">
        <v>12553</v>
      </c>
      <c r="C37" s="1106" t="s">
        <v>12433</v>
      </c>
      <c r="D37" s="1107" t="s">
        <v>12554</v>
      </c>
      <c r="E37" s="1108" t="s">
        <v>12555</v>
      </c>
      <c r="F37" s="1106" t="s">
        <v>12556</v>
      </c>
      <c r="G37" s="1115" t="s">
        <v>12557</v>
      </c>
      <c r="H37" s="1109" t="str">
        <f t="shared" si="13"/>
        <v>https://api.whatsapp.com/send?phone=+7-916-223-23-28</v>
      </c>
      <c r="I37" s="1110" t="str">
        <f t="shared" si="14"/>
        <v>https://web.whatsapp.com/send?phone=+7-916-223-23-28</v>
      </c>
      <c r="J37" s="1111"/>
      <c r="K37" s="1111"/>
      <c r="L37" s="1111"/>
      <c r="M37" s="1112"/>
      <c r="N37" s="1112"/>
      <c r="O37" s="1112"/>
      <c r="P37" s="1112"/>
      <c r="Q37" s="1112"/>
      <c r="R37" s="1112"/>
      <c r="S37" s="1112"/>
      <c r="T37" s="1112"/>
      <c r="U37" s="1112"/>
      <c r="V37" s="1112"/>
      <c r="W37" s="1112"/>
      <c r="X37" s="1112"/>
      <c r="Y37" s="1112"/>
      <c r="Z37" s="1112"/>
    </row>
    <row r="38" ht="22.5" customHeight="1">
      <c r="A38" s="1106" t="s">
        <v>12558</v>
      </c>
      <c r="B38" s="1106" t="s">
        <v>12270</v>
      </c>
      <c r="C38" s="1106" t="s">
        <v>12291</v>
      </c>
      <c r="D38" s="1117" t="s">
        <v>12559</v>
      </c>
      <c r="E38" s="1108" t="s">
        <v>12560</v>
      </c>
      <c r="F38" s="1106" t="s">
        <v>12561</v>
      </c>
      <c r="G38" s="1106"/>
      <c r="H38" s="1109" t="str">
        <f t="shared" si="13"/>
        <v>https://api.whatsapp.com/send?phone=+7-999-817-35-65</v>
      </c>
      <c r="I38" s="1110" t="str">
        <f t="shared" si="14"/>
        <v>https://web.whatsapp.com/send?phone=+7-999-817-35-65</v>
      </c>
      <c r="J38" s="1111"/>
      <c r="K38" s="1111"/>
      <c r="L38" s="1111"/>
      <c r="M38" s="1112"/>
      <c r="N38" s="1112"/>
      <c r="O38" s="1112"/>
      <c r="P38" s="1112"/>
      <c r="Q38" s="1112"/>
      <c r="R38" s="1112"/>
      <c r="S38" s="1112"/>
      <c r="T38" s="1112"/>
      <c r="U38" s="1112"/>
      <c r="V38" s="1112"/>
      <c r="W38" s="1112"/>
      <c r="X38" s="1112"/>
      <c r="Y38" s="1112"/>
      <c r="Z38" s="1112"/>
    </row>
    <row r="39" ht="22.5" customHeight="1">
      <c r="A39" s="1106" t="s">
        <v>12562</v>
      </c>
      <c r="B39" s="1106" t="s">
        <v>12508</v>
      </c>
      <c r="C39" s="1106" t="s">
        <v>12252</v>
      </c>
      <c r="D39" s="1107" t="s">
        <v>12402</v>
      </c>
      <c r="E39" s="1106"/>
      <c r="F39" s="1106" t="s">
        <v>12563</v>
      </c>
      <c r="G39" s="1116" t="s">
        <v>12564</v>
      </c>
      <c r="H39" s="1109"/>
      <c r="I39" s="1110"/>
      <c r="J39" s="1111"/>
      <c r="K39" s="1111"/>
      <c r="L39" s="1111"/>
      <c r="M39" s="1112"/>
      <c r="N39" s="1112"/>
      <c r="O39" s="1112"/>
      <c r="P39" s="1112"/>
      <c r="Q39" s="1112"/>
      <c r="R39" s="1112"/>
      <c r="S39" s="1112"/>
      <c r="T39" s="1112"/>
      <c r="U39" s="1112"/>
      <c r="V39" s="1112"/>
      <c r="W39" s="1112"/>
      <c r="X39" s="1112"/>
      <c r="Y39" s="1112"/>
      <c r="Z39" s="1112"/>
    </row>
    <row r="40" ht="22.5" customHeight="1">
      <c r="A40" s="1106" t="s">
        <v>12565</v>
      </c>
      <c r="B40" s="1106" t="s">
        <v>12481</v>
      </c>
      <c r="C40" s="1106" t="s">
        <v>12433</v>
      </c>
      <c r="D40" s="1107" t="s">
        <v>12396</v>
      </c>
      <c r="E40" s="1108" t="s">
        <v>12566</v>
      </c>
      <c r="F40" s="1106" t="s">
        <v>12567</v>
      </c>
      <c r="G40" s="1116" t="s">
        <v>12568</v>
      </c>
      <c r="H40" s="1109" t="str">
        <f>HYPERLINK(CONCATENATE("https://api.whatsapp.com/send?phone=",E40))</f>
        <v>https://api.whatsapp.com/send?phone=+7-916-862-76-47</v>
      </c>
      <c r="I40" s="1110" t="str">
        <f>HYPERLINK(CONCATENATE("https://web.whatsapp.com/send?phone=",E40))</f>
        <v>https://web.whatsapp.com/send?phone=+7-916-862-76-47</v>
      </c>
      <c r="J40" s="1111"/>
      <c r="K40" s="1111"/>
      <c r="L40" s="1111"/>
      <c r="M40" s="1112"/>
      <c r="N40" s="1112"/>
      <c r="O40" s="1112"/>
      <c r="P40" s="1112"/>
      <c r="Q40" s="1112"/>
      <c r="R40" s="1112"/>
      <c r="S40" s="1112"/>
      <c r="T40" s="1112"/>
      <c r="U40" s="1112"/>
      <c r="V40" s="1112"/>
      <c r="W40" s="1112"/>
      <c r="X40" s="1112"/>
      <c r="Y40" s="1112"/>
      <c r="Z40" s="1112"/>
    </row>
    <row r="41" ht="22.5" customHeight="1">
      <c r="A41" s="1113" t="s">
        <v>11990</v>
      </c>
      <c r="B41" s="1113" t="s">
        <v>12569</v>
      </c>
      <c r="C41" s="1113" t="s">
        <v>12256</v>
      </c>
      <c r="D41" s="1107" t="s">
        <v>12570</v>
      </c>
      <c r="E41" s="1114" t="s">
        <v>12571</v>
      </c>
      <c r="F41" s="1113" t="s">
        <v>12572</v>
      </c>
      <c r="G41" s="1106"/>
      <c r="H41" s="1109"/>
      <c r="I41" s="1110"/>
      <c r="J41" s="1111"/>
      <c r="K41" s="1111"/>
      <c r="L41" s="1111"/>
      <c r="M41" s="1112"/>
      <c r="N41" s="1112"/>
      <c r="O41" s="1112"/>
      <c r="P41" s="1112"/>
      <c r="Q41" s="1112"/>
      <c r="R41" s="1112"/>
      <c r="S41" s="1112"/>
      <c r="T41" s="1112"/>
      <c r="U41" s="1112"/>
      <c r="V41" s="1112"/>
      <c r="W41" s="1112"/>
      <c r="X41" s="1112"/>
      <c r="Y41" s="1112"/>
      <c r="Z41" s="1112"/>
    </row>
    <row r="42" ht="22.5" customHeight="1">
      <c r="A42" s="1106" t="s">
        <v>12003</v>
      </c>
      <c r="B42" s="1106" t="s">
        <v>12573</v>
      </c>
      <c r="C42" s="1106" t="s">
        <v>12574</v>
      </c>
      <c r="D42" s="1107" t="s">
        <v>12575</v>
      </c>
      <c r="E42" s="1108" t="s">
        <v>12576</v>
      </c>
      <c r="F42" s="1106" t="s">
        <v>12577</v>
      </c>
      <c r="G42" s="1106"/>
      <c r="H42" s="1109" t="str">
        <f t="shared" ref="H42:H44" si="15">HYPERLINK(CONCATENATE("https://api.whatsapp.com/send?phone=",E42))</f>
        <v>https://api.whatsapp.com/send?phone=+7-987-034-00-45</v>
      </c>
      <c r="I42" s="1110" t="str">
        <f t="shared" ref="I42:I44" si="16">HYPERLINK(CONCATENATE("https://web.whatsapp.com/send?phone=",E42))</f>
        <v>https://web.whatsapp.com/send?phone=+7-987-034-00-45</v>
      </c>
      <c r="J42" s="1111"/>
      <c r="K42" s="1111"/>
      <c r="L42" s="1111"/>
      <c r="M42" s="1112"/>
      <c r="N42" s="1112"/>
      <c r="O42" s="1112"/>
      <c r="P42" s="1112"/>
      <c r="Q42" s="1112"/>
      <c r="R42" s="1112"/>
      <c r="S42" s="1112"/>
      <c r="T42" s="1112"/>
      <c r="U42" s="1112"/>
      <c r="V42" s="1112"/>
      <c r="W42" s="1112"/>
      <c r="X42" s="1112"/>
      <c r="Y42" s="1112"/>
      <c r="Z42" s="1112"/>
    </row>
    <row r="43" ht="22.5" customHeight="1">
      <c r="A43" s="1106" t="s">
        <v>12578</v>
      </c>
      <c r="B43" s="1106" t="s">
        <v>12579</v>
      </c>
      <c r="C43" s="1106" t="s">
        <v>12391</v>
      </c>
      <c r="D43" s="1107" t="s">
        <v>12402</v>
      </c>
      <c r="E43" s="1108" t="s">
        <v>12580</v>
      </c>
      <c r="F43" s="1106" t="s">
        <v>12581</v>
      </c>
      <c r="G43" s="1106"/>
      <c r="H43" s="1109" t="str">
        <f t="shared" si="15"/>
        <v>https://api.whatsapp.com/send?phone=+7-916-938-43-54</v>
      </c>
      <c r="I43" s="1110" t="str">
        <f t="shared" si="16"/>
        <v>https://web.whatsapp.com/send?phone=+7-916-938-43-54</v>
      </c>
      <c r="J43" s="1111"/>
      <c r="K43" s="1111"/>
      <c r="L43" s="1111"/>
      <c r="M43" s="1112"/>
      <c r="N43" s="1112"/>
      <c r="O43" s="1112"/>
      <c r="P43" s="1112"/>
      <c r="Q43" s="1112"/>
      <c r="R43" s="1112"/>
      <c r="S43" s="1112"/>
      <c r="T43" s="1112"/>
      <c r="U43" s="1112"/>
      <c r="V43" s="1112"/>
      <c r="W43" s="1112"/>
      <c r="X43" s="1112"/>
      <c r="Y43" s="1112"/>
      <c r="Z43" s="1112"/>
    </row>
    <row r="44" ht="22.5" customHeight="1">
      <c r="A44" s="1106" t="s">
        <v>12582</v>
      </c>
      <c r="B44" s="1106" t="s">
        <v>12287</v>
      </c>
      <c r="C44" s="1106" t="s">
        <v>12252</v>
      </c>
      <c r="D44" s="1107" t="s">
        <v>12392</v>
      </c>
      <c r="E44" s="1108" t="s">
        <v>12583</v>
      </c>
      <c r="F44" s="1106" t="s">
        <v>12584</v>
      </c>
      <c r="G44" s="1116" t="s">
        <v>12585</v>
      </c>
      <c r="H44" s="1109" t="str">
        <f t="shared" si="15"/>
        <v>https://api.whatsapp.com/send?phone=+7-926-329-58-43</v>
      </c>
      <c r="I44" s="1110" t="str">
        <f t="shared" si="16"/>
        <v>https://web.whatsapp.com/send?phone=+7-926-329-58-43</v>
      </c>
      <c r="J44" s="1111"/>
      <c r="K44" s="1111"/>
      <c r="L44" s="1111"/>
      <c r="M44" s="1112"/>
      <c r="N44" s="1112"/>
      <c r="O44" s="1112"/>
      <c r="P44" s="1112"/>
      <c r="Q44" s="1112"/>
      <c r="R44" s="1112"/>
      <c r="S44" s="1112"/>
      <c r="T44" s="1112"/>
      <c r="U44" s="1112"/>
      <c r="V44" s="1112"/>
      <c r="W44" s="1112"/>
      <c r="X44" s="1112"/>
      <c r="Y44" s="1112"/>
      <c r="Z44" s="1112"/>
    </row>
    <row r="45" ht="22.5" customHeight="1">
      <c r="A45" s="1128"/>
      <c r="B45" s="1128"/>
      <c r="C45" s="1128"/>
      <c r="D45" s="1128"/>
      <c r="E45" s="1128"/>
      <c r="F45" s="1128"/>
      <c r="G45" s="1128"/>
      <c r="H45" s="1128"/>
      <c r="I45" s="1128"/>
      <c r="J45" s="1128"/>
      <c r="K45" s="1128"/>
      <c r="L45" s="1128"/>
      <c r="M45" s="1128"/>
      <c r="N45" s="1128"/>
      <c r="O45" s="1128"/>
      <c r="P45" s="1128"/>
      <c r="Q45" s="1128"/>
      <c r="R45" s="1128"/>
      <c r="S45" s="1128"/>
      <c r="T45" s="1128"/>
      <c r="U45" s="1128"/>
      <c r="V45" s="1128"/>
      <c r="W45" s="1128"/>
      <c r="X45" s="1128"/>
      <c r="Y45" s="1128"/>
      <c r="Z45" s="1128"/>
    </row>
    <row r="47" ht="22.5" customHeight="1">
      <c r="A47" s="1128"/>
      <c r="B47" s="1128"/>
      <c r="C47" s="1128"/>
      <c r="D47" s="1128"/>
      <c r="E47" s="1128"/>
      <c r="F47" s="1128"/>
      <c r="G47" s="1128"/>
      <c r="H47" s="1128"/>
      <c r="I47" s="1128"/>
      <c r="J47" s="1128"/>
      <c r="K47" s="1128"/>
      <c r="L47" s="1128"/>
      <c r="M47" s="1128"/>
      <c r="N47" s="1128"/>
      <c r="O47" s="1128"/>
      <c r="P47" s="1128"/>
      <c r="Q47" s="1128"/>
      <c r="R47" s="1128"/>
      <c r="S47" s="1128"/>
      <c r="T47" s="1128"/>
      <c r="U47" s="1128"/>
      <c r="V47" s="1128"/>
      <c r="W47" s="1128"/>
      <c r="X47" s="1128"/>
      <c r="Y47" s="1128"/>
      <c r="Z47" s="1128"/>
    </row>
    <row r="48" ht="22.5" customHeight="1">
      <c r="A48" s="1128"/>
      <c r="B48" s="1128"/>
      <c r="C48" s="1128"/>
      <c r="D48" s="1128"/>
      <c r="E48" s="1128"/>
      <c r="F48" s="1128"/>
      <c r="G48" s="1128"/>
      <c r="H48" s="1128"/>
      <c r="I48" s="1128"/>
      <c r="J48" s="1128"/>
      <c r="K48" s="1128"/>
      <c r="L48" s="1128"/>
      <c r="M48" s="1128"/>
      <c r="N48" s="1128"/>
      <c r="O48" s="1128"/>
      <c r="P48" s="1128"/>
      <c r="Q48" s="1128"/>
      <c r="R48" s="1128"/>
      <c r="S48" s="1128"/>
      <c r="T48" s="1128"/>
      <c r="U48" s="1128"/>
      <c r="V48" s="1128"/>
      <c r="W48" s="1128"/>
      <c r="X48" s="1128"/>
      <c r="Y48" s="1128"/>
      <c r="Z48" s="1128"/>
    </row>
    <row r="49" ht="22.5" customHeight="1">
      <c r="A49" s="1128"/>
      <c r="B49" s="1128"/>
      <c r="C49" s="1128"/>
      <c r="D49" s="1128"/>
      <c r="E49" s="1128"/>
      <c r="F49" s="1128"/>
      <c r="G49" s="1128"/>
      <c r="H49" s="1128"/>
      <c r="I49" s="1128"/>
      <c r="J49" s="1128"/>
      <c r="K49" s="1128"/>
      <c r="L49" s="1128"/>
      <c r="M49" s="1128"/>
      <c r="N49" s="1128"/>
      <c r="O49" s="1128"/>
      <c r="P49" s="1128"/>
      <c r="Q49" s="1128"/>
      <c r="R49" s="1128"/>
      <c r="S49" s="1128"/>
      <c r="T49" s="1128"/>
      <c r="U49" s="1128"/>
      <c r="V49" s="1128"/>
      <c r="W49" s="1128"/>
      <c r="X49" s="1128"/>
      <c r="Y49" s="1128"/>
      <c r="Z49" s="1128"/>
    </row>
    <row r="50" ht="22.5" customHeight="1">
      <c r="A50" s="1128"/>
      <c r="B50" s="1128"/>
      <c r="C50" s="1128"/>
      <c r="D50" s="1128"/>
      <c r="E50" s="1128"/>
      <c r="F50" s="1128"/>
      <c r="G50" s="1128"/>
      <c r="H50" s="1128"/>
      <c r="I50" s="1128"/>
      <c r="J50" s="1128"/>
      <c r="K50" s="1128"/>
      <c r="L50" s="1128"/>
      <c r="M50" s="1128"/>
      <c r="N50" s="1128"/>
      <c r="O50" s="1128"/>
      <c r="P50" s="1128"/>
      <c r="Q50" s="1128"/>
      <c r="R50" s="1128"/>
      <c r="S50" s="1128"/>
      <c r="T50" s="1128"/>
      <c r="U50" s="1128"/>
      <c r="V50" s="1128"/>
      <c r="W50" s="1128"/>
      <c r="X50" s="1128"/>
      <c r="Y50" s="1128"/>
      <c r="Z50" s="1128"/>
    </row>
    <row r="51" ht="22.5" customHeight="1">
      <c r="A51" s="1128"/>
      <c r="B51" s="1128"/>
      <c r="C51" s="1128"/>
      <c r="D51" s="1128"/>
      <c r="E51" s="1128"/>
      <c r="F51" s="1128"/>
      <c r="G51" s="1128"/>
      <c r="H51" s="1128"/>
      <c r="I51" s="1128"/>
      <c r="J51" s="1128"/>
      <c r="K51" s="1128"/>
      <c r="L51" s="1128"/>
      <c r="M51" s="1128"/>
      <c r="N51" s="1128"/>
      <c r="O51" s="1128"/>
      <c r="P51" s="1128"/>
      <c r="Q51" s="1128"/>
      <c r="R51" s="1128"/>
      <c r="S51" s="1128"/>
      <c r="T51" s="1128"/>
      <c r="U51" s="1128"/>
      <c r="V51" s="1128"/>
      <c r="W51" s="1128"/>
      <c r="X51" s="1128"/>
      <c r="Y51" s="1128"/>
      <c r="Z51" s="1128"/>
    </row>
    <row r="52" ht="22.5" customHeight="1">
      <c r="A52" s="1128"/>
      <c r="B52" s="1128"/>
      <c r="C52" s="1128"/>
      <c r="D52" s="1128"/>
      <c r="E52" s="1128"/>
      <c r="F52" s="1128"/>
      <c r="G52" s="1128"/>
      <c r="H52" s="1128"/>
      <c r="I52" s="1128"/>
      <c r="J52" s="1128"/>
      <c r="K52" s="1128"/>
      <c r="L52" s="1128"/>
      <c r="M52" s="1128"/>
      <c r="N52" s="1128"/>
      <c r="O52" s="1128"/>
      <c r="P52" s="1128"/>
      <c r="Q52" s="1128"/>
      <c r="R52" s="1128"/>
      <c r="S52" s="1128"/>
      <c r="T52" s="1128"/>
      <c r="U52" s="1128"/>
      <c r="V52" s="1128"/>
      <c r="W52" s="1128"/>
      <c r="X52" s="1128"/>
      <c r="Y52" s="1128"/>
      <c r="Z52" s="1128"/>
    </row>
    <row r="53" ht="22.5" customHeight="1">
      <c r="A53" s="1128"/>
      <c r="B53" s="1128"/>
      <c r="C53" s="1128"/>
      <c r="D53" s="1128"/>
      <c r="E53" s="1128"/>
      <c r="F53" s="1128"/>
      <c r="G53" s="1128"/>
      <c r="H53" s="1128"/>
      <c r="I53" s="1128"/>
      <c r="J53" s="1128"/>
      <c r="K53" s="1128"/>
      <c r="L53" s="1128"/>
      <c r="M53" s="1128"/>
      <c r="N53" s="1128"/>
      <c r="O53" s="1128"/>
      <c r="P53" s="1128"/>
      <c r="Q53" s="1128"/>
      <c r="R53" s="1128"/>
      <c r="S53" s="1128"/>
      <c r="T53" s="1128"/>
      <c r="U53" s="1128"/>
      <c r="V53" s="1128"/>
      <c r="W53" s="1128"/>
      <c r="X53" s="1128"/>
      <c r="Y53" s="1128"/>
      <c r="Z53" s="1128"/>
    </row>
    <row r="54" ht="22.5" customHeight="1">
      <c r="A54" s="1128"/>
      <c r="B54" s="1128"/>
      <c r="C54" s="1128"/>
      <c r="D54" s="1128"/>
      <c r="E54" s="1128"/>
      <c r="F54" s="1128"/>
      <c r="G54" s="1128"/>
      <c r="H54" s="1128"/>
      <c r="I54" s="1128"/>
      <c r="J54" s="1128"/>
      <c r="K54" s="1128"/>
      <c r="L54" s="1128"/>
      <c r="M54" s="1128"/>
      <c r="N54" s="1128"/>
      <c r="O54" s="1128"/>
      <c r="P54" s="1128"/>
      <c r="Q54" s="1128"/>
      <c r="R54" s="1128"/>
      <c r="S54" s="1128"/>
      <c r="T54" s="1128"/>
      <c r="U54" s="1128"/>
      <c r="V54" s="1128"/>
      <c r="W54" s="1128"/>
      <c r="X54" s="1128"/>
      <c r="Y54" s="1128"/>
      <c r="Z54" s="1128"/>
    </row>
    <row r="55" ht="22.5" customHeight="1">
      <c r="A55" s="1128"/>
      <c r="B55" s="1128"/>
      <c r="C55" s="1128"/>
      <c r="D55" s="1128"/>
      <c r="E55" s="1128"/>
      <c r="F55" s="1128"/>
      <c r="G55" s="1128"/>
      <c r="H55" s="1128"/>
      <c r="I55" s="1128"/>
      <c r="J55" s="1128"/>
      <c r="K55" s="1128"/>
      <c r="L55" s="1128"/>
      <c r="M55" s="1128"/>
      <c r="N55" s="1128"/>
      <c r="O55" s="1128"/>
      <c r="P55" s="1128"/>
      <c r="Q55" s="1128"/>
      <c r="R55" s="1128"/>
      <c r="S55" s="1128"/>
      <c r="T55" s="1128"/>
      <c r="U55" s="1128"/>
      <c r="V55" s="1128"/>
      <c r="W55" s="1128"/>
      <c r="X55" s="1128"/>
      <c r="Y55" s="1128"/>
      <c r="Z55" s="1128"/>
    </row>
    <row r="56" ht="22.5" customHeight="1">
      <c r="A56" s="1128"/>
      <c r="B56" s="1128"/>
      <c r="C56" s="1128"/>
      <c r="D56" s="1128"/>
      <c r="E56" s="1128"/>
      <c r="F56" s="1128"/>
      <c r="G56" s="1128"/>
      <c r="H56" s="1128"/>
      <c r="I56" s="1128"/>
      <c r="J56" s="1128"/>
      <c r="K56" s="1128"/>
      <c r="L56" s="1128"/>
      <c r="M56" s="1128"/>
      <c r="N56" s="1128"/>
      <c r="O56" s="1128"/>
      <c r="P56" s="1128"/>
      <c r="Q56" s="1128"/>
      <c r="R56" s="1128"/>
      <c r="S56" s="1128"/>
      <c r="T56" s="1128"/>
      <c r="U56" s="1128"/>
      <c r="V56" s="1128"/>
      <c r="W56" s="1128"/>
      <c r="X56" s="1128"/>
      <c r="Y56" s="1128"/>
      <c r="Z56" s="1128"/>
    </row>
    <row r="57" ht="22.5" customHeight="1">
      <c r="A57" s="1128"/>
      <c r="B57" s="1128"/>
      <c r="C57" s="1128"/>
      <c r="D57" s="1128"/>
      <c r="E57" s="1128"/>
      <c r="F57" s="1128"/>
      <c r="G57" s="1128"/>
      <c r="H57" s="1128"/>
      <c r="I57" s="1128"/>
      <c r="J57" s="1128"/>
      <c r="K57" s="1128"/>
      <c r="L57" s="1128"/>
      <c r="M57" s="1128"/>
      <c r="N57" s="1128"/>
      <c r="O57" s="1128"/>
      <c r="P57" s="1128"/>
      <c r="Q57" s="1128"/>
      <c r="R57" s="1128"/>
      <c r="S57" s="1128"/>
      <c r="T57" s="1128"/>
      <c r="U57" s="1128"/>
      <c r="V57" s="1128"/>
      <c r="W57" s="1128"/>
      <c r="X57" s="1128"/>
      <c r="Y57" s="1128"/>
      <c r="Z57" s="1128"/>
    </row>
    <row r="58" ht="22.5" customHeight="1">
      <c r="A58" s="1128"/>
      <c r="B58" s="1128"/>
      <c r="C58" s="1128"/>
      <c r="D58" s="1128"/>
      <c r="E58" s="1128"/>
      <c r="F58" s="1128"/>
      <c r="G58" s="1128"/>
      <c r="H58" s="1128"/>
      <c r="I58" s="1128"/>
      <c r="J58" s="1128"/>
      <c r="K58" s="1128"/>
      <c r="L58" s="1128"/>
      <c r="M58" s="1128"/>
      <c r="N58" s="1128"/>
      <c r="O58" s="1128"/>
      <c r="P58" s="1128"/>
      <c r="Q58" s="1128"/>
      <c r="R58" s="1128"/>
      <c r="S58" s="1128"/>
      <c r="T58" s="1128"/>
      <c r="U58" s="1128"/>
      <c r="V58" s="1128"/>
      <c r="W58" s="1128"/>
      <c r="X58" s="1128"/>
      <c r="Y58" s="1128"/>
      <c r="Z58" s="1128"/>
    </row>
    <row r="59" ht="22.5" customHeight="1">
      <c r="A59" s="1128"/>
      <c r="B59" s="1128"/>
      <c r="C59" s="1128"/>
      <c r="D59" s="1128"/>
      <c r="E59" s="1128"/>
      <c r="F59" s="1128"/>
      <c r="G59" s="1128"/>
      <c r="H59" s="1128"/>
      <c r="I59" s="1128"/>
      <c r="J59" s="1128"/>
      <c r="K59" s="1128"/>
      <c r="L59" s="1128"/>
      <c r="M59" s="1128"/>
      <c r="N59" s="1128"/>
      <c r="O59" s="1128"/>
      <c r="P59" s="1128"/>
      <c r="Q59" s="1128"/>
      <c r="R59" s="1128"/>
      <c r="S59" s="1128"/>
      <c r="T59" s="1128"/>
      <c r="U59" s="1128"/>
      <c r="V59" s="1128"/>
      <c r="W59" s="1128"/>
      <c r="X59" s="1128"/>
      <c r="Y59" s="1128"/>
      <c r="Z59" s="1128"/>
    </row>
    <row r="60" ht="22.5" customHeight="1">
      <c r="A60" s="1128"/>
      <c r="B60" s="1128"/>
      <c r="C60" s="1128"/>
      <c r="D60" s="1128"/>
      <c r="E60" s="1128"/>
      <c r="F60" s="1128"/>
      <c r="G60" s="1128"/>
      <c r="H60" s="1128"/>
      <c r="I60" s="1128"/>
      <c r="J60" s="1128"/>
      <c r="K60" s="1128"/>
      <c r="L60" s="1128"/>
      <c r="M60" s="1128"/>
      <c r="N60" s="1128"/>
      <c r="O60" s="1128"/>
      <c r="P60" s="1128"/>
      <c r="Q60" s="1128"/>
      <c r="R60" s="1128"/>
      <c r="S60" s="1128"/>
      <c r="T60" s="1128"/>
      <c r="U60" s="1128"/>
      <c r="V60" s="1128"/>
      <c r="W60" s="1128"/>
      <c r="X60" s="1128"/>
      <c r="Y60" s="1128"/>
      <c r="Z60" s="1128"/>
    </row>
    <row r="61" ht="22.5" customHeight="1">
      <c r="A61" s="1128"/>
      <c r="B61" s="1128"/>
      <c r="C61" s="1128"/>
      <c r="D61" s="1128"/>
      <c r="E61" s="1128"/>
      <c r="F61" s="1128"/>
      <c r="G61" s="1128"/>
      <c r="H61" s="1128"/>
      <c r="I61" s="1128"/>
      <c r="J61" s="1128"/>
      <c r="K61" s="1128"/>
      <c r="L61" s="1128"/>
      <c r="M61" s="1128"/>
      <c r="N61" s="1128"/>
      <c r="O61" s="1128"/>
      <c r="P61" s="1128"/>
      <c r="Q61" s="1128"/>
      <c r="R61" s="1128"/>
      <c r="S61" s="1128"/>
      <c r="T61" s="1128"/>
      <c r="U61" s="1128"/>
      <c r="V61" s="1128"/>
      <c r="W61" s="1128"/>
      <c r="X61" s="1128"/>
      <c r="Y61" s="1128"/>
      <c r="Z61" s="1128"/>
    </row>
    <row r="62" ht="22.5" customHeight="1">
      <c r="A62" s="1128"/>
      <c r="B62" s="1128"/>
      <c r="C62" s="1128"/>
      <c r="D62" s="1128"/>
      <c r="E62" s="1128"/>
      <c r="F62" s="1128"/>
      <c r="G62" s="1128"/>
      <c r="H62" s="1128"/>
      <c r="I62" s="1128"/>
      <c r="J62" s="1128"/>
      <c r="K62" s="1128"/>
      <c r="L62" s="1128"/>
      <c r="M62" s="1128"/>
      <c r="N62" s="1128"/>
      <c r="O62" s="1128"/>
      <c r="P62" s="1128"/>
      <c r="Q62" s="1128"/>
      <c r="R62" s="1128"/>
      <c r="S62" s="1128"/>
      <c r="T62" s="1128"/>
      <c r="U62" s="1128"/>
      <c r="V62" s="1128"/>
      <c r="W62" s="1128"/>
      <c r="X62" s="1128"/>
      <c r="Y62" s="1128"/>
      <c r="Z62" s="1128"/>
    </row>
    <row r="63" ht="22.5" customHeight="1">
      <c r="A63" s="1128"/>
      <c r="B63" s="1128"/>
      <c r="C63" s="1128"/>
      <c r="D63" s="1128"/>
      <c r="E63" s="1128"/>
      <c r="F63" s="1128"/>
      <c r="G63" s="1128"/>
      <c r="H63" s="1128"/>
      <c r="I63" s="1128"/>
      <c r="J63" s="1128"/>
      <c r="K63" s="1128"/>
      <c r="L63" s="1128"/>
      <c r="M63" s="1128"/>
      <c r="N63" s="1128"/>
      <c r="O63" s="1128"/>
      <c r="P63" s="1128"/>
      <c r="Q63" s="1128"/>
      <c r="R63" s="1128"/>
      <c r="S63" s="1128"/>
      <c r="T63" s="1128"/>
      <c r="U63" s="1128"/>
      <c r="V63" s="1128"/>
      <c r="W63" s="1128"/>
      <c r="X63" s="1128"/>
      <c r="Y63" s="1128"/>
      <c r="Z63" s="1128"/>
    </row>
    <row r="64" ht="22.5" customHeight="1">
      <c r="A64" s="1128"/>
      <c r="B64" s="1128"/>
      <c r="C64" s="1128"/>
      <c r="D64" s="1128"/>
      <c r="E64" s="1128"/>
      <c r="F64" s="1128"/>
      <c r="G64" s="1128"/>
      <c r="H64" s="1128"/>
      <c r="I64" s="1128"/>
      <c r="J64" s="1128"/>
      <c r="K64" s="1128"/>
      <c r="L64" s="1128"/>
      <c r="M64" s="1128"/>
      <c r="N64" s="1128"/>
      <c r="O64" s="1128"/>
      <c r="P64" s="1128"/>
      <c r="Q64" s="1128"/>
      <c r="R64" s="1128"/>
      <c r="S64" s="1128"/>
      <c r="T64" s="1128"/>
      <c r="U64" s="1128"/>
      <c r="V64" s="1128"/>
      <c r="W64" s="1128"/>
      <c r="X64" s="1128"/>
      <c r="Y64" s="1128"/>
      <c r="Z64" s="1128"/>
    </row>
    <row r="65" ht="22.5" customHeight="1">
      <c r="A65" s="1128"/>
      <c r="B65" s="1128"/>
      <c r="C65" s="1128"/>
      <c r="D65" s="1128"/>
      <c r="E65" s="1128"/>
      <c r="F65" s="1128"/>
      <c r="G65" s="1128"/>
      <c r="H65" s="1128"/>
      <c r="I65" s="1128"/>
      <c r="J65" s="1128"/>
      <c r="K65" s="1128"/>
      <c r="L65" s="1128"/>
      <c r="M65" s="1128"/>
      <c r="N65" s="1128"/>
      <c r="O65" s="1128"/>
      <c r="P65" s="1128"/>
      <c r="Q65" s="1128"/>
      <c r="R65" s="1128"/>
      <c r="S65" s="1128"/>
      <c r="T65" s="1128"/>
      <c r="U65" s="1128"/>
      <c r="V65" s="1128"/>
      <c r="W65" s="1128"/>
      <c r="X65" s="1128"/>
      <c r="Y65" s="1128"/>
      <c r="Z65" s="1128"/>
    </row>
    <row r="66" ht="22.5" customHeight="1">
      <c r="A66" s="1128"/>
      <c r="B66" s="1128"/>
      <c r="C66" s="1128"/>
      <c r="D66" s="1128"/>
      <c r="E66" s="1128"/>
      <c r="F66" s="1128"/>
      <c r="G66" s="1128"/>
      <c r="H66" s="1128"/>
      <c r="I66" s="1128"/>
      <c r="J66" s="1128"/>
      <c r="K66" s="1128"/>
      <c r="L66" s="1128"/>
      <c r="M66" s="1128"/>
      <c r="N66" s="1128"/>
      <c r="O66" s="1128"/>
      <c r="P66" s="1128"/>
      <c r="Q66" s="1128"/>
      <c r="R66" s="1128"/>
      <c r="S66" s="1128"/>
      <c r="T66" s="1128"/>
      <c r="U66" s="1128"/>
      <c r="V66" s="1128"/>
      <c r="W66" s="1128"/>
      <c r="X66" s="1128"/>
      <c r="Y66" s="1128"/>
      <c r="Z66" s="1128"/>
    </row>
    <row r="67" ht="22.5" customHeight="1">
      <c r="A67" s="1128"/>
      <c r="B67" s="1128"/>
      <c r="C67" s="1128"/>
      <c r="D67" s="1128"/>
      <c r="E67" s="1128"/>
      <c r="F67" s="1128"/>
      <c r="G67" s="1128"/>
      <c r="H67" s="1128"/>
      <c r="I67" s="1128"/>
      <c r="J67" s="1128"/>
      <c r="K67" s="1128"/>
      <c r="L67" s="1128"/>
      <c r="M67" s="1128"/>
      <c r="N67" s="1128"/>
      <c r="O67" s="1128"/>
      <c r="P67" s="1128"/>
      <c r="Q67" s="1128"/>
      <c r="R67" s="1128"/>
      <c r="S67" s="1128"/>
      <c r="T67" s="1128"/>
      <c r="U67" s="1128"/>
      <c r="V67" s="1128"/>
      <c r="W67" s="1128"/>
      <c r="X67" s="1128"/>
      <c r="Y67" s="1128"/>
      <c r="Z67" s="1128"/>
    </row>
    <row r="68" ht="22.5" customHeight="1">
      <c r="A68" s="1128"/>
      <c r="B68" s="1128"/>
      <c r="C68" s="1128"/>
      <c r="D68" s="1128"/>
      <c r="E68" s="1128"/>
      <c r="F68" s="1128"/>
      <c r="G68" s="1128"/>
      <c r="H68" s="1128"/>
      <c r="I68" s="1128"/>
      <c r="J68" s="1128"/>
      <c r="K68" s="1128"/>
      <c r="L68" s="1128"/>
      <c r="M68" s="1128"/>
      <c r="N68" s="1128"/>
      <c r="O68" s="1128"/>
      <c r="P68" s="1128"/>
      <c r="Q68" s="1128"/>
      <c r="R68" s="1128"/>
      <c r="S68" s="1128"/>
      <c r="T68" s="1128"/>
      <c r="U68" s="1128"/>
      <c r="V68" s="1128"/>
      <c r="W68" s="1128"/>
      <c r="X68" s="1128"/>
      <c r="Y68" s="1128"/>
      <c r="Z68" s="1128"/>
    </row>
    <row r="69" ht="22.5" customHeight="1">
      <c r="A69" s="1128"/>
      <c r="B69" s="1128"/>
      <c r="C69" s="1128"/>
      <c r="D69" s="1128"/>
      <c r="E69" s="1128"/>
      <c r="F69" s="1128"/>
      <c r="G69" s="1128"/>
      <c r="H69" s="1128"/>
      <c r="I69" s="1128"/>
      <c r="J69" s="1128"/>
      <c r="K69" s="1128"/>
      <c r="L69" s="1128"/>
      <c r="M69" s="1128"/>
      <c r="N69" s="1128"/>
      <c r="O69" s="1128"/>
      <c r="P69" s="1128"/>
      <c r="Q69" s="1128"/>
      <c r="R69" s="1128"/>
      <c r="S69" s="1128"/>
      <c r="T69" s="1128"/>
      <c r="U69" s="1128"/>
      <c r="V69" s="1128"/>
      <c r="W69" s="1128"/>
      <c r="X69" s="1128"/>
      <c r="Y69" s="1128"/>
      <c r="Z69" s="1128"/>
    </row>
    <row r="70" ht="22.5" customHeight="1">
      <c r="A70" s="1128"/>
      <c r="B70" s="1128"/>
      <c r="C70" s="1128"/>
      <c r="D70" s="1128"/>
      <c r="E70" s="1128"/>
      <c r="F70" s="1128"/>
      <c r="G70" s="1128"/>
      <c r="H70" s="1128"/>
      <c r="I70" s="1128"/>
      <c r="J70" s="1128"/>
      <c r="K70" s="1128"/>
      <c r="L70" s="1128"/>
      <c r="M70" s="1128"/>
      <c r="N70" s="1128"/>
      <c r="O70" s="1128"/>
      <c r="P70" s="1128"/>
      <c r="Q70" s="1128"/>
      <c r="R70" s="1128"/>
      <c r="S70" s="1128"/>
      <c r="T70" s="1128"/>
      <c r="U70" s="1128"/>
      <c r="V70" s="1128"/>
      <c r="W70" s="1128"/>
      <c r="X70" s="1128"/>
      <c r="Y70" s="1128"/>
      <c r="Z70" s="1128"/>
    </row>
    <row r="71" ht="22.5" customHeight="1">
      <c r="A71" s="1128"/>
      <c r="B71" s="1128"/>
      <c r="C71" s="1128"/>
      <c r="D71" s="1128"/>
      <c r="E71" s="1128"/>
      <c r="F71" s="1128"/>
      <c r="G71" s="1128"/>
      <c r="H71" s="1128"/>
      <c r="I71" s="1128"/>
      <c r="J71" s="1128"/>
      <c r="K71" s="1128"/>
      <c r="L71" s="1128"/>
      <c r="M71" s="1128"/>
      <c r="N71" s="1128"/>
      <c r="O71" s="1128"/>
      <c r="P71" s="1128"/>
      <c r="Q71" s="1128"/>
      <c r="R71" s="1128"/>
      <c r="S71" s="1128"/>
      <c r="T71" s="1128"/>
      <c r="U71" s="1128"/>
      <c r="V71" s="1128"/>
      <c r="W71" s="1128"/>
      <c r="X71" s="1128"/>
      <c r="Y71" s="1128"/>
      <c r="Z71" s="1128"/>
    </row>
    <row r="72" ht="22.5" customHeight="1">
      <c r="A72" s="1128"/>
      <c r="B72" s="1128"/>
      <c r="C72" s="1128"/>
      <c r="D72" s="1128"/>
      <c r="E72" s="1128"/>
      <c r="F72" s="1128"/>
      <c r="G72" s="1128"/>
      <c r="H72" s="1128"/>
      <c r="I72" s="1128"/>
      <c r="J72" s="1128"/>
      <c r="K72" s="1128"/>
      <c r="L72" s="1128"/>
      <c r="M72" s="1128"/>
      <c r="N72" s="1128"/>
      <c r="O72" s="1128"/>
      <c r="P72" s="1128"/>
      <c r="Q72" s="1128"/>
      <c r="R72" s="1128"/>
      <c r="S72" s="1128"/>
      <c r="T72" s="1128"/>
      <c r="U72" s="1128"/>
      <c r="V72" s="1128"/>
      <c r="W72" s="1128"/>
      <c r="X72" s="1128"/>
      <c r="Y72" s="1128"/>
      <c r="Z72" s="1128"/>
    </row>
    <row r="73" ht="22.5" customHeight="1">
      <c r="A73" s="1128"/>
      <c r="B73" s="1128"/>
      <c r="C73" s="1128"/>
      <c r="D73" s="1128"/>
      <c r="E73" s="1128"/>
      <c r="F73" s="1128"/>
      <c r="G73" s="1128"/>
      <c r="H73" s="1128"/>
      <c r="I73" s="1128"/>
      <c r="J73" s="1128"/>
      <c r="K73" s="1128"/>
      <c r="L73" s="1128"/>
      <c r="M73" s="1128"/>
      <c r="N73" s="1128"/>
      <c r="O73" s="1128"/>
      <c r="P73" s="1128"/>
      <c r="Q73" s="1128"/>
      <c r="R73" s="1128"/>
      <c r="S73" s="1128"/>
      <c r="T73" s="1128"/>
      <c r="U73" s="1128"/>
      <c r="V73" s="1128"/>
      <c r="W73" s="1128"/>
      <c r="X73" s="1128"/>
      <c r="Y73" s="1128"/>
      <c r="Z73" s="1128"/>
    </row>
    <row r="74" ht="22.5" customHeight="1">
      <c r="A74" s="1128"/>
      <c r="B74" s="1128"/>
      <c r="C74" s="1128"/>
      <c r="D74" s="1128"/>
      <c r="E74" s="1128"/>
      <c r="F74" s="1128"/>
      <c r="G74" s="1128"/>
      <c r="H74" s="1128"/>
      <c r="I74" s="1128"/>
      <c r="J74" s="1128"/>
      <c r="K74" s="1128"/>
      <c r="L74" s="1128"/>
      <c r="M74" s="1128"/>
      <c r="N74" s="1128"/>
      <c r="O74" s="1128"/>
      <c r="P74" s="1128"/>
      <c r="Q74" s="1128"/>
      <c r="R74" s="1128"/>
      <c r="S74" s="1128"/>
      <c r="T74" s="1128"/>
      <c r="U74" s="1128"/>
      <c r="V74" s="1128"/>
      <c r="W74" s="1128"/>
      <c r="X74" s="1128"/>
      <c r="Y74" s="1128"/>
      <c r="Z74" s="1128"/>
    </row>
    <row r="75" ht="22.5" customHeight="1">
      <c r="A75" s="1128"/>
      <c r="B75" s="1128"/>
      <c r="C75" s="1128"/>
      <c r="D75" s="1128"/>
      <c r="E75" s="1128"/>
      <c r="F75" s="1128"/>
      <c r="G75" s="1128"/>
      <c r="H75" s="1128"/>
      <c r="I75" s="1128"/>
      <c r="J75" s="1128"/>
      <c r="K75" s="1128"/>
      <c r="L75" s="1128"/>
      <c r="M75" s="1128"/>
      <c r="N75" s="1128"/>
      <c r="O75" s="1128"/>
      <c r="P75" s="1128"/>
      <c r="Q75" s="1128"/>
      <c r="R75" s="1128"/>
      <c r="S75" s="1128"/>
      <c r="T75" s="1128"/>
      <c r="U75" s="1128"/>
      <c r="V75" s="1128"/>
      <c r="W75" s="1128"/>
      <c r="X75" s="1128"/>
      <c r="Y75" s="1128"/>
      <c r="Z75" s="1128"/>
    </row>
    <row r="76" ht="22.5" customHeight="1">
      <c r="A76" s="1128"/>
      <c r="B76" s="1128"/>
      <c r="C76" s="1128"/>
      <c r="D76" s="1128"/>
      <c r="E76" s="1128"/>
      <c r="F76" s="1128"/>
      <c r="G76" s="1128"/>
      <c r="H76" s="1128"/>
      <c r="I76" s="1128"/>
      <c r="J76" s="1128"/>
      <c r="K76" s="1128"/>
      <c r="L76" s="1128"/>
      <c r="M76" s="1128"/>
      <c r="N76" s="1128"/>
      <c r="O76" s="1128"/>
      <c r="P76" s="1128"/>
      <c r="Q76" s="1128"/>
      <c r="R76" s="1128"/>
      <c r="S76" s="1128"/>
      <c r="T76" s="1128"/>
      <c r="U76" s="1128"/>
      <c r="V76" s="1128"/>
      <c r="W76" s="1128"/>
      <c r="X76" s="1128"/>
      <c r="Y76" s="1128"/>
      <c r="Z76" s="1128"/>
    </row>
    <row r="77" ht="22.5" customHeight="1">
      <c r="A77" s="1128"/>
      <c r="B77" s="1128"/>
      <c r="C77" s="1128"/>
      <c r="D77" s="1128"/>
      <c r="E77" s="1128"/>
      <c r="F77" s="1128"/>
      <c r="G77" s="1128"/>
      <c r="H77" s="1128"/>
      <c r="I77" s="1128"/>
      <c r="J77" s="1128"/>
      <c r="K77" s="1128"/>
      <c r="L77" s="1128"/>
      <c r="M77" s="1128"/>
      <c r="N77" s="1128"/>
      <c r="O77" s="1128"/>
      <c r="P77" s="1128"/>
      <c r="Q77" s="1128"/>
      <c r="R77" s="1128"/>
      <c r="S77" s="1128"/>
      <c r="T77" s="1128"/>
      <c r="U77" s="1128"/>
      <c r="V77" s="1128"/>
      <c r="W77" s="1128"/>
      <c r="X77" s="1128"/>
      <c r="Y77" s="1128"/>
      <c r="Z77" s="1128"/>
    </row>
    <row r="78" ht="22.5" customHeight="1">
      <c r="A78" s="1128"/>
      <c r="B78" s="1128"/>
      <c r="C78" s="1128"/>
      <c r="D78" s="1128"/>
      <c r="E78" s="1128"/>
      <c r="F78" s="1128"/>
      <c r="G78" s="1128"/>
      <c r="H78" s="1128"/>
      <c r="I78" s="1128"/>
      <c r="J78" s="1128"/>
      <c r="K78" s="1128"/>
      <c r="L78" s="1128"/>
      <c r="M78" s="1128"/>
      <c r="N78" s="1128"/>
      <c r="O78" s="1128"/>
      <c r="P78" s="1128"/>
      <c r="Q78" s="1128"/>
      <c r="R78" s="1128"/>
      <c r="S78" s="1128"/>
      <c r="T78" s="1128"/>
      <c r="U78" s="1128"/>
      <c r="V78" s="1128"/>
      <c r="W78" s="1128"/>
      <c r="X78" s="1128"/>
      <c r="Y78" s="1128"/>
      <c r="Z78" s="1128"/>
    </row>
    <row r="79" ht="22.5" customHeight="1">
      <c r="A79" s="1128"/>
      <c r="B79" s="1128"/>
      <c r="C79" s="1128"/>
      <c r="D79" s="1128"/>
      <c r="E79" s="1128"/>
      <c r="F79" s="1128"/>
      <c r="G79" s="1128"/>
      <c r="H79" s="1128"/>
      <c r="I79" s="1128"/>
      <c r="J79" s="1128"/>
      <c r="K79" s="1128"/>
      <c r="L79" s="1128"/>
      <c r="M79" s="1128"/>
      <c r="N79" s="1128"/>
      <c r="O79" s="1128"/>
      <c r="P79" s="1128"/>
      <c r="Q79" s="1128"/>
      <c r="R79" s="1128"/>
      <c r="S79" s="1128"/>
      <c r="T79" s="1128"/>
      <c r="U79" s="1128"/>
      <c r="V79" s="1128"/>
      <c r="W79" s="1128"/>
      <c r="X79" s="1128"/>
      <c r="Y79" s="1128"/>
      <c r="Z79" s="1128"/>
    </row>
    <row r="80" ht="22.5" customHeight="1">
      <c r="A80" s="1128"/>
      <c r="B80" s="1128"/>
      <c r="C80" s="1128"/>
      <c r="D80" s="1128"/>
      <c r="E80" s="1128"/>
      <c r="F80" s="1128"/>
      <c r="G80" s="1128"/>
      <c r="H80" s="1128"/>
      <c r="I80" s="1128"/>
      <c r="J80" s="1128"/>
      <c r="K80" s="1128"/>
      <c r="L80" s="1128"/>
      <c r="M80" s="1128"/>
      <c r="N80" s="1128"/>
      <c r="O80" s="1128"/>
      <c r="P80" s="1128"/>
      <c r="Q80" s="1128"/>
      <c r="R80" s="1128"/>
      <c r="S80" s="1128"/>
      <c r="T80" s="1128"/>
      <c r="U80" s="1128"/>
      <c r="V80" s="1128"/>
      <c r="W80" s="1128"/>
      <c r="X80" s="1128"/>
      <c r="Y80" s="1128"/>
      <c r="Z80" s="1128"/>
    </row>
    <row r="81" ht="22.5" customHeight="1">
      <c r="A81" s="1128"/>
      <c r="B81" s="1128"/>
      <c r="C81" s="1128"/>
      <c r="D81" s="1128"/>
      <c r="E81" s="1128"/>
      <c r="F81" s="1128"/>
      <c r="G81" s="1128"/>
      <c r="H81" s="1128"/>
      <c r="I81" s="1128"/>
      <c r="J81" s="1128"/>
      <c r="K81" s="1128"/>
      <c r="L81" s="1128"/>
      <c r="M81" s="1128"/>
      <c r="N81" s="1128"/>
      <c r="O81" s="1128"/>
      <c r="P81" s="1128"/>
      <c r="Q81" s="1128"/>
      <c r="R81" s="1128"/>
      <c r="S81" s="1128"/>
      <c r="T81" s="1128"/>
      <c r="U81" s="1128"/>
      <c r="V81" s="1128"/>
      <c r="W81" s="1128"/>
      <c r="X81" s="1128"/>
      <c r="Y81" s="1128"/>
      <c r="Z81" s="1128"/>
    </row>
    <row r="82" ht="22.5" customHeight="1">
      <c r="A82" s="1128"/>
      <c r="B82" s="1128"/>
      <c r="C82" s="1128"/>
      <c r="D82" s="1128"/>
      <c r="E82" s="1128"/>
      <c r="F82" s="1128"/>
      <c r="G82" s="1128"/>
      <c r="H82" s="1128"/>
      <c r="I82" s="1128"/>
      <c r="J82" s="1128"/>
      <c r="K82" s="1128"/>
      <c r="L82" s="1128"/>
      <c r="M82" s="1128"/>
      <c r="N82" s="1128"/>
      <c r="O82" s="1128"/>
      <c r="P82" s="1128"/>
      <c r="Q82" s="1128"/>
      <c r="R82" s="1128"/>
      <c r="S82" s="1128"/>
      <c r="T82" s="1128"/>
      <c r="U82" s="1128"/>
      <c r="V82" s="1128"/>
      <c r="W82" s="1128"/>
      <c r="X82" s="1128"/>
      <c r="Y82" s="1128"/>
      <c r="Z82" s="1128"/>
    </row>
    <row r="83" ht="22.5" customHeight="1">
      <c r="A83" s="1128"/>
      <c r="B83" s="1128"/>
      <c r="C83" s="1128"/>
      <c r="D83" s="1128"/>
      <c r="E83" s="1128"/>
      <c r="F83" s="1128"/>
      <c r="G83" s="1128"/>
      <c r="H83" s="1128"/>
      <c r="I83" s="1128"/>
      <c r="J83" s="1128"/>
      <c r="K83" s="1128"/>
      <c r="L83" s="1128"/>
      <c r="M83" s="1128"/>
      <c r="N83" s="1128"/>
      <c r="O83" s="1128"/>
      <c r="P83" s="1128"/>
      <c r="Q83" s="1128"/>
      <c r="R83" s="1128"/>
      <c r="S83" s="1128"/>
      <c r="T83" s="1128"/>
      <c r="U83" s="1128"/>
      <c r="V83" s="1128"/>
      <c r="W83" s="1128"/>
      <c r="X83" s="1128"/>
      <c r="Y83" s="1128"/>
      <c r="Z83" s="1128"/>
    </row>
    <row r="84" ht="22.5" customHeight="1">
      <c r="A84" s="1128"/>
      <c r="B84" s="1128"/>
      <c r="C84" s="1128"/>
      <c r="D84" s="1128"/>
      <c r="E84" s="1128"/>
      <c r="F84" s="1128"/>
      <c r="G84" s="1128"/>
      <c r="H84" s="1128"/>
      <c r="I84" s="1128"/>
      <c r="J84" s="1128"/>
      <c r="K84" s="1128"/>
      <c r="L84" s="1128"/>
      <c r="M84" s="1128"/>
      <c r="N84" s="1128"/>
      <c r="O84" s="1128"/>
      <c r="P84" s="1128"/>
      <c r="Q84" s="1128"/>
      <c r="R84" s="1128"/>
      <c r="S84" s="1128"/>
      <c r="T84" s="1128"/>
      <c r="U84" s="1128"/>
      <c r="V84" s="1128"/>
      <c r="W84" s="1128"/>
      <c r="X84" s="1128"/>
      <c r="Y84" s="1128"/>
      <c r="Z84" s="1128"/>
    </row>
    <row r="85" ht="22.5" customHeight="1">
      <c r="A85" s="1128"/>
      <c r="B85" s="1128"/>
      <c r="C85" s="1128"/>
      <c r="D85" s="1128"/>
      <c r="E85" s="1128"/>
      <c r="F85" s="1128"/>
      <c r="G85" s="1128"/>
      <c r="H85" s="1128"/>
      <c r="I85" s="1128"/>
      <c r="J85" s="1128"/>
      <c r="K85" s="1128"/>
      <c r="L85" s="1128"/>
      <c r="M85" s="1128"/>
      <c r="N85" s="1128"/>
      <c r="O85" s="1128"/>
      <c r="P85" s="1128"/>
      <c r="Q85" s="1128"/>
      <c r="R85" s="1128"/>
      <c r="S85" s="1128"/>
      <c r="T85" s="1128"/>
      <c r="U85" s="1128"/>
      <c r="V85" s="1128"/>
      <c r="W85" s="1128"/>
      <c r="X85" s="1128"/>
      <c r="Y85" s="1128"/>
      <c r="Z85" s="1128"/>
    </row>
    <row r="86" ht="22.5" customHeight="1">
      <c r="A86" s="1128"/>
      <c r="B86" s="1128"/>
      <c r="C86" s="1128"/>
      <c r="D86" s="1128"/>
      <c r="E86" s="1128"/>
      <c r="F86" s="1128"/>
      <c r="G86" s="1128"/>
      <c r="H86" s="1128"/>
      <c r="I86" s="1128"/>
      <c r="J86" s="1128"/>
      <c r="K86" s="1128"/>
      <c r="L86" s="1128"/>
      <c r="M86" s="1128"/>
      <c r="N86" s="1128"/>
      <c r="O86" s="1128"/>
      <c r="P86" s="1128"/>
      <c r="Q86" s="1128"/>
      <c r="R86" s="1128"/>
      <c r="S86" s="1128"/>
      <c r="T86" s="1128"/>
      <c r="U86" s="1128"/>
      <c r="V86" s="1128"/>
      <c r="W86" s="1128"/>
      <c r="X86" s="1128"/>
      <c r="Y86" s="1128"/>
      <c r="Z86" s="1128"/>
    </row>
    <row r="87" ht="22.5" customHeight="1">
      <c r="A87" s="1128"/>
      <c r="B87" s="1128"/>
      <c r="C87" s="1128"/>
      <c r="D87" s="1128"/>
      <c r="E87" s="1128"/>
      <c r="F87" s="1128"/>
      <c r="G87" s="1128"/>
      <c r="H87" s="1128"/>
      <c r="I87" s="1128"/>
      <c r="J87" s="1128"/>
      <c r="K87" s="1128"/>
      <c r="L87" s="1128"/>
      <c r="M87" s="1128"/>
      <c r="N87" s="1128"/>
      <c r="O87" s="1128"/>
      <c r="P87" s="1128"/>
      <c r="Q87" s="1128"/>
      <c r="R87" s="1128"/>
      <c r="S87" s="1128"/>
      <c r="T87" s="1128"/>
      <c r="U87" s="1128"/>
      <c r="V87" s="1128"/>
      <c r="W87" s="1128"/>
      <c r="X87" s="1128"/>
      <c r="Y87" s="1128"/>
      <c r="Z87" s="1128"/>
    </row>
    <row r="88" ht="22.5" customHeight="1">
      <c r="A88" s="1128"/>
      <c r="B88" s="1128"/>
      <c r="C88" s="1128"/>
      <c r="D88" s="1128"/>
      <c r="E88" s="1128"/>
      <c r="F88" s="1128"/>
      <c r="G88" s="1128"/>
      <c r="H88" s="1128"/>
      <c r="I88" s="1128"/>
      <c r="J88" s="1128"/>
      <c r="K88" s="1128"/>
      <c r="L88" s="1128"/>
      <c r="M88" s="1128"/>
      <c r="N88" s="1128"/>
      <c r="O88" s="1128"/>
      <c r="P88" s="1128"/>
      <c r="Q88" s="1128"/>
      <c r="R88" s="1128"/>
      <c r="S88" s="1128"/>
      <c r="T88" s="1128"/>
      <c r="U88" s="1128"/>
      <c r="V88" s="1128"/>
      <c r="W88" s="1128"/>
      <c r="X88" s="1128"/>
      <c r="Y88" s="1128"/>
      <c r="Z88" s="1128"/>
    </row>
    <row r="89" ht="22.5" customHeight="1">
      <c r="A89" s="1128"/>
      <c r="B89" s="1128"/>
      <c r="C89" s="1128"/>
      <c r="D89" s="1128"/>
      <c r="E89" s="1128"/>
      <c r="F89" s="1128"/>
      <c r="G89" s="1128"/>
      <c r="H89" s="1128"/>
      <c r="I89" s="1128"/>
      <c r="J89" s="1128"/>
      <c r="K89" s="1128"/>
      <c r="L89" s="1128"/>
      <c r="M89" s="1128"/>
      <c r="N89" s="1128"/>
      <c r="O89" s="1128"/>
      <c r="P89" s="1128"/>
      <c r="Q89" s="1128"/>
      <c r="R89" s="1128"/>
      <c r="S89" s="1128"/>
      <c r="T89" s="1128"/>
      <c r="U89" s="1128"/>
      <c r="V89" s="1128"/>
      <c r="W89" s="1128"/>
      <c r="X89" s="1128"/>
      <c r="Y89" s="1128"/>
      <c r="Z89" s="1128"/>
    </row>
    <row r="90" ht="22.5" customHeight="1">
      <c r="A90" s="1128"/>
      <c r="B90" s="1128"/>
      <c r="C90" s="1128"/>
      <c r="D90" s="1128"/>
      <c r="E90" s="1128"/>
      <c r="F90" s="1128"/>
      <c r="G90" s="1128"/>
      <c r="H90" s="1128"/>
      <c r="I90" s="1128"/>
      <c r="J90" s="1128"/>
      <c r="K90" s="1128"/>
      <c r="L90" s="1128"/>
      <c r="M90" s="1128"/>
      <c r="N90" s="1128"/>
      <c r="O90" s="1128"/>
      <c r="P90" s="1128"/>
      <c r="Q90" s="1128"/>
      <c r="R90" s="1128"/>
      <c r="S90" s="1128"/>
      <c r="T90" s="1128"/>
      <c r="U90" s="1128"/>
      <c r="V90" s="1128"/>
      <c r="W90" s="1128"/>
      <c r="X90" s="1128"/>
      <c r="Y90" s="1128"/>
      <c r="Z90" s="1128"/>
    </row>
    <row r="91" ht="22.5" customHeight="1">
      <c r="A91" s="1128"/>
      <c r="B91" s="1128"/>
      <c r="C91" s="1128"/>
      <c r="D91" s="1128"/>
      <c r="E91" s="1128"/>
      <c r="F91" s="1128"/>
      <c r="G91" s="1128"/>
      <c r="H91" s="1128"/>
      <c r="I91" s="1128"/>
      <c r="J91" s="1128"/>
      <c r="K91" s="1128"/>
      <c r="L91" s="1128"/>
      <c r="M91" s="1128"/>
      <c r="N91" s="1128"/>
      <c r="O91" s="1128"/>
      <c r="P91" s="1128"/>
      <c r="Q91" s="1128"/>
      <c r="R91" s="1128"/>
      <c r="S91" s="1128"/>
      <c r="T91" s="1128"/>
      <c r="U91" s="1128"/>
      <c r="V91" s="1128"/>
      <c r="W91" s="1128"/>
      <c r="X91" s="1128"/>
      <c r="Y91" s="1128"/>
      <c r="Z91" s="1128"/>
    </row>
    <row r="92" ht="22.5" customHeight="1">
      <c r="A92" s="1128"/>
      <c r="B92" s="1128"/>
      <c r="C92" s="1128"/>
      <c r="D92" s="1128"/>
      <c r="E92" s="1128"/>
      <c r="F92" s="1128"/>
      <c r="G92" s="1128"/>
      <c r="H92" s="1128"/>
      <c r="I92" s="1128"/>
      <c r="J92" s="1128"/>
      <c r="K92" s="1128"/>
      <c r="L92" s="1128"/>
      <c r="M92" s="1128"/>
      <c r="N92" s="1128"/>
      <c r="O92" s="1128"/>
      <c r="P92" s="1128"/>
      <c r="Q92" s="1128"/>
      <c r="R92" s="1128"/>
      <c r="S92" s="1128"/>
      <c r="T92" s="1128"/>
      <c r="U92" s="1128"/>
      <c r="V92" s="1128"/>
      <c r="W92" s="1128"/>
      <c r="X92" s="1128"/>
      <c r="Y92" s="1128"/>
      <c r="Z92" s="1128"/>
    </row>
    <row r="93" ht="22.5" customHeight="1">
      <c r="A93" s="1128"/>
      <c r="B93" s="1128"/>
      <c r="C93" s="1128"/>
      <c r="D93" s="1128"/>
      <c r="E93" s="1128"/>
      <c r="F93" s="1128"/>
      <c r="G93" s="1128"/>
      <c r="H93" s="1128"/>
      <c r="I93" s="1128"/>
      <c r="J93" s="1128"/>
      <c r="K93" s="1128"/>
      <c r="L93" s="1128"/>
      <c r="M93" s="1128"/>
      <c r="N93" s="1128"/>
      <c r="O93" s="1128"/>
      <c r="P93" s="1128"/>
      <c r="Q93" s="1128"/>
      <c r="R93" s="1128"/>
      <c r="S93" s="1128"/>
      <c r="T93" s="1128"/>
      <c r="U93" s="1128"/>
      <c r="V93" s="1128"/>
      <c r="W93" s="1128"/>
      <c r="X93" s="1128"/>
      <c r="Y93" s="1128"/>
      <c r="Z93" s="1128"/>
    </row>
    <row r="94" ht="22.5" customHeight="1">
      <c r="A94" s="1128"/>
      <c r="B94" s="1128"/>
      <c r="C94" s="1128"/>
      <c r="D94" s="1128"/>
      <c r="E94" s="1128"/>
      <c r="F94" s="1128"/>
      <c r="G94" s="1128"/>
      <c r="H94" s="1128"/>
      <c r="I94" s="1128"/>
      <c r="J94" s="1128"/>
      <c r="K94" s="1128"/>
      <c r="L94" s="1128"/>
      <c r="M94" s="1128"/>
      <c r="N94" s="1128"/>
      <c r="O94" s="1128"/>
      <c r="P94" s="1128"/>
      <c r="Q94" s="1128"/>
      <c r="R94" s="1128"/>
      <c r="S94" s="1128"/>
      <c r="T94" s="1128"/>
      <c r="U94" s="1128"/>
      <c r="V94" s="1128"/>
      <c r="W94" s="1128"/>
      <c r="X94" s="1128"/>
      <c r="Y94" s="1128"/>
      <c r="Z94" s="1128"/>
    </row>
    <row r="95" ht="22.5" customHeight="1">
      <c r="A95" s="1128"/>
      <c r="B95" s="1128"/>
      <c r="C95" s="1128"/>
      <c r="D95" s="1128"/>
      <c r="E95" s="1128"/>
      <c r="F95" s="1128"/>
      <c r="G95" s="1128"/>
      <c r="H95" s="1128"/>
      <c r="I95" s="1128"/>
      <c r="J95" s="1128"/>
      <c r="K95" s="1128"/>
      <c r="L95" s="1128"/>
      <c r="M95" s="1128"/>
      <c r="N95" s="1128"/>
      <c r="O95" s="1128"/>
      <c r="P95" s="1128"/>
      <c r="Q95" s="1128"/>
      <c r="R95" s="1128"/>
      <c r="S95" s="1128"/>
      <c r="T95" s="1128"/>
      <c r="U95" s="1128"/>
      <c r="V95" s="1128"/>
      <c r="W95" s="1128"/>
      <c r="X95" s="1128"/>
      <c r="Y95" s="1128"/>
      <c r="Z95" s="1128"/>
    </row>
    <row r="96" ht="22.5" customHeight="1">
      <c r="A96" s="1128"/>
      <c r="B96" s="1128"/>
      <c r="C96" s="1128"/>
      <c r="D96" s="1128"/>
      <c r="E96" s="1128"/>
      <c r="F96" s="1128"/>
      <c r="G96" s="1128"/>
      <c r="H96" s="1128"/>
      <c r="I96" s="1128"/>
      <c r="J96" s="1128"/>
      <c r="K96" s="1128"/>
      <c r="L96" s="1128"/>
      <c r="M96" s="1128"/>
      <c r="N96" s="1128"/>
      <c r="O96" s="1128"/>
      <c r="P96" s="1128"/>
      <c r="Q96" s="1128"/>
      <c r="R96" s="1128"/>
      <c r="S96" s="1128"/>
      <c r="T96" s="1128"/>
      <c r="U96" s="1128"/>
      <c r="V96" s="1128"/>
      <c r="W96" s="1128"/>
      <c r="X96" s="1128"/>
      <c r="Y96" s="1128"/>
      <c r="Z96" s="1128"/>
    </row>
    <row r="97" ht="22.5" customHeight="1">
      <c r="A97" s="1128"/>
      <c r="B97" s="1128"/>
      <c r="C97" s="1128"/>
      <c r="D97" s="1128"/>
      <c r="E97" s="1128"/>
      <c r="F97" s="1128"/>
      <c r="G97" s="1128"/>
      <c r="H97" s="1128"/>
      <c r="I97" s="1128"/>
      <c r="J97" s="1128"/>
      <c r="K97" s="1128"/>
      <c r="L97" s="1128"/>
      <c r="M97" s="1128"/>
      <c r="N97" s="1128"/>
      <c r="O97" s="1128"/>
      <c r="P97" s="1128"/>
      <c r="Q97" s="1128"/>
      <c r="R97" s="1128"/>
      <c r="S97" s="1128"/>
      <c r="T97" s="1128"/>
      <c r="U97" s="1128"/>
      <c r="V97" s="1128"/>
      <c r="W97" s="1128"/>
      <c r="X97" s="1128"/>
      <c r="Y97" s="1128"/>
      <c r="Z97" s="1128"/>
    </row>
    <row r="98" ht="22.5" customHeight="1">
      <c r="A98" s="1128"/>
      <c r="B98" s="1128"/>
      <c r="C98" s="1128"/>
      <c r="D98" s="1128"/>
      <c r="E98" s="1128"/>
      <c r="F98" s="1128"/>
      <c r="G98" s="1128"/>
      <c r="H98" s="1128"/>
      <c r="I98" s="1128"/>
      <c r="J98" s="1128"/>
      <c r="K98" s="1128"/>
      <c r="L98" s="1128"/>
      <c r="M98" s="1128"/>
      <c r="N98" s="1128"/>
      <c r="O98" s="1128"/>
      <c r="P98" s="1128"/>
      <c r="Q98" s="1128"/>
      <c r="R98" s="1128"/>
      <c r="S98" s="1128"/>
      <c r="T98" s="1128"/>
      <c r="U98" s="1128"/>
      <c r="V98" s="1128"/>
      <c r="W98" s="1128"/>
      <c r="X98" s="1128"/>
      <c r="Y98" s="1128"/>
      <c r="Z98" s="1128"/>
    </row>
    <row r="99" ht="22.5" customHeight="1">
      <c r="A99" s="1128"/>
      <c r="B99" s="1128"/>
      <c r="C99" s="1128"/>
      <c r="D99" s="1128"/>
      <c r="E99" s="1128"/>
      <c r="F99" s="1128"/>
      <c r="G99" s="1128"/>
      <c r="H99" s="1128"/>
      <c r="I99" s="1128"/>
      <c r="J99" s="1128"/>
      <c r="K99" s="1128"/>
      <c r="L99" s="1128"/>
      <c r="M99" s="1128"/>
      <c r="N99" s="1128"/>
      <c r="O99" s="1128"/>
      <c r="P99" s="1128"/>
      <c r="Q99" s="1128"/>
      <c r="R99" s="1128"/>
      <c r="S99" s="1128"/>
      <c r="T99" s="1128"/>
      <c r="U99" s="1128"/>
      <c r="V99" s="1128"/>
      <c r="W99" s="1128"/>
      <c r="X99" s="1128"/>
      <c r="Y99" s="1128"/>
      <c r="Z99" s="1128"/>
    </row>
    <row r="100" ht="22.5" customHeight="1">
      <c r="A100" s="1128"/>
      <c r="B100" s="1128"/>
      <c r="C100" s="1128"/>
      <c r="D100" s="1128"/>
      <c r="E100" s="1128"/>
      <c r="F100" s="1128"/>
      <c r="G100" s="1128"/>
      <c r="H100" s="1128"/>
      <c r="I100" s="1128"/>
      <c r="J100" s="1128"/>
      <c r="K100" s="1128"/>
      <c r="L100" s="1128"/>
      <c r="M100" s="1128"/>
      <c r="N100" s="1128"/>
      <c r="O100" s="1128"/>
      <c r="P100" s="1128"/>
      <c r="Q100" s="1128"/>
      <c r="R100" s="1128"/>
      <c r="S100" s="1128"/>
      <c r="T100" s="1128"/>
      <c r="U100" s="1128"/>
      <c r="V100" s="1128"/>
      <c r="W100" s="1128"/>
      <c r="X100" s="1128"/>
      <c r="Y100" s="1128"/>
      <c r="Z100" s="1128"/>
    </row>
    <row r="101" ht="22.5" customHeight="1">
      <c r="A101" s="1128"/>
      <c r="B101" s="1128"/>
      <c r="C101" s="1128"/>
      <c r="D101" s="1128"/>
      <c r="E101" s="1128"/>
      <c r="F101" s="1128"/>
      <c r="G101" s="1128"/>
      <c r="H101" s="1128"/>
      <c r="I101" s="1128"/>
      <c r="J101" s="1128"/>
      <c r="K101" s="1128"/>
      <c r="L101" s="1128"/>
      <c r="M101" s="1128"/>
      <c r="N101" s="1128"/>
      <c r="O101" s="1128"/>
      <c r="P101" s="1128"/>
      <c r="Q101" s="1128"/>
      <c r="R101" s="1128"/>
      <c r="S101" s="1128"/>
      <c r="T101" s="1128"/>
      <c r="U101" s="1128"/>
      <c r="V101" s="1128"/>
      <c r="W101" s="1128"/>
      <c r="X101" s="1128"/>
      <c r="Y101" s="1128"/>
      <c r="Z101" s="1128"/>
    </row>
    <row r="102" ht="22.5" customHeight="1">
      <c r="A102" s="1128"/>
      <c r="B102" s="1128"/>
      <c r="C102" s="1128"/>
      <c r="D102" s="1128"/>
      <c r="E102" s="1128"/>
      <c r="F102" s="1128"/>
      <c r="G102" s="1128"/>
      <c r="H102" s="1128"/>
      <c r="I102" s="1128"/>
      <c r="J102" s="1128"/>
      <c r="K102" s="1128"/>
      <c r="L102" s="1128"/>
      <c r="M102" s="1128"/>
      <c r="N102" s="1128"/>
      <c r="O102" s="1128"/>
      <c r="P102" s="1128"/>
      <c r="Q102" s="1128"/>
      <c r="R102" s="1128"/>
      <c r="S102" s="1128"/>
      <c r="T102" s="1128"/>
      <c r="U102" s="1128"/>
      <c r="V102" s="1128"/>
      <c r="W102" s="1128"/>
      <c r="X102" s="1128"/>
      <c r="Y102" s="1128"/>
      <c r="Z102" s="1128"/>
    </row>
    <row r="103" ht="22.5" customHeight="1">
      <c r="A103" s="1128"/>
      <c r="B103" s="1128"/>
      <c r="C103" s="1128"/>
      <c r="D103" s="1128"/>
      <c r="E103" s="1128"/>
      <c r="F103" s="1128"/>
      <c r="G103" s="1128"/>
      <c r="H103" s="1128"/>
      <c r="I103" s="1128"/>
      <c r="J103" s="1128"/>
      <c r="K103" s="1128"/>
      <c r="L103" s="1128"/>
      <c r="M103" s="1128"/>
      <c r="N103" s="1128"/>
      <c r="O103" s="1128"/>
      <c r="P103" s="1128"/>
      <c r="Q103" s="1128"/>
      <c r="R103" s="1128"/>
      <c r="S103" s="1128"/>
      <c r="T103" s="1128"/>
      <c r="U103" s="1128"/>
      <c r="V103" s="1128"/>
      <c r="W103" s="1128"/>
      <c r="X103" s="1128"/>
      <c r="Y103" s="1128"/>
      <c r="Z103" s="1128"/>
    </row>
    <row r="104" ht="22.5" customHeight="1">
      <c r="A104" s="1128"/>
      <c r="B104" s="1128"/>
      <c r="C104" s="1128"/>
      <c r="D104" s="1128"/>
      <c r="E104" s="1128"/>
      <c r="F104" s="1128"/>
      <c r="G104" s="1128"/>
      <c r="H104" s="1128"/>
      <c r="I104" s="1128"/>
      <c r="J104" s="1128"/>
      <c r="K104" s="1128"/>
      <c r="L104" s="1128"/>
      <c r="M104" s="1128"/>
      <c r="N104" s="1128"/>
      <c r="O104" s="1128"/>
      <c r="P104" s="1128"/>
      <c r="Q104" s="1128"/>
      <c r="R104" s="1128"/>
      <c r="S104" s="1128"/>
      <c r="T104" s="1128"/>
      <c r="U104" s="1128"/>
      <c r="V104" s="1128"/>
      <c r="W104" s="1128"/>
      <c r="X104" s="1128"/>
      <c r="Y104" s="1128"/>
      <c r="Z104" s="1128"/>
    </row>
    <row r="105" ht="22.5" customHeight="1">
      <c r="A105" s="1128"/>
      <c r="B105" s="1128"/>
      <c r="C105" s="1128"/>
      <c r="D105" s="1128"/>
      <c r="E105" s="1128"/>
      <c r="F105" s="1128"/>
      <c r="G105" s="1128"/>
      <c r="H105" s="1128"/>
      <c r="I105" s="1128"/>
      <c r="J105" s="1128"/>
      <c r="K105" s="1128"/>
      <c r="L105" s="1128"/>
      <c r="M105" s="1128"/>
      <c r="N105" s="1128"/>
      <c r="O105" s="1128"/>
      <c r="P105" s="1128"/>
      <c r="Q105" s="1128"/>
      <c r="R105" s="1128"/>
      <c r="S105" s="1128"/>
      <c r="T105" s="1128"/>
      <c r="U105" s="1128"/>
      <c r="V105" s="1128"/>
      <c r="W105" s="1128"/>
      <c r="X105" s="1128"/>
      <c r="Y105" s="1128"/>
      <c r="Z105" s="1128"/>
    </row>
    <row r="106" ht="22.5" customHeight="1">
      <c r="A106" s="1128"/>
      <c r="B106" s="1128"/>
      <c r="C106" s="1128"/>
      <c r="D106" s="1128"/>
      <c r="E106" s="1128"/>
      <c r="F106" s="1128"/>
      <c r="G106" s="1128"/>
      <c r="H106" s="1128"/>
      <c r="I106" s="1128"/>
      <c r="J106" s="1128"/>
      <c r="K106" s="1128"/>
      <c r="L106" s="1128"/>
      <c r="M106" s="1128"/>
      <c r="N106" s="1128"/>
      <c r="O106" s="1128"/>
      <c r="P106" s="1128"/>
      <c r="Q106" s="1128"/>
      <c r="R106" s="1128"/>
      <c r="S106" s="1128"/>
      <c r="T106" s="1128"/>
      <c r="U106" s="1128"/>
      <c r="V106" s="1128"/>
      <c r="W106" s="1128"/>
      <c r="X106" s="1128"/>
      <c r="Y106" s="1128"/>
      <c r="Z106" s="1128"/>
    </row>
    <row r="107" ht="22.5" customHeight="1">
      <c r="A107" s="1128"/>
      <c r="B107" s="1128"/>
      <c r="C107" s="1128"/>
      <c r="D107" s="1128"/>
      <c r="E107" s="1128"/>
      <c r="F107" s="1128"/>
      <c r="G107" s="1128"/>
      <c r="H107" s="1128"/>
      <c r="I107" s="1128"/>
      <c r="J107" s="1128"/>
      <c r="K107" s="1128"/>
      <c r="L107" s="1128"/>
      <c r="M107" s="1128"/>
      <c r="N107" s="1128"/>
      <c r="O107" s="1128"/>
      <c r="P107" s="1128"/>
      <c r="Q107" s="1128"/>
      <c r="R107" s="1128"/>
      <c r="S107" s="1128"/>
      <c r="T107" s="1128"/>
      <c r="U107" s="1128"/>
      <c r="V107" s="1128"/>
      <c r="W107" s="1128"/>
      <c r="X107" s="1128"/>
      <c r="Y107" s="1128"/>
      <c r="Z107" s="1128"/>
    </row>
    <row r="108" ht="22.5" customHeight="1">
      <c r="A108" s="1128"/>
      <c r="B108" s="1128"/>
      <c r="C108" s="1128"/>
      <c r="D108" s="1128"/>
      <c r="E108" s="1128"/>
      <c r="F108" s="1128"/>
      <c r="G108" s="1128"/>
      <c r="H108" s="1128"/>
      <c r="I108" s="1128"/>
      <c r="J108" s="1128"/>
      <c r="K108" s="1128"/>
      <c r="L108" s="1128"/>
      <c r="M108" s="1128"/>
      <c r="N108" s="1128"/>
      <c r="O108" s="1128"/>
      <c r="P108" s="1128"/>
      <c r="Q108" s="1128"/>
      <c r="R108" s="1128"/>
      <c r="S108" s="1128"/>
      <c r="T108" s="1128"/>
      <c r="U108" s="1128"/>
      <c r="V108" s="1128"/>
      <c r="W108" s="1128"/>
      <c r="X108" s="1128"/>
      <c r="Y108" s="1128"/>
      <c r="Z108" s="1128"/>
    </row>
    <row r="109" ht="22.5" customHeight="1">
      <c r="A109" s="1128"/>
      <c r="B109" s="1128"/>
      <c r="C109" s="1128"/>
      <c r="D109" s="1128"/>
      <c r="E109" s="1128"/>
      <c r="F109" s="1128"/>
      <c r="G109" s="1128"/>
      <c r="H109" s="1128"/>
      <c r="I109" s="1128"/>
      <c r="J109" s="1128"/>
      <c r="K109" s="1128"/>
      <c r="L109" s="1128"/>
      <c r="M109" s="1128"/>
      <c r="N109" s="1128"/>
      <c r="O109" s="1128"/>
      <c r="P109" s="1128"/>
      <c r="Q109" s="1128"/>
      <c r="R109" s="1128"/>
      <c r="S109" s="1128"/>
      <c r="T109" s="1128"/>
      <c r="U109" s="1128"/>
      <c r="V109" s="1128"/>
      <c r="W109" s="1128"/>
      <c r="X109" s="1128"/>
      <c r="Y109" s="1128"/>
      <c r="Z109" s="1128"/>
    </row>
    <row r="110" ht="22.5" customHeight="1">
      <c r="A110" s="1128"/>
      <c r="B110" s="1128"/>
      <c r="C110" s="1128"/>
      <c r="D110" s="1128"/>
      <c r="E110" s="1128"/>
      <c r="F110" s="1128"/>
      <c r="G110" s="1128"/>
      <c r="H110" s="1128"/>
      <c r="I110" s="1128"/>
      <c r="J110" s="1128"/>
      <c r="K110" s="1128"/>
      <c r="L110" s="1128"/>
      <c r="M110" s="1128"/>
      <c r="N110" s="1128"/>
      <c r="O110" s="1128"/>
      <c r="P110" s="1128"/>
      <c r="Q110" s="1128"/>
      <c r="R110" s="1128"/>
      <c r="S110" s="1128"/>
      <c r="T110" s="1128"/>
      <c r="U110" s="1128"/>
      <c r="V110" s="1128"/>
      <c r="W110" s="1128"/>
      <c r="X110" s="1128"/>
      <c r="Y110" s="1128"/>
      <c r="Z110" s="1128"/>
    </row>
    <row r="111" ht="22.5" customHeight="1">
      <c r="A111" s="1128"/>
      <c r="B111" s="1128"/>
      <c r="C111" s="1128"/>
      <c r="D111" s="1128"/>
      <c r="E111" s="1128"/>
      <c r="F111" s="1128"/>
      <c r="G111" s="1128"/>
      <c r="H111" s="1128"/>
      <c r="I111" s="1128"/>
      <c r="J111" s="1128"/>
      <c r="K111" s="1128"/>
      <c r="L111" s="1128"/>
      <c r="M111" s="1128"/>
      <c r="N111" s="1128"/>
      <c r="O111" s="1128"/>
      <c r="P111" s="1128"/>
      <c r="Q111" s="1128"/>
      <c r="R111" s="1128"/>
      <c r="S111" s="1128"/>
      <c r="T111" s="1128"/>
      <c r="U111" s="1128"/>
      <c r="V111" s="1128"/>
      <c r="W111" s="1128"/>
      <c r="X111" s="1128"/>
      <c r="Y111" s="1128"/>
      <c r="Z111" s="1128"/>
    </row>
    <row r="112" ht="22.5" customHeight="1">
      <c r="A112" s="1128"/>
      <c r="B112" s="1128"/>
      <c r="C112" s="1128"/>
      <c r="D112" s="1128"/>
      <c r="E112" s="1128"/>
      <c r="F112" s="1128"/>
      <c r="G112" s="1128"/>
      <c r="H112" s="1128"/>
      <c r="I112" s="1128"/>
      <c r="J112" s="1128"/>
      <c r="K112" s="1128"/>
      <c r="L112" s="1128"/>
      <c r="M112" s="1128"/>
      <c r="N112" s="1128"/>
      <c r="O112" s="1128"/>
      <c r="P112" s="1128"/>
      <c r="Q112" s="1128"/>
      <c r="R112" s="1128"/>
      <c r="S112" s="1128"/>
      <c r="T112" s="1128"/>
      <c r="U112" s="1128"/>
      <c r="V112" s="1128"/>
      <c r="W112" s="1128"/>
      <c r="X112" s="1128"/>
      <c r="Y112" s="1128"/>
      <c r="Z112" s="1128"/>
    </row>
    <row r="113" ht="22.5" customHeight="1">
      <c r="A113" s="1128"/>
      <c r="B113" s="1128"/>
      <c r="C113" s="1128"/>
      <c r="D113" s="1128"/>
      <c r="E113" s="1128"/>
      <c r="F113" s="1128"/>
      <c r="G113" s="1128"/>
      <c r="H113" s="1128"/>
      <c r="I113" s="1128"/>
      <c r="J113" s="1128"/>
      <c r="K113" s="1128"/>
      <c r="L113" s="1128"/>
      <c r="M113" s="1128"/>
      <c r="N113" s="1128"/>
      <c r="O113" s="1128"/>
      <c r="P113" s="1128"/>
      <c r="Q113" s="1128"/>
      <c r="R113" s="1128"/>
      <c r="S113" s="1128"/>
      <c r="T113" s="1128"/>
      <c r="U113" s="1128"/>
      <c r="V113" s="1128"/>
      <c r="W113" s="1128"/>
      <c r="X113" s="1128"/>
      <c r="Y113" s="1128"/>
      <c r="Z113" s="1128"/>
    </row>
    <row r="114" ht="22.5" customHeight="1">
      <c r="A114" s="1128"/>
      <c r="B114" s="1128"/>
      <c r="C114" s="1128"/>
      <c r="D114" s="1128"/>
      <c r="E114" s="1128"/>
      <c r="F114" s="1128"/>
      <c r="G114" s="1128"/>
      <c r="H114" s="1128"/>
      <c r="I114" s="1128"/>
      <c r="J114" s="1128"/>
      <c r="K114" s="1128"/>
      <c r="L114" s="1128"/>
      <c r="M114" s="1128"/>
      <c r="N114" s="1128"/>
      <c r="O114" s="1128"/>
      <c r="P114" s="1128"/>
      <c r="Q114" s="1128"/>
      <c r="R114" s="1128"/>
      <c r="S114" s="1128"/>
      <c r="T114" s="1128"/>
      <c r="U114" s="1128"/>
      <c r="V114" s="1128"/>
      <c r="W114" s="1128"/>
      <c r="X114" s="1128"/>
      <c r="Y114" s="1128"/>
      <c r="Z114" s="1128"/>
    </row>
    <row r="115" ht="22.5" customHeight="1">
      <c r="A115" s="1128"/>
      <c r="B115" s="1128"/>
      <c r="C115" s="1128"/>
      <c r="D115" s="1128"/>
      <c r="E115" s="1128"/>
      <c r="F115" s="1128"/>
      <c r="G115" s="1128"/>
      <c r="H115" s="1128"/>
      <c r="I115" s="1128"/>
      <c r="J115" s="1128"/>
      <c r="K115" s="1128"/>
      <c r="L115" s="1128"/>
      <c r="M115" s="1128"/>
      <c r="N115" s="1128"/>
      <c r="O115" s="1128"/>
      <c r="P115" s="1128"/>
      <c r="Q115" s="1128"/>
      <c r="R115" s="1128"/>
      <c r="S115" s="1128"/>
      <c r="T115" s="1128"/>
      <c r="U115" s="1128"/>
      <c r="V115" s="1128"/>
      <c r="W115" s="1128"/>
      <c r="X115" s="1128"/>
      <c r="Y115" s="1128"/>
      <c r="Z115" s="1128"/>
    </row>
    <row r="116" ht="22.5" customHeight="1">
      <c r="A116" s="1128"/>
      <c r="B116" s="1128"/>
      <c r="C116" s="1128"/>
      <c r="D116" s="1128"/>
      <c r="E116" s="1128"/>
      <c r="F116" s="1128"/>
      <c r="G116" s="1128"/>
      <c r="H116" s="1128"/>
      <c r="I116" s="1128"/>
      <c r="J116" s="1128"/>
      <c r="K116" s="1128"/>
      <c r="L116" s="1128"/>
      <c r="M116" s="1128"/>
      <c r="N116" s="1128"/>
      <c r="O116" s="1128"/>
      <c r="P116" s="1128"/>
      <c r="Q116" s="1128"/>
      <c r="R116" s="1128"/>
      <c r="S116" s="1128"/>
      <c r="T116" s="1128"/>
      <c r="U116" s="1128"/>
      <c r="V116" s="1128"/>
      <c r="W116" s="1128"/>
      <c r="X116" s="1128"/>
      <c r="Y116" s="1128"/>
      <c r="Z116" s="1128"/>
    </row>
    <row r="117" ht="22.5" customHeight="1">
      <c r="A117" s="1128"/>
      <c r="B117" s="1128"/>
      <c r="C117" s="1128"/>
      <c r="D117" s="1128"/>
      <c r="E117" s="1128"/>
      <c r="F117" s="1128"/>
      <c r="G117" s="1128"/>
      <c r="H117" s="1128"/>
      <c r="I117" s="1128"/>
      <c r="J117" s="1128"/>
      <c r="K117" s="1128"/>
      <c r="L117" s="1128"/>
      <c r="M117" s="1128"/>
      <c r="N117" s="1128"/>
      <c r="O117" s="1128"/>
      <c r="P117" s="1128"/>
      <c r="Q117" s="1128"/>
      <c r="R117" s="1128"/>
      <c r="S117" s="1128"/>
      <c r="T117" s="1128"/>
      <c r="U117" s="1128"/>
      <c r="V117" s="1128"/>
      <c r="W117" s="1128"/>
      <c r="X117" s="1128"/>
      <c r="Y117" s="1128"/>
      <c r="Z117" s="1128"/>
    </row>
    <row r="118" ht="22.5" customHeight="1">
      <c r="A118" s="1128"/>
      <c r="B118" s="1128"/>
      <c r="C118" s="1128"/>
      <c r="D118" s="1128"/>
      <c r="E118" s="1128"/>
      <c r="F118" s="1128"/>
      <c r="G118" s="1128"/>
      <c r="H118" s="1128"/>
      <c r="I118" s="1128"/>
      <c r="J118" s="1128"/>
      <c r="K118" s="1128"/>
      <c r="L118" s="1128"/>
      <c r="M118" s="1128"/>
      <c r="N118" s="1128"/>
      <c r="O118" s="1128"/>
      <c r="P118" s="1128"/>
      <c r="Q118" s="1128"/>
      <c r="R118" s="1128"/>
      <c r="S118" s="1128"/>
      <c r="T118" s="1128"/>
      <c r="U118" s="1128"/>
      <c r="V118" s="1128"/>
      <c r="W118" s="1128"/>
      <c r="X118" s="1128"/>
      <c r="Y118" s="1128"/>
      <c r="Z118" s="1128"/>
    </row>
    <row r="119" ht="22.5" customHeight="1">
      <c r="A119" s="1128"/>
      <c r="B119" s="1128"/>
      <c r="C119" s="1128"/>
      <c r="D119" s="1128"/>
      <c r="E119" s="1128"/>
      <c r="F119" s="1128"/>
      <c r="G119" s="1128"/>
      <c r="H119" s="1128"/>
      <c r="I119" s="1128"/>
      <c r="J119" s="1128"/>
      <c r="K119" s="1128"/>
      <c r="L119" s="1128"/>
      <c r="M119" s="1128"/>
      <c r="N119" s="1128"/>
      <c r="O119" s="1128"/>
      <c r="P119" s="1128"/>
      <c r="Q119" s="1128"/>
      <c r="R119" s="1128"/>
      <c r="S119" s="1128"/>
      <c r="T119" s="1128"/>
      <c r="U119" s="1128"/>
      <c r="V119" s="1128"/>
      <c r="W119" s="1128"/>
      <c r="X119" s="1128"/>
      <c r="Y119" s="1128"/>
      <c r="Z119" s="1128"/>
    </row>
    <row r="120" ht="22.5" customHeight="1">
      <c r="A120" s="1128"/>
      <c r="B120" s="1128"/>
      <c r="C120" s="1128"/>
      <c r="D120" s="1128"/>
      <c r="E120" s="1128"/>
      <c r="F120" s="1128"/>
      <c r="G120" s="1128"/>
      <c r="H120" s="1128"/>
      <c r="I120" s="1128"/>
      <c r="J120" s="1128"/>
      <c r="K120" s="1128"/>
      <c r="L120" s="1128"/>
      <c r="M120" s="1128"/>
      <c r="N120" s="1128"/>
      <c r="O120" s="1128"/>
      <c r="P120" s="1128"/>
      <c r="Q120" s="1128"/>
      <c r="R120" s="1128"/>
      <c r="S120" s="1128"/>
      <c r="T120" s="1128"/>
      <c r="U120" s="1128"/>
      <c r="V120" s="1128"/>
      <c r="W120" s="1128"/>
      <c r="X120" s="1128"/>
      <c r="Y120" s="1128"/>
      <c r="Z120" s="1128"/>
    </row>
    <row r="121" ht="22.5" customHeight="1">
      <c r="A121" s="1128"/>
      <c r="B121" s="1128"/>
      <c r="C121" s="1128"/>
      <c r="D121" s="1128"/>
      <c r="E121" s="1128"/>
      <c r="F121" s="1128"/>
      <c r="G121" s="1128"/>
      <c r="H121" s="1128"/>
      <c r="I121" s="1128"/>
      <c r="J121" s="1128"/>
      <c r="K121" s="1128"/>
      <c r="L121" s="1128"/>
      <c r="M121" s="1128"/>
      <c r="N121" s="1128"/>
      <c r="O121" s="1128"/>
      <c r="P121" s="1128"/>
      <c r="Q121" s="1128"/>
      <c r="R121" s="1128"/>
      <c r="S121" s="1128"/>
      <c r="T121" s="1128"/>
      <c r="U121" s="1128"/>
      <c r="V121" s="1128"/>
      <c r="W121" s="1128"/>
      <c r="X121" s="1128"/>
      <c r="Y121" s="1128"/>
      <c r="Z121" s="1128"/>
    </row>
    <row r="122" ht="22.5" customHeight="1">
      <c r="A122" s="1128"/>
      <c r="B122" s="1128"/>
      <c r="C122" s="1128"/>
      <c r="D122" s="1128"/>
      <c r="E122" s="1128"/>
      <c r="F122" s="1128"/>
      <c r="G122" s="1128"/>
      <c r="H122" s="1128"/>
      <c r="I122" s="1128"/>
      <c r="J122" s="1128"/>
      <c r="K122" s="1128"/>
      <c r="L122" s="1128"/>
      <c r="M122" s="1128"/>
      <c r="N122" s="1128"/>
      <c r="O122" s="1128"/>
      <c r="P122" s="1128"/>
      <c r="Q122" s="1128"/>
      <c r="R122" s="1128"/>
      <c r="S122" s="1128"/>
      <c r="T122" s="1128"/>
      <c r="U122" s="1128"/>
      <c r="V122" s="1128"/>
      <c r="W122" s="1128"/>
      <c r="X122" s="1128"/>
      <c r="Y122" s="1128"/>
      <c r="Z122" s="1128"/>
    </row>
    <row r="123" ht="22.5" customHeight="1">
      <c r="A123" s="1128"/>
      <c r="B123" s="1128"/>
      <c r="C123" s="1128"/>
      <c r="D123" s="1128"/>
      <c r="E123" s="1128"/>
      <c r="F123" s="1128"/>
      <c r="G123" s="1128"/>
      <c r="H123" s="1128"/>
      <c r="I123" s="1128"/>
      <c r="J123" s="1128"/>
      <c r="K123" s="1128"/>
      <c r="L123" s="1128"/>
      <c r="M123" s="1128"/>
      <c r="N123" s="1128"/>
      <c r="O123" s="1128"/>
      <c r="P123" s="1128"/>
      <c r="Q123" s="1128"/>
      <c r="R123" s="1128"/>
      <c r="S123" s="1128"/>
      <c r="T123" s="1128"/>
      <c r="U123" s="1128"/>
      <c r="V123" s="1128"/>
      <c r="W123" s="1128"/>
      <c r="X123" s="1128"/>
      <c r="Y123" s="1128"/>
      <c r="Z123" s="1128"/>
    </row>
    <row r="124" ht="22.5" customHeight="1">
      <c r="A124" s="1128"/>
      <c r="B124" s="1128"/>
      <c r="C124" s="1128"/>
      <c r="D124" s="1128"/>
      <c r="E124" s="1128"/>
      <c r="F124" s="1128"/>
      <c r="G124" s="1128"/>
      <c r="H124" s="1128"/>
      <c r="I124" s="1128"/>
      <c r="J124" s="1128"/>
      <c r="K124" s="1128"/>
      <c r="L124" s="1128"/>
      <c r="M124" s="1128"/>
      <c r="N124" s="1128"/>
      <c r="O124" s="1128"/>
      <c r="P124" s="1128"/>
      <c r="Q124" s="1128"/>
      <c r="R124" s="1128"/>
      <c r="S124" s="1128"/>
      <c r="T124" s="1128"/>
      <c r="U124" s="1128"/>
      <c r="V124" s="1128"/>
      <c r="W124" s="1128"/>
      <c r="X124" s="1128"/>
      <c r="Y124" s="1128"/>
      <c r="Z124" s="1128"/>
    </row>
    <row r="125" ht="22.5" customHeight="1">
      <c r="A125" s="1128"/>
      <c r="B125" s="1128"/>
      <c r="C125" s="1128"/>
      <c r="D125" s="1128"/>
      <c r="E125" s="1128"/>
      <c r="F125" s="1128"/>
      <c r="G125" s="1128"/>
      <c r="H125" s="1128"/>
      <c r="I125" s="1128"/>
      <c r="J125" s="1128"/>
      <c r="K125" s="1128"/>
      <c r="L125" s="1128"/>
      <c r="M125" s="1128"/>
      <c r="N125" s="1128"/>
      <c r="O125" s="1128"/>
      <c r="P125" s="1128"/>
      <c r="Q125" s="1128"/>
      <c r="R125" s="1128"/>
      <c r="S125" s="1128"/>
      <c r="T125" s="1128"/>
      <c r="U125" s="1128"/>
      <c r="V125" s="1128"/>
      <c r="W125" s="1128"/>
      <c r="X125" s="1128"/>
      <c r="Y125" s="1128"/>
      <c r="Z125" s="1128"/>
    </row>
    <row r="126" ht="22.5" customHeight="1">
      <c r="A126" s="1128"/>
      <c r="B126" s="1128"/>
      <c r="C126" s="1128"/>
      <c r="D126" s="1128"/>
      <c r="E126" s="1128"/>
      <c r="F126" s="1128"/>
      <c r="G126" s="1128"/>
      <c r="H126" s="1128"/>
      <c r="I126" s="1128"/>
      <c r="J126" s="1128"/>
      <c r="K126" s="1128"/>
      <c r="L126" s="1128"/>
      <c r="M126" s="1128"/>
      <c r="N126" s="1128"/>
      <c r="O126" s="1128"/>
      <c r="P126" s="1128"/>
      <c r="Q126" s="1128"/>
      <c r="R126" s="1128"/>
      <c r="S126" s="1128"/>
      <c r="T126" s="1128"/>
      <c r="U126" s="1128"/>
      <c r="V126" s="1128"/>
      <c r="W126" s="1128"/>
      <c r="X126" s="1128"/>
      <c r="Y126" s="1128"/>
      <c r="Z126" s="1128"/>
    </row>
    <row r="127" ht="22.5" customHeight="1">
      <c r="A127" s="1128"/>
      <c r="B127" s="1128"/>
      <c r="C127" s="1128"/>
      <c r="D127" s="1128"/>
      <c r="E127" s="1128"/>
      <c r="F127" s="1128"/>
      <c r="G127" s="1128"/>
      <c r="H127" s="1128"/>
      <c r="I127" s="1128"/>
      <c r="J127" s="1128"/>
      <c r="K127" s="1128"/>
      <c r="L127" s="1128"/>
      <c r="M127" s="1128"/>
      <c r="N127" s="1128"/>
      <c r="O127" s="1128"/>
      <c r="P127" s="1128"/>
      <c r="Q127" s="1128"/>
      <c r="R127" s="1128"/>
      <c r="S127" s="1128"/>
      <c r="T127" s="1128"/>
      <c r="U127" s="1128"/>
      <c r="V127" s="1128"/>
      <c r="W127" s="1128"/>
      <c r="X127" s="1128"/>
      <c r="Y127" s="1128"/>
      <c r="Z127" s="1128"/>
    </row>
    <row r="128" ht="22.5" customHeight="1">
      <c r="A128" s="1128"/>
      <c r="B128" s="1128"/>
      <c r="C128" s="1128"/>
      <c r="D128" s="1128"/>
      <c r="E128" s="1128"/>
      <c r="F128" s="1128"/>
      <c r="G128" s="1128"/>
      <c r="H128" s="1128"/>
      <c r="I128" s="1128"/>
      <c r="J128" s="1128"/>
      <c r="K128" s="1128"/>
      <c r="L128" s="1128"/>
      <c r="M128" s="1128"/>
      <c r="N128" s="1128"/>
      <c r="O128" s="1128"/>
      <c r="P128" s="1128"/>
      <c r="Q128" s="1128"/>
      <c r="R128" s="1128"/>
      <c r="S128" s="1128"/>
      <c r="T128" s="1128"/>
      <c r="U128" s="1128"/>
      <c r="V128" s="1128"/>
      <c r="W128" s="1128"/>
      <c r="X128" s="1128"/>
      <c r="Y128" s="1128"/>
      <c r="Z128" s="1128"/>
    </row>
    <row r="129" ht="22.5" customHeight="1">
      <c r="A129" s="1128"/>
      <c r="B129" s="1128"/>
      <c r="C129" s="1128"/>
      <c r="D129" s="1128"/>
      <c r="E129" s="1128"/>
      <c r="F129" s="1128"/>
      <c r="G129" s="1128"/>
      <c r="H129" s="1128"/>
      <c r="I129" s="1128"/>
      <c r="J129" s="1128"/>
      <c r="K129" s="1128"/>
      <c r="L129" s="1128"/>
      <c r="M129" s="1128"/>
      <c r="N129" s="1128"/>
      <c r="O129" s="1128"/>
      <c r="P129" s="1128"/>
      <c r="Q129" s="1128"/>
      <c r="R129" s="1128"/>
      <c r="S129" s="1128"/>
      <c r="T129" s="1128"/>
      <c r="U129" s="1128"/>
      <c r="V129" s="1128"/>
      <c r="W129" s="1128"/>
      <c r="X129" s="1128"/>
      <c r="Y129" s="1128"/>
      <c r="Z129" s="1128"/>
    </row>
    <row r="130" ht="22.5" customHeight="1">
      <c r="A130" s="1128"/>
      <c r="B130" s="1128"/>
      <c r="C130" s="1128"/>
      <c r="D130" s="1128"/>
      <c r="E130" s="1128"/>
      <c r="F130" s="1128"/>
      <c r="G130" s="1128"/>
      <c r="H130" s="1128"/>
      <c r="I130" s="1128"/>
      <c r="J130" s="1128"/>
      <c r="K130" s="1128"/>
      <c r="L130" s="1128"/>
      <c r="M130" s="1128"/>
      <c r="N130" s="1128"/>
      <c r="O130" s="1128"/>
      <c r="P130" s="1128"/>
      <c r="Q130" s="1128"/>
      <c r="R130" s="1128"/>
      <c r="S130" s="1128"/>
      <c r="T130" s="1128"/>
      <c r="U130" s="1128"/>
      <c r="V130" s="1128"/>
      <c r="W130" s="1128"/>
      <c r="X130" s="1128"/>
      <c r="Y130" s="1128"/>
      <c r="Z130" s="1128"/>
    </row>
    <row r="131" ht="22.5" customHeight="1">
      <c r="A131" s="1128"/>
      <c r="B131" s="1128"/>
      <c r="C131" s="1128"/>
      <c r="D131" s="1128"/>
      <c r="E131" s="1128"/>
      <c r="F131" s="1128"/>
      <c r="G131" s="1128"/>
      <c r="H131" s="1128"/>
      <c r="I131" s="1128"/>
      <c r="J131" s="1128"/>
      <c r="K131" s="1128"/>
      <c r="L131" s="1128"/>
      <c r="M131" s="1128"/>
      <c r="N131" s="1128"/>
      <c r="O131" s="1128"/>
      <c r="P131" s="1128"/>
      <c r="Q131" s="1128"/>
      <c r="R131" s="1128"/>
      <c r="S131" s="1128"/>
      <c r="T131" s="1128"/>
      <c r="U131" s="1128"/>
      <c r="V131" s="1128"/>
      <c r="W131" s="1128"/>
      <c r="X131" s="1128"/>
      <c r="Y131" s="1128"/>
      <c r="Z131" s="1128"/>
    </row>
    <row r="132" ht="22.5" customHeight="1">
      <c r="A132" s="1128"/>
      <c r="B132" s="1128"/>
      <c r="C132" s="1128"/>
      <c r="D132" s="1128"/>
      <c r="E132" s="1128"/>
      <c r="F132" s="1128"/>
      <c r="G132" s="1128"/>
      <c r="H132" s="1128"/>
      <c r="I132" s="1128"/>
      <c r="J132" s="1128"/>
      <c r="K132" s="1128"/>
      <c r="L132" s="1128"/>
      <c r="M132" s="1128"/>
      <c r="N132" s="1128"/>
      <c r="O132" s="1128"/>
      <c r="P132" s="1128"/>
      <c r="Q132" s="1128"/>
      <c r="R132" s="1128"/>
      <c r="S132" s="1128"/>
      <c r="T132" s="1128"/>
      <c r="U132" s="1128"/>
      <c r="V132" s="1128"/>
      <c r="W132" s="1128"/>
      <c r="X132" s="1128"/>
      <c r="Y132" s="1128"/>
      <c r="Z132" s="1128"/>
    </row>
    <row r="133" ht="22.5" customHeight="1">
      <c r="A133" s="1128"/>
      <c r="B133" s="1128"/>
      <c r="C133" s="1128"/>
      <c r="D133" s="1128"/>
      <c r="E133" s="1128"/>
      <c r="F133" s="1128"/>
      <c r="G133" s="1128"/>
      <c r="H133" s="1128"/>
      <c r="I133" s="1128"/>
      <c r="J133" s="1128"/>
      <c r="K133" s="1128"/>
      <c r="L133" s="1128"/>
      <c r="M133" s="1128"/>
      <c r="N133" s="1128"/>
      <c r="O133" s="1128"/>
      <c r="P133" s="1128"/>
      <c r="Q133" s="1128"/>
      <c r="R133" s="1128"/>
      <c r="S133" s="1128"/>
      <c r="T133" s="1128"/>
      <c r="U133" s="1128"/>
      <c r="V133" s="1128"/>
      <c r="W133" s="1128"/>
      <c r="X133" s="1128"/>
      <c r="Y133" s="1128"/>
      <c r="Z133" s="1128"/>
    </row>
    <row r="134" ht="22.5" customHeight="1">
      <c r="A134" s="1128"/>
      <c r="B134" s="1128"/>
      <c r="C134" s="1128"/>
      <c r="D134" s="1128"/>
      <c r="E134" s="1128"/>
      <c r="F134" s="1128"/>
      <c r="G134" s="1128"/>
      <c r="H134" s="1128"/>
      <c r="I134" s="1128"/>
      <c r="J134" s="1128"/>
      <c r="K134" s="1128"/>
      <c r="L134" s="1128"/>
      <c r="M134" s="1128"/>
      <c r="N134" s="1128"/>
      <c r="O134" s="1128"/>
      <c r="P134" s="1128"/>
      <c r="Q134" s="1128"/>
      <c r="R134" s="1128"/>
      <c r="S134" s="1128"/>
      <c r="T134" s="1128"/>
      <c r="U134" s="1128"/>
      <c r="V134" s="1128"/>
      <c r="W134" s="1128"/>
      <c r="X134" s="1128"/>
      <c r="Y134" s="1128"/>
      <c r="Z134" s="1128"/>
    </row>
    <row r="135" ht="22.5" customHeight="1">
      <c r="A135" s="1128"/>
      <c r="B135" s="1128"/>
      <c r="C135" s="1128"/>
      <c r="D135" s="1128"/>
      <c r="E135" s="1128"/>
      <c r="F135" s="1128"/>
      <c r="G135" s="1128"/>
      <c r="H135" s="1128"/>
      <c r="I135" s="1128"/>
      <c r="J135" s="1128"/>
      <c r="K135" s="1128"/>
      <c r="L135" s="1128"/>
      <c r="M135" s="1128"/>
      <c r="N135" s="1128"/>
      <c r="O135" s="1128"/>
      <c r="P135" s="1128"/>
      <c r="Q135" s="1128"/>
      <c r="R135" s="1128"/>
      <c r="S135" s="1128"/>
      <c r="T135" s="1128"/>
      <c r="U135" s="1128"/>
      <c r="V135" s="1128"/>
      <c r="W135" s="1128"/>
      <c r="X135" s="1128"/>
      <c r="Y135" s="1128"/>
      <c r="Z135" s="1128"/>
    </row>
    <row r="136" ht="22.5" customHeight="1">
      <c r="A136" s="1128"/>
      <c r="B136" s="1128"/>
      <c r="C136" s="1128"/>
      <c r="D136" s="1128"/>
      <c r="E136" s="1128"/>
      <c r="F136" s="1128"/>
      <c r="G136" s="1128"/>
      <c r="H136" s="1128"/>
      <c r="I136" s="1128"/>
      <c r="J136" s="1128"/>
      <c r="K136" s="1128"/>
      <c r="L136" s="1128"/>
      <c r="M136" s="1128"/>
      <c r="N136" s="1128"/>
      <c r="O136" s="1128"/>
      <c r="P136" s="1128"/>
      <c r="Q136" s="1128"/>
      <c r="R136" s="1128"/>
      <c r="S136" s="1128"/>
      <c r="T136" s="1128"/>
      <c r="U136" s="1128"/>
      <c r="V136" s="1128"/>
      <c r="W136" s="1128"/>
      <c r="X136" s="1128"/>
      <c r="Y136" s="1128"/>
      <c r="Z136" s="1128"/>
    </row>
    <row r="137" ht="22.5" customHeight="1">
      <c r="A137" s="1128"/>
      <c r="B137" s="1128"/>
      <c r="C137" s="1128"/>
      <c r="D137" s="1128"/>
      <c r="E137" s="1128"/>
      <c r="F137" s="1128"/>
      <c r="G137" s="1128"/>
      <c r="H137" s="1128"/>
      <c r="I137" s="1128"/>
      <c r="J137" s="1128"/>
      <c r="K137" s="1128"/>
      <c r="L137" s="1128"/>
      <c r="M137" s="1128"/>
      <c r="N137" s="1128"/>
      <c r="O137" s="1128"/>
      <c r="P137" s="1128"/>
      <c r="Q137" s="1128"/>
      <c r="R137" s="1128"/>
      <c r="S137" s="1128"/>
      <c r="T137" s="1128"/>
      <c r="U137" s="1128"/>
      <c r="V137" s="1128"/>
      <c r="W137" s="1128"/>
      <c r="X137" s="1128"/>
      <c r="Y137" s="1128"/>
      <c r="Z137" s="1128"/>
    </row>
    <row r="138" ht="22.5" customHeight="1">
      <c r="A138" s="1128"/>
      <c r="B138" s="1128"/>
      <c r="C138" s="1128"/>
      <c r="D138" s="1128"/>
      <c r="E138" s="1128"/>
      <c r="F138" s="1128"/>
      <c r="G138" s="1128"/>
      <c r="H138" s="1128"/>
      <c r="I138" s="1128"/>
      <c r="J138" s="1128"/>
      <c r="K138" s="1128"/>
      <c r="L138" s="1128"/>
      <c r="M138" s="1128"/>
      <c r="N138" s="1128"/>
      <c r="O138" s="1128"/>
      <c r="P138" s="1128"/>
      <c r="Q138" s="1128"/>
      <c r="R138" s="1128"/>
      <c r="S138" s="1128"/>
      <c r="T138" s="1128"/>
      <c r="U138" s="1128"/>
      <c r="V138" s="1128"/>
      <c r="W138" s="1128"/>
      <c r="X138" s="1128"/>
      <c r="Y138" s="1128"/>
      <c r="Z138" s="1128"/>
    </row>
    <row r="139" ht="22.5" customHeight="1">
      <c r="A139" s="1128"/>
      <c r="B139" s="1128"/>
      <c r="C139" s="1128"/>
      <c r="D139" s="1128"/>
      <c r="E139" s="1128"/>
      <c r="F139" s="1128"/>
      <c r="G139" s="1128"/>
      <c r="H139" s="1128"/>
      <c r="I139" s="1128"/>
      <c r="J139" s="1128"/>
      <c r="K139" s="1128"/>
      <c r="L139" s="1128"/>
      <c r="M139" s="1128"/>
      <c r="N139" s="1128"/>
      <c r="O139" s="1128"/>
      <c r="P139" s="1128"/>
      <c r="Q139" s="1128"/>
      <c r="R139" s="1128"/>
      <c r="S139" s="1128"/>
      <c r="T139" s="1128"/>
      <c r="U139" s="1128"/>
      <c r="V139" s="1128"/>
      <c r="W139" s="1128"/>
      <c r="X139" s="1128"/>
      <c r="Y139" s="1128"/>
      <c r="Z139" s="1128"/>
    </row>
    <row r="140" ht="22.5" customHeight="1">
      <c r="A140" s="1128"/>
      <c r="B140" s="1128"/>
      <c r="C140" s="1128"/>
      <c r="D140" s="1128"/>
      <c r="E140" s="1128"/>
      <c r="F140" s="1128"/>
      <c r="G140" s="1128"/>
      <c r="H140" s="1128"/>
      <c r="I140" s="1128"/>
      <c r="J140" s="1128"/>
      <c r="K140" s="1128"/>
      <c r="L140" s="1128"/>
      <c r="M140" s="1128"/>
      <c r="N140" s="1128"/>
      <c r="O140" s="1128"/>
      <c r="P140" s="1128"/>
      <c r="Q140" s="1128"/>
      <c r="R140" s="1128"/>
      <c r="S140" s="1128"/>
      <c r="T140" s="1128"/>
      <c r="U140" s="1128"/>
      <c r="V140" s="1128"/>
      <c r="W140" s="1128"/>
      <c r="X140" s="1128"/>
      <c r="Y140" s="1128"/>
      <c r="Z140" s="1128"/>
    </row>
    <row r="141" ht="22.5" customHeight="1">
      <c r="A141" s="1128"/>
      <c r="B141" s="1128"/>
      <c r="C141" s="1128"/>
      <c r="D141" s="1128"/>
      <c r="E141" s="1128"/>
      <c r="F141" s="1128"/>
      <c r="G141" s="1128"/>
      <c r="H141" s="1128"/>
      <c r="I141" s="1128"/>
      <c r="J141" s="1128"/>
      <c r="K141" s="1128"/>
      <c r="L141" s="1128"/>
      <c r="M141" s="1128"/>
      <c r="N141" s="1128"/>
      <c r="O141" s="1128"/>
      <c r="P141" s="1128"/>
      <c r="Q141" s="1128"/>
      <c r="R141" s="1128"/>
      <c r="S141" s="1128"/>
      <c r="T141" s="1128"/>
      <c r="U141" s="1128"/>
      <c r="V141" s="1128"/>
      <c r="W141" s="1128"/>
      <c r="X141" s="1128"/>
      <c r="Y141" s="1128"/>
      <c r="Z141" s="1128"/>
    </row>
    <row r="142" ht="22.5" customHeight="1">
      <c r="A142" s="1128"/>
      <c r="B142" s="1128"/>
      <c r="C142" s="1128"/>
      <c r="D142" s="1128"/>
      <c r="E142" s="1128"/>
      <c r="F142" s="1128"/>
      <c r="G142" s="1128"/>
      <c r="H142" s="1128"/>
      <c r="I142" s="1128"/>
      <c r="J142" s="1128"/>
      <c r="K142" s="1128"/>
      <c r="L142" s="1128"/>
      <c r="M142" s="1128"/>
      <c r="N142" s="1128"/>
      <c r="O142" s="1128"/>
      <c r="P142" s="1128"/>
      <c r="Q142" s="1128"/>
      <c r="R142" s="1128"/>
      <c r="S142" s="1128"/>
      <c r="T142" s="1128"/>
      <c r="U142" s="1128"/>
      <c r="V142" s="1128"/>
      <c r="W142" s="1128"/>
      <c r="X142" s="1128"/>
      <c r="Y142" s="1128"/>
      <c r="Z142" s="1128"/>
    </row>
    <row r="143" ht="22.5" customHeight="1">
      <c r="A143" s="1128"/>
      <c r="B143" s="1128"/>
      <c r="C143" s="1128"/>
      <c r="D143" s="1128"/>
      <c r="E143" s="1128"/>
      <c r="F143" s="1128"/>
      <c r="G143" s="1128"/>
      <c r="H143" s="1128"/>
      <c r="I143" s="1128"/>
      <c r="J143" s="1128"/>
      <c r="K143" s="1128"/>
      <c r="L143" s="1128"/>
      <c r="M143" s="1128"/>
      <c r="N143" s="1128"/>
      <c r="O143" s="1128"/>
      <c r="P143" s="1128"/>
      <c r="Q143" s="1128"/>
      <c r="R143" s="1128"/>
      <c r="S143" s="1128"/>
      <c r="T143" s="1128"/>
      <c r="U143" s="1128"/>
      <c r="V143" s="1128"/>
      <c r="W143" s="1128"/>
      <c r="X143" s="1128"/>
      <c r="Y143" s="1128"/>
      <c r="Z143" s="1128"/>
    </row>
    <row r="144" ht="22.5" customHeight="1">
      <c r="A144" s="1128"/>
      <c r="B144" s="1128"/>
      <c r="C144" s="1128"/>
      <c r="D144" s="1128"/>
      <c r="E144" s="1128"/>
      <c r="F144" s="1128"/>
      <c r="G144" s="1128"/>
      <c r="H144" s="1128"/>
      <c r="I144" s="1128"/>
      <c r="J144" s="1128"/>
      <c r="K144" s="1128"/>
      <c r="L144" s="1128"/>
      <c r="M144" s="1128"/>
      <c r="N144" s="1128"/>
      <c r="O144" s="1128"/>
      <c r="P144" s="1128"/>
      <c r="Q144" s="1128"/>
      <c r="R144" s="1128"/>
      <c r="S144" s="1128"/>
      <c r="T144" s="1128"/>
      <c r="U144" s="1128"/>
      <c r="V144" s="1128"/>
      <c r="W144" s="1128"/>
      <c r="X144" s="1128"/>
      <c r="Y144" s="1128"/>
      <c r="Z144" s="1128"/>
    </row>
    <row r="145" ht="22.5" customHeight="1">
      <c r="A145" s="1128"/>
      <c r="B145" s="1128"/>
      <c r="C145" s="1128"/>
      <c r="D145" s="1128"/>
      <c r="E145" s="1128"/>
      <c r="F145" s="1128"/>
      <c r="G145" s="1128"/>
      <c r="H145" s="1128"/>
      <c r="I145" s="1128"/>
      <c r="J145" s="1128"/>
      <c r="K145" s="1128"/>
      <c r="L145" s="1128"/>
      <c r="M145" s="1128"/>
      <c r="N145" s="1128"/>
      <c r="O145" s="1128"/>
      <c r="P145" s="1128"/>
      <c r="Q145" s="1128"/>
      <c r="R145" s="1128"/>
      <c r="S145" s="1128"/>
      <c r="T145" s="1128"/>
      <c r="U145" s="1128"/>
      <c r="V145" s="1128"/>
      <c r="W145" s="1128"/>
      <c r="X145" s="1128"/>
      <c r="Y145" s="1128"/>
      <c r="Z145" s="1128"/>
    </row>
    <row r="146" ht="22.5" customHeight="1">
      <c r="A146" s="1128"/>
      <c r="B146" s="1128"/>
      <c r="C146" s="1128"/>
      <c r="D146" s="1128"/>
      <c r="E146" s="1128"/>
      <c r="F146" s="1128"/>
      <c r="G146" s="1128"/>
      <c r="H146" s="1128"/>
      <c r="I146" s="1128"/>
      <c r="J146" s="1128"/>
      <c r="K146" s="1128"/>
      <c r="L146" s="1128"/>
      <c r="M146" s="1128"/>
      <c r="N146" s="1128"/>
      <c r="O146" s="1128"/>
      <c r="P146" s="1128"/>
      <c r="Q146" s="1128"/>
      <c r="R146" s="1128"/>
      <c r="S146" s="1128"/>
      <c r="T146" s="1128"/>
      <c r="U146" s="1128"/>
      <c r="V146" s="1128"/>
      <c r="W146" s="1128"/>
      <c r="X146" s="1128"/>
      <c r="Y146" s="1128"/>
      <c r="Z146" s="1128"/>
    </row>
    <row r="147" ht="22.5" customHeight="1">
      <c r="A147" s="1128"/>
      <c r="B147" s="1128"/>
      <c r="C147" s="1128"/>
      <c r="D147" s="1128"/>
      <c r="E147" s="1128"/>
      <c r="F147" s="1128"/>
      <c r="G147" s="1128"/>
      <c r="H147" s="1128"/>
      <c r="I147" s="1128"/>
      <c r="J147" s="1128"/>
      <c r="K147" s="1128"/>
      <c r="L147" s="1128"/>
      <c r="M147" s="1128"/>
      <c r="N147" s="1128"/>
      <c r="O147" s="1128"/>
      <c r="P147" s="1128"/>
      <c r="Q147" s="1128"/>
      <c r="R147" s="1128"/>
      <c r="S147" s="1128"/>
      <c r="T147" s="1128"/>
      <c r="U147" s="1128"/>
      <c r="V147" s="1128"/>
      <c r="W147" s="1128"/>
      <c r="X147" s="1128"/>
      <c r="Y147" s="1128"/>
      <c r="Z147" s="1128"/>
    </row>
    <row r="148" ht="22.5" customHeight="1">
      <c r="A148" s="1128"/>
      <c r="B148" s="1128"/>
      <c r="C148" s="1128"/>
      <c r="D148" s="1128"/>
      <c r="E148" s="1128"/>
      <c r="F148" s="1128"/>
      <c r="G148" s="1128"/>
      <c r="H148" s="1128"/>
      <c r="I148" s="1128"/>
      <c r="J148" s="1128"/>
      <c r="K148" s="1128"/>
      <c r="L148" s="1128"/>
      <c r="M148" s="1128"/>
      <c r="N148" s="1128"/>
      <c r="O148" s="1128"/>
      <c r="P148" s="1128"/>
      <c r="Q148" s="1128"/>
      <c r="R148" s="1128"/>
      <c r="S148" s="1128"/>
      <c r="T148" s="1128"/>
      <c r="U148" s="1128"/>
      <c r="V148" s="1128"/>
      <c r="W148" s="1128"/>
      <c r="X148" s="1128"/>
      <c r="Y148" s="1128"/>
      <c r="Z148" s="1128"/>
    </row>
    <row r="149" ht="22.5" customHeight="1">
      <c r="A149" s="1128"/>
      <c r="B149" s="1128"/>
      <c r="C149" s="1128"/>
      <c r="D149" s="1128"/>
      <c r="E149" s="1128"/>
      <c r="F149" s="1128"/>
      <c r="G149" s="1128"/>
      <c r="H149" s="1128"/>
      <c r="I149" s="1128"/>
      <c r="J149" s="1128"/>
      <c r="K149" s="1128"/>
      <c r="L149" s="1128"/>
      <c r="M149" s="1128"/>
      <c r="N149" s="1128"/>
      <c r="O149" s="1128"/>
      <c r="P149" s="1128"/>
      <c r="Q149" s="1128"/>
      <c r="R149" s="1128"/>
      <c r="S149" s="1128"/>
      <c r="T149" s="1128"/>
      <c r="U149" s="1128"/>
      <c r="V149" s="1128"/>
      <c r="W149" s="1128"/>
      <c r="X149" s="1128"/>
      <c r="Y149" s="1128"/>
      <c r="Z149" s="1128"/>
    </row>
    <row r="150" ht="22.5" customHeight="1">
      <c r="A150" s="1128"/>
      <c r="B150" s="1128"/>
      <c r="C150" s="1128"/>
      <c r="D150" s="1128"/>
      <c r="E150" s="1128"/>
      <c r="F150" s="1128"/>
      <c r="G150" s="1128"/>
      <c r="H150" s="1128"/>
      <c r="I150" s="1128"/>
      <c r="J150" s="1128"/>
      <c r="K150" s="1128"/>
      <c r="L150" s="1128"/>
      <c r="M150" s="1128"/>
      <c r="N150" s="1128"/>
      <c r="O150" s="1128"/>
      <c r="P150" s="1128"/>
      <c r="Q150" s="1128"/>
      <c r="R150" s="1128"/>
      <c r="S150" s="1128"/>
      <c r="T150" s="1128"/>
      <c r="U150" s="1128"/>
      <c r="V150" s="1128"/>
      <c r="W150" s="1128"/>
      <c r="X150" s="1128"/>
      <c r="Y150" s="1128"/>
      <c r="Z150" s="1128"/>
    </row>
    <row r="151" ht="22.5" customHeight="1">
      <c r="A151" s="1128"/>
      <c r="B151" s="1128"/>
      <c r="C151" s="1128"/>
      <c r="D151" s="1128"/>
      <c r="E151" s="1128"/>
      <c r="F151" s="1128"/>
      <c r="G151" s="1128"/>
      <c r="H151" s="1128"/>
      <c r="I151" s="1128"/>
      <c r="J151" s="1128"/>
      <c r="K151" s="1128"/>
      <c r="L151" s="1128"/>
      <c r="M151" s="1128"/>
      <c r="N151" s="1128"/>
      <c r="O151" s="1128"/>
      <c r="P151" s="1128"/>
      <c r="Q151" s="1128"/>
      <c r="R151" s="1128"/>
      <c r="S151" s="1128"/>
      <c r="T151" s="1128"/>
      <c r="U151" s="1128"/>
      <c r="V151" s="1128"/>
      <c r="W151" s="1128"/>
      <c r="X151" s="1128"/>
      <c r="Y151" s="1128"/>
      <c r="Z151" s="1128"/>
    </row>
    <row r="152" ht="22.5" customHeight="1">
      <c r="A152" s="1128"/>
      <c r="B152" s="1128"/>
      <c r="C152" s="1128"/>
      <c r="D152" s="1128"/>
      <c r="E152" s="1128"/>
      <c r="F152" s="1128"/>
      <c r="G152" s="1128"/>
      <c r="H152" s="1128"/>
      <c r="I152" s="1128"/>
      <c r="J152" s="1128"/>
      <c r="K152" s="1128"/>
      <c r="L152" s="1128"/>
      <c r="M152" s="1128"/>
      <c r="N152" s="1128"/>
      <c r="O152" s="1128"/>
      <c r="P152" s="1128"/>
      <c r="Q152" s="1128"/>
      <c r="R152" s="1128"/>
      <c r="S152" s="1128"/>
      <c r="T152" s="1128"/>
      <c r="U152" s="1128"/>
      <c r="V152" s="1128"/>
      <c r="W152" s="1128"/>
      <c r="X152" s="1128"/>
      <c r="Y152" s="1128"/>
      <c r="Z152" s="1128"/>
    </row>
    <row r="153" ht="22.5" customHeight="1">
      <c r="A153" s="1128"/>
      <c r="B153" s="1128"/>
      <c r="C153" s="1128"/>
      <c r="D153" s="1128"/>
      <c r="E153" s="1128"/>
      <c r="F153" s="1128"/>
      <c r="G153" s="1128"/>
      <c r="H153" s="1128"/>
      <c r="I153" s="1128"/>
      <c r="J153" s="1128"/>
      <c r="K153" s="1128"/>
      <c r="L153" s="1128"/>
      <c r="M153" s="1128"/>
      <c r="N153" s="1128"/>
      <c r="O153" s="1128"/>
      <c r="P153" s="1128"/>
      <c r="Q153" s="1128"/>
      <c r="R153" s="1128"/>
      <c r="S153" s="1128"/>
      <c r="T153" s="1128"/>
      <c r="U153" s="1128"/>
      <c r="V153" s="1128"/>
      <c r="W153" s="1128"/>
      <c r="X153" s="1128"/>
      <c r="Y153" s="1128"/>
      <c r="Z153" s="1128"/>
    </row>
    <row r="154" ht="22.5" customHeight="1">
      <c r="A154" s="1128"/>
      <c r="B154" s="1128"/>
      <c r="C154" s="1128"/>
      <c r="D154" s="1128"/>
      <c r="E154" s="1128"/>
      <c r="F154" s="1128"/>
      <c r="G154" s="1128"/>
      <c r="H154" s="1128"/>
      <c r="I154" s="1128"/>
      <c r="J154" s="1128"/>
      <c r="K154" s="1128"/>
      <c r="L154" s="1128"/>
      <c r="M154" s="1128"/>
      <c r="N154" s="1128"/>
      <c r="O154" s="1128"/>
      <c r="P154" s="1128"/>
      <c r="Q154" s="1128"/>
      <c r="R154" s="1128"/>
      <c r="S154" s="1128"/>
      <c r="T154" s="1128"/>
      <c r="U154" s="1128"/>
      <c r="V154" s="1128"/>
      <c r="W154" s="1128"/>
      <c r="X154" s="1128"/>
      <c r="Y154" s="1128"/>
      <c r="Z154" s="1128"/>
    </row>
    <row r="155" ht="22.5" customHeight="1">
      <c r="A155" s="1128"/>
      <c r="B155" s="1128"/>
      <c r="C155" s="1128"/>
      <c r="D155" s="1128"/>
      <c r="E155" s="1128"/>
      <c r="F155" s="1128"/>
      <c r="G155" s="1128"/>
      <c r="H155" s="1128"/>
      <c r="I155" s="1128"/>
      <c r="J155" s="1128"/>
      <c r="K155" s="1128"/>
      <c r="L155" s="1128"/>
      <c r="M155" s="1128"/>
      <c r="N155" s="1128"/>
      <c r="O155" s="1128"/>
      <c r="P155" s="1128"/>
      <c r="Q155" s="1128"/>
      <c r="R155" s="1128"/>
      <c r="S155" s="1128"/>
      <c r="T155" s="1128"/>
      <c r="U155" s="1128"/>
      <c r="V155" s="1128"/>
      <c r="W155" s="1128"/>
      <c r="X155" s="1128"/>
      <c r="Y155" s="1128"/>
      <c r="Z155" s="1128"/>
    </row>
    <row r="156" ht="22.5" customHeight="1">
      <c r="A156" s="1128"/>
      <c r="B156" s="1128"/>
      <c r="C156" s="1128"/>
      <c r="D156" s="1128"/>
      <c r="E156" s="1128"/>
      <c r="F156" s="1128"/>
      <c r="G156" s="1128"/>
      <c r="H156" s="1128"/>
      <c r="I156" s="1128"/>
      <c r="J156" s="1128"/>
      <c r="K156" s="1128"/>
      <c r="L156" s="1128"/>
      <c r="M156" s="1128"/>
      <c r="N156" s="1128"/>
      <c r="O156" s="1128"/>
      <c r="P156" s="1128"/>
      <c r="Q156" s="1128"/>
      <c r="R156" s="1128"/>
      <c r="S156" s="1128"/>
      <c r="T156" s="1128"/>
      <c r="U156" s="1128"/>
      <c r="V156" s="1128"/>
      <c r="W156" s="1128"/>
      <c r="X156" s="1128"/>
      <c r="Y156" s="1128"/>
      <c r="Z156" s="1128"/>
    </row>
    <row r="157" ht="22.5" customHeight="1">
      <c r="A157" s="1128"/>
      <c r="B157" s="1128"/>
      <c r="C157" s="1128"/>
      <c r="D157" s="1128"/>
      <c r="E157" s="1128"/>
      <c r="F157" s="1128"/>
      <c r="G157" s="1128"/>
      <c r="H157" s="1128"/>
      <c r="I157" s="1128"/>
      <c r="J157" s="1128"/>
      <c r="K157" s="1128"/>
      <c r="L157" s="1128"/>
      <c r="M157" s="1128"/>
      <c r="N157" s="1128"/>
      <c r="O157" s="1128"/>
      <c r="P157" s="1128"/>
      <c r="Q157" s="1128"/>
      <c r="R157" s="1128"/>
      <c r="S157" s="1128"/>
      <c r="T157" s="1128"/>
      <c r="U157" s="1128"/>
      <c r="V157" s="1128"/>
      <c r="W157" s="1128"/>
      <c r="X157" s="1128"/>
      <c r="Y157" s="1128"/>
      <c r="Z157" s="1128"/>
    </row>
    <row r="158" ht="22.5" customHeight="1">
      <c r="A158" s="1128"/>
      <c r="B158" s="1128"/>
      <c r="C158" s="1128"/>
      <c r="D158" s="1128"/>
      <c r="E158" s="1128"/>
      <c r="F158" s="1128"/>
      <c r="G158" s="1128"/>
      <c r="H158" s="1128"/>
      <c r="I158" s="1128"/>
      <c r="J158" s="1128"/>
      <c r="K158" s="1128"/>
      <c r="L158" s="1128"/>
      <c r="M158" s="1128"/>
      <c r="N158" s="1128"/>
      <c r="O158" s="1128"/>
      <c r="P158" s="1128"/>
      <c r="Q158" s="1128"/>
      <c r="R158" s="1128"/>
      <c r="S158" s="1128"/>
      <c r="T158" s="1128"/>
      <c r="U158" s="1128"/>
      <c r="V158" s="1128"/>
      <c r="W158" s="1128"/>
      <c r="X158" s="1128"/>
      <c r="Y158" s="1128"/>
      <c r="Z158" s="1128"/>
    </row>
    <row r="159" ht="22.5" customHeight="1">
      <c r="A159" s="1128"/>
      <c r="B159" s="1128"/>
      <c r="C159" s="1128"/>
      <c r="D159" s="1128"/>
      <c r="E159" s="1128"/>
      <c r="F159" s="1128"/>
      <c r="G159" s="1128"/>
      <c r="H159" s="1128"/>
      <c r="I159" s="1128"/>
      <c r="J159" s="1128"/>
      <c r="K159" s="1128"/>
      <c r="L159" s="1128"/>
      <c r="M159" s="1128"/>
      <c r="N159" s="1128"/>
      <c r="O159" s="1128"/>
      <c r="P159" s="1128"/>
      <c r="Q159" s="1128"/>
      <c r="R159" s="1128"/>
      <c r="S159" s="1128"/>
      <c r="T159" s="1128"/>
      <c r="U159" s="1128"/>
      <c r="V159" s="1128"/>
      <c r="W159" s="1128"/>
      <c r="X159" s="1128"/>
      <c r="Y159" s="1128"/>
      <c r="Z159" s="1128"/>
    </row>
    <row r="160" ht="22.5" customHeight="1">
      <c r="A160" s="1128"/>
      <c r="B160" s="1128"/>
      <c r="C160" s="1128"/>
      <c r="D160" s="1128"/>
      <c r="E160" s="1128"/>
      <c r="F160" s="1128"/>
      <c r="G160" s="1128"/>
      <c r="H160" s="1128"/>
      <c r="I160" s="1128"/>
      <c r="J160" s="1128"/>
      <c r="K160" s="1128"/>
      <c r="L160" s="1128"/>
      <c r="M160" s="1128"/>
      <c r="N160" s="1128"/>
      <c r="O160" s="1128"/>
      <c r="P160" s="1128"/>
      <c r="Q160" s="1128"/>
      <c r="R160" s="1128"/>
      <c r="S160" s="1128"/>
      <c r="T160" s="1128"/>
      <c r="U160" s="1128"/>
      <c r="V160" s="1128"/>
      <c r="W160" s="1128"/>
      <c r="X160" s="1128"/>
      <c r="Y160" s="1128"/>
      <c r="Z160" s="1128"/>
    </row>
    <row r="161" ht="22.5" customHeight="1">
      <c r="A161" s="1128"/>
      <c r="B161" s="1128"/>
      <c r="C161" s="1128"/>
      <c r="D161" s="1128"/>
      <c r="E161" s="1128"/>
      <c r="F161" s="1128"/>
      <c r="G161" s="1128"/>
      <c r="H161" s="1128"/>
      <c r="I161" s="1128"/>
      <c r="J161" s="1128"/>
      <c r="K161" s="1128"/>
      <c r="L161" s="1128"/>
      <c r="M161" s="1128"/>
      <c r="N161" s="1128"/>
      <c r="O161" s="1128"/>
      <c r="P161" s="1128"/>
      <c r="Q161" s="1128"/>
      <c r="R161" s="1128"/>
      <c r="S161" s="1128"/>
      <c r="T161" s="1128"/>
      <c r="U161" s="1128"/>
      <c r="V161" s="1128"/>
      <c r="W161" s="1128"/>
      <c r="X161" s="1128"/>
      <c r="Y161" s="1128"/>
      <c r="Z161" s="1128"/>
    </row>
    <row r="162" ht="22.5" customHeight="1">
      <c r="A162" s="1128"/>
      <c r="B162" s="1128"/>
      <c r="C162" s="1128"/>
      <c r="D162" s="1128"/>
      <c r="E162" s="1128"/>
      <c r="F162" s="1128"/>
      <c r="G162" s="1128"/>
      <c r="H162" s="1128"/>
      <c r="I162" s="1128"/>
      <c r="J162" s="1128"/>
      <c r="K162" s="1128"/>
      <c r="L162" s="1128"/>
      <c r="M162" s="1128"/>
      <c r="N162" s="1128"/>
      <c r="O162" s="1128"/>
      <c r="P162" s="1128"/>
      <c r="Q162" s="1128"/>
      <c r="R162" s="1128"/>
      <c r="S162" s="1128"/>
      <c r="T162" s="1128"/>
      <c r="U162" s="1128"/>
      <c r="V162" s="1128"/>
      <c r="W162" s="1128"/>
      <c r="X162" s="1128"/>
      <c r="Y162" s="1128"/>
      <c r="Z162" s="1128"/>
    </row>
    <row r="163" ht="22.5" customHeight="1">
      <c r="A163" s="1128"/>
      <c r="B163" s="1128"/>
      <c r="C163" s="1128"/>
      <c r="D163" s="1128"/>
      <c r="E163" s="1128"/>
      <c r="F163" s="1128"/>
      <c r="G163" s="1128"/>
      <c r="H163" s="1128"/>
      <c r="I163" s="1128"/>
      <c r="J163" s="1128"/>
      <c r="K163" s="1128"/>
      <c r="L163" s="1128"/>
      <c r="M163" s="1128"/>
      <c r="N163" s="1128"/>
      <c r="O163" s="1128"/>
      <c r="P163" s="1128"/>
      <c r="Q163" s="1128"/>
      <c r="R163" s="1128"/>
      <c r="S163" s="1128"/>
      <c r="T163" s="1128"/>
      <c r="U163" s="1128"/>
      <c r="V163" s="1128"/>
      <c r="W163" s="1128"/>
      <c r="X163" s="1128"/>
      <c r="Y163" s="1128"/>
      <c r="Z163" s="1128"/>
    </row>
    <row r="164" ht="22.5" customHeight="1">
      <c r="A164" s="1128"/>
      <c r="B164" s="1128"/>
      <c r="C164" s="1128"/>
      <c r="D164" s="1128"/>
      <c r="E164" s="1128"/>
      <c r="F164" s="1128"/>
      <c r="G164" s="1128"/>
      <c r="H164" s="1128"/>
      <c r="I164" s="1128"/>
      <c r="J164" s="1128"/>
      <c r="K164" s="1128"/>
      <c r="L164" s="1128"/>
      <c r="M164" s="1128"/>
      <c r="N164" s="1128"/>
      <c r="O164" s="1128"/>
      <c r="P164" s="1128"/>
      <c r="Q164" s="1128"/>
      <c r="R164" s="1128"/>
      <c r="S164" s="1128"/>
      <c r="T164" s="1128"/>
      <c r="U164" s="1128"/>
      <c r="V164" s="1128"/>
      <c r="W164" s="1128"/>
      <c r="X164" s="1128"/>
      <c r="Y164" s="1128"/>
      <c r="Z164" s="1128"/>
    </row>
    <row r="165" ht="22.5" customHeight="1">
      <c r="A165" s="1128"/>
      <c r="B165" s="1128"/>
      <c r="C165" s="1128"/>
      <c r="D165" s="1128"/>
      <c r="E165" s="1128"/>
      <c r="F165" s="1128"/>
      <c r="G165" s="1128"/>
      <c r="H165" s="1128"/>
      <c r="I165" s="1128"/>
      <c r="J165" s="1128"/>
      <c r="K165" s="1128"/>
      <c r="L165" s="1128"/>
      <c r="M165" s="1128"/>
      <c r="N165" s="1128"/>
      <c r="O165" s="1128"/>
      <c r="P165" s="1128"/>
      <c r="Q165" s="1128"/>
      <c r="R165" s="1128"/>
      <c r="S165" s="1128"/>
      <c r="T165" s="1128"/>
      <c r="U165" s="1128"/>
      <c r="V165" s="1128"/>
      <c r="W165" s="1128"/>
      <c r="X165" s="1128"/>
      <c r="Y165" s="1128"/>
      <c r="Z165" s="1128"/>
    </row>
    <row r="166" ht="22.5" customHeight="1">
      <c r="A166" s="1128"/>
      <c r="B166" s="1128"/>
      <c r="C166" s="1128"/>
      <c r="D166" s="1128"/>
      <c r="E166" s="1128"/>
      <c r="F166" s="1128"/>
      <c r="G166" s="1128"/>
      <c r="H166" s="1128"/>
      <c r="I166" s="1128"/>
      <c r="J166" s="1128"/>
      <c r="K166" s="1128"/>
      <c r="L166" s="1128"/>
      <c r="M166" s="1128"/>
      <c r="N166" s="1128"/>
      <c r="O166" s="1128"/>
      <c r="P166" s="1128"/>
      <c r="Q166" s="1128"/>
      <c r="R166" s="1128"/>
      <c r="S166" s="1128"/>
      <c r="T166" s="1128"/>
      <c r="U166" s="1128"/>
      <c r="V166" s="1128"/>
      <c r="W166" s="1128"/>
      <c r="X166" s="1128"/>
      <c r="Y166" s="1128"/>
      <c r="Z166" s="1128"/>
    </row>
    <row r="167" ht="22.5" customHeight="1">
      <c r="A167" s="1128"/>
      <c r="B167" s="1128"/>
      <c r="C167" s="1128"/>
      <c r="D167" s="1128"/>
      <c r="E167" s="1128"/>
      <c r="F167" s="1128"/>
      <c r="G167" s="1128"/>
      <c r="H167" s="1128"/>
      <c r="I167" s="1128"/>
      <c r="J167" s="1128"/>
      <c r="K167" s="1128"/>
      <c r="L167" s="1128"/>
      <c r="M167" s="1128"/>
      <c r="N167" s="1128"/>
      <c r="O167" s="1128"/>
      <c r="P167" s="1128"/>
      <c r="Q167" s="1128"/>
      <c r="R167" s="1128"/>
      <c r="S167" s="1128"/>
      <c r="T167" s="1128"/>
      <c r="U167" s="1128"/>
      <c r="V167" s="1128"/>
      <c r="W167" s="1128"/>
      <c r="X167" s="1128"/>
      <c r="Y167" s="1128"/>
      <c r="Z167" s="1128"/>
    </row>
    <row r="168" ht="22.5" customHeight="1">
      <c r="A168" s="1128"/>
      <c r="B168" s="1128"/>
      <c r="C168" s="1128"/>
      <c r="D168" s="1128"/>
      <c r="E168" s="1128"/>
      <c r="F168" s="1128"/>
      <c r="G168" s="1128"/>
      <c r="H168" s="1128"/>
      <c r="I168" s="1128"/>
      <c r="J168" s="1128"/>
      <c r="K168" s="1128"/>
      <c r="L168" s="1128"/>
      <c r="M168" s="1128"/>
      <c r="N168" s="1128"/>
      <c r="O168" s="1128"/>
      <c r="P168" s="1128"/>
      <c r="Q168" s="1128"/>
      <c r="R168" s="1128"/>
      <c r="S168" s="1128"/>
      <c r="T168" s="1128"/>
      <c r="U168" s="1128"/>
      <c r="V168" s="1128"/>
      <c r="W168" s="1128"/>
      <c r="X168" s="1128"/>
      <c r="Y168" s="1128"/>
      <c r="Z168" s="1128"/>
    </row>
    <row r="169" ht="22.5" customHeight="1">
      <c r="A169" s="1128"/>
      <c r="B169" s="1128"/>
      <c r="C169" s="1128"/>
      <c r="D169" s="1128"/>
      <c r="E169" s="1128"/>
      <c r="F169" s="1128"/>
      <c r="G169" s="1128"/>
      <c r="H169" s="1128"/>
      <c r="I169" s="1128"/>
      <c r="J169" s="1128"/>
      <c r="K169" s="1128"/>
      <c r="L169" s="1128"/>
      <c r="M169" s="1128"/>
      <c r="N169" s="1128"/>
      <c r="O169" s="1128"/>
      <c r="P169" s="1128"/>
      <c r="Q169" s="1128"/>
      <c r="R169" s="1128"/>
      <c r="S169" s="1128"/>
      <c r="T169" s="1128"/>
      <c r="U169" s="1128"/>
      <c r="V169" s="1128"/>
      <c r="W169" s="1128"/>
      <c r="X169" s="1128"/>
      <c r="Y169" s="1128"/>
      <c r="Z169" s="1128"/>
    </row>
    <row r="170" ht="22.5" customHeight="1">
      <c r="A170" s="1128"/>
      <c r="B170" s="1128"/>
      <c r="C170" s="1128"/>
      <c r="D170" s="1128"/>
      <c r="E170" s="1128"/>
      <c r="F170" s="1128"/>
      <c r="G170" s="1128"/>
      <c r="H170" s="1128"/>
      <c r="I170" s="1128"/>
      <c r="J170" s="1128"/>
      <c r="K170" s="1128"/>
      <c r="L170" s="1128"/>
      <c r="M170" s="1128"/>
      <c r="N170" s="1128"/>
      <c r="O170" s="1128"/>
      <c r="P170" s="1128"/>
      <c r="Q170" s="1128"/>
      <c r="R170" s="1128"/>
      <c r="S170" s="1128"/>
      <c r="T170" s="1128"/>
      <c r="U170" s="1128"/>
      <c r="V170" s="1128"/>
      <c r="W170" s="1128"/>
      <c r="X170" s="1128"/>
      <c r="Y170" s="1128"/>
      <c r="Z170" s="1128"/>
    </row>
    <row r="171" ht="22.5" customHeight="1">
      <c r="A171" s="1128"/>
      <c r="B171" s="1128"/>
      <c r="C171" s="1128"/>
      <c r="D171" s="1128"/>
      <c r="E171" s="1128"/>
      <c r="F171" s="1128"/>
      <c r="G171" s="1128"/>
      <c r="H171" s="1128"/>
      <c r="I171" s="1128"/>
      <c r="J171" s="1128"/>
      <c r="K171" s="1128"/>
      <c r="L171" s="1128"/>
      <c r="M171" s="1128"/>
      <c r="N171" s="1128"/>
      <c r="O171" s="1128"/>
      <c r="P171" s="1128"/>
      <c r="Q171" s="1128"/>
      <c r="R171" s="1128"/>
      <c r="S171" s="1128"/>
      <c r="T171" s="1128"/>
      <c r="U171" s="1128"/>
      <c r="V171" s="1128"/>
      <c r="W171" s="1128"/>
      <c r="X171" s="1128"/>
      <c r="Y171" s="1128"/>
      <c r="Z171" s="1128"/>
    </row>
    <row r="172" ht="22.5" customHeight="1">
      <c r="A172" s="1128"/>
      <c r="B172" s="1128"/>
      <c r="C172" s="1128"/>
      <c r="D172" s="1128"/>
      <c r="E172" s="1128"/>
      <c r="F172" s="1128"/>
      <c r="G172" s="1128"/>
      <c r="H172" s="1128"/>
      <c r="I172" s="1128"/>
      <c r="J172" s="1128"/>
      <c r="K172" s="1128"/>
      <c r="L172" s="1128"/>
      <c r="M172" s="1128"/>
      <c r="N172" s="1128"/>
      <c r="O172" s="1128"/>
      <c r="P172" s="1128"/>
      <c r="Q172" s="1128"/>
      <c r="R172" s="1128"/>
      <c r="S172" s="1128"/>
      <c r="T172" s="1128"/>
      <c r="U172" s="1128"/>
      <c r="V172" s="1128"/>
      <c r="W172" s="1128"/>
      <c r="X172" s="1128"/>
      <c r="Y172" s="1128"/>
      <c r="Z172" s="1128"/>
    </row>
    <row r="173" ht="22.5" customHeight="1">
      <c r="A173" s="1128"/>
      <c r="B173" s="1128"/>
      <c r="C173" s="1128"/>
      <c r="D173" s="1128"/>
      <c r="E173" s="1128"/>
      <c r="F173" s="1128"/>
      <c r="G173" s="1128"/>
      <c r="H173" s="1128"/>
      <c r="I173" s="1128"/>
      <c r="J173" s="1128"/>
      <c r="K173" s="1128"/>
      <c r="L173" s="1128"/>
      <c r="M173" s="1128"/>
      <c r="N173" s="1128"/>
      <c r="O173" s="1128"/>
      <c r="P173" s="1128"/>
      <c r="Q173" s="1128"/>
      <c r="R173" s="1128"/>
      <c r="S173" s="1128"/>
      <c r="T173" s="1128"/>
      <c r="U173" s="1128"/>
      <c r="V173" s="1128"/>
      <c r="W173" s="1128"/>
      <c r="X173" s="1128"/>
      <c r="Y173" s="1128"/>
      <c r="Z173" s="1128"/>
    </row>
    <row r="174" ht="22.5" customHeight="1">
      <c r="A174" s="1128"/>
      <c r="B174" s="1128"/>
      <c r="C174" s="1128"/>
      <c r="D174" s="1128"/>
      <c r="E174" s="1128"/>
      <c r="F174" s="1128"/>
      <c r="G174" s="1128"/>
      <c r="H174" s="1128"/>
      <c r="I174" s="1128"/>
      <c r="J174" s="1128"/>
      <c r="K174" s="1128"/>
      <c r="L174" s="1128"/>
      <c r="M174" s="1128"/>
      <c r="N174" s="1128"/>
      <c r="O174" s="1128"/>
      <c r="P174" s="1128"/>
      <c r="Q174" s="1128"/>
      <c r="R174" s="1128"/>
      <c r="S174" s="1128"/>
      <c r="T174" s="1128"/>
      <c r="U174" s="1128"/>
      <c r="V174" s="1128"/>
      <c r="W174" s="1128"/>
      <c r="X174" s="1128"/>
      <c r="Y174" s="1128"/>
      <c r="Z174" s="1128"/>
    </row>
    <row r="175" ht="22.5" customHeight="1">
      <c r="A175" s="1128"/>
      <c r="B175" s="1128"/>
      <c r="C175" s="1128"/>
      <c r="D175" s="1128"/>
      <c r="E175" s="1128"/>
      <c r="F175" s="1128"/>
      <c r="G175" s="1128"/>
      <c r="H175" s="1128"/>
      <c r="I175" s="1128"/>
      <c r="J175" s="1128"/>
      <c r="K175" s="1128"/>
      <c r="L175" s="1128"/>
      <c r="M175" s="1128"/>
      <c r="N175" s="1128"/>
      <c r="O175" s="1128"/>
      <c r="P175" s="1128"/>
      <c r="Q175" s="1128"/>
      <c r="R175" s="1128"/>
      <c r="S175" s="1128"/>
      <c r="T175" s="1128"/>
      <c r="U175" s="1128"/>
      <c r="V175" s="1128"/>
      <c r="W175" s="1128"/>
      <c r="X175" s="1128"/>
      <c r="Y175" s="1128"/>
      <c r="Z175" s="1128"/>
    </row>
    <row r="176" ht="22.5" customHeight="1">
      <c r="A176" s="1128"/>
      <c r="B176" s="1128"/>
      <c r="C176" s="1128"/>
      <c r="D176" s="1128"/>
      <c r="E176" s="1128"/>
      <c r="F176" s="1128"/>
      <c r="G176" s="1128"/>
      <c r="H176" s="1128"/>
      <c r="I176" s="1128"/>
      <c r="J176" s="1128"/>
      <c r="K176" s="1128"/>
      <c r="L176" s="1128"/>
      <c r="M176" s="1128"/>
      <c r="N176" s="1128"/>
      <c r="O176" s="1128"/>
      <c r="P176" s="1128"/>
      <c r="Q176" s="1128"/>
      <c r="R176" s="1128"/>
      <c r="S176" s="1128"/>
      <c r="T176" s="1128"/>
      <c r="U176" s="1128"/>
      <c r="V176" s="1128"/>
      <c r="W176" s="1128"/>
      <c r="X176" s="1128"/>
      <c r="Y176" s="1128"/>
      <c r="Z176" s="1128"/>
    </row>
    <row r="177" ht="22.5" customHeight="1">
      <c r="A177" s="1128"/>
      <c r="B177" s="1128"/>
      <c r="C177" s="1128"/>
      <c r="D177" s="1128"/>
      <c r="E177" s="1128"/>
      <c r="F177" s="1128"/>
      <c r="G177" s="1128"/>
      <c r="H177" s="1128"/>
      <c r="I177" s="1128"/>
      <c r="J177" s="1128"/>
      <c r="K177" s="1128"/>
      <c r="L177" s="1128"/>
      <c r="M177" s="1128"/>
      <c r="N177" s="1128"/>
      <c r="O177" s="1128"/>
      <c r="P177" s="1128"/>
      <c r="Q177" s="1128"/>
      <c r="R177" s="1128"/>
      <c r="S177" s="1128"/>
      <c r="T177" s="1128"/>
      <c r="U177" s="1128"/>
      <c r="V177" s="1128"/>
      <c r="W177" s="1128"/>
      <c r="X177" s="1128"/>
      <c r="Y177" s="1128"/>
      <c r="Z177" s="1128"/>
    </row>
    <row r="178" ht="22.5" customHeight="1">
      <c r="A178" s="1128"/>
      <c r="B178" s="1128"/>
      <c r="C178" s="1128"/>
      <c r="D178" s="1128"/>
      <c r="E178" s="1128"/>
      <c r="F178" s="1128"/>
      <c r="G178" s="1128"/>
      <c r="H178" s="1128"/>
      <c r="I178" s="1128"/>
      <c r="J178" s="1128"/>
      <c r="K178" s="1128"/>
      <c r="L178" s="1128"/>
      <c r="M178" s="1128"/>
      <c r="N178" s="1128"/>
      <c r="O178" s="1128"/>
      <c r="P178" s="1128"/>
      <c r="Q178" s="1128"/>
      <c r="R178" s="1128"/>
      <c r="S178" s="1128"/>
      <c r="T178" s="1128"/>
      <c r="U178" s="1128"/>
      <c r="V178" s="1128"/>
      <c r="W178" s="1128"/>
      <c r="X178" s="1128"/>
      <c r="Y178" s="1128"/>
      <c r="Z178" s="1128"/>
    </row>
    <row r="179" ht="22.5" customHeight="1">
      <c r="A179" s="1128"/>
      <c r="B179" s="1128"/>
      <c r="C179" s="1128"/>
      <c r="D179" s="1128"/>
      <c r="E179" s="1128"/>
      <c r="F179" s="1128"/>
      <c r="G179" s="1128"/>
      <c r="H179" s="1128"/>
      <c r="I179" s="1128"/>
      <c r="J179" s="1128"/>
      <c r="K179" s="1128"/>
      <c r="L179" s="1128"/>
      <c r="M179" s="1128"/>
      <c r="N179" s="1128"/>
      <c r="O179" s="1128"/>
      <c r="P179" s="1128"/>
      <c r="Q179" s="1128"/>
      <c r="R179" s="1128"/>
      <c r="S179" s="1128"/>
      <c r="T179" s="1128"/>
      <c r="U179" s="1128"/>
      <c r="V179" s="1128"/>
      <c r="W179" s="1128"/>
      <c r="X179" s="1128"/>
      <c r="Y179" s="1128"/>
      <c r="Z179" s="1128"/>
    </row>
    <row r="180" ht="22.5" customHeight="1">
      <c r="A180" s="1128"/>
      <c r="B180" s="1128"/>
      <c r="C180" s="1128"/>
      <c r="D180" s="1128"/>
      <c r="E180" s="1128"/>
      <c r="F180" s="1128"/>
      <c r="G180" s="1128"/>
      <c r="H180" s="1128"/>
      <c r="I180" s="1128"/>
      <c r="J180" s="1128"/>
      <c r="K180" s="1128"/>
      <c r="L180" s="1128"/>
      <c r="M180" s="1128"/>
      <c r="N180" s="1128"/>
      <c r="O180" s="1128"/>
      <c r="P180" s="1128"/>
      <c r="Q180" s="1128"/>
      <c r="R180" s="1128"/>
      <c r="S180" s="1128"/>
      <c r="T180" s="1128"/>
      <c r="U180" s="1128"/>
      <c r="V180" s="1128"/>
      <c r="W180" s="1128"/>
      <c r="X180" s="1128"/>
      <c r="Y180" s="1128"/>
      <c r="Z180" s="1128"/>
    </row>
    <row r="181" ht="22.5" customHeight="1">
      <c r="A181" s="1128"/>
      <c r="B181" s="1128"/>
      <c r="C181" s="1128"/>
      <c r="D181" s="1128"/>
      <c r="E181" s="1128"/>
      <c r="F181" s="1128"/>
      <c r="G181" s="1128"/>
      <c r="H181" s="1128"/>
      <c r="I181" s="1128"/>
      <c r="J181" s="1128"/>
      <c r="K181" s="1128"/>
      <c r="L181" s="1128"/>
      <c r="M181" s="1128"/>
      <c r="N181" s="1128"/>
      <c r="O181" s="1128"/>
      <c r="P181" s="1128"/>
      <c r="Q181" s="1128"/>
      <c r="R181" s="1128"/>
      <c r="S181" s="1128"/>
      <c r="T181" s="1128"/>
      <c r="U181" s="1128"/>
      <c r="V181" s="1128"/>
      <c r="W181" s="1128"/>
      <c r="X181" s="1128"/>
      <c r="Y181" s="1128"/>
      <c r="Z181" s="1128"/>
    </row>
    <row r="182" ht="22.5" customHeight="1">
      <c r="A182" s="1128"/>
      <c r="B182" s="1128"/>
      <c r="C182" s="1128"/>
      <c r="D182" s="1128"/>
      <c r="E182" s="1128"/>
      <c r="F182" s="1128"/>
      <c r="G182" s="1128"/>
      <c r="H182" s="1128"/>
      <c r="I182" s="1128"/>
      <c r="J182" s="1128"/>
      <c r="K182" s="1128"/>
      <c r="L182" s="1128"/>
      <c r="M182" s="1128"/>
      <c r="N182" s="1128"/>
      <c r="O182" s="1128"/>
      <c r="P182" s="1128"/>
      <c r="Q182" s="1128"/>
      <c r="R182" s="1128"/>
      <c r="S182" s="1128"/>
      <c r="T182" s="1128"/>
      <c r="U182" s="1128"/>
      <c r="V182" s="1128"/>
      <c r="W182" s="1128"/>
      <c r="X182" s="1128"/>
      <c r="Y182" s="1128"/>
      <c r="Z182" s="1128"/>
    </row>
    <row r="183" ht="22.5" customHeight="1">
      <c r="A183" s="1128"/>
      <c r="B183" s="1128"/>
      <c r="C183" s="1128"/>
      <c r="D183" s="1128"/>
      <c r="E183" s="1128"/>
      <c r="F183" s="1128"/>
      <c r="G183" s="1128"/>
      <c r="H183" s="1128"/>
      <c r="I183" s="1128"/>
      <c r="J183" s="1128"/>
      <c r="K183" s="1128"/>
      <c r="L183" s="1128"/>
      <c r="M183" s="1128"/>
      <c r="N183" s="1128"/>
      <c r="O183" s="1128"/>
      <c r="P183" s="1128"/>
      <c r="Q183" s="1128"/>
      <c r="R183" s="1128"/>
      <c r="S183" s="1128"/>
      <c r="T183" s="1128"/>
      <c r="U183" s="1128"/>
      <c r="V183" s="1128"/>
      <c r="W183" s="1128"/>
      <c r="X183" s="1128"/>
      <c r="Y183" s="1128"/>
      <c r="Z183" s="1128"/>
    </row>
    <row r="184" ht="22.5" customHeight="1">
      <c r="A184" s="1128"/>
      <c r="B184" s="1128"/>
      <c r="C184" s="1128"/>
      <c r="D184" s="1128"/>
      <c r="E184" s="1128"/>
      <c r="F184" s="1128"/>
      <c r="G184" s="1128"/>
      <c r="H184" s="1128"/>
      <c r="I184" s="1128"/>
      <c r="J184" s="1128"/>
      <c r="K184" s="1128"/>
      <c r="L184" s="1128"/>
      <c r="M184" s="1128"/>
      <c r="N184" s="1128"/>
      <c r="O184" s="1128"/>
      <c r="P184" s="1128"/>
      <c r="Q184" s="1128"/>
      <c r="R184" s="1128"/>
      <c r="S184" s="1128"/>
      <c r="T184" s="1128"/>
      <c r="U184" s="1128"/>
      <c r="V184" s="1128"/>
      <c r="W184" s="1128"/>
      <c r="X184" s="1128"/>
      <c r="Y184" s="1128"/>
      <c r="Z184" s="1128"/>
    </row>
    <row r="185" ht="22.5" customHeight="1">
      <c r="A185" s="1128"/>
      <c r="B185" s="1128"/>
      <c r="C185" s="1128"/>
      <c r="D185" s="1128"/>
      <c r="E185" s="1128"/>
      <c r="F185" s="1128"/>
      <c r="G185" s="1128"/>
      <c r="H185" s="1128"/>
      <c r="I185" s="1128"/>
      <c r="J185" s="1128"/>
      <c r="K185" s="1128"/>
      <c r="L185" s="1128"/>
      <c r="M185" s="1128"/>
      <c r="N185" s="1128"/>
      <c r="O185" s="1128"/>
      <c r="P185" s="1128"/>
      <c r="Q185" s="1128"/>
      <c r="R185" s="1128"/>
      <c r="S185" s="1128"/>
      <c r="T185" s="1128"/>
      <c r="U185" s="1128"/>
      <c r="V185" s="1128"/>
      <c r="W185" s="1128"/>
      <c r="X185" s="1128"/>
      <c r="Y185" s="1128"/>
      <c r="Z185" s="1128"/>
    </row>
    <row r="186" ht="22.5" customHeight="1">
      <c r="A186" s="1128"/>
      <c r="B186" s="1128"/>
      <c r="C186" s="1128"/>
      <c r="D186" s="1128"/>
      <c r="E186" s="1128"/>
      <c r="F186" s="1128"/>
      <c r="G186" s="1128"/>
      <c r="H186" s="1128"/>
      <c r="I186" s="1128"/>
      <c r="J186" s="1128"/>
      <c r="K186" s="1128"/>
      <c r="L186" s="1128"/>
      <c r="M186" s="1128"/>
      <c r="N186" s="1128"/>
      <c r="O186" s="1128"/>
      <c r="P186" s="1128"/>
      <c r="Q186" s="1128"/>
      <c r="R186" s="1128"/>
      <c r="S186" s="1128"/>
      <c r="T186" s="1128"/>
      <c r="U186" s="1128"/>
      <c r="V186" s="1128"/>
      <c r="W186" s="1128"/>
      <c r="X186" s="1128"/>
      <c r="Y186" s="1128"/>
      <c r="Z186" s="1128"/>
    </row>
    <row r="187" ht="22.5" customHeight="1">
      <c r="A187" s="1128"/>
      <c r="B187" s="1128"/>
      <c r="C187" s="1128"/>
      <c r="D187" s="1128"/>
      <c r="E187" s="1128"/>
      <c r="F187" s="1128"/>
      <c r="G187" s="1128"/>
      <c r="H187" s="1128"/>
      <c r="I187" s="1128"/>
      <c r="J187" s="1128"/>
      <c r="K187" s="1128"/>
      <c r="L187" s="1128"/>
      <c r="M187" s="1128"/>
      <c r="N187" s="1128"/>
      <c r="O187" s="1128"/>
      <c r="P187" s="1128"/>
      <c r="Q187" s="1128"/>
      <c r="R187" s="1128"/>
      <c r="S187" s="1128"/>
      <c r="T187" s="1128"/>
      <c r="U187" s="1128"/>
      <c r="V187" s="1128"/>
      <c r="W187" s="1128"/>
      <c r="X187" s="1128"/>
      <c r="Y187" s="1128"/>
      <c r="Z187" s="1128"/>
    </row>
    <row r="188" ht="22.5" customHeight="1">
      <c r="A188" s="1128"/>
      <c r="B188" s="1128"/>
      <c r="C188" s="1128"/>
      <c r="D188" s="1128"/>
      <c r="E188" s="1128"/>
      <c r="F188" s="1128"/>
      <c r="G188" s="1128"/>
      <c r="H188" s="1128"/>
      <c r="I188" s="1128"/>
      <c r="J188" s="1128"/>
      <c r="K188" s="1128"/>
      <c r="L188" s="1128"/>
      <c r="M188" s="1128"/>
      <c r="N188" s="1128"/>
      <c r="O188" s="1128"/>
      <c r="P188" s="1128"/>
      <c r="Q188" s="1128"/>
      <c r="R188" s="1128"/>
      <c r="S188" s="1128"/>
      <c r="T188" s="1128"/>
      <c r="U188" s="1128"/>
      <c r="V188" s="1128"/>
      <c r="W188" s="1128"/>
      <c r="X188" s="1128"/>
      <c r="Y188" s="1128"/>
      <c r="Z188" s="1128"/>
    </row>
    <row r="189" ht="22.5" customHeight="1">
      <c r="A189" s="1128"/>
      <c r="B189" s="1128"/>
      <c r="C189" s="1128"/>
      <c r="D189" s="1128"/>
      <c r="E189" s="1128"/>
      <c r="F189" s="1128"/>
      <c r="G189" s="1128"/>
      <c r="H189" s="1128"/>
      <c r="I189" s="1128"/>
      <c r="J189" s="1128"/>
      <c r="K189" s="1128"/>
      <c r="L189" s="1128"/>
      <c r="M189" s="1128"/>
      <c r="N189" s="1128"/>
      <c r="O189" s="1128"/>
      <c r="P189" s="1128"/>
      <c r="Q189" s="1128"/>
      <c r="R189" s="1128"/>
      <c r="S189" s="1128"/>
      <c r="T189" s="1128"/>
      <c r="U189" s="1128"/>
      <c r="V189" s="1128"/>
      <c r="W189" s="1128"/>
      <c r="X189" s="1128"/>
      <c r="Y189" s="1128"/>
      <c r="Z189" s="1128"/>
    </row>
    <row r="190" ht="22.5" customHeight="1">
      <c r="A190" s="1128"/>
      <c r="B190" s="1128"/>
      <c r="C190" s="1128"/>
      <c r="D190" s="1128"/>
      <c r="E190" s="1128"/>
      <c r="F190" s="1128"/>
      <c r="G190" s="1128"/>
      <c r="H190" s="1128"/>
      <c r="I190" s="1128"/>
      <c r="J190" s="1128"/>
      <c r="K190" s="1128"/>
      <c r="L190" s="1128"/>
      <c r="M190" s="1128"/>
      <c r="N190" s="1128"/>
      <c r="O190" s="1128"/>
      <c r="P190" s="1128"/>
      <c r="Q190" s="1128"/>
      <c r="R190" s="1128"/>
      <c r="S190" s="1128"/>
      <c r="T190" s="1128"/>
      <c r="U190" s="1128"/>
      <c r="V190" s="1128"/>
      <c r="W190" s="1128"/>
      <c r="X190" s="1128"/>
      <c r="Y190" s="1128"/>
      <c r="Z190" s="1128"/>
    </row>
    <row r="191" ht="22.5" customHeight="1">
      <c r="A191" s="1128"/>
      <c r="B191" s="1128"/>
      <c r="C191" s="1128"/>
      <c r="D191" s="1128"/>
      <c r="E191" s="1128"/>
      <c r="F191" s="1128"/>
      <c r="G191" s="1128"/>
      <c r="H191" s="1128"/>
      <c r="I191" s="1128"/>
      <c r="J191" s="1128"/>
      <c r="K191" s="1128"/>
      <c r="L191" s="1128"/>
      <c r="M191" s="1128"/>
      <c r="N191" s="1128"/>
      <c r="O191" s="1128"/>
      <c r="P191" s="1128"/>
      <c r="Q191" s="1128"/>
      <c r="R191" s="1128"/>
      <c r="S191" s="1128"/>
      <c r="T191" s="1128"/>
      <c r="U191" s="1128"/>
      <c r="V191" s="1128"/>
      <c r="W191" s="1128"/>
      <c r="X191" s="1128"/>
      <c r="Y191" s="1128"/>
      <c r="Z191" s="1128"/>
    </row>
    <row r="192" ht="22.5" customHeight="1">
      <c r="A192" s="1128"/>
      <c r="B192" s="1128"/>
      <c r="C192" s="1128"/>
      <c r="D192" s="1128"/>
      <c r="E192" s="1128"/>
      <c r="F192" s="1128"/>
      <c r="G192" s="1128"/>
      <c r="H192" s="1128"/>
      <c r="I192" s="1128"/>
      <c r="J192" s="1128"/>
      <c r="K192" s="1128"/>
      <c r="L192" s="1128"/>
      <c r="M192" s="1128"/>
      <c r="N192" s="1128"/>
      <c r="O192" s="1128"/>
      <c r="P192" s="1128"/>
      <c r="Q192" s="1128"/>
      <c r="R192" s="1128"/>
      <c r="S192" s="1128"/>
      <c r="T192" s="1128"/>
      <c r="U192" s="1128"/>
      <c r="V192" s="1128"/>
      <c r="W192" s="1128"/>
      <c r="X192" s="1128"/>
      <c r="Y192" s="1128"/>
      <c r="Z192" s="1128"/>
    </row>
    <row r="193" ht="22.5" customHeight="1">
      <c r="A193" s="1128"/>
      <c r="B193" s="1128"/>
      <c r="C193" s="1128"/>
      <c r="D193" s="1128"/>
      <c r="E193" s="1128"/>
      <c r="F193" s="1128"/>
      <c r="G193" s="1128"/>
      <c r="H193" s="1128"/>
      <c r="I193" s="1128"/>
      <c r="J193" s="1128"/>
      <c r="K193" s="1128"/>
      <c r="L193" s="1128"/>
      <c r="M193" s="1128"/>
      <c r="N193" s="1128"/>
      <c r="O193" s="1128"/>
      <c r="P193" s="1128"/>
      <c r="Q193" s="1128"/>
      <c r="R193" s="1128"/>
      <c r="S193" s="1128"/>
      <c r="T193" s="1128"/>
      <c r="U193" s="1128"/>
      <c r="V193" s="1128"/>
      <c r="W193" s="1128"/>
      <c r="X193" s="1128"/>
      <c r="Y193" s="1128"/>
      <c r="Z193" s="1128"/>
    </row>
    <row r="194" ht="22.5" customHeight="1">
      <c r="A194" s="1128"/>
      <c r="B194" s="1128"/>
      <c r="C194" s="1128"/>
      <c r="D194" s="1128"/>
      <c r="E194" s="1128"/>
      <c r="F194" s="1128"/>
      <c r="G194" s="1128"/>
      <c r="H194" s="1128"/>
      <c r="I194" s="1128"/>
      <c r="J194" s="1128"/>
      <c r="K194" s="1128"/>
      <c r="L194" s="1128"/>
      <c r="M194" s="1128"/>
      <c r="N194" s="1128"/>
      <c r="O194" s="1128"/>
      <c r="P194" s="1128"/>
      <c r="Q194" s="1128"/>
      <c r="R194" s="1128"/>
      <c r="S194" s="1128"/>
      <c r="T194" s="1128"/>
      <c r="U194" s="1128"/>
      <c r="V194" s="1128"/>
      <c r="W194" s="1128"/>
      <c r="X194" s="1128"/>
      <c r="Y194" s="1128"/>
      <c r="Z194" s="1128"/>
    </row>
    <row r="195" ht="22.5" customHeight="1">
      <c r="A195" s="1128"/>
      <c r="B195" s="1128"/>
      <c r="C195" s="1128"/>
      <c r="D195" s="1128"/>
      <c r="E195" s="1128"/>
      <c r="F195" s="1128"/>
      <c r="G195" s="1128"/>
      <c r="H195" s="1128"/>
      <c r="I195" s="1128"/>
      <c r="J195" s="1128"/>
      <c r="K195" s="1128"/>
      <c r="L195" s="1128"/>
      <c r="M195" s="1128"/>
      <c r="N195" s="1128"/>
      <c r="O195" s="1128"/>
      <c r="P195" s="1128"/>
      <c r="Q195" s="1128"/>
      <c r="R195" s="1128"/>
      <c r="S195" s="1128"/>
      <c r="T195" s="1128"/>
      <c r="U195" s="1128"/>
      <c r="V195" s="1128"/>
      <c r="W195" s="1128"/>
      <c r="X195" s="1128"/>
      <c r="Y195" s="1128"/>
      <c r="Z195" s="1128"/>
    </row>
    <row r="196" ht="22.5" customHeight="1">
      <c r="A196" s="1128"/>
      <c r="B196" s="1128"/>
      <c r="C196" s="1128"/>
      <c r="D196" s="1128"/>
      <c r="E196" s="1128"/>
      <c r="F196" s="1128"/>
      <c r="G196" s="1128"/>
      <c r="H196" s="1128"/>
      <c r="I196" s="1128"/>
      <c r="J196" s="1128"/>
      <c r="K196" s="1128"/>
      <c r="L196" s="1128"/>
      <c r="M196" s="1128"/>
      <c r="N196" s="1128"/>
      <c r="O196" s="1128"/>
      <c r="P196" s="1128"/>
      <c r="Q196" s="1128"/>
      <c r="R196" s="1128"/>
      <c r="S196" s="1128"/>
      <c r="T196" s="1128"/>
      <c r="U196" s="1128"/>
      <c r="V196" s="1128"/>
      <c r="W196" s="1128"/>
      <c r="X196" s="1128"/>
      <c r="Y196" s="1128"/>
      <c r="Z196" s="1128"/>
    </row>
    <row r="197" ht="22.5" customHeight="1">
      <c r="A197" s="1128"/>
      <c r="B197" s="1128"/>
      <c r="C197" s="1128"/>
      <c r="D197" s="1128"/>
      <c r="E197" s="1128"/>
      <c r="F197" s="1128"/>
      <c r="G197" s="1128"/>
      <c r="H197" s="1128"/>
      <c r="I197" s="1128"/>
      <c r="J197" s="1128"/>
      <c r="K197" s="1128"/>
      <c r="L197" s="1128"/>
      <c r="M197" s="1128"/>
      <c r="N197" s="1128"/>
      <c r="O197" s="1128"/>
      <c r="P197" s="1128"/>
      <c r="Q197" s="1128"/>
      <c r="R197" s="1128"/>
      <c r="S197" s="1128"/>
      <c r="T197" s="1128"/>
      <c r="U197" s="1128"/>
      <c r="V197" s="1128"/>
      <c r="W197" s="1128"/>
      <c r="X197" s="1128"/>
      <c r="Y197" s="1128"/>
      <c r="Z197" s="1128"/>
    </row>
    <row r="198" ht="22.5" customHeight="1">
      <c r="A198" s="1128"/>
      <c r="B198" s="1128"/>
      <c r="C198" s="1128"/>
      <c r="D198" s="1128"/>
      <c r="E198" s="1128"/>
      <c r="F198" s="1128"/>
      <c r="G198" s="1128"/>
      <c r="H198" s="1128"/>
      <c r="I198" s="1128"/>
      <c r="J198" s="1128"/>
      <c r="K198" s="1128"/>
      <c r="L198" s="1128"/>
      <c r="M198" s="1128"/>
      <c r="N198" s="1128"/>
      <c r="O198" s="1128"/>
      <c r="P198" s="1128"/>
      <c r="Q198" s="1128"/>
      <c r="R198" s="1128"/>
      <c r="S198" s="1128"/>
      <c r="T198" s="1128"/>
      <c r="U198" s="1128"/>
      <c r="V198" s="1128"/>
      <c r="W198" s="1128"/>
      <c r="X198" s="1128"/>
      <c r="Y198" s="1128"/>
      <c r="Z198" s="1128"/>
    </row>
    <row r="199" ht="22.5" customHeight="1">
      <c r="A199" s="1128"/>
      <c r="B199" s="1128"/>
      <c r="C199" s="1128"/>
      <c r="D199" s="1128"/>
      <c r="E199" s="1128"/>
      <c r="F199" s="1128"/>
      <c r="G199" s="1128"/>
      <c r="H199" s="1128"/>
      <c r="I199" s="1128"/>
      <c r="J199" s="1128"/>
      <c r="K199" s="1128"/>
      <c r="L199" s="1128"/>
      <c r="M199" s="1128"/>
      <c r="N199" s="1128"/>
      <c r="O199" s="1128"/>
      <c r="P199" s="1128"/>
      <c r="Q199" s="1128"/>
      <c r="R199" s="1128"/>
      <c r="S199" s="1128"/>
      <c r="T199" s="1128"/>
      <c r="U199" s="1128"/>
      <c r="V199" s="1128"/>
      <c r="W199" s="1128"/>
      <c r="X199" s="1128"/>
      <c r="Y199" s="1128"/>
      <c r="Z199" s="1128"/>
    </row>
    <row r="200" ht="22.5" customHeight="1">
      <c r="A200" s="1128"/>
      <c r="B200" s="1128"/>
      <c r="C200" s="1128"/>
      <c r="D200" s="1128"/>
      <c r="E200" s="1128"/>
      <c r="F200" s="1128"/>
      <c r="G200" s="1128"/>
      <c r="H200" s="1128"/>
      <c r="I200" s="1128"/>
      <c r="J200" s="1128"/>
      <c r="K200" s="1128"/>
      <c r="L200" s="1128"/>
      <c r="M200" s="1128"/>
      <c r="N200" s="1128"/>
      <c r="O200" s="1128"/>
      <c r="P200" s="1128"/>
      <c r="Q200" s="1128"/>
      <c r="R200" s="1128"/>
      <c r="S200" s="1128"/>
      <c r="T200" s="1128"/>
      <c r="U200" s="1128"/>
      <c r="V200" s="1128"/>
      <c r="W200" s="1128"/>
      <c r="X200" s="1128"/>
      <c r="Y200" s="1128"/>
      <c r="Z200" s="1128"/>
    </row>
    <row r="201" ht="22.5" customHeight="1">
      <c r="A201" s="1128"/>
      <c r="B201" s="1128"/>
      <c r="C201" s="1128"/>
      <c r="D201" s="1128"/>
      <c r="E201" s="1128"/>
      <c r="F201" s="1128"/>
      <c r="G201" s="1128"/>
      <c r="H201" s="1128"/>
      <c r="I201" s="1128"/>
      <c r="J201" s="1128"/>
      <c r="K201" s="1128"/>
      <c r="L201" s="1128"/>
      <c r="M201" s="1128"/>
      <c r="N201" s="1128"/>
      <c r="O201" s="1128"/>
      <c r="P201" s="1128"/>
      <c r="Q201" s="1128"/>
      <c r="R201" s="1128"/>
      <c r="S201" s="1128"/>
      <c r="T201" s="1128"/>
      <c r="U201" s="1128"/>
      <c r="V201" s="1128"/>
      <c r="W201" s="1128"/>
      <c r="X201" s="1128"/>
      <c r="Y201" s="1128"/>
      <c r="Z201" s="1128"/>
    </row>
    <row r="202" ht="22.5" customHeight="1">
      <c r="A202" s="1128"/>
      <c r="B202" s="1128"/>
      <c r="C202" s="1128"/>
      <c r="D202" s="1128"/>
      <c r="E202" s="1128"/>
      <c r="F202" s="1128"/>
      <c r="G202" s="1128"/>
      <c r="H202" s="1128"/>
      <c r="I202" s="1128"/>
      <c r="J202" s="1128"/>
      <c r="K202" s="1128"/>
      <c r="L202" s="1128"/>
      <c r="M202" s="1128"/>
      <c r="N202" s="1128"/>
      <c r="O202" s="1128"/>
      <c r="P202" s="1128"/>
      <c r="Q202" s="1128"/>
      <c r="R202" s="1128"/>
      <c r="S202" s="1128"/>
      <c r="T202" s="1128"/>
      <c r="U202" s="1128"/>
      <c r="V202" s="1128"/>
      <c r="W202" s="1128"/>
      <c r="X202" s="1128"/>
      <c r="Y202" s="1128"/>
      <c r="Z202" s="1128"/>
    </row>
    <row r="203" ht="22.5" customHeight="1">
      <c r="A203" s="1128"/>
      <c r="B203" s="1128"/>
      <c r="C203" s="1128"/>
      <c r="D203" s="1128"/>
      <c r="E203" s="1128"/>
      <c r="F203" s="1128"/>
      <c r="G203" s="1128"/>
      <c r="H203" s="1128"/>
      <c r="I203" s="1128"/>
      <c r="J203" s="1128"/>
      <c r="K203" s="1128"/>
      <c r="L203" s="1128"/>
      <c r="M203" s="1128"/>
      <c r="N203" s="1128"/>
      <c r="O203" s="1128"/>
      <c r="P203" s="1128"/>
      <c r="Q203" s="1128"/>
      <c r="R203" s="1128"/>
      <c r="S203" s="1128"/>
      <c r="T203" s="1128"/>
      <c r="U203" s="1128"/>
      <c r="V203" s="1128"/>
      <c r="W203" s="1128"/>
      <c r="X203" s="1128"/>
      <c r="Y203" s="1128"/>
      <c r="Z203" s="1128"/>
    </row>
    <row r="204" ht="22.5" customHeight="1">
      <c r="A204" s="1128"/>
      <c r="B204" s="1128"/>
      <c r="C204" s="1128"/>
      <c r="D204" s="1128"/>
      <c r="E204" s="1128"/>
      <c r="F204" s="1128"/>
      <c r="G204" s="1128"/>
      <c r="H204" s="1128"/>
      <c r="I204" s="1128"/>
      <c r="J204" s="1128"/>
      <c r="K204" s="1128"/>
      <c r="L204" s="1128"/>
      <c r="M204" s="1128"/>
      <c r="N204" s="1128"/>
      <c r="O204" s="1128"/>
      <c r="P204" s="1128"/>
      <c r="Q204" s="1128"/>
      <c r="R204" s="1128"/>
      <c r="S204" s="1128"/>
      <c r="T204" s="1128"/>
      <c r="U204" s="1128"/>
      <c r="V204" s="1128"/>
      <c r="W204" s="1128"/>
      <c r="X204" s="1128"/>
      <c r="Y204" s="1128"/>
      <c r="Z204" s="1128"/>
    </row>
    <row r="205" ht="22.5" customHeight="1">
      <c r="A205" s="1128"/>
      <c r="B205" s="1128"/>
      <c r="C205" s="1128"/>
      <c r="D205" s="1128"/>
      <c r="E205" s="1128"/>
      <c r="F205" s="1128"/>
      <c r="G205" s="1128"/>
      <c r="H205" s="1128"/>
      <c r="I205" s="1128"/>
      <c r="J205" s="1128"/>
      <c r="K205" s="1128"/>
      <c r="L205" s="1128"/>
      <c r="M205" s="1128"/>
      <c r="N205" s="1128"/>
      <c r="O205" s="1128"/>
      <c r="P205" s="1128"/>
      <c r="Q205" s="1128"/>
      <c r="R205" s="1128"/>
      <c r="S205" s="1128"/>
      <c r="T205" s="1128"/>
      <c r="U205" s="1128"/>
      <c r="V205" s="1128"/>
      <c r="W205" s="1128"/>
      <c r="X205" s="1128"/>
      <c r="Y205" s="1128"/>
      <c r="Z205" s="1128"/>
    </row>
    <row r="206" ht="22.5" customHeight="1">
      <c r="A206" s="1128"/>
      <c r="B206" s="1128"/>
      <c r="C206" s="1128"/>
      <c r="D206" s="1128"/>
      <c r="E206" s="1128"/>
      <c r="F206" s="1128"/>
      <c r="G206" s="1128"/>
      <c r="H206" s="1128"/>
      <c r="I206" s="1128"/>
      <c r="J206" s="1128"/>
      <c r="K206" s="1128"/>
      <c r="L206" s="1128"/>
      <c r="M206" s="1128"/>
      <c r="N206" s="1128"/>
      <c r="O206" s="1128"/>
      <c r="P206" s="1128"/>
      <c r="Q206" s="1128"/>
      <c r="R206" s="1128"/>
      <c r="S206" s="1128"/>
      <c r="T206" s="1128"/>
      <c r="U206" s="1128"/>
      <c r="V206" s="1128"/>
      <c r="W206" s="1128"/>
      <c r="X206" s="1128"/>
      <c r="Y206" s="1128"/>
      <c r="Z206" s="1128"/>
    </row>
    <row r="207" ht="22.5" customHeight="1">
      <c r="A207" s="1128"/>
      <c r="B207" s="1128"/>
      <c r="C207" s="1128"/>
      <c r="D207" s="1128"/>
      <c r="E207" s="1128"/>
      <c r="F207" s="1128"/>
      <c r="G207" s="1128"/>
      <c r="H207" s="1128"/>
      <c r="I207" s="1128"/>
      <c r="J207" s="1128"/>
      <c r="K207" s="1128"/>
      <c r="L207" s="1128"/>
      <c r="M207" s="1128"/>
      <c r="N207" s="1128"/>
      <c r="O207" s="1128"/>
      <c r="P207" s="1128"/>
      <c r="Q207" s="1128"/>
      <c r="R207" s="1128"/>
      <c r="S207" s="1128"/>
      <c r="T207" s="1128"/>
      <c r="U207" s="1128"/>
      <c r="V207" s="1128"/>
      <c r="W207" s="1128"/>
      <c r="X207" s="1128"/>
      <c r="Y207" s="1128"/>
      <c r="Z207" s="1128"/>
    </row>
    <row r="208" ht="22.5" customHeight="1">
      <c r="A208" s="1128"/>
      <c r="B208" s="1128"/>
      <c r="C208" s="1128"/>
      <c r="D208" s="1128"/>
      <c r="E208" s="1128"/>
      <c r="F208" s="1128"/>
      <c r="G208" s="1128"/>
      <c r="H208" s="1128"/>
      <c r="I208" s="1128"/>
      <c r="J208" s="1128"/>
      <c r="K208" s="1128"/>
      <c r="L208" s="1128"/>
      <c r="M208" s="1128"/>
      <c r="N208" s="1128"/>
      <c r="O208" s="1128"/>
      <c r="P208" s="1128"/>
      <c r="Q208" s="1128"/>
      <c r="R208" s="1128"/>
      <c r="S208" s="1128"/>
      <c r="T208" s="1128"/>
      <c r="U208" s="1128"/>
      <c r="V208" s="1128"/>
      <c r="W208" s="1128"/>
      <c r="X208" s="1128"/>
      <c r="Y208" s="1128"/>
      <c r="Z208" s="1128"/>
    </row>
    <row r="209" ht="22.5" customHeight="1">
      <c r="A209" s="1128"/>
      <c r="B209" s="1128"/>
      <c r="C209" s="1128"/>
      <c r="D209" s="1128"/>
      <c r="E209" s="1128"/>
      <c r="F209" s="1128"/>
      <c r="G209" s="1128"/>
      <c r="H209" s="1128"/>
      <c r="I209" s="1128"/>
      <c r="J209" s="1128"/>
      <c r="K209" s="1128"/>
      <c r="L209" s="1128"/>
      <c r="M209" s="1128"/>
      <c r="N209" s="1128"/>
      <c r="O209" s="1128"/>
      <c r="P209" s="1128"/>
      <c r="Q209" s="1128"/>
      <c r="R209" s="1128"/>
      <c r="S209" s="1128"/>
      <c r="T209" s="1128"/>
      <c r="U209" s="1128"/>
      <c r="V209" s="1128"/>
      <c r="W209" s="1128"/>
      <c r="X209" s="1128"/>
      <c r="Y209" s="1128"/>
      <c r="Z209" s="1128"/>
    </row>
    <row r="210" ht="22.5" customHeight="1">
      <c r="A210" s="1128"/>
      <c r="B210" s="1128"/>
      <c r="C210" s="1128"/>
      <c r="D210" s="1128"/>
      <c r="E210" s="1128"/>
      <c r="F210" s="1128"/>
      <c r="G210" s="1128"/>
      <c r="H210" s="1128"/>
      <c r="I210" s="1128"/>
      <c r="J210" s="1128"/>
      <c r="K210" s="1128"/>
      <c r="L210" s="1128"/>
      <c r="M210" s="1128"/>
      <c r="N210" s="1128"/>
      <c r="O210" s="1128"/>
      <c r="P210" s="1128"/>
      <c r="Q210" s="1128"/>
      <c r="R210" s="1128"/>
      <c r="S210" s="1128"/>
      <c r="T210" s="1128"/>
      <c r="U210" s="1128"/>
      <c r="V210" s="1128"/>
      <c r="W210" s="1128"/>
      <c r="X210" s="1128"/>
      <c r="Y210" s="1128"/>
      <c r="Z210" s="1128"/>
    </row>
    <row r="211" ht="22.5" customHeight="1">
      <c r="A211" s="1128"/>
      <c r="B211" s="1128"/>
      <c r="C211" s="1128"/>
      <c r="D211" s="1128"/>
      <c r="E211" s="1128"/>
      <c r="F211" s="1128"/>
      <c r="G211" s="1128"/>
      <c r="H211" s="1128"/>
      <c r="I211" s="1128"/>
      <c r="J211" s="1128"/>
      <c r="K211" s="1128"/>
      <c r="L211" s="1128"/>
      <c r="M211" s="1128"/>
      <c r="N211" s="1128"/>
      <c r="O211" s="1128"/>
      <c r="P211" s="1128"/>
      <c r="Q211" s="1128"/>
      <c r="R211" s="1128"/>
      <c r="S211" s="1128"/>
      <c r="T211" s="1128"/>
      <c r="U211" s="1128"/>
      <c r="V211" s="1128"/>
      <c r="W211" s="1128"/>
      <c r="X211" s="1128"/>
      <c r="Y211" s="1128"/>
      <c r="Z211" s="1128"/>
    </row>
    <row r="212" ht="22.5" customHeight="1">
      <c r="A212" s="1128"/>
      <c r="B212" s="1128"/>
      <c r="C212" s="1128"/>
      <c r="D212" s="1128"/>
      <c r="E212" s="1128"/>
      <c r="F212" s="1128"/>
      <c r="G212" s="1128"/>
      <c r="H212" s="1128"/>
      <c r="I212" s="1128"/>
      <c r="J212" s="1128"/>
      <c r="K212" s="1128"/>
      <c r="L212" s="1128"/>
      <c r="M212" s="1128"/>
      <c r="N212" s="1128"/>
      <c r="O212" s="1128"/>
      <c r="P212" s="1128"/>
      <c r="Q212" s="1128"/>
      <c r="R212" s="1128"/>
      <c r="S212" s="1128"/>
      <c r="T212" s="1128"/>
      <c r="U212" s="1128"/>
      <c r="V212" s="1128"/>
      <c r="W212" s="1128"/>
      <c r="X212" s="1128"/>
      <c r="Y212" s="1128"/>
      <c r="Z212" s="1128"/>
    </row>
    <row r="213" ht="22.5" customHeight="1">
      <c r="A213" s="1128"/>
      <c r="B213" s="1128"/>
      <c r="C213" s="1128"/>
      <c r="D213" s="1128"/>
      <c r="E213" s="1128"/>
      <c r="F213" s="1128"/>
      <c r="G213" s="1128"/>
      <c r="H213" s="1128"/>
      <c r="I213" s="1128"/>
      <c r="J213" s="1128"/>
      <c r="K213" s="1128"/>
      <c r="L213" s="1128"/>
      <c r="M213" s="1128"/>
      <c r="N213" s="1128"/>
      <c r="O213" s="1128"/>
      <c r="P213" s="1128"/>
      <c r="Q213" s="1128"/>
      <c r="R213" s="1128"/>
      <c r="S213" s="1128"/>
      <c r="T213" s="1128"/>
      <c r="U213" s="1128"/>
      <c r="V213" s="1128"/>
      <c r="W213" s="1128"/>
      <c r="X213" s="1128"/>
      <c r="Y213" s="1128"/>
      <c r="Z213" s="1128"/>
    </row>
    <row r="214" ht="22.5" customHeight="1">
      <c r="A214" s="1128"/>
      <c r="B214" s="1128"/>
      <c r="C214" s="1128"/>
      <c r="D214" s="1128"/>
      <c r="E214" s="1128"/>
      <c r="F214" s="1128"/>
      <c r="G214" s="1128"/>
      <c r="H214" s="1128"/>
      <c r="I214" s="1128"/>
      <c r="J214" s="1128"/>
      <c r="K214" s="1128"/>
      <c r="L214" s="1128"/>
      <c r="M214" s="1128"/>
      <c r="N214" s="1128"/>
      <c r="O214" s="1128"/>
      <c r="P214" s="1128"/>
      <c r="Q214" s="1128"/>
      <c r="R214" s="1128"/>
      <c r="S214" s="1128"/>
      <c r="T214" s="1128"/>
      <c r="U214" s="1128"/>
      <c r="V214" s="1128"/>
      <c r="W214" s="1128"/>
      <c r="X214" s="1128"/>
      <c r="Y214" s="1128"/>
      <c r="Z214" s="1128"/>
    </row>
    <row r="215" ht="22.5" customHeight="1">
      <c r="A215" s="1128"/>
      <c r="B215" s="1128"/>
      <c r="C215" s="1128"/>
      <c r="D215" s="1128"/>
      <c r="E215" s="1128"/>
      <c r="F215" s="1128"/>
      <c r="G215" s="1128"/>
      <c r="H215" s="1128"/>
      <c r="I215" s="1128"/>
      <c r="J215" s="1128"/>
      <c r="K215" s="1128"/>
      <c r="L215" s="1128"/>
      <c r="M215" s="1128"/>
      <c r="N215" s="1128"/>
      <c r="O215" s="1128"/>
      <c r="P215" s="1128"/>
      <c r="Q215" s="1128"/>
      <c r="R215" s="1128"/>
      <c r="S215" s="1128"/>
      <c r="T215" s="1128"/>
      <c r="U215" s="1128"/>
      <c r="V215" s="1128"/>
      <c r="W215" s="1128"/>
      <c r="X215" s="1128"/>
      <c r="Y215" s="1128"/>
      <c r="Z215" s="1128"/>
    </row>
    <row r="216" ht="22.5" customHeight="1">
      <c r="A216" s="1128"/>
      <c r="B216" s="1128"/>
      <c r="C216" s="1128"/>
      <c r="D216" s="1128"/>
      <c r="E216" s="1128"/>
      <c r="F216" s="1128"/>
      <c r="G216" s="1128"/>
      <c r="H216" s="1128"/>
      <c r="I216" s="1128"/>
      <c r="J216" s="1128"/>
      <c r="K216" s="1128"/>
      <c r="L216" s="1128"/>
      <c r="M216" s="1128"/>
      <c r="N216" s="1128"/>
      <c r="O216" s="1128"/>
      <c r="P216" s="1128"/>
      <c r="Q216" s="1128"/>
      <c r="R216" s="1128"/>
      <c r="S216" s="1128"/>
      <c r="T216" s="1128"/>
      <c r="U216" s="1128"/>
      <c r="V216" s="1128"/>
      <c r="W216" s="1128"/>
      <c r="X216" s="1128"/>
      <c r="Y216" s="1128"/>
      <c r="Z216" s="1128"/>
    </row>
    <row r="217" ht="22.5" customHeight="1">
      <c r="A217" s="1128"/>
      <c r="B217" s="1128"/>
      <c r="C217" s="1128"/>
      <c r="D217" s="1128"/>
      <c r="E217" s="1128"/>
      <c r="F217" s="1128"/>
      <c r="G217" s="1128"/>
      <c r="H217" s="1128"/>
      <c r="I217" s="1128"/>
      <c r="J217" s="1128"/>
      <c r="K217" s="1128"/>
      <c r="L217" s="1128"/>
      <c r="M217" s="1128"/>
      <c r="N217" s="1128"/>
      <c r="O217" s="1128"/>
      <c r="P217" s="1128"/>
      <c r="Q217" s="1128"/>
      <c r="R217" s="1128"/>
      <c r="S217" s="1128"/>
      <c r="T217" s="1128"/>
      <c r="U217" s="1128"/>
      <c r="V217" s="1128"/>
      <c r="W217" s="1128"/>
      <c r="X217" s="1128"/>
      <c r="Y217" s="1128"/>
      <c r="Z217" s="1128"/>
    </row>
    <row r="218" ht="22.5" customHeight="1">
      <c r="A218" s="1128"/>
      <c r="B218" s="1128"/>
      <c r="C218" s="1128"/>
      <c r="D218" s="1128"/>
      <c r="E218" s="1128"/>
      <c r="F218" s="1128"/>
      <c r="G218" s="1128"/>
      <c r="H218" s="1128"/>
      <c r="I218" s="1128"/>
      <c r="J218" s="1128"/>
      <c r="K218" s="1128"/>
      <c r="L218" s="1128"/>
      <c r="M218" s="1128"/>
      <c r="N218" s="1128"/>
      <c r="O218" s="1128"/>
      <c r="P218" s="1128"/>
      <c r="Q218" s="1128"/>
      <c r="R218" s="1128"/>
      <c r="S218" s="1128"/>
      <c r="T218" s="1128"/>
      <c r="U218" s="1128"/>
      <c r="V218" s="1128"/>
      <c r="W218" s="1128"/>
      <c r="X218" s="1128"/>
      <c r="Y218" s="1128"/>
      <c r="Z218" s="1128"/>
    </row>
    <row r="219" ht="22.5" customHeight="1">
      <c r="A219" s="1128"/>
      <c r="B219" s="1128"/>
      <c r="C219" s="1128"/>
      <c r="D219" s="1128"/>
      <c r="E219" s="1128"/>
      <c r="F219" s="1128"/>
      <c r="G219" s="1128"/>
      <c r="H219" s="1128"/>
      <c r="I219" s="1128"/>
      <c r="J219" s="1128"/>
      <c r="K219" s="1128"/>
      <c r="L219" s="1128"/>
      <c r="M219" s="1128"/>
      <c r="N219" s="1128"/>
      <c r="O219" s="1128"/>
      <c r="P219" s="1128"/>
      <c r="Q219" s="1128"/>
      <c r="R219" s="1128"/>
      <c r="S219" s="1128"/>
      <c r="T219" s="1128"/>
      <c r="U219" s="1128"/>
      <c r="V219" s="1128"/>
      <c r="W219" s="1128"/>
      <c r="X219" s="1128"/>
      <c r="Y219" s="1128"/>
      <c r="Z219" s="1128"/>
    </row>
    <row r="220" ht="22.5" customHeight="1">
      <c r="A220" s="1128"/>
      <c r="B220" s="1128"/>
      <c r="C220" s="1128"/>
      <c r="D220" s="1128"/>
      <c r="E220" s="1128"/>
      <c r="F220" s="1128"/>
      <c r="G220" s="1128"/>
      <c r="H220" s="1128"/>
      <c r="I220" s="1128"/>
      <c r="J220" s="1128"/>
      <c r="K220" s="1128"/>
      <c r="L220" s="1128"/>
      <c r="M220" s="1128"/>
      <c r="N220" s="1128"/>
      <c r="O220" s="1128"/>
      <c r="P220" s="1128"/>
      <c r="Q220" s="1128"/>
      <c r="R220" s="1128"/>
      <c r="S220" s="1128"/>
      <c r="T220" s="1128"/>
      <c r="U220" s="1128"/>
      <c r="V220" s="1128"/>
      <c r="W220" s="1128"/>
      <c r="X220" s="1128"/>
      <c r="Y220" s="1128"/>
      <c r="Z220" s="1128"/>
    </row>
    <row r="221" ht="22.5" customHeight="1">
      <c r="A221" s="1128"/>
      <c r="B221" s="1128"/>
      <c r="C221" s="1128"/>
      <c r="D221" s="1128"/>
      <c r="E221" s="1128"/>
      <c r="F221" s="1128"/>
      <c r="G221" s="1128"/>
      <c r="H221" s="1128"/>
      <c r="I221" s="1128"/>
      <c r="J221" s="1128"/>
      <c r="K221" s="1128"/>
      <c r="L221" s="1128"/>
      <c r="M221" s="1128"/>
      <c r="N221" s="1128"/>
      <c r="O221" s="1128"/>
      <c r="P221" s="1128"/>
      <c r="Q221" s="1128"/>
      <c r="R221" s="1128"/>
      <c r="S221" s="1128"/>
      <c r="T221" s="1128"/>
      <c r="U221" s="1128"/>
      <c r="V221" s="1128"/>
      <c r="W221" s="1128"/>
      <c r="X221" s="1128"/>
      <c r="Y221" s="1128"/>
      <c r="Z221" s="1128"/>
    </row>
    <row r="222" ht="22.5" customHeight="1">
      <c r="A222" s="1128"/>
      <c r="B222" s="1128"/>
      <c r="C222" s="1128"/>
      <c r="D222" s="1128"/>
      <c r="E222" s="1128"/>
      <c r="F222" s="1128"/>
      <c r="G222" s="1128"/>
      <c r="H222" s="1128"/>
      <c r="I222" s="1128"/>
      <c r="J222" s="1128"/>
      <c r="K222" s="1128"/>
      <c r="L222" s="1128"/>
      <c r="M222" s="1128"/>
      <c r="N222" s="1128"/>
      <c r="O222" s="1128"/>
      <c r="P222" s="1128"/>
      <c r="Q222" s="1128"/>
      <c r="R222" s="1128"/>
      <c r="S222" s="1128"/>
      <c r="T222" s="1128"/>
      <c r="U222" s="1128"/>
      <c r="V222" s="1128"/>
      <c r="W222" s="1128"/>
      <c r="X222" s="1128"/>
      <c r="Y222" s="1128"/>
      <c r="Z222" s="1128"/>
    </row>
    <row r="223" ht="22.5" customHeight="1">
      <c r="A223" s="1128"/>
      <c r="B223" s="1128"/>
      <c r="C223" s="1128"/>
      <c r="D223" s="1128"/>
      <c r="E223" s="1128"/>
      <c r="F223" s="1128"/>
      <c r="G223" s="1128"/>
      <c r="H223" s="1128"/>
      <c r="I223" s="1128"/>
      <c r="J223" s="1128"/>
      <c r="K223" s="1128"/>
      <c r="L223" s="1128"/>
      <c r="M223" s="1128"/>
      <c r="N223" s="1128"/>
      <c r="O223" s="1128"/>
      <c r="P223" s="1128"/>
      <c r="Q223" s="1128"/>
      <c r="R223" s="1128"/>
      <c r="S223" s="1128"/>
      <c r="T223" s="1128"/>
      <c r="U223" s="1128"/>
      <c r="V223" s="1128"/>
      <c r="W223" s="1128"/>
      <c r="X223" s="1128"/>
      <c r="Y223" s="1128"/>
      <c r="Z223" s="1128"/>
    </row>
    <row r="224" ht="22.5" customHeight="1">
      <c r="A224" s="1128"/>
      <c r="B224" s="1128"/>
      <c r="C224" s="1128"/>
      <c r="D224" s="1128"/>
      <c r="E224" s="1128"/>
      <c r="F224" s="1128"/>
      <c r="G224" s="1128"/>
      <c r="H224" s="1128"/>
      <c r="I224" s="1128"/>
      <c r="J224" s="1128"/>
      <c r="K224" s="1128"/>
      <c r="L224" s="1128"/>
      <c r="M224" s="1128"/>
      <c r="N224" s="1128"/>
      <c r="O224" s="1128"/>
      <c r="P224" s="1128"/>
      <c r="Q224" s="1128"/>
      <c r="R224" s="1128"/>
      <c r="S224" s="1128"/>
      <c r="T224" s="1128"/>
      <c r="U224" s="1128"/>
      <c r="V224" s="1128"/>
      <c r="W224" s="1128"/>
      <c r="X224" s="1128"/>
      <c r="Y224" s="1128"/>
      <c r="Z224" s="1128"/>
    </row>
    <row r="225" ht="22.5" customHeight="1">
      <c r="A225" s="1128"/>
      <c r="B225" s="1128"/>
      <c r="C225" s="1128"/>
      <c r="D225" s="1128"/>
      <c r="E225" s="1128"/>
      <c r="F225" s="1128"/>
      <c r="G225" s="1128"/>
      <c r="H225" s="1128"/>
      <c r="I225" s="1128"/>
      <c r="J225" s="1128"/>
      <c r="K225" s="1128"/>
      <c r="L225" s="1128"/>
      <c r="M225" s="1128"/>
      <c r="N225" s="1128"/>
      <c r="O225" s="1128"/>
      <c r="P225" s="1128"/>
      <c r="Q225" s="1128"/>
      <c r="R225" s="1128"/>
      <c r="S225" s="1128"/>
      <c r="T225" s="1128"/>
      <c r="U225" s="1128"/>
      <c r="V225" s="1128"/>
      <c r="W225" s="1128"/>
      <c r="X225" s="1128"/>
      <c r="Y225" s="1128"/>
      <c r="Z225" s="1128"/>
    </row>
    <row r="226" ht="22.5" customHeight="1">
      <c r="A226" s="1128"/>
      <c r="B226" s="1128"/>
      <c r="C226" s="1128"/>
      <c r="D226" s="1128"/>
      <c r="E226" s="1128"/>
      <c r="F226" s="1128"/>
      <c r="G226" s="1128"/>
      <c r="H226" s="1128"/>
      <c r="I226" s="1128"/>
      <c r="J226" s="1128"/>
      <c r="K226" s="1128"/>
      <c r="L226" s="1128"/>
      <c r="M226" s="1128"/>
      <c r="N226" s="1128"/>
      <c r="O226" s="1128"/>
      <c r="P226" s="1128"/>
      <c r="Q226" s="1128"/>
      <c r="R226" s="1128"/>
      <c r="S226" s="1128"/>
      <c r="T226" s="1128"/>
      <c r="U226" s="1128"/>
      <c r="V226" s="1128"/>
      <c r="W226" s="1128"/>
      <c r="X226" s="1128"/>
      <c r="Y226" s="1128"/>
      <c r="Z226" s="1128"/>
    </row>
    <row r="227" ht="22.5" customHeight="1">
      <c r="A227" s="1128"/>
      <c r="B227" s="1128"/>
      <c r="C227" s="1128"/>
      <c r="D227" s="1128"/>
      <c r="E227" s="1128"/>
      <c r="F227" s="1128"/>
      <c r="G227" s="1128"/>
      <c r="H227" s="1128"/>
      <c r="I227" s="1128"/>
      <c r="J227" s="1128"/>
      <c r="K227" s="1128"/>
      <c r="L227" s="1128"/>
      <c r="M227" s="1128"/>
      <c r="N227" s="1128"/>
      <c r="O227" s="1128"/>
      <c r="P227" s="1128"/>
      <c r="Q227" s="1128"/>
      <c r="R227" s="1128"/>
      <c r="S227" s="1128"/>
      <c r="T227" s="1128"/>
      <c r="U227" s="1128"/>
      <c r="V227" s="1128"/>
      <c r="W227" s="1128"/>
      <c r="X227" s="1128"/>
      <c r="Y227" s="1128"/>
      <c r="Z227" s="1128"/>
    </row>
    <row r="228" ht="22.5" customHeight="1">
      <c r="A228" s="1128"/>
      <c r="B228" s="1128"/>
      <c r="C228" s="1128"/>
      <c r="D228" s="1128"/>
      <c r="E228" s="1128"/>
      <c r="F228" s="1128"/>
      <c r="G228" s="1128"/>
      <c r="H228" s="1128"/>
      <c r="I228" s="1128"/>
      <c r="J228" s="1128"/>
      <c r="K228" s="1128"/>
      <c r="L228" s="1128"/>
      <c r="M228" s="1128"/>
      <c r="N228" s="1128"/>
      <c r="O228" s="1128"/>
      <c r="P228" s="1128"/>
      <c r="Q228" s="1128"/>
      <c r="R228" s="1128"/>
      <c r="S228" s="1128"/>
      <c r="T228" s="1128"/>
      <c r="U228" s="1128"/>
      <c r="V228" s="1128"/>
      <c r="W228" s="1128"/>
      <c r="X228" s="1128"/>
      <c r="Y228" s="1128"/>
      <c r="Z228" s="1128"/>
    </row>
    <row r="229" ht="22.5" customHeight="1">
      <c r="A229" s="1128"/>
      <c r="B229" s="1128"/>
      <c r="C229" s="1128"/>
      <c r="D229" s="1128"/>
      <c r="E229" s="1128"/>
      <c r="F229" s="1128"/>
      <c r="G229" s="1128"/>
      <c r="H229" s="1128"/>
      <c r="I229" s="1128"/>
      <c r="J229" s="1128"/>
      <c r="K229" s="1128"/>
      <c r="L229" s="1128"/>
      <c r="M229" s="1128"/>
      <c r="N229" s="1128"/>
      <c r="O229" s="1128"/>
      <c r="P229" s="1128"/>
      <c r="Q229" s="1128"/>
      <c r="R229" s="1128"/>
      <c r="S229" s="1128"/>
      <c r="T229" s="1128"/>
      <c r="U229" s="1128"/>
      <c r="V229" s="1128"/>
      <c r="W229" s="1128"/>
      <c r="X229" s="1128"/>
      <c r="Y229" s="1128"/>
      <c r="Z229" s="1128"/>
    </row>
    <row r="230" ht="22.5" customHeight="1">
      <c r="A230" s="1128"/>
      <c r="B230" s="1128"/>
      <c r="C230" s="1128"/>
      <c r="D230" s="1128"/>
      <c r="E230" s="1128"/>
      <c r="F230" s="1128"/>
      <c r="G230" s="1128"/>
      <c r="H230" s="1128"/>
      <c r="I230" s="1128"/>
      <c r="J230" s="1128"/>
      <c r="K230" s="1128"/>
      <c r="L230" s="1128"/>
      <c r="M230" s="1128"/>
      <c r="N230" s="1128"/>
      <c r="O230" s="1128"/>
      <c r="P230" s="1128"/>
      <c r="Q230" s="1128"/>
      <c r="R230" s="1128"/>
      <c r="S230" s="1128"/>
      <c r="T230" s="1128"/>
      <c r="U230" s="1128"/>
      <c r="V230" s="1128"/>
      <c r="W230" s="1128"/>
      <c r="X230" s="1128"/>
      <c r="Y230" s="1128"/>
      <c r="Z230" s="1128"/>
    </row>
    <row r="231" ht="22.5" customHeight="1">
      <c r="A231" s="1128"/>
      <c r="B231" s="1128"/>
      <c r="C231" s="1128"/>
      <c r="D231" s="1128"/>
      <c r="E231" s="1128"/>
      <c r="F231" s="1128"/>
      <c r="G231" s="1128"/>
      <c r="H231" s="1128"/>
      <c r="I231" s="1128"/>
      <c r="J231" s="1128"/>
      <c r="K231" s="1128"/>
      <c r="L231" s="1128"/>
      <c r="M231" s="1128"/>
      <c r="N231" s="1128"/>
      <c r="O231" s="1128"/>
      <c r="P231" s="1128"/>
      <c r="Q231" s="1128"/>
      <c r="R231" s="1128"/>
      <c r="S231" s="1128"/>
      <c r="T231" s="1128"/>
      <c r="U231" s="1128"/>
      <c r="V231" s="1128"/>
      <c r="W231" s="1128"/>
      <c r="X231" s="1128"/>
      <c r="Y231" s="1128"/>
      <c r="Z231" s="1128"/>
    </row>
    <row r="232" ht="22.5" customHeight="1">
      <c r="A232" s="1128"/>
      <c r="B232" s="1128"/>
      <c r="C232" s="1128"/>
      <c r="D232" s="1128"/>
      <c r="E232" s="1128"/>
      <c r="F232" s="1128"/>
      <c r="G232" s="1128"/>
      <c r="H232" s="1128"/>
      <c r="I232" s="1128"/>
      <c r="J232" s="1128"/>
      <c r="K232" s="1128"/>
      <c r="L232" s="1128"/>
      <c r="M232" s="1128"/>
      <c r="N232" s="1128"/>
      <c r="O232" s="1128"/>
      <c r="P232" s="1128"/>
      <c r="Q232" s="1128"/>
      <c r="R232" s="1128"/>
      <c r="S232" s="1128"/>
      <c r="T232" s="1128"/>
      <c r="U232" s="1128"/>
      <c r="V232" s="1128"/>
      <c r="W232" s="1128"/>
      <c r="X232" s="1128"/>
      <c r="Y232" s="1128"/>
      <c r="Z232" s="1128"/>
    </row>
    <row r="233" ht="22.5" customHeight="1">
      <c r="A233" s="1128"/>
      <c r="B233" s="1128"/>
      <c r="C233" s="1128"/>
      <c r="D233" s="1128"/>
      <c r="E233" s="1128"/>
      <c r="F233" s="1128"/>
      <c r="G233" s="1128"/>
      <c r="H233" s="1128"/>
      <c r="I233" s="1128"/>
      <c r="J233" s="1128"/>
      <c r="K233" s="1128"/>
      <c r="L233" s="1128"/>
      <c r="M233" s="1128"/>
      <c r="N233" s="1128"/>
      <c r="O233" s="1128"/>
      <c r="P233" s="1128"/>
      <c r="Q233" s="1128"/>
      <c r="R233" s="1128"/>
      <c r="S233" s="1128"/>
      <c r="T233" s="1128"/>
      <c r="U233" s="1128"/>
      <c r="V233" s="1128"/>
      <c r="W233" s="1128"/>
      <c r="X233" s="1128"/>
      <c r="Y233" s="1128"/>
      <c r="Z233" s="1128"/>
    </row>
    <row r="234" ht="22.5" customHeight="1">
      <c r="A234" s="1128"/>
      <c r="B234" s="1128"/>
      <c r="C234" s="1128"/>
      <c r="D234" s="1128"/>
      <c r="E234" s="1128"/>
      <c r="F234" s="1128"/>
      <c r="G234" s="1128"/>
      <c r="H234" s="1128"/>
      <c r="I234" s="1128"/>
      <c r="J234" s="1128"/>
      <c r="K234" s="1128"/>
      <c r="L234" s="1128"/>
      <c r="M234" s="1128"/>
      <c r="N234" s="1128"/>
      <c r="O234" s="1128"/>
      <c r="P234" s="1128"/>
      <c r="Q234" s="1128"/>
      <c r="R234" s="1128"/>
      <c r="S234" s="1128"/>
      <c r="T234" s="1128"/>
      <c r="U234" s="1128"/>
      <c r="V234" s="1128"/>
      <c r="W234" s="1128"/>
      <c r="X234" s="1128"/>
      <c r="Y234" s="1128"/>
      <c r="Z234" s="1128"/>
    </row>
    <row r="235" ht="22.5" customHeight="1">
      <c r="A235" s="1128"/>
      <c r="B235" s="1128"/>
      <c r="C235" s="1128"/>
      <c r="D235" s="1128"/>
      <c r="E235" s="1128"/>
      <c r="F235" s="1128"/>
      <c r="G235" s="1128"/>
      <c r="H235" s="1128"/>
      <c r="I235" s="1128"/>
      <c r="J235" s="1128"/>
      <c r="K235" s="1128"/>
      <c r="L235" s="1128"/>
      <c r="M235" s="1128"/>
      <c r="N235" s="1128"/>
      <c r="O235" s="1128"/>
      <c r="P235" s="1128"/>
      <c r="Q235" s="1128"/>
      <c r="R235" s="1128"/>
      <c r="S235" s="1128"/>
      <c r="T235" s="1128"/>
      <c r="U235" s="1128"/>
      <c r="V235" s="1128"/>
      <c r="W235" s="1128"/>
      <c r="X235" s="1128"/>
      <c r="Y235" s="1128"/>
      <c r="Z235" s="1128"/>
    </row>
    <row r="236" ht="22.5" customHeight="1">
      <c r="A236" s="1128"/>
      <c r="B236" s="1128"/>
      <c r="C236" s="1128"/>
      <c r="D236" s="1128"/>
      <c r="E236" s="1128"/>
      <c r="F236" s="1128"/>
      <c r="G236" s="1128"/>
      <c r="H236" s="1128"/>
      <c r="I236" s="1128"/>
      <c r="J236" s="1128"/>
      <c r="K236" s="1128"/>
      <c r="L236" s="1128"/>
      <c r="M236" s="1128"/>
      <c r="N236" s="1128"/>
      <c r="O236" s="1128"/>
      <c r="P236" s="1128"/>
      <c r="Q236" s="1128"/>
      <c r="R236" s="1128"/>
      <c r="S236" s="1128"/>
      <c r="T236" s="1128"/>
      <c r="U236" s="1128"/>
      <c r="V236" s="1128"/>
      <c r="W236" s="1128"/>
      <c r="X236" s="1128"/>
      <c r="Y236" s="1128"/>
      <c r="Z236" s="1128"/>
    </row>
    <row r="237" ht="22.5" customHeight="1">
      <c r="A237" s="1128"/>
      <c r="B237" s="1128"/>
      <c r="C237" s="1128"/>
      <c r="D237" s="1128"/>
      <c r="E237" s="1128"/>
      <c r="F237" s="1128"/>
      <c r="G237" s="1128"/>
      <c r="H237" s="1128"/>
      <c r="I237" s="1128"/>
      <c r="J237" s="1128"/>
      <c r="K237" s="1128"/>
      <c r="L237" s="1128"/>
      <c r="M237" s="1128"/>
      <c r="N237" s="1128"/>
      <c r="O237" s="1128"/>
      <c r="P237" s="1128"/>
      <c r="Q237" s="1128"/>
      <c r="R237" s="1128"/>
      <c r="S237" s="1128"/>
      <c r="T237" s="1128"/>
      <c r="U237" s="1128"/>
      <c r="V237" s="1128"/>
      <c r="W237" s="1128"/>
      <c r="X237" s="1128"/>
      <c r="Y237" s="1128"/>
      <c r="Z237" s="1128"/>
    </row>
    <row r="238" ht="22.5" customHeight="1">
      <c r="A238" s="1128"/>
      <c r="B238" s="1128"/>
      <c r="C238" s="1128"/>
      <c r="D238" s="1128"/>
      <c r="E238" s="1128"/>
      <c r="F238" s="1128"/>
      <c r="G238" s="1128"/>
      <c r="H238" s="1128"/>
      <c r="I238" s="1128"/>
      <c r="J238" s="1128"/>
      <c r="K238" s="1128"/>
      <c r="L238" s="1128"/>
      <c r="M238" s="1128"/>
      <c r="N238" s="1128"/>
      <c r="O238" s="1128"/>
      <c r="P238" s="1128"/>
      <c r="Q238" s="1128"/>
      <c r="R238" s="1128"/>
      <c r="S238" s="1128"/>
      <c r="T238" s="1128"/>
      <c r="U238" s="1128"/>
      <c r="V238" s="1128"/>
      <c r="W238" s="1128"/>
      <c r="X238" s="1128"/>
      <c r="Y238" s="1128"/>
      <c r="Z238" s="1128"/>
    </row>
    <row r="239" ht="22.5" customHeight="1">
      <c r="A239" s="1128"/>
      <c r="B239" s="1128"/>
      <c r="C239" s="1128"/>
      <c r="D239" s="1128"/>
      <c r="E239" s="1128"/>
      <c r="F239" s="1128"/>
      <c r="G239" s="1128"/>
      <c r="H239" s="1128"/>
      <c r="I239" s="1128"/>
      <c r="J239" s="1128"/>
      <c r="K239" s="1128"/>
      <c r="L239" s="1128"/>
      <c r="M239" s="1128"/>
      <c r="N239" s="1128"/>
      <c r="O239" s="1128"/>
      <c r="P239" s="1128"/>
      <c r="Q239" s="1128"/>
      <c r="R239" s="1128"/>
      <c r="S239" s="1128"/>
      <c r="T239" s="1128"/>
      <c r="U239" s="1128"/>
      <c r="V239" s="1128"/>
      <c r="W239" s="1128"/>
      <c r="X239" s="1128"/>
      <c r="Y239" s="1128"/>
      <c r="Z239" s="1128"/>
    </row>
    <row r="240" ht="22.5" customHeight="1">
      <c r="A240" s="1128"/>
      <c r="B240" s="1128"/>
      <c r="C240" s="1128"/>
      <c r="D240" s="1128"/>
      <c r="E240" s="1128"/>
      <c r="F240" s="1128"/>
      <c r="G240" s="1128"/>
      <c r="H240" s="1128"/>
      <c r="I240" s="1128"/>
      <c r="J240" s="1128"/>
      <c r="K240" s="1128"/>
      <c r="L240" s="1128"/>
      <c r="M240" s="1128"/>
      <c r="N240" s="1128"/>
      <c r="O240" s="1128"/>
      <c r="P240" s="1128"/>
      <c r="Q240" s="1128"/>
      <c r="R240" s="1128"/>
      <c r="S240" s="1128"/>
      <c r="T240" s="1128"/>
      <c r="U240" s="1128"/>
      <c r="V240" s="1128"/>
      <c r="W240" s="1128"/>
      <c r="X240" s="1128"/>
      <c r="Y240" s="1128"/>
      <c r="Z240" s="1128"/>
    </row>
    <row r="241" ht="22.5" customHeight="1">
      <c r="A241" s="1128"/>
      <c r="B241" s="1128"/>
      <c r="C241" s="1128"/>
      <c r="D241" s="1128"/>
      <c r="E241" s="1128"/>
      <c r="F241" s="1128"/>
      <c r="G241" s="1128"/>
      <c r="H241" s="1128"/>
      <c r="I241" s="1128"/>
      <c r="J241" s="1128"/>
      <c r="K241" s="1128"/>
      <c r="L241" s="1128"/>
      <c r="M241" s="1128"/>
      <c r="N241" s="1128"/>
      <c r="O241" s="1128"/>
      <c r="P241" s="1128"/>
      <c r="Q241" s="1128"/>
      <c r="R241" s="1128"/>
      <c r="S241" s="1128"/>
      <c r="T241" s="1128"/>
      <c r="U241" s="1128"/>
      <c r="V241" s="1128"/>
      <c r="W241" s="1128"/>
      <c r="X241" s="1128"/>
      <c r="Y241" s="1128"/>
      <c r="Z241" s="1128"/>
    </row>
    <row r="242" ht="22.5" customHeight="1">
      <c r="A242" s="1128"/>
      <c r="B242" s="1128"/>
      <c r="C242" s="1128"/>
      <c r="D242" s="1128"/>
      <c r="E242" s="1128"/>
      <c r="F242" s="1128"/>
      <c r="G242" s="1128"/>
      <c r="H242" s="1128"/>
      <c r="I242" s="1128"/>
      <c r="J242" s="1128"/>
      <c r="K242" s="1128"/>
      <c r="L242" s="1128"/>
      <c r="M242" s="1128"/>
      <c r="N242" s="1128"/>
      <c r="O242" s="1128"/>
      <c r="P242" s="1128"/>
      <c r="Q242" s="1128"/>
      <c r="R242" s="1128"/>
      <c r="S242" s="1128"/>
      <c r="T242" s="1128"/>
      <c r="U242" s="1128"/>
      <c r="V242" s="1128"/>
      <c r="W242" s="1128"/>
      <c r="X242" s="1128"/>
      <c r="Y242" s="1128"/>
      <c r="Z242" s="1128"/>
    </row>
    <row r="243" ht="22.5" customHeight="1">
      <c r="A243" s="1128"/>
      <c r="B243" s="1128"/>
      <c r="C243" s="1128"/>
      <c r="D243" s="1128"/>
      <c r="E243" s="1128"/>
      <c r="F243" s="1128"/>
      <c r="G243" s="1128"/>
      <c r="H243" s="1128"/>
      <c r="I243" s="1128"/>
      <c r="J243" s="1128"/>
      <c r="K243" s="1128"/>
      <c r="L243" s="1128"/>
      <c r="M243" s="1128"/>
      <c r="N243" s="1128"/>
      <c r="O243" s="1128"/>
      <c r="P243" s="1128"/>
      <c r="Q243" s="1128"/>
      <c r="R243" s="1128"/>
      <c r="S243" s="1128"/>
      <c r="T243" s="1128"/>
      <c r="U243" s="1128"/>
      <c r="V243" s="1128"/>
      <c r="W243" s="1128"/>
      <c r="X243" s="1128"/>
      <c r="Y243" s="1128"/>
      <c r="Z243" s="1128"/>
    </row>
    <row r="244" ht="22.5" customHeight="1">
      <c r="A244" s="1128"/>
      <c r="B244" s="1128"/>
      <c r="C244" s="1128"/>
      <c r="D244" s="1128"/>
      <c r="E244" s="1128"/>
      <c r="F244" s="1128"/>
      <c r="G244" s="1128"/>
      <c r="H244" s="1128"/>
      <c r="I244" s="1128"/>
      <c r="J244" s="1128"/>
      <c r="K244" s="1128"/>
      <c r="L244" s="1128"/>
      <c r="M244" s="1128"/>
      <c r="N244" s="1128"/>
      <c r="O244" s="1128"/>
      <c r="P244" s="1128"/>
      <c r="Q244" s="1128"/>
      <c r="R244" s="1128"/>
      <c r="S244" s="1128"/>
      <c r="T244" s="1128"/>
      <c r="U244" s="1128"/>
      <c r="V244" s="1128"/>
      <c r="W244" s="1128"/>
      <c r="X244" s="1128"/>
      <c r="Y244" s="1128"/>
      <c r="Z244" s="1128"/>
    </row>
    <row r="245" ht="22.5" customHeight="1">
      <c r="A245" s="1128"/>
      <c r="B245" s="1128"/>
      <c r="C245" s="1128"/>
      <c r="D245" s="1128"/>
      <c r="E245" s="1128"/>
      <c r="F245" s="1128"/>
      <c r="G245" s="1128"/>
      <c r="H245" s="1128"/>
      <c r="I245" s="1128"/>
      <c r="J245" s="1128"/>
      <c r="K245" s="1128"/>
      <c r="L245" s="1128"/>
      <c r="M245" s="1128"/>
      <c r="N245" s="1128"/>
      <c r="O245" s="1128"/>
      <c r="P245" s="1128"/>
      <c r="Q245" s="1128"/>
      <c r="R245" s="1128"/>
      <c r="S245" s="1128"/>
      <c r="T245" s="1128"/>
      <c r="U245" s="1128"/>
      <c r="V245" s="1128"/>
      <c r="W245" s="1128"/>
      <c r="X245" s="1128"/>
      <c r="Y245" s="1128"/>
      <c r="Z245" s="1128"/>
    </row>
    <row r="246" ht="22.5" customHeight="1">
      <c r="A246" s="1128"/>
      <c r="B246" s="1128"/>
      <c r="C246" s="1128"/>
      <c r="D246" s="1128"/>
      <c r="E246" s="1128"/>
      <c r="F246" s="1128"/>
      <c r="G246" s="1128"/>
      <c r="H246" s="1128"/>
      <c r="I246" s="1128"/>
      <c r="J246" s="1128"/>
      <c r="K246" s="1128"/>
      <c r="L246" s="1128"/>
      <c r="M246" s="1128"/>
      <c r="N246" s="1128"/>
      <c r="O246" s="1128"/>
      <c r="P246" s="1128"/>
      <c r="Q246" s="1128"/>
      <c r="R246" s="1128"/>
      <c r="S246" s="1128"/>
      <c r="T246" s="1128"/>
      <c r="U246" s="1128"/>
      <c r="V246" s="1128"/>
      <c r="W246" s="1128"/>
      <c r="X246" s="1128"/>
      <c r="Y246" s="1128"/>
      <c r="Z246" s="1128"/>
    </row>
    <row r="247" ht="22.5" customHeight="1">
      <c r="A247" s="1128"/>
      <c r="B247" s="1128"/>
      <c r="C247" s="1128"/>
      <c r="D247" s="1128"/>
      <c r="E247" s="1128"/>
      <c r="F247" s="1128"/>
      <c r="G247" s="1128"/>
      <c r="H247" s="1128"/>
      <c r="I247" s="1128"/>
      <c r="J247" s="1128"/>
      <c r="K247" s="1128"/>
      <c r="L247" s="1128"/>
      <c r="M247" s="1128"/>
      <c r="N247" s="1128"/>
      <c r="O247" s="1128"/>
      <c r="P247" s="1128"/>
      <c r="Q247" s="1128"/>
      <c r="R247" s="1128"/>
      <c r="S247" s="1128"/>
      <c r="T247" s="1128"/>
      <c r="U247" s="1128"/>
      <c r="V247" s="1128"/>
      <c r="W247" s="1128"/>
      <c r="X247" s="1128"/>
      <c r="Y247" s="1128"/>
      <c r="Z247" s="1128"/>
    </row>
    <row r="248" ht="22.5" customHeight="1">
      <c r="A248" s="1128"/>
      <c r="B248" s="1128"/>
      <c r="C248" s="1128"/>
      <c r="D248" s="1128"/>
      <c r="E248" s="1128"/>
      <c r="F248" s="1128"/>
      <c r="G248" s="1128"/>
      <c r="H248" s="1128"/>
      <c r="I248" s="1128"/>
      <c r="J248" s="1128"/>
      <c r="K248" s="1128"/>
      <c r="L248" s="1128"/>
      <c r="M248" s="1128"/>
      <c r="N248" s="1128"/>
      <c r="O248" s="1128"/>
      <c r="P248" s="1128"/>
      <c r="Q248" s="1128"/>
      <c r="R248" s="1128"/>
      <c r="S248" s="1128"/>
      <c r="T248" s="1128"/>
      <c r="U248" s="1128"/>
      <c r="V248" s="1128"/>
      <c r="W248" s="1128"/>
      <c r="X248" s="1128"/>
      <c r="Y248" s="1128"/>
      <c r="Z248" s="1128"/>
    </row>
    <row r="249" ht="22.5" customHeight="1">
      <c r="A249" s="1128"/>
      <c r="B249" s="1128"/>
      <c r="C249" s="1128"/>
      <c r="D249" s="1128"/>
      <c r="E249" s="1128"/>
      <c r="F249" s="1128"/>
      <c r="G249" s="1128"/>
      <c r="H249" s="1128"/>
      <c r="I249" s="1128"/>
      <c r="J249" s="1128"/>
      <c r="K249" s="1128"/>
      <c r="L249" s="1128"/>
      <c r="M249" s="1128"/>
      <c r="N249" s="1128"/>
      <c r="O249" s="1128"/>
      <c r="P249" s="1128"/>
      <c r="Q249" s="1128"/>
      <c r="R249" s="1128"/>
      <c r="S249" s="1128"/>
      <c r="T249" s="1128"/>
      <c r="U249" s="1128"/>
      <c r="V249" s="1128"/>
      <c r="W249" s="1128"/>
      <c r="X249" s="1128"/>
      <c r="Y249" s="1128"/>
      <c r="Z249" s="1128"/>
    </row>
    <row r="250" ht="22.5" customHeight="1">
      <c r="A250" s="1128"/>
      <c r="B250" s="1128"/>
      <c r="C250" s="1128"/>
      <c r="D250" s="1128"/>
      <c r="E250" s="1128"/>
      <c r="F250" s="1128"/>
      <c r="G250" s="1128"/>
      <c r="H250" s="1128"/>
      <c r="I250" s="1128"/>
      <c r="J250" s="1128"/>
      <c r="K250" s="1128"/>
      <c r="L250" s="1128"/>
      <c r="M250" s="1128"/>
      <c r="N250" s="1128"/>
      <c r="O250" s="1128"/>
      <c r="P250" s="1128"/>
      <c r="Q250" s="1128"/>
      <c r="R250" s="1128"/>
      <c r="S250" s="1128"/>
      <c r="T250" s="1128"/>
      <c r="U250" s="1128"/>
      <c r="V250" s="1128"/>
      <c r="W250" s="1128"/>
      <c r="X250" s="1128"/>
      <c r="Y250" s="1128"/>
      <c r="Z250" s="1128"/>
    </row>
    <row r="251" ht="22.5" customHeight="1">
      <c r="A251" s="1128"/>
      <c r="B251" s="1128"/>
      <c r="C251" s="1128"/>
      <c r="D251" s="1128"/>
      <c r="E251" s="1128"/>
      <c r="F251" s="1128"/>
      <c r="G251" s="1128"/>
      <c r="H251" s="1128"/>
      <c r="I251" s="1128"/>
      <c r="J251" s="1128"/>
      <c r="K251" s="1128"/>
      <c r="L251" s="1128"/>
      <c r="M251" s="1128"/>
      <c r="N251" s="1128"/>
      <c r="O251" s="1128"/>
      <c r="P251" s="1128"/>
      <c r="Q251" s="1128"/>
      <c r="R251" s="1128"/>
      <c r="S251" s="1128"/>
      <c r="T251" s="1128"/>
      <c r="U251" s="1128"/>
      <c r="V251" s="1128"/>
      <c r="W251" s="1128"/>
      <c r="X251" s="1128"/>
      <c r="Y251" s="1128"/>
      <c r="Z251" s="1128"/>
    </row>
    <row r="252" ht="22.5" customHeight="1">
      <c r="A252" s="1128"/>
      <c r="B252" s="1128"/>
      <c r="C252" s="1128"/>
      <c r="D252" s="1128"/>
      <c r="E252" s="1128"/>
      <c r="F252" s="1128"/>
      <c r="G252" s="1128"/>
      <c r="H252" s="1128"/>
      <c r="I252" s="1128"/>
      <c r="J252" s="1128"/>
      <c r="K252" s="1128"/>
      <c r="L252" s="1128"/>
      <c r="M252" s="1128"/>
      <c r="N252" s="1128"/>
      <c r="O252" s="1128"/>
      <c r="P252" s="1128"/>
      <c r="Q252" s="1128"/>
      <c r="R252" s="1128"/>
      <c r="S252" s="1128"/>
      <c r="T252" s="1128"/>
      <c r="U252" s="1128"/>
      <c r="V252" s="1128"/>
      <c r="W252" s="1128"/>
      <c r="X252" s="1128"/>
      <c r="Y252" s="1128"/>
      <c r="Z252" s="1128"/>
    </row>
    <row r="253" ht="22.5" customHeight="1">
      <c r="A253" s="1128"/>
      <c r="B253" s="1128"/>
      <c r="C253" s="1128"/>
      <c r="D253" s="1128"/>
      <c r="E253" s="1128"/>
      <c r="F253" s="1128"/>
      <c r="G253" s="1128"/>
      <c r="H253" s="1128"/>
      <c r="I253" s="1128"/>
      <c r="J253" s="1128"/>
      <c r="K253" s="1128"/>
      <c r="L253" s="1128"/>
      <c r="M253" s="1128"/>
      <c r="N253" s="1128"/>
      <c r="O253" s="1128"/>
      <c r="P253" s="1128"/>
      <c r="Q253" s="1128"/>
      <c r="R253" s="1128"/>
      <c r="S253" s="1128"/>
      <c r="T253" s="1128"/>
      <c r="U253" s="1128"/>
      <c r="V253" s="1128"/>
      <c r="W253" s="1128"/>
      <c r="X253" s="1128"/>
      <c r="Y253" s="1128"/>
      <c r="Z253" s="1128"/>
    </row>
    <row r="254" ht="22.5" customHeight="1">
      <c r="A254" s="1128"/>
      <c r="B254" s="1128"/>
      <c r="C254" s="1128"/>
      <c r="D254" s="1128"/>
      <c r="E254" s="1128"/>
      <c r="F254" s="1128"/>
      <c r="G254" s="1128"/>
      <c r="H254" s="1128"/>
      <c r="I254" s="1128"/>
      <c r="J254" s="1128"/>
      <c r="K254" s="1128"/>
      <c r="L254" s="1128"/>
      <c r="M254" s="1128"/>
      <c r="N254" s="1128"/>
      <c r="O254" s="1128"/>
      <c r="P254" s="1128"/>
      <c r="Q254" s="1128"/>
      <c r="R254" s="1128"/>
      <c r="S254" s="1128"/>
      <c r="T254" s="1128"/>
      <c r="U254" s="1128"/>
      <c r="V254" s="1128"/>
      <c r="W254" s="1128"/>
      <c r="X254" s="1128"/>
      <c r="Y254" s="1128"/>
      <c r="Z254" s="1128"/>
    </row>
    <row r="255" ht="22.5" customHeight="1">
      <c r="A255" s="1128"/>
      <c r="B255" s="1128"/>
      <c r="C255" s="1128"/>
      <c r="D255" s="1128"/>
      <c r="E255" s="1128"/>
      <c r="F255" s="1128"/>
      <c r="G255" s="1128"/>
      <c r="H255" s="1128"/>
      <c r="I255" s="1128"/>
      <c r="J255" s="1128"/>
      <c r="K255" s="1128"/>
      <c r="L255" s="1128"/>
      <c r="M255" s="1128"/>
      <c r="N255" s="1128"/>
      <c r="O255" s="1128"/>
      <c r="P255" s="1128"/>
      <c r="Q255" s="1128"/>
      <c r="R255" s="1128"/>
      <c r="S255" s="1128"/>
      <c r="T255" s="1128"/>
      <c r="U255" s="1128"/>
      <c r="V255" s="1128"/>
      <c r="W255" s="1128"/>
      <c r="X255" s="1128"/>
      <c r="Y255" s="1128"/>
      <c r="Z255" s="1128"/>
    </row>
    <row r="256" ht="22.5" customHeight="1">
      <c r="A256" s="1128"/>
      <c r="B256" s="1128"/>
      <c r="C256" s="1128"/>
      <c r="D256" s="1128"/>
      <c r="E256" s="1128"/>
      <c r="F256" s="1128"/>
      <c r="G256" s="1128"/>
      <c r="H256" s="1128"/>
      <c r="I256" s="1128"/>
      <c r="J256" s="1128"/>
      <c r="K256" s="1128"/>
      <c r="L256" s="1128"/>
      <c r="M256" s="1128"/>
      <c r="N256" s="1128"/>
      <c r="O256" s="1128"/>
      <c r="P256" s="1128"/>
      <c r="Q256" s="1128"/>
      <c r="R256" s="1128"/>
      <c r="S256" s="1128"/>
      <c r="T256" s="1128"/>
      <c r="U256" s="1128"/>
      <c r="V256" s="1128"/>
      <c r="W256" s="1128"/>
      <c r="X256" s="1128"/>
      <c r="Y256" s="1128"/>
      <c r="Z256" s="1128"/>
    </row>
    <row r="257" ht="22.5" customHeight="1">
      <c r="A257" s="1128"/>
      <c r="B257" s="1128"/>
      <c r="C257" s="1128"/>
      <c r="D257" s="1128"/>
      <c r="E257" s="1128"/>
      <c r="F257" s="1128"/>
      <c r="G257" s="1128"/>
      <c r="H257" s="1128"/>
      <c r="I257" s="1128"/>
      <c r="J257" s="1128"/>
      <c r="K257" s="1128"/>
      <c r="L257" s="1128"/>
      <c r="M257" s="1128"/>
      <c r="N257" s="1128"/>
      <c r="O257" s="1128"/>
      <c r="P257" s="1128"/>
      <c r="Q257" s="1128"/>
      <c r="R257" s="1128"/>
      <c r="S257" s="1128"/>
      <c r="T257" s="1128"/>
      <c r="U257" s="1128"/>
      <c r="V257" s="1128"/>
      <c r="W257" s="1128"/>
      <c r="X257" s="1128"/>
      <c r="Y257" s="1128"/>
      <c r="Z257" s="1128"/>
    </row>
    <row r="258" ht="22.5" customHeight="1">
      <c r="A258" s="1128"/>
      <c r="B258" s="1128"/>
      <c r="C258" s="1128"/>
      <c r="D258" s="1128"/>
      <c r="E258" s="1128"/>
      <c r="F258" s="1128"/>
      <c r="G258" s="1128"/>
      <c r="H258" s="1128"/>
      <c r="I258" s="1128"/>
      <c r="J258" s="1128"/>
      <c r="K258" s="1128"/>
      <c r="L258" s="1128"/>
      <c r="M258" s="1128"/>
      <c r="N258" s="1128"/>
      <c r="O258" s="1128"/>
      <c r="P258" s="1128"/>
      <c r="Q258" s="1128"/>
      <c r="R258" s="1128"/>
      <c r="S258" s="1128"/>
      <c r="T258" s="1128"/>
      <c r="U258" s="1128"/>
      <c r="V258" s="1128"/>
      <c r="W258" s="1128"/>
      <c r="X258" s="1128"/>
      <c r="Y258" s="1128"/>
      <c r="Z258" s="1128"/>
    </row>
    <row r="259" ht="22.5" customHeight="1">
      <c r="A259" s="1128"/>
      <c r="B259" s="1128"/>
      <c r="C259" s="1128"/>
      <c r="D259" s="1128"/>
      <c r="E259" s="1128"/>
      <c r="F259" s="1128"/>
      <c r="G259" s="1128"/>
      <c r="H259" s="1128"/>
      <c r="I259" s="1128"/>
      <c r="J259" s="1128"/>
      <c r="K259" s="1128"/>
      <c r="L259" s="1128"/>
      <c r="M259" s="1128"/>
      <c r="N259" s="1128"/>
      <c r="O259" s="1128"/>
      <c r="P259" s="1128"/>
      <c r="Q259" s="1128"/>
      <c r="R259" s="1128"/>
      <c r="S259" s="1128"/>
      <c r="T259" s="1128"/>
      <c r="U259" s="1128"/>
      <c r="V259" s="1128"/>
      <c r="W259" s="1128"/>
      <c r="X259" s="1128"/>
      <c r="Y259" s="1128"/>
      <c r="Z259" s="1128"/>
    </row>
    <row r="260" ht="22.5" customHeight="1">
      <c r="A260" s="1128"/>
      <c r="B260" s="1128"/>
      <c r="C260" s="1128"/>
      <c r="D260" s="1128"/>
      <c r="E260" s="1128"/>
      <c r="F260" s="1128"/>
      <c r="G260" s="1128"/>
      <c r="H260" s="1128"/>
      <c r="I260" s="1128"/>
      <c r="J260" s="1128"/>
      <c r="K260" s="1128"/>
      <c r="L260" s="1128"/>
      <c r="M260" s="1128"/>
      <c r="N260" s="1128"/>
      <c r="O260" s="1128"/>
      <c r="P260" s="1128"/>
      <c r="Q260" s="1128"/>
      <c r="R260" s="1128"/>
      <c r="S260" s="1128"/>
      <c r="T260" s="1128"/>
      <c r="U260" s="1128"/>
      <c r="V260" s="1128"/>
      <c r="W260" s="1128"/>
      <c r="X260" s="1128"/>
      <c r="Y260" s="1128"/>
      <c r="Z260" s="1128"/>
    </row>
    <row r="261" ht="22.5" customHeight="1">
      <c r="A261" s="1128"/>
      <c r="B261" s="1128"/>
      <c r="C261" s="1128"/>
      <c r="D261" s="1128"/>
      <c r="E261" s="1128"/>
      <c r="F261" s="1128"/>
      <c r="G261" s="1128"/>
      <c r="H261" s="1128"/>
      <c r="I261" s="1128"/>
      <c r="J261" s="1128"/>
      <c r="K261" s="1128"/>
      <c r="L261" s="1128"/>
      <c r="M261" s="1128"/>
      <c r="N261" s="1128"/>
      <c r="O261" s="1128"/>
      <c r="P261" s="1128"/>
      <c r="Q261" s="1128"/>
      <c r="R261" s="1128"/>
      <c r="S261" s="1128"/>
      <c r="T261" s="1128"/>
      <c r="U261" s="1128"/>
      <c r="V261" s="1128"/>
      <c r="W261" s="1128"/>
      <c r="X261" s="1128"/>
      <c r="Y261" s="1128"/>
      <c r="Z261" s="1128"/>
    </row>
    <row r="262" ht="22.5" customHeight="1">
      <c r="A262" s="1128"/>
      <c r="B262" s="1128"/>
      <c r="C262" s="1128"/>
      <c r="D262" s="1128"/>
      <c r="E262" s="1128"/>
      <c r="F262" s="1128"/>
      <c r="G262" s="1128"/>
      <c r="H262" s="1128"/>
      <c r="I262" s="1128"/>
      <c r="J262" s="1128"/>
      <c r="K262" s="1128"/>
      <c r="L262" s="1128"/>
      <c r="M262" s="1128"/>
      <c r="N262" s="1128"/>
      <c r="O262" s="1128"/>
      <c r="P262" s="1128"/>
      <c r="Q262" s="1128"/>
      <c r="R262" s="1128"/>
      <c r="S262" s="1128"/>
      <c r="T262" s="1128"/>
      <c r="U262" s="1128"/>
      <c r="V262" s="1128"/>
      <c r="W262" s="1128"/>
      <c r="X262" s="1128"/>
      <c r="Y262" s="1128"/>
      <c r="Z262" s="1128"/>
    </row>
    <row r="263" ht="22.5" customHeight="1">
      <c r="A263" s="1128"/>
      <c r="B263" s="1128"/>
      <c r="C263" s="1128"/>
      <c r="D263" s="1128"/>
      <c r="E263" s="1128"/>
      <c r="F263" s="1128"/>
      <c r="G263" s="1128"/>
      <c r="H263" s="1128"/>
      <c r="I263" s="1128"/>
      <c r="J263" s="1128"/>
      <c r="K263" s="1128"/>
      <c r="L263" s="1128"/>
      <c r="M263" s="1128"/>
      <c r="N263" s="1128"/>
      <c r="O263" s="1128"/>
      <c r="P263" s="1128"/>
      <c r="Q263" s="1128"/>
      <c r="R263" s="1128"/>
      <c r="S263" s="1128"/>
      <c r="T263" s="1128"/>
      <c r="U263" s="1128"/>
      <c r="V263" s="1128"/>
      <c r="W263" s="1128"/>
      <c r="X263" s="1128"/>
      <c r="Y263" s="1128"/>
      <c r="Z263" s="1128"/>
    </row>
    <row r="264" ht="22.5" customHeight="1">
      <c r="A264" s="1128"/>
      <c r="B264" s="1128"/>
      <c r="C264" s="1128"/>
      <c r="D264" s="1128"/>
      <c r="E264" s="1128"/>
      <c r="F264" s="1128"/>
      <c r="G264" s="1128"/>
      <c r="H264" s="1128"/>
      <c r="I264" s="1128"/>
      <c r="J264" s="1128"/>
      <c r="K264" s="1128"/>
      <c r="L264" s="1128"/>
      <c r="M264" s="1128"/>
      <c r="N264" s="1128"/>
      <c r="O264" s="1128"/>
      <c r="P264" s="1128"/>
      <c r="Q264" s="1128"/>
      <c r="R264" s="1128"/>
      <c r="S264" s="1128"/>
      <c r="T264" s="1128"/>
      <c r="U264" s="1128"/>
      <c r="V264" s="1128"/>
      <c r="W264" s="1128"/>
      <c r="X264" s="1128"/>
      <c r="Y264" s="1128"/>
      <c r="Z264" s="1128"/>
    </row>
    <row r="265" ht="22.5" customHeight="1">
      <c r="A265" s="1128"/>
      <c r="B265" s="1128"/>
      <c r="C265" s="1128"/>
      <c r="D265" s="1128"/>
      <c r="E265" s="1128"/>
      <c r="F265" s="1128"/>
      <c r="G265" s="1128"/>
      <c r="H265" s="1128"/>
      <c r="I265" s="1128"/>
      <c r="J265" s="1128"/>
      <c r="K265" s="1128"/>
      <c r="L265" s="1128"/>
      <c r="M265" s="1128"/>
      <c r="N265" s="1128"/>
      <c r="O265" s="1128"/>
      <c r="P265" s="1128"/>
      <c r="Q265" s="1128"/>
      <c r="R265" s="1128"/>
      <c r="S265" s="1128"/>
      <c r="T265" s="1128"/>
      <c r="U265" s="1128"/>
      <c r="V265" s="1128"/>
      <c r="W265" s="1128"/>
      <c r="X265" s="1128"/>
      <c r="Y265" s="1128"/>
      <c r="Z265" s="1128"/>
    </row>
    <row r="266" ht="22.5" customHeight="1">
      <c r="A266" s="1128"/>
      <c r="B266" s="1128"/>
      <c r="C266" s="1128"/>
      <c r="D266" s="1128"/>
      <c r="E266" s="1128"/>
      <c r="F266" s="1128"/>
      <c r="G266" s="1128"/>
      <c r="H266" s="1128"/>
      <c r="I266" s="1128"/>
      <c r="J266" s="1128"/>
      <c r="K266" s="1128"/>
      <c r="L266" s="1128"/>
      <c r="M266" s="1128"/>
      <c r="N266" s="1128"/>
      <c r="O266" s="1128"/>
      <c r="P266" s="1128"/>
      <c r="Q266" s="1128"/>
      <c r="R266" s="1128"/>
      <c r="S266" s="1128"/>
      <c r="T266" s="1128"/>
      <c r="U266" s="1128"/>
      <c r="V266" s="1128"/>
      <c r="W266" s="1128"/>
      <c r="X266" s="1128"/>
      <c r="Y266" s="1128"/>
      <c r="Z266" s="1128"/>
    </row>
    <row r="267" ht="22.5" customHeight="1">
      <c r="A267" s="1128"/>
      <c r="B267" s="1128"/>
      <c r="C267" s="1128"/>
      <c r="D267" s="1128"/>
      <c r="E267" s="1128"/>
      <c r="F267" s="1128"/>
      <c r="G267" s="1128"/>
      <c r="H267" s="1128"/>
      <c r="I267" s="1128"/>
      <c r="J267" s="1128"/>
      <c r="K267" s="1128"/>
      <c r="L267" s="1128"/>
      <c r="M267" s="1128"/>
      <c r="N267" s="1128"/>
      <c r="O267" s="1128"/>
      <c r="P267" s="1128"/>
      <c r="Q267" s="1128"/>
      <c r="R267" s="1128"/>
      <c r="S267" s="1128"/>
      <c r="T267" s="1128"/>
      <c r="U267" s="1128"/>
      <c r="V267" s="1128"/>
      <c r="W267" s="1128"/>
      <c r="X267" s="1128"/>
      <c r="Y267" s="1128"/>
      <c r="Z267" s="1128"/>
    </row>
    <row r="268" ht="22.5" customHeight="1">
      <c r="A268" s="1128"/>
      <c r="B268" s="1128"/>
      <c r="C268" s="1128"/>
      <c r="D268" s="1128"/>
      <c r="E268" s="1128"/>
      <c r="F268" s="1128"/>
      <c r="G268" s="1128"/>
      <c r="H268" s="1128"/>
      <c r="I268" s="1128"/>
      <c r="J268" s="1128"/>
      <c r="K268" s="1128"/>
      <c r="L268" s="1128"/>
      <c r="M268" s="1128"/>
      <c r="N268" s="1128"/>
      <c r="O268" s="1128"/>
      <c r="P268" s="1128"/>
      <c r="Q268" s="1128"/>
      <c r="R268" s="1128"/>
      <c r="S268" s="1128"/>
      <c r="T268" s="1128"/>
      <c r="U268" s="1128"/>
      <c r="V268" s="1128"/>
      <c r="W268" s="1128"/>
      <c r="X268" s="1128"/>
      <c r="Y268" s="1128"/>
      <c r="Z268" s="1128"/>
    </row>
    <row r="269" ht="22.5" customHeight="1">
      <c r="A269" s="1128"/>
      <c r="B269" s="1128"/>
      <c r="C269" s="1128"/>
      <c r="D269" s="1128"/>
      <c r="E269" s="1128"/>
      <c r="F269" s="1128"/>
      <c r="G269" s="1128"/>
      <c r="H269" s="1128"/>
      <c r="I269" s="1128"/>
      <c r="J269" s="1128"/>
      <c r="K269" s="1128"/>
      <c r="L269" s="1128"/>
      <c r="M269" s="1128"/>
      <c r="N269" s="1128"/>
      <c r="O269" s="1128"/>
      <c r="P269" s="1128"/>
      <c r="Q269" s="1128"/>
      <c r="R269" s="1128"/>
      <c r="S269" s="1128"/>
      <c r="T269" s="1128"/>
      <c r="U269" s="1128"/>
      <c r="V269" s="1128"/>
      <c r="W269" s="1128"/>
      <c r="X269" s="1128"/>
      <c r="Y269" s="1128"/>
      <c r="Z269" s="1128"/>
    </row>
    <row r="270" ht="22.5" customHeight="1">
      <c r="A270" s="1128"/>
      <c r="B270" s="1128"/>
      <c r="C270" s="1128"/>
      <c r="D270" s="1128"/>
      <c r="E270" s="1128"/>
      <c r="F270" s="1128"/>
      <c r="G270" s="1128"/>
      <c r="H270" s="1128"/>
      <c r="I270" s="1128"/>
      <c r="J270" s="1128"/>
      <c r="K270" s="1128"/>
      <c r="L270" s="1128"/>
      <c r="M270" s="1128"/>
      <c r="N270" s="1128"/>
      <c r="O270" s="1128"/>
      <c r="P270" s="1128"/>
      <c r="Q270" s="1128"/>
      <c r="R270" s="1128"/>
      <c r="S270" s="1128"/>
      <c r="T270" s="1128"/>
      <c r="U270" s="1128"/>
      <c r="V270" s="1128"/>
      <c r="W270" s="1128"/>
      <c r="X270" s="1128"/>
      <c r="Y270" s="1128"/>
      <c r="Z270" s="1128"/>
    </row>
    <row r="271" ht="22.5" customHeight="1">
      <c r="A271" s="1128"/>
      <c r="B271" s="1128"/>
      <c r="C271" s="1128"/>
      <c r="D271" s="1128"/>
      <c r="E271" s="1128"/>
      <c r="F271" s="1128"/>
      <c r="G271" s="1128"/>
      <c r="H271" s="1128"/>
      <c r="I271" s="1128"/>
      <c r="J271" s="1128"/>
      <c r="K271" s="1128"/>
      <c r="L271" s="1128"/>
      <c r="M271" s="1128"/>
      <c r="N271" s="1128"/>
      <c r="O271" s="1128"/>
      <c r="P271" s="1128"/>
      <c r="Q271" s="1128"/>
      <c r="R271" s="1128"/>
      <c r="S271" s="1128"/>
      <c r="T271" s="1128"/>
      <c r="U271" s="1128"/>
      <c r="V271" s="1128"/>
      <c r="W271" s="1128"/>
      <c r="X271" s="1128"/>
      <c r="Y271" s="1128"/>
      <c r="Z271" s="1128"/>
    </row>
    <row r="272" ht="22.5" customHeight="1">
      <c r="A272" s="1128"/>
      <c r="B272" s="1128"/>
      <c r="C272" s="1128"/>
      <c r="D272" s="1128"/>
      <c r="E272" s="1128"/>
      <c r="F272" s="1128"/>
      <c r="G272" s="1128"/>
      <c r="H272" s="1128"/>
      <c r="I272" s="1128"/>
      <c r="J272" s="1128"/>
      <c r="K272" s="1128"/>
      <c r="L272" s="1128"/>
      <c r="M272" s="1128"/>
      <c r="N272" s="1128"/>
      <c r="O272" s="1128"/>
      <c r="P272" s="1128"/>
      <c r="Q272" s="1128"/>
      <c r="R272" s="1128"/>
      <c r="S272" s="1128"/>
      <c r="T272" s="1128"/>
      <c r="U272" s="1128"/>
      <c r="V272" s="1128"/>
      <c r="W272" s="1128"/>
      <c r="X272" s="1128"/>
      <c r="Y272" s="1128"/>
      <c r="Z272" s="1128"/>
    </row>
    <row r="273" ht="22.5" customHeight="1">
      <c r="A273" s="1128"/>
      <c r="B273" s="1128"/>
      <c r="C273" s="1128"/>
      <c r="D273" s="1128"/>
      <c r="E273" s="1128"/>
      <c r="F273" s="1128"/>
      <c r="G273" s="1128"/>
      <c r="H273" s="1128"/>
      <c r="I273" s="1128"/>
      <c r="J273" s="1128"/>
      <c r="K273" s="1128"/>
      <c r="L273" s="1128"/>
      <c r="M273" s="1128"/>
      <c r="N273" s="1128"/>
      <c r="O273" s="1128"/>
      <c r="P273" s="1128"/>
      <c r="Q273" s="1128"/>
      <c r="R273" s="1128"/>
      <c r="S273" s="1128"/>
      <c r="T273" s="1128"/>
      <c r="U273" s="1128"/>
      <c r="V273" s="1128"/>
      <c r="W273" s="1128"/>
      <c r="X273" s="1128"/>
      <c r="Y273" s="1128"/>
      <c r="Z273" s="1128"/>
    </row>
    <row r="274" ht="22.5" customHeight="1">
      <c r="A274" s="1128"/>
      <c r="B274" s="1128"/>
      <c r="C274" s="1128"/>
      <c r="D274" s="1128"/>
      <c r="E274" s="1128"/>
      <c r="F274" s="1128"/>
      <c r="G274" s="1128"/>
      <c r="H274" s="1128"/>
      <c r="I274" s="1128"/>
      <c r="J274" s="1128"/>
      <c r="K274" s="1128"/>
      <c r="L274" s="1128"/>
      <c r="M274" s="1128"/>
      <c r="N274" s="1128"/>
      <c r="O274" s="1128"/>
      <c r="P274" s="1128"/>
      <c r="Q274" s="1128"/>
      <c r="R274" s="1128"/>
      <c r="S274" s="1128"/>
      <c r="T274" s="1128"/>
      <c r="U274" s="1128"/>
      <c r="V274" s="1128"/>
      <c r="W274" s="1128"/>
      <c r="X274" s="1128"/>
      <c r="Y274" s="1128"/>
      <c r="Z274" s="1128"/>
    </row>
    <row r="275" ht="22.5" customHeight="1">
      <c r="A275" s="1128"/>
      <c r="B275" s="1128"/>
      <c r="C275" s="1128"/>
      <c r="D275" s="1128"/>
      <c r="E275" s="1128"/>
      <c r="F275" s="1128"/>
      <c r="G275" s="1128"/>
      <c r="H275" s="1128"/>
      <c r="I275" s="1128"/>
      <c r="J275" s="1128"/>
      <c r="K275" s="1128"/>
      <c r="L275" s="1128"/>
      <c r="M275" s="1128"/>
      <c r="N275" s="1128"/>
      <c r="O275" s="1128"/>
      <c r="P275" s="1128"/>
      <c r="Q275" s="1128"/>
      <c r="R275" s="1128"/>
      <c r="S275" s="1128"/>
      <c r="T275" s="1128"/>
      <c r="U275" s="1128"/>
      <c r="V275" s="1128"/>
      <c r="W275" s="1128"/>
      <c r="X275" s="1128"/>
      <c r="Y275" s="1128"/>
      <c r="Z275" s="1128"/>
    </row>
    <row r="276" ht="22.5" customHeight="1">
      <c r="A276" s="1128"/>
      <c r="B276" s="1128"/>
      <c r="C276" s="1128"/>
      <c r="D276" s="1128"/>
      <c r="E276" s="1128"/>
      <c r="F276" s="1128"/>
      <c r="G276" s="1128"/>
      <c r="H276" s="1128"/>
      <c r="I276" s="1128"/>
      <c r="J276" s="1128"/>
      <c r="K276" s="1128"/>
      <c r="L276" s="1128"/>
      <c r="M276" s="1128"/>
      <c r="N276" s="1128"/>
      <c r="O276" s="1128"/>
      <c r="P276" s="1128"/>
      <c r="Q276" s="1128"/>
      <c r="R276" s="1128"/>
      <c r="S276" s="1128"/>
      <c r="T276" s="1128"/>
      <c r="U276" s="1128"/>
      <c r="V276" s="1128"/>
      <c r="W276" s="1128"/>
      <c r="X276" s="1128"/>
      <c r="Y276" s="1128"/>
      <c r="Z276" s="1128"/>
    </row>
    <row r="277" ht="22.5" customHeight="1">
      <c r="A277" s="1128"/>
      <c r="B277" s="1128"/>
      <c r="C277" s="1128"/>
      <c r="D277" s="1128"/>
      <c r="E277" s="1128"/>
      <c r="F277" s="1128"/>
      <c r="G277" s="1128"/>
      <c r="H277" s="1128"/>
      <c r="I277" s="1128"/>
      <c r="J277" s="1128"/>
      <c r="K277" s="1128"/>
      <c r="L277" s="1128"/>
      <c r="M277" s="1128"/>
      <c r="N277" s="1128"/>
      <c r="O277" s="1128"/>
      <c r="P277" s="1128"/>
      <c r="Q277" s="1128"/>
      <c r="R277" s="1128"/>
      <c r="S277" s="1128"/>
      <c r="T277" s="1128"/>
      <c r="U277" s="1128"/>
      <c r="V277" s="1128"/>
      <c r="W277" s="1128"/>
      <c r="X277" s="1128"/>
      <c r="Y277" s="1128"/>
      <c r="Z277" s="1128"/>
    </row>
    <row r="278" ht="22.5" customHeight="1">
      <c r="A278" s="1128"/>
      <c r="B278" s="1128"/>
      <c r="C278" s="1128"/>
      <c r="D278" s="1128"/>
      <c r="E278" s="1128"/>
      <c r="F278" s="1128"/>
      <c r="G278" s="1128"/>
      <c r="H278" s="1128"/>
      <c r="I278" s="1128"/>
      <c r="J278" s="1128"/>
      <c r="K278" s="1128"/>
      <c r="L278" s="1128"/>
      <c r="M278" s="1128"/>
      <c r="N278" s="1128"/>
      <c r="O278" s="1128"/>
      <c r="P278" s="1128"/>
      <c r="Q278" s="1128"/>
      <c r="R278" s="1128"/>
      <c r="S278" s="1128"/>
      <c r="T278" s="1128"/>
      <c r="U278" s="1128"/>
      <c r="V278" s="1128"/>
      <c r="W278" s="1128"/>
      <c r="X278" s="1128"/>
      <c r="Y278" s="1128"/>
      <c r="Z278" s="1128"/>
    </row>
    <row r="279" ht="22.5" customHeight="1">
      <c r="A279" s="1128"/>
      <c r="B279" s="1128"/>
      <c r="C279" s="1128"/>
      <c r="D279" s="1128"/>
      <c r="E279" s="1128"/>
      <c r="F279" s="1128"/>
      <c r="G279" s="1128"/>
      <c r="H279" s="1128"/>
      <c r="I279" s="1128"/>
      <c r="J279" s="1128"/>
      <c r="K279" s="1128"/>
      <c r="L279" s="1128"/>
      <c r="M279" s="1128"/>
      <c r="N279" s="1128"/>
      <c r="O279" s="1128"/>
      <c r="P279" s="1128"/>
      <c r="Q279" s="1128"/>
      <c r="R279" s="1128"/>
      <c r="S279" s="1128"/>
      <c r="T279" s="1128"/>
      <c r="U279" s="1128"/>
      <c r="V279" s="1128"/>
      <c r="W279" s="1128"/>
      <c r="X279" s="1128"/>
      <c r="Y279" s="1128"/>
      <c r="Z279" s="1128"/>
    </row>
    <row r="280" ht="22.5" customHeight="1">
      <c r="A280" s="1128"/>
      <c r="B280" s="1128"/>
      <c r="C280" s="1128"/>
      <c r="D280" s="1128"/>
      <c r="E280" s="1128"/>
      <c r="F280" s="1128"/>
      <c r="G280" s="1128"/>
      <c r="H280" s="1128"/>
      <c r="I280" s="1128"/>
      <c r="J280" s="1128"/>
      <c r="K280" s="1128"/>
      <c r="L280" s="1128"/>
      <c r="M280" s="1128"/>
      <c r="N280" s="1128"/>
      <c r="O280" s="1128"/>
      <c r="P280" s="1128"/>
      <c r="Q280" s="1128"/>
      <c r="R280" s="1128"/>
      <c r="S280" s="1128"/>
      <c r="T280" s="1128"/>
      <c r="U280" s="1128"/>
      <c r="V280" s="1128"/>
      <c r="W280" s="1128"/>
      <c r="X280" s="1128"/>
      <c r="Y280" s="1128"/>
      <c r="Z280" s="1128"/>
    </row>
    <row r="281" ht="22.5" customHeight="1">
      <c r="A281" s="1128"/>
      <c r="B281" s="1128"/>
      <c r="C281" s="1128"/>
      <c r="D281" s="1128"/>
      <c r="E281" s="1128"/>
      <c r="F281" s="1128"/>
      <c r="G281" s="1128"/>
      <c r="H281" s="1128"/>
      <c r="I281" s="1128"/>
      <c r="J281" s="1128"/>
      <c r="K281" s="1128"/>
      <c r="L281" s="1128"/>
      <c r="M281" s="1128"/>
      <c r="N281" s="1128"/>
      <c r="O281" s="1128"/>
      <c r="P281" s="1128"/>
      <c r="Q281" s="1128"/>
      <c r="R281" s="1128"/>
      <c r="S281" s="1128"/>
      <c r="T281" s="1128"/>
      <c r="U281" s="1128"/>
      <c r="V281" s="1128"/>
      <c r="W281" s="1128"/>
      <c r="X281" s="1128"/>
      <c r="Y281" s="1128"/>
      <c r="Z281" s="1128"/>
    </row>
    <row r="282" ht="22.5" customHeight="1">
      <c r="A282" s="1128"/>
      <c r="B282" s="1128"/>
      <c r="C282" s="1128"/>
      <c r="D282" s="1128"/>
      <c r="E282" s="1128"/>
      <c r="F282" s="1128"/>
      <c r="G282" s="1128"/>
      <c r="H282" s="1128"/>
      <c r="I282" s="1128"/>
      <c r="J282" s="1128"/>
      <c r="K282" s="1128"/>
      <c r="L282" s="1128"/>
      <c r="M282" s="1128"/>
      <c r="N282" s="1128"/>
      <c r="O282" s="1128"/>
      <c r="P282" s="1128"/>
      <c r="Q282" s="1128"/>
      <c r="R282" s="1128"/>
      <c r="S282" s="1128"/>
      <c r="T282" s="1128"/>
      <c r="U282" s="1128"/>
      <c r="V282" s="1128"/>
      <c r="W282" s="1128"/>
      <c r="X282" s="1128"/>
      <c r="Y282" s="1128"/>
      <c r="Z282" s="1128"/>
    </row>
    <row r="283" ht="22.5" customHeight="1">
      <c r="A283" s="1128"/>
      <c r="B283" s="1128"/>
      <c r="C283" s="1128"/>
      <c r="D283" s="1128"/>
      <c r="E283" s="1128"/>
      <c r="F283" s="1128"/>
      <c r="G283" s="1128"/>
      <c r="H283" s="1128"/>
      <c r="I283" s="1128"/>
      <c r="J283" s="1128"/>
      <c r="K283" s="1128"/>
      <c r="L283" s="1128"/>
      <c r="M283" s="1128"/>
      <c r="N283" s="1128"/>
      <c r="O283" s="1128"/>
      <c r="P283" s="1128"/>
      <c r="Q283" s="1128"/>
      <c r="R283" s="1128"/>
      <c r="S283" s="1128"/>
      <c r="T283" s="1128"/>
      <c r="U283" s="1128"/>
      <c r="V283" s="1128"/>
      <c r="W283" s="1128"/>
      <c r="X283" s="1128"/>
      <c r="Y283" s="1128"/>
      <c r="Z283" s="1128"/>
    </row>
    <row r="284" ht="22.5" customHeight="1">
      <c r="A284" s="1128"/>
      <c r="B284" s="1128"/>
      <c r="C284" s="1128"/>
      <c r="D284" s="1128"/>
      <c r="E284" s="1128"/>
      <c r="F284" s="1128"/>
      <c r="G284" s="1128"/>
      <c r="H284" s="1128"/>
      <c r="I284" s="1128"/>
      <c r="J284" s="1128"/>
      <c r="K284" s="1128"/>
      <c r="L284" s="1128"/>
      <c r="M284" s="1128"/>
      <c r="N284" s="1128"/>
      <c r="O284" s="1128"/>
      <c r="P284" s="1128"/>
      <c r="Q284" s="1128"/>
      <c r="R284" s="1128"/>
      <c r="S284" s="1128"/>
      <c r="T284" s="1128"/>
      <c r="U284" s="1128"/>
      <c r="V284" s="1128"/>
      <c r="W284" s="1128"/>
      <c r="X284" s="1128"/>
      <c r="Y284" s="1128"/>
      <c r="Z284" s="1128"/>
    </row>
    <row r="285" ht="22.5" customHeight="1">
      <c r="A285" s="1128"/>
      <c r="B285" s="1128"/>
      <c r="C285" s="1128"/>
      <c r="D285" s="1128"/>
      <c r="E285" s="1128"/>
      <c r="F285" s="1128"/>
      <c r="G285" s="1128"/>
      <c r="H285" s="1128"/>
      <c r="I285" s="1128"/>
      <c r="J285" s="1128"/>
      <c r="K285" s="1128"/>
      <c r="L285" s="1128"/>
      <c r="M285" s="1128"/>
      <c r="N285" s="1128"/>
      <c r="O285" s="1128"/>
      <c r="P285" s="1128"/>
      <c r="Q285" s="1128"/>
      <c r="R285" s="1128"/>
      <c r="S285" s="1128"/>
      <c r="T285" s="1128"/>
      <c r="U285" s="1128"/>
      <c r="V285" s="1128"/>
      <c r="W285" s="1128"/>
      <c r="X285" s="1128"/>
      <c r="Y285" s="1128"/>
      <c r="Z285" s="1128"/>
    </row>
    <row r="286" ht="22.5" customHeight="1">
      <c r="A286" s="1128"/>
      <c r="B286" s="1128"/>
      <c r="C286" s="1128"/>
      <c r="D286" s="1128"/>
      <c r="E286" s="1128"/>
      <c r="F286" s="1128"/>
      <c r="G286" s="1128"/>
      <c r="H286" s="1128"/>
      <c r="I286" s="1128"/>
      <c r="J286" s="1128"/>
      <c r="K286" s="1128"/>
      <c r="L286" s="1128"/>
      <c r="M286" s="1128"/>
      <c r="N286" s="1128"/>
      <c r="O286" s="1128"/>
      <c r="P286" s="1128"/>
      <c r="Q286" s="1128"/>
      <c r="R286" s="1128"/>
      <c r="S286" s="1128"/>
      <c r="T286" s="1128"/>
      <c r="U286" s="1128"/>
      <c r="V286" s="1128"/>
      <c r="W286" s="1128"/>
      <c r="X286" s="1128"/>
      <c r="Y286" s="1128"/>
      <c r="Z286" s="1128"/>
    </row>
    <row r="287" ht="22.5" customHeight="1">
      <c r="A287" s="1128"/>
      <c r="B287" s="1128"/>
      <c r="C287" s="1128"/>
      <c r="D287" s="1128"/>
      <c r="E287" s="1128"/>
      <c r="F287" s="1128"/>
      <c r="G287" s="1128"/>
      <c r="H287" s="1128"/>
      <c r="I287" s="1128"/>
      <c r="J287" s="1128"/>
      <c r="K287" s="1128"/>
      <c r="L287" s="1128"/>
      <c r="M287" s="1128"/>
      <c r="N287" s="1128"/>
      <c r="O287" s="1128"/>
      <c r="P287" s="1128"/>
      <c r="Q287" s="1128"/>
      <c r="R287" s="1128"/>
      <c r="S287" s="1128"/>
      <c r="T287" s="1128"/>
      <c r="U287" s="1128"/>
      <c r="V287" s="1128"/>
      <c r="W287" s="1128"/>
      <c r="X287" s="1128"/>
      <c r="Y287" s="1128"/>
      <c r="Z287" s="1128"/>
    </row>
    <row r="288" ht="22.5" customHeight="1">
      <c r="A288" s="1128"/>
      <c r="B288" s="1128"/>
      <c r="C288" s="1128"/>
      <c r="D288" s="1128"/>
      <c r="E288" s="1128"/>
      <c r="F288" s="1128"/>
      <c r="G288" s="1128"/>
      <c r="H288" s="1128"/>
      <c r="I288" s="1128"/>
      <c r="J288" s="1128"/>
      <c r="K288" s="1128"/>
      <c r="L288" s="1128"/>
      <c r="M288" s="1128"/>
      <c r="N288" s="1128"/>
      <c r="O288" s="1128"/>
      <c r="P288" s="1128"/>
      <c r="Q288" s="1128"/>
      <c r="R288" s="1128"/>
      <c r="S288" s="1128"/>
      <c r="T288" s="1128"/>
      <c r="U288" s="1128"/>
      <c r="V288" s="1128"/>
      <c r="W288" s="1128"/>
      <c r="X288" s="1128"/>
      <c r="Y288" s="1128"/>
      <c r="Z288" s="1128"/>
    </row>
    <row r="289" ht="22.5" customHeight="1">
      <c r="A289" s="1128"/>
      <c r="B289" s="1128"/>
      <c r="C289" s="1128"/>
      <c r="D289" s="1128"/>
      <c r="E289" s="1128"/>
      <c r="F289" s="1128"/>
      <c r="G289" s="1128"/>
      <c r="H289" s="1128"/>
      <c r="I289" s="1128"/>
      <c r="J289" s="1128"/>
      <c r="K289" s="1128"/>
      <c r="L289" s="1128"/>
      <c r="M289" s="1128"/>
      <c r="N289" s="1128"/>
      <c r="O289" s="1128"/>
      <c r="P289" s="1128"/>
      <c r="Q289" s="1128"/>
      <c r="R289" s="1128"/>
      <c r="S289" s="1128"/>
      <c r="T289" s="1128"/>
      <c r="U289" s="1128"/>
      <c r="V289" s="1128"/>
      <c r="W289" s="1128"/>
      <c r="X289" s="1128"/>
      <c r="Y289" s="1128"/>
      <c r="Z289" s="1128"/>
    </row>
    <row r="290" ht="22.5" customHeight="1">
      <c r="A290" s="1128"/>
      <c r="B290" s="1128"/>
      <c r="C290" s="1128"/>
      <c r="D290" s="1128"/>
      <c r="E290" s="1128"/>
      <c r="F290" s="1128"/>
      <c r="G290" s="1128"/>
      <c r="H290" s="1128"/>
      <c r="I290" s="1128"/>
      <c r="J290" s="1128"/>
      <c r="K290" s="1128"/>
      <c r="L290" s="1128"/>
      <c r="M290" s="1128"/>
      <c r="N290" s="1128"/>
      <c r="O290" s="1128"/>
      <c r="P290" s="1128"/>
      <c r="Q290" s="1128"/>
      <c r="R290" s="1128"/>
      <c r="S290" s="1128"/>
      <c r="T290" s="1128"/>
      <c r="U290" s="1128"/>
      <c r="V290" s="1128"/>
      <c r="W290" s="1128"/>
      <c r="X290" s="1128"/>
      <c r="Y290" s="1128"/>
      <c r="Z290" s="1128"/>
    </row>
    <row r="291" ht="22.5" customHeight="1">
      <c r="A291" s="1128"/>
      <c r="B291" s="1128"/>
      <c r="C291" s="1128"/>
      <c r="D291" s="1128"/>
      <c r="E291" s="1128"/>
      <c r="F291" s="1128"/>
      <c r="G291" s="1128"/>
      <c r="H291" s="1128"/>
      <c r="I291" s="1128"/>
      <c r="J291" s="1128"/>
      <c r="K291" s="1128"/>
      <c r="L291" s="1128"/>
      <c r="M291" s="1128"/>
      <c r="N291" s="1128"/>
      <c r="O291" s="1128"/>
      <c r="P291" s="1128"/>
      <c r="Q291" s="1128"/>
      <c r="R291" s="1128"/>
      <c r="S291" s="1128"/>
      <c r="T291" s="1128"/>
      <c r="U291" s="1128"/>
      <c r="V291" s="1128"/>
      <c r="W291" s="1128"/>
      <c r="X291" s="1128"/>
      <c r="Y291" s="1128"/>
      <c r="Z291" s="1128"/>
    </row>
    <row r="292" ht="22.5" customHeight="1">
      <c r="A292" s="1128"/>
      <c r="B292" s="1128"/>
      <c r="C292" s="1128"/>
      <c r="D292" s="1128"/>
      <c r="E292" s="1128"/>
      <c r="F292" s="1128"/>
      <c r="G292" s="1128"/>
      <c r="H292" s="1128"/>
      <c r="I292" s="1128"/>
      <c r="J292" s="1128"/>
      <c r="K292" s="1128"/>
      <c r="L292" s="1128"/>
      <c r="M292" s="1128"/>
      <c r="N292" s="1128"/>
      <c r="O292" s="1128"/>
      <c r="P292" s="1128"/>
      <c r="Q292" s="1128"/>
      <c r="R292" s="1128"/>
      <c r="S292" s="1128"/>
      <c r="T292" s="1128"/>
      <c r="U292" s="1128"/>
      <c r="V292" s="1128"/>
      <c r="W292" s="1128"/>
      <c r="X292" s="1128"/>
      <c r="Y292" s="1128"/>
      <c r="Z292" s="1128"/>
    </row>
    <row r="293" ht="22.5" customHeight="1">
      <c r="A293" s="1128"/>
      <c r="B293" s="1128"/>
      <c r="C293" s="1128"/>
      <c r="D293" s="1128"/>
      <c r="E293" s="1128"/>
      <c r="F293" s="1128"/>
      <c r="G293" s="1128"/>
      <c r="H293" s="1128"/>
      <c r="I293" s="1128"/>
      <c r="J293" s="1128"/>
      <c r="K293" s="1128"/>
      <c r="L293" s="1128"/>
      <c r="M293" s="1128"/>
      <c r="N293" s="1128"/>
      <c r="O293" s="1128"/>
      <c r="P293" s="1128"/>
      <c r="Q293" s="1128"/>
      <c r="R293" s="1128"/>
      <c r="S293" s="1128"/>
      <c r="T293" s="1128"/>
      <c r="U293" s="1128"/>
      <c r="V293" s="1128"/>
      <c r="W293" s="1128"/>
      <c r="X293" s="1128"/>
      <c r="Y293" s="1128"/>
      <c r="Z293" s="1128"/>
    </row>
    <row r="294" ht="22.5" customHeight="1">
      <c r="A294" s="1128"/>
      <c r="B294" s="1128"/>
      <c r="C294" s="1128"/>
      <c r="D294" s="1128"/>
      <c r="E294" s="1128"/>
      <c r="F294" s="1128"/>
      <c r="G294" s="1128"/>
      <c r="H294" s="1128"/>
      <c r="I294" s="1128"/>
      <c r="J294" s="1128"/>
      <c r="K294" s="1128"/>
      <c r="L294" s="1128"/>
      <c r="M294" s="1128"/>
      <c r="N294" s="1128"/>
      <c r="O294" s="1128"/>
      <c r="P294" s="1128"/>
      <c r="Q294" s="1128"/>
      <c r="R294" s="1128"/>
      <c r="S294" s="1128"/>
      <c r="T294" s="1128"/>
      <c r="U294" s="1128"/>
      <c r="V294" s="1128"/>
      <c r="W294" s="1128"/>
      <c r="X294" s="1128"/>
      <c r="Y294" s="1128"/>
      <c r="Z294" s="1128"/>
    </row>
    <row r="295" ht="22.5" customHeight="1">
      <c r="A295" s="1128"/>
      <c r="B295" s="1128"/>
      <c r="C295" s="1128"/>
      <c r="D295" s="1128"/>
      <c r="E295" s="1128"/>
      <c r="F295" s="1128"/>
      <c r="G295" s="1128"/>
      <c r="H295" s="1128"/>
      <c r="I295" s="1128"/>
      <c r="J295" s="1128"/>
      <c r="K295" s="1128"/>
      <c r="L295" s="1128"/>
      <c r="M295" s="1128"/>
      <c r="N295" s="1128"/>
      <c r="O295" s="1128"/>
      <c r="P295" s="1128"/>
      <c r="Q295" s="1128"/>
      <c r="R295" s="1128"/>
      <c r="S295" s="1128"/>
      <c r="T295" s="1128"/>
      <c r="U295" s="1128"/>
      <c r="V295" s="1128"/>
      <c r="W295" s="1128"/>
      <c r="X295" s="1128"/>
      <c r="Y295" s="1128"/>
      <c r="Z295" s="1128"/>
    </row>
    <row r="296" ht="22.5" customHeight="1">
      <c r="A296" s="1128"/>
      <c r="B296" s="1128"/>
      <c r="C296" s="1128"/>
      <c r="D296" s="1128"/>
      <c r="E296" s="1128"/>
      <c r="F296" s="1128"/>
      <c r="G296" s="1128"/>
      <c r="H296" s="1128"/>
      <c r="I296" s="1128"/>
      <c r="J296" s="1128"/>
      <c r="K296" s="1128"/>
      <c r="L296" s="1128"/>
      <c r="M296" s="1128"/>
      <c r="N296" s="1128"/>
      <c r="O296" s="1128"/>
      <c r="P296" s="1128"/>
      <c r="Q296" s="1128"/>
      <c r="R296" s="1128"/>
      <c r="S296" s="1128"/>
      <c r="T296" s="1128"/>
      <c r="U296" s="1128"/>
      <c r="V296" s="1128"/>
      <c r="W296" s="1128"/>
      <c r="X296" s="1128"/>
      <c r="Y296" s="1128"/>
      <c r="Z296" s="1128"/>
    </row>
    <row r="297" ht="22.5" customHeight="1">
      <c r="A297" s="1128"/>
      <c r="B297" s="1128"/>
      <c r="C297" s="1128"/>
      <c r="D297" s="1128"/>
      <c r="E297" s="1128"/>
      <c r="F297" s="1128"/>
      <c r="G297" s="1128"/>
      <c r="H297" s="1128"/>
      <c r="I297" s="1128"/>
      <c r="J297" s="1128"/>
      <c r="K297" s="1128"/>
      <c r="L297" s="1128"/>
      <c r="M297" s="1128"/>
      <c r="N297" s="1128"/>
      <c r="O297" s="1128"/>
      <c r="P297" s="1128"/>
      <c r="Q297" s="1128"/>
      <c r="R297" s="1128"/>
      <c r="S297" s="1128"/>
      <c r="T297" s="1128"/>
      <c r="U297" s="1128"/>
      <c r="V297" s="1128"/>
      <c r="W297" s="1128"/>
      <c r="X297" s="1128"/>
      <c r="Y297" s="1128"/>
      <c r="Z297" s="1128"/>
    </row>
    <row r="298" ht="22.5" customHeight="1">
      <c r="A298" s="1128"/>
      <c r="B298" s="1128"/>
      <c r="C298" s="1128"/>
      <c r="D298" s="1128"/>
      <c r="E298" s="1128"/>
      <c r="F298" s="1128"/>
      <c r="G298" s="1128"/>
      <c r="H298" s="1128"/>
      <c r="I298" s="1128"/>
      <c r="J298" s="1128"/>
      <c r="K298" s="1128"/>
      <c r="L298" s="1128"/>
      <c r="M298" s="1128"/>
      <c r="N298" s="1128"/>
      <c r="O298" s="1128"/>
      <c r="P298" s="1128"/>
      <c r="Q298" s="1128"/>
      <c r="R298" s="1128"/>
      <c r="S298" s="1128"/>
      <c r="T298" s="1128"/>
      <c r="U298" s="1128"/>
      <c r="V298" s="1128"/>
      <c r="W298" s="1128"/>
      <c r="X298" s="1128"/>
      <c r="Y298" s="1128"/>
      <c r="Z298" s="1128"/>
    </row>
    <row r="299" ht="22.5" customHeight="1">
      <c r="A299" s="1128"/>
      <c r="B299" s="1128"/>
      <c r="C299" s="1128"/>
      <c r="D299" s="1128"/>
      <c r="E299" s="1128"/>
      <c r="F299" s="1128"/>
      <c r="G299" s="1128"/>
      <c r="H299" s="1128"/>
      <c r="I299" s="1128"/>
      <c r="J299" s="1128"/>
      <c r="K299" s="1128"/>
      <c r="L299" s="1128"/>
      <c r="M299" s="1128"/>
      <c r="N299" s="1128"/>
      <c r="O299" s="1128"/>
      <c r="P299" s="1128"/>
      <c r="Q299" s="1128"/>
      <c r="R299" s="1128"/>
      <c r="S299" s="1128"/>
      <c r="T299" s="1128"/>
      <c r="U299" s="1128"/>
      <c r="V299" s="1128"/>
      <c r="W299" s="1128"/>
      <c r="X299" s="1128"/>
      <c r="Y299" s="1128"/>
      <c r="Z299" s="1128"/>
    </row>
    <row r="300" ht="22.5" customHeight="1">
      <c r="A300" s="1128"/>
      <c r="B300" s="1128"/>
      <c r="C300" s="1128"/>
      <c r="D300" s="1128"/>
      <c r="E300" s="1128"/>
      <c r="F300" s="1128"/>
      <c r="G300" s="1128"/>
      <c r="H300" s="1128"/>
      <c r="I300" s="1128"/>
      <c r="J300" s="1128"/>
      <c r="K300" s="1128"/>
      <c r="L300" s="1128"/>
      <c r="M300" s="1128"/>
      <c r="N300" s="1128"/>
      <c r="O300" s="1128"/>
      <c r="P300" s="1128"/>
      <c r="Q300" s="1128"/>
      <c r="R300" s="1128"/>
      <c r="S300" s="1128"/>
      <c r="T300" s="1128"/>
      <c r="U300" s="1128"/>
      <c r="V300" s="1128"/>
      <c r="W300" s="1128"/>
      <c r="X300" s="1128"/>
      <c r="Y300" s="1128"/>
      <c r="Z300" s="1128"/>
    </row>
    <row r="301" ht="22.5" customHeight="1">
      <c r="A301" s="1128"/>
      <c r="B301" s="1128"/>
      <c r="C301" s="1128"/>
      <c r="D301" s="1128"/>
      <c r="E301" s="1128"/>
      <c r="F301" s="1128"/>
      <c r="G301" s="1128"/>
      <c r="H301" s="1128"/>
      <c r="I301" s="1128"/>
      <c r="J301" s="1128"/>
      <c r="K301" s="1128"/>
      <c r="L301" s="1128"/>
      <c r="M301" s="1128"/>
      <c r="N301" s="1128"/>
      <c r="O301" s="1128"/>
      <c r="P301" s="1128"/>
      <c r="Q301" s="1128"/>
      <c r="R301" s="1128"/>
      <c r="S301" s="1128"/>
      <c r="T301" s="1128"/>
      <c r="U301" s="1128"/>
      <c r="V301" s="1128"/>
      <c r="W301" s="1128"/>
      <c r="X301" s="1128"/>
      <c r="Y301" s="1128"/>
      <c r="Z301" s="1128"/>
    </row>
    <row r="302" ht="22.5" customHeight="1">
      <c r="A302" s="1128"/>
      <c r="B302" s="1128"/>
      <c r="C302" s="1128"/>
      <c r="D302" s="1128"/>
      <c r="E302" s="1128"/>
      <c r="F302" s="1128"/>
      <c r="G302" s="1128"/>
      <c r="H302" s="1128"/>
      <c r="I302" s="1128"/>
      <c r="J302" s="1128"/>
      <c r="K302" s="1128"/>
      <c r="L302" s="1128"/>
      <c r="M302" s="1128"/>
      <c r="N302" s="1128"/>
      <c r="O302" s="1128"/>
      <c r="P302" s="1128"/>
      <c r="Q302" s="1128"/>
      <c r="R302" s="1128"/>
      <c r="S302" s="1128"/>
      <c r="T302" s="1128"/>
      <c r="U302" s="1128"/>
      <c r="V302" s="1128"/>
      <c r="W302" s="1128"/>
      <c r="X302" s="1128"/>
      <c r="Y302" s="1128"/>
      <c r="Z302" s="1128"/>
    </row>
    <row r="303" ht="22.5" customHeight="1">
      <c r="A303" s="1128"/>
      <c r="B303" s="1128"/>
      <c r="C303" s="1128"/>
      <c r="D303" s="1128"/>
      <c r="E303" s="1128"/>
      <c r="F303" s="1128"/>
      <c r="G303" s="1128"/>
      <c r="H303" s="1128"/>
      <c r="I303" s="1128"/>
      <c r="J303" s="1128"/>
      <c r="K303" s="1128"/>
      <c r="L303" s="1128"/>
      <c r="M303" s="1128"/>
      <c r="N303" s="1128"/>
      <c r="O303" s="1128"/>
      <c r="P303" s="1128"/>
      <c r="Q303" s="1128"/>
      <c r="R303" s="1128"/>
      <c r="S303" s="1128"/>
      <c r="T303" s="1128"/>
      <c r="U303" s="1128"/>
      <c r="V303" s="1128"/>
      <c r="W303" s="1128"/>
      <c r="X303" s="1128"/>
      <c r="Y303" s="1128"/>
      <c r="Z303" s="1128"/>
    </row>
    <row r="304" ht="22.5" customHeight="1">
      <c r="A304" s="1128"/>
      <c r="B304" s="1128"/>
      <c r="C304" s="1128"/>
      <c r="D304" s="1128"/>
      <c r="E304" s="1128"/>
      <c r="F304" s="1128"/>
      <c r="G304" s="1128"/>
      <c r="H304" s="1128"/>
      <c r="I304" s="1128"/>
      <c r="J304" s="1128"/>
      <c r="K304" s="1128"/>
      <c r="L304" s="1128"/>
      <c r="M304" s="1128"/>
      <c r="N304" s="1128"/>
      <c r="O304" s="1128"/>
      <c r="P304" s="1128"/>
      <c r="Q304" s="1128"/>
      <c r="R304" s="1128"/>
      <c r="S304" s="1128"/>
      <c r="T304" s="1128"/>
      <c r="U304" s="1128"/>
      <c r="V304" s="1128"/>
      <c r="W304" s="1128"/>
      <c r="X304" s="1128"/>
      <c r="Y304" s="1128"/>
      <c r="Z304" s="1128"/>
    </row>
    <row r="305" ht="22.5" customHeight="1">
      <c r="A305" s="1128"/>
      <c r="B305" s="1128"/>
      <c r="C305" s="1128"/>
      <c r="D305" s="1128"/>
      <c r="E305" s="1128"/>
      <c r="F305" s="1128"/>
      <c r="G305" s="1128"/>
      <c r="H305" s="1128"/>
      <c r="I305" s="1128"/>
      <c r="J305" s="1128"/>
      <c r="K305" s="1128"/>
      <c r="L305" s="1128"/>
      <c r="M305" s="1128"/>
      <c r="N305" s="1128"/>
      <c r="O305" s="1128"/>
      <c r="P305" s="1128"/>
      <c r="Q305" s="1128"/>
      <c r="R305" s="1128"/>
      <c r="S305" s="1128"/>
      <c r="T305" s="1128"/>
      <c r="U305" s="1128"/>
      <c r="V305" s="1128"/>
      <c r="W305" s="1128"/>
      <c r="X305" s="1128"/>
      <c r="Y305" s="1128"/>
      <c r="Z305" s="1128"/>
    </row>
    <row r="306" ht="22.5" customHeight="1">
      <c r="A306" s="1128"/>
      <c r="B306" s="1128"/>
      <c r="C306" s="1128"/>
      <c r="D306" s="1128"/>
      <c r="E306" s="1128"/>
      <c r="F306" s="1128"/>
      <c r="G306" s="1128"/>
      <c r="H306" s="1128"/>
      <c r="I306" s="1128"/>
      <c r="J306" s="1128"/>
      <c r="K306" s="1128"/>
      <c r="L306" s="1128"/>
      <c r="M306" s="1128"/>
      <c r="N306" s="1128"/>
      <c r="O306" s="1128"/>
      <c r="P306" s="1128"/>
      <c r="Q306" s="1128"/>
      <c r="R306" s="1128"/>
      <c r="S306" s="1128"/>
      <c r="T306" s="1128"/>
      <c r="U306" s="1128"/>
      <c r="V306" s="1128"/>
      <c r="W306" s="1128"/>
      <c r="X306" s="1128"/>
      <c r="Y306" s="1128"/>
      <c r="Z306" s="1128"/>
    </row>
    <row r="307" ht="22.5" customHeight="1">
      <c r="A307" s="1128"/>
      <c r="B307" s="1128"/>
      <c r="C307" s="1128"/>
      <c r="D307" s="1128"/>
      <c r="E307" s="1128"/>
      <c r="F307" s="1128"/>
      <c r="G307" s="1128"/>
      <c r="H307" s="1128"/>
      <c r="I307" s="1128"/>
      <c r="J307" s="1128"/>
      <c r="K307" s="1128"/>
      <c r="L307" s="1128"/>
      <c r="M307" s="1128"/>
      <c r="N307" s="1128"/>
      <c r="O307" s="1128"/>
      <c r="P307" s="1128"/>
      <c r="Q307" s="1128"/>
      <c r="R307" s="1128"/>
      <c r="S307" s="1128"/>
      <c r="T307" s="1128"/>
      <c r="U307" s="1128"/>
      <c r="V307" s="1128"/>
      <c r="W307" s="1128"/>
      <c r="X307" s="1128"/>
      <c r="Y307" s="1128"/>
      <c r="Z307" s="1128"/>
    </row>
    <row r="308" ht="22.5" customHeight="1">
      <c r="A308" s="1128"/>
      <c r="B308" s="1128"/>
      <c r="C308" s="1128"/>
      <c r="D308" s="1128"/>
      <c r="E308" s="1128"/>
      <c r="F308" s="1128"/>
      <c r="G308" s="1128"/>
      <c r="H308" s="1128"/>
      <c r="I308" s="1128"/>
      <c r="J308" s="1128"/>
      <c r="K308" s="1128"/>
      <c r="L308" s="1128"/>
      <c r="M308" s="1128"/>
      <c r="N308" s="1128"/>
      <c r="O308" s="1128"/>
      <c r="P308" s="1128"/>
      <c r="Q308" s="1128"/>
      <c r="R308" s="1128"/>
      <c r="S308" s="1128"/>
      <c r="T308" s="1128"/>
      <c r="U308" s="1128"/>
      <c r="V308" s="1128"/>
      <c r="W308" s="1128"/>
      <c r="X308" s="1128"/>
      <c r="Y308" s="1128"/>
      <c r="Z308" s="1128"/>
    </row>
    <row r="309" ht="22.5" customHeight="1">
      <c r="A309" s="1128"/>
      <c r="B309" s="1128"/>
      <c r="C309" s="1128"/>
      <c r="D309" s="1128"/>
      <c r="E309" s="1128"/>
      <c r="F309" s="1128"/>
      <c r="G309" s="1128"/>
      <c r="H309" s="1128"/>
      <c r="I309" s="1128"/>
      <c r="J309" s="1128"/>
      <c r="K309" s="1128"/>
      <c r="L309" s="1128"/>
      <c r="M309" s="1128"/>
      <c r="N309" s="1128"/>
      <c r="O309" s="1128"/>
      <c r="P309" s="1128"/>
      <c r="Q309" s="1128"/>
      <c r="R309" s="1128"/>
      <c r="S309" s="1128"/>
      <c r="T309" s="1128"/>
      <c r="U309" s="1128"/>
      <c r="V309" s="1128"/>
      <c r="W309" s="1128"/>
      <c r="X309" s="1128"/>
      <c r="Y309" s="1128"/>
      <c r="Z309" s="1128"/>
    </row>
    <row r="310" ht="22.5" customHeight="1">
      <c r="A310" s="1128"/>
      <c r="B310" s="1128"/>
      <c r="C310" s="1128"/>
      <c r="D310" s="1128"/>
      <c r="E310" s="1128"/>
      <c r="F310" s="1128"/>
      <c r="G310" s="1128"/>
      <c r="H310" s="1128"/>
      <c r="I310" s="1128"/>
      <c r="J310" s="1128"/>
      <c r="K310" s="1128"/>
      <c r="L310" s="1128"/>
      <c r="M310" s="1128"/>
      <c r="N310" s="1128"/>
      <c r="O310" s="1128"/>
      <c r="P310" s="1128"/>
      <c r="Q310" s="1128"/>
      <c r="R310" s="1128"/>
      <c r="S310" s="1128"/>
      <c r="T310" s="1128"/>
      <c r="U310" s="1128"/>
      <c r="V310" s="1128"/>
      <c r="W310" s="1128"/>
      <c r="X310" s="1128"/>
      <c r="Y310" s="1128"/>
      <c r="Z310" s="1128"/>
    </row>
    <row r="311" ht="22.5" customHeight="1">
      <c r="A311" s="1128"/>
      <c r="B311" s="1128"/>
      <c r="C311" s="1128"/>
      <c r="D311" s="1128"/>
      <c r="E311" s="1128"/>
      <c r="F311" s="1128"/>
      <c r="G311" s="1128"/>
      <c r="H311" s="1128"/>
      <c r="I311" s="1128"/>
      <c r="J311" s="1128"/>
      <c r="K311" s="1128"/>
      <c r="L311" s="1128"/>
      <c r="M311" s="1128"/>
      <c r="N311" s="1128"/>
      <c r="O311" s="1128"/>
      <c r="P311" s="1128"/>
      <c r="Q311" s="1128"/>
      <c r="R311" s="1128"/>
      <c r="S311" s="1128"/>
      <c r="T311" s="1128"/>
      <c r="U311" s="1128"/>
      <c r="V311" s="1128"/>
      <c r="W311" s="1128"/>
      <c r="X311" s="1128"/>
      <c r="Y311" s="1128"/>
      <c r="Z311" s="1128"/>
    </row>
    <row r="312" ht="22.5" customHeight="1">
      <c r="A312" s="1128"/>
      <c r="B312" s="1128"/>
      <c r="C312" s="1128"/>
      <c r="D312" s="1128"/>
      <c r="E312" s="1128"/>
      <c r="F312" s="1128"/>
      <c r="G312" s="1128"/>
      <c r="H312" s="1128"/>
      <c r="I312" s="1128"/>
      <c r="J312" s="1128"/>
      <c r="K312" s="1128"/>
      <c r="L312" s="1128"/>
      <c r="M312" s="1128"/>
      <c r="N312" s="1128"/>
      <c r="O312" s="1128"/>
      <c r="P312" s="1128"/>
      <c r="Q312" s="1128"/>
      <c r="R312" s="1128"/>
      <c r="S312" s="1128"/>
      <c r="T312" s="1128"/>
      <c r="U312" s="1128"/>
      <c r="V312" s="1128"/>
      <c r="W312" s="1128"/>
      <c r="X312" s="1128"/>
      <c r="Y312" s="1128"/>
      <c r="Z312" s="1128"/>
    </row>
    <row r="313" ht="22.5" customHeight="1">
      <c r="A313" s="1128"/>
      <c r="B313" s="1128"/>
      <c r="C313" s="1128"/>
      <c r="D313" s="1128"/>
      <c r="E313" s="1128"/>
      <c r="F313" s="1128"/>
      <c r="G313" s="1128"/>
      <c r="H313" s="1128"/>
      <c r="I313" s="1128"/>
      <c r="J313" s="1128"/>
      <c r="K313" s="1128"/>
      <c r="L313" s="1128"/>
      <c r="M313" s="1128"/>
      <c r="N313" s="1128"/>
      <c r="O313" s="1128"/>
      <c r="P313" s="1128"/>
      <c r="Q313" s="1128"/>
      <c r="R313" s="1128"/>
      <c r="S313" s="1128"/>
      <c r="T313" s="1128"/>
      <c r="U313" s="1128"/>
      <c r="V313" s="1128"/>
      <c r="W313" s="1128"/>
      <c r="X313" s="1128"/>
      <c r="Y313" s="1128"/>
      <c r="Z313" s="1128"/>
    </row>
    <row r="314" ht="22.5" customHeight="1">
      <c r="A314" s="1128"/>
      <c r="B314" s="1128"/>
      <c r="C314" s="1128"/>
      <c r="D314" s="1128"/>
      <c r="E314" s="1128"/>
      <c r="F314" s="1128"/>
      <c r="G314" s="1128"/>
      <c r="H314" s="1128"/>
      <c r="I314" s="1128"/>
      <c r="J314" s="1128"/>
      <c r="K314" s="1128"/>
      <c r="L314" s="1128"/>
      <c r="M314" s="1128"/>
      <c r="N314" s="1128"/>
      <c r="O314" s="1128"/>
      <c r="P314" s="1128"/>
      <c r="Q314" s="1128"/>
      <c r="R314" s="1128"/>
      <c r="S314" s="1128"/>
      <c r="T314" s="1128"/>
      <c r="U314" s="1128"/>
      <c r="V314" s="1128"/>
      <c r="W314" s="1128"/>
      <c r="X314" s="1128"/>
      <c r="Y314" s="1128"/>
      <c r="Z314" s="1128"/>
    </row>
    <row r="315" ht="22.5" customHeight="1">
      <c r="A315" s="1128"/>
      <c r="B315" s="1128"/>
      <c r="C315" s="1128"/>
      <c r="D315" s="1128"/>
      <c r="E315" s="1128"/>
      <c r="F315" s="1128"/>
      <c r="G315" s="1128"/>
      <c r="H315" s="1128"/>
      <c r="I315" s="1128"/>
      <c r="J315" s="1128"/>
      <c r="K315" s="1128"/>
      <c r="L315" s="1128"/>
      <c r="M315" s="1128"/>
      <c r="N315" s="1128"/>
      <c r="O315" s="1128"/>
      <c r="P315" s="1128"/>
      <c r="Q315" s="1128"/>
      <c r="R315" s="1128"/>
      <c r="S315" s="1128"/>
      <c r="T315" s="1128"/>
      <c r="U315" s="1128"/>
      <c r="V315" s="1128"/>
      <c r="W315" s="1128"/>
      <c r="X315" s="1128"/>
      <c r="Y315" s="1128"/>
      <c r="Z315" s="1128"/>
    </row>
    <row r="316" ht="22.5" customHeight="1">
      <c r="A316" s="1128"/>
      <c r="B316" s="1128"/>
      <c r="C316" s="1128"/>
      <c r="D316" s="1128"/>
      <c r="E316" s="1128"/>
      <c r="F316" s="1128"/>
      <c r="G316" s="1128"/>
      <c r="H316" s="1128"/>
      <c r="I316" s="1128"/>
      <c r="J316" s="1128"/>
      <c r="K316" s="1128"/>
      <c r="L316" s="1128"/>
      <c r="M316" s="1128"/>
      <c r="N316" s="1128"/>
      <c r="O316" s="1128"/>
      <c r="P316" s="1128"/>
      <c r="Q316" s="1128"/>
      <c r="R316" s="1128"/>
      <c r="S316" s="1128"/>
      <c r="T316" s="1128"/>
      <c r="U316" s="1128"/>
      <c r="V316" s="1128"/>
      <c r="W316" s="1128"/>
      <c r="X316" s="1128"/>
      <c r="Y316" s="1128"/>
      <c r="Z316" s="1128"/>
    </row>
    <row r="317" ht="22.5" customHeight="1">
      <c r="A317" s="1128"/>
      <c r="B317" s="1128"/>
      <c r="C317" s="1128"/>
      <c r="D317" s="1128"/>
      <c r="E317" s="1128"/>
      <c r="F317" s="1128"/>
      <c r="G317" s="1128"/>
      <c r="H317" s="1128"/>
      <c r="I317" s="1128"/>
      <c r="J317" s="1128"/>
      <c r="K317" s="1128"/>
      <c r="L317" s="1128"/>
      <c r="M317" s="1128"/>
      <c r="N317" s="1128"/>
      <c r="O317" s="1128"/>
      <c r="P317" s="1128"/>
      <c r="Q317" s="1128"/>
      <c r="R317" s="1128"/>
      <c r="S317" s="1128"/>
      <c r="T317" s="1128"/>
      <c r="U317" s="1128"/>
      <c r="V317" s="1128"/>
      <c r="W317" s="1128"/>
      <c r="X317" s="1128"/>
      <c r="Y317" s="1128"/>
      <c r="Z317" s="1128"/>
    </row>
    <row r="318" ht="22.5" customHeight="1">
      <c r="A318" s="1128"/>
      <c r="B318" s="1128"/>
      <c r="C318" s="1128"/>
      <c r="D318" s="1128"/>
      <c r="E318" s="1128"/>
      <c r="F318" s="1128"/>
      <c r="G318" s="1128"/>
      <c r="H318" s="1128"/>
      <c r="I318" s="1128"/>
      <c r="J318" s="1128"/>
      <c r="K318" s="1128"/>
      <c r="L318" s="1128"/>
      <c r="M318" s="1128"/>
      <c r="N318" s="1128"/>
      <c r="O318" s="1128"/>
      <c r="P318" s="1128"/>
      <c r="Q318" s="1128"/>
      <c r="R318" s="1128"/>
      <c r="S318" s="1128"/>
      <c r="T318" s="1128"/>
      <c r="U318" s="1128"/>
      <c r="V318" s="1128"/>
      <c r="W318" s="1128"/>
      <c r="X318" s="1128"/>
      <c r="Y318" s="1128"/>
      <c r="Z318" s="1128"/>
    </row>
    <row r="319" ht="22.5" customHeight="1">
      <c r="A319" s="1128"/>
      <c r="B319" s="1128"/>
      <c r="C319" s="1128"/>
      <c r="D319" s="1128"/>
      <c r="E319" s="1128"/>
      <c r="F319" s="1128"/>
      <c r="G319" s="1128"/>
      <c r="H319" s="1128"/>
      <c r="I319" s="1128"/>
      <c r="J319" s="1128"/>
      <c r="K319" s="1128"/>
      <c r="L319" s="1128"/>
      <c r="M319" s="1128"/>
      <c r="N319" s="1128"/>
      <c r="O319" s="1128"/>
      <c r="P319" s="1128"/>
      <c r="Q319" s="1128"/>
      <c r="R319" s="1128"/>
      <c r="S319" s="1128"/>
      <c r="T319" s="1128"/>
      <c r="U319" s="1128"/>
      <c r="V319" s="1128"/>
      <c r="W319" s="1128"/>
      <c r="X319" s="1128"/>
      <c r="Y319" s="1128"/>
      <c r="Z319" s="1128"/>
    </row>
    <row r="320" ht="22.5" customHeight="1">
      <c r="A320" s="1128"/>
      <c r="B320" s="1128"/>
      <c r="C320" s="1128"/>
      <c r="D320" s="1128"/>
      <c r="E320" s="1128"/>
      <c r="F320" s="1128"/>
      <c r="G320" s="1128"/>
      <c r="H320" s="1128"/>
      <c r="I320" s="1128"/>
      <c r="J320" s="1128"/>
      <c r="K320" s="1128"/>
      <c r="L320" s="1128"/>
      <c r="M320" s="1128"/>
      <c r="N320" s="1128"/>
      <c r="O320" s="1128"/>
      <c r="P320" s="1128"/>
      <c r="Q320" s="1128"/>
      <c r="R320" s="1128"/>
      <c r="S320" s="1128"/>
      <c r="T320" s="1128"/>
      <c r="U320" s="1128"/>
      <c r="V320" s="1128"/>
      <c r="W320" s="1128"/>
      <c r="X320" s="1128"/>
      <c r="Y320" s="1128"/>
      <c r="Z320" s="1128"/>
    </row>
    <row r="321" ht="22.5" customHeight="1">
      <c r="A321" s="1128"/>
      <c r="B321" s="1128"/>
      <c r="C321" s="1128"/>
      <c r="D321" s="1128"/>
      <c r="E321" s="1128"/>
      <c r="F321" s="1128"/>
      <c r="G321" s="1128"/>
      <c r="H321" s="1128"/>
      <c r="I321" s="1128"/>
      <c r="J321" s="1128"/>
      <c r="K321" s="1128"/>
      <c r="L321" s="1128"/>
      <c r="M321" s="1128"/>
      <c r="N321" s="1128"/>
      <c r="O321" s="1128"/>
      <c r="P321" s="1128"/>
      <c r="Q321" s="1128"/>
      <c r="R321" s="1128"/>
      <c r="S321" s="1128"/>
      <c r="T321" s="1128"/>
      <c r="U321" s="1128"/>
      <c r="V321" s="1128"/>
      <c r="W321" s="1128"/>
      <c r="X321" s="1128"/>
      <c r="Y321" s="1128"/>
      <c r="Z321" s="1128"/>
    </row>
    <row r="322" ht="22.5" customHeight="1">
      <c r="A322" s="1128"/>
      <c r="B322" s="1128"/>
      <c r="C322" s="1128"/>
      <c r="D322" s="1128"/>
      <c r="E322" s="1128"/>
      <c r="F322" s="1128"/>
      <c r="G322" s="1128"/>
      <c r="H322" s="1128"/>
      <c r="I322" s="1128"/>
      <c r="J322" s="1128"/>
      <c r="K322" s="1128"/>
      <c r="L322" s="1128"/>
      <c r="M322" s="1128"/>
      <c r="N322" s="1128"/>
      <c r="O322" s="1128"/>
      <c r="P322" s="1128"/>
      <c r="Q322" s="1128"/>
      <c r="R322" s="1128"/>
      <c r="S322" s="1128"/>
      <c r="T322" s="1128"/>
      <c r="U322" s="1128"/>
      <c r="V322" s="1128"/>
      <c r="W322" s="1128"/>
      <c r="X322" s="1128"/>
      <c r="Y322" s="1128"/>
      <c r="Z322" s="1128"/>
    </row>
    <row r="323" ht="22.5" customHeight="1">
      <c r="A323" s="1128"/>
      <c r="B323" s="1128"/>
      <c r="C323" s="1128"/>
      <c r="D323" s="1128"/>
      <c r="E323" s="1128"/>
      <c r="F323" s="1128"/>
      <c r="G323" s="1128"/>
      <c r="H323" s="1128"/>
      <c r="I323" s="1128"/>
      <c r="J323" s="1128"/>
      <c r="K323" s="1128"/>
      <c r="L323" s="1128"/>
      <c r="M323" s="1128"/>
      <c r="N323" s="1128"/>
      <c r="O323" s="1128"/>
      <c r="P323" s="1128"/>
      <c r="Q323" s="1128"/>
      <c r="R323" s="1128"/>
      <c r="S323" s="1128"/>
      <c r="T323" s="1128"/>
      <c r="U323" s="1128"/>
      <c r="V323" s="1128"/>
      <c r="W323" s="1128"/>
      <c r="X323" s="1128"/>
      <c r="Y323" s="1128"/>
      <c r="Z323" s="1128"/>
    </row>
    <row r="324" ht="22.5" customHeight="1">
      <c r="A324" s="1128"/>
      <c r="B324" s="1128"/>
      <c r="C324" s="1128"/>
      <c r="D324" s="1128"/>
      <c r="E324" s="1128"/>
      <c r="F324" s="1128"/>
      <c r="G324" s="1128"/>
      <c r="H324" s="1128"/>
      <c r="I324" s="1128"/>
      <c r="J324" s="1128"/>
      <c r="K324" s="1128"/>
      <c r="L324" s="1128"/>
      <c r="M324" s="1128"/>
      <c r="N324" s="1128"/>
      <c r="O324" s="1128"/>
      <c r="P324" s="1128"/>
      <c r="Q324" s="1128"/>
      <c r="R324" s="1128"/>
      <c r="S324" s="1128"/>
      <c r="T324" s="1128"/>
      <c r="U324" s="1128"/>
      <c r="V324" s="1128"/>
      <c r="W324" s="1128"/>
      <c r="X324" s="1128"/>
      <c r="Y324" s="1128"/>
      <c r="Z324" s="1128"/>
    </row>
    <row r="325" ht="22.5" customHeight="1">
      <c r="A325" s="1128"/>
      <c r="B325" s="1128"/>
      <c r="C325" s="1128"/>
      <c r="D325" s="1128"/>
      <c r="E325" s="1128"/>
      <c r="F325" s="1128"/>
      <c r="G325" s="1128"/>
      <c r="H325" s="1128"/>
      <c r="I325" s="1128"/>
      <c r="J325" s="1128"/>
      <c r="K325" s="1128"/>
      <c r="L325" s="1128"/>
      <c r="M325" s="1128"/>
      <c r="N325" s="1128"/>
      <c r="O325" s="1128"/>
      <c r="P325" s="1128"/>
      <c r="Q325" s="1128"/>
      <c r="R325" s="1128"/>
      <c r="S325" s="1128"/>
      <c r="T325" s="1128"/>
      <c r="U325" s="1128"/>
      <c r="V325" s="1128"/>
      <c r="W325" s="1128"/>
      <c r="X325" s="1128"/>
      <c r="Y325" s="1128"/>
      <c r="Z325" s="1128"/>
    </row>
    <row r="326" ht="22.5" customHeight="1">
      <c r="A326" s="1128"/>
      <c r="B326" s="1128"/>
      <c r="C326" s="1128"/>
      <c r="D326" s="1128"/>
      <c r="E326" s="1128"/>
      <c r="F326" s="1128"/>
      <c r="G326" s="1128"/>
      <c r="H326" s="1128"/>
      <c r="I326" s="1128"/>
      <c r="J326" s="1128"/>
      <c r="K326" s="1128"/>
      <c r="L326" s="1128"/>
      <c r="M326" s="1128"/>
      <c r="N326" s="1128"/>
      <c r="O326" s="1128"/>
      <c r="P326" s="1128"/>
      <c r="Q326" s="1128"/>
      <c r="R326" s="1128"/>
      <c r="S326" s="1128"/>
      <c r="T326" s="1128"/>
      <c r="U326" s="1128"/>
      <c r="V326" s="1128"/>
      <c r="W326" s="1128"/>
      <c r="X326" s="1128"/>
      <c r="Y326" s="1128"/>
      <c r="Z326" s="1128"/>
    </row>
    <row r="327" ht="22.5" customHeight="1">
      <c r="A327" s="1128"/>
      <c r="B327" s="1128"/>
      <c r="C327" s="1128"/>
      <c r="D327" s="1128"/>
      <c r="E327" s="1128"/>
      <c r="F327" s="1128"/>
      <c r="G327" s="1128"/>
      <c r="H327" s="1128"/>
      <c r="I327" s="1128"/>
      <c r="J327" s="1128"/>
      <c r="K327" s="1128"/>
      <c r="L327" s="1128"/>
      <c r="M327" s="1128"/>
      <c r="N327" s="1128"/>
      <c r="O327" s="1128"/>
      <c r="P327" s="1128"/>
      <c r="Q327" s="1128"/>
      <c r="R327" s="1128"/>
      <c r="S327" s="1128"/>
      <c r="T327" s="1128"/>
      <c r="U327" s="1128"/>
      <c r="V327" s="1128"/>
      <c r="W327" s="1128"/>
      <c r="X327" s="1128"/>
      <c r="Y327" s="1128"/>
      <c r="Z327" s="1128"/>
    </row>
    <row r="328" ht="22.5" customHeight="1">
      <c r="A328" s="1128"/>
      <c r="B328" s="1128"/>
      <c r="C328" s="1128"/>
      <c r="D328" s="1128"/>
      <c r="E328" s="1128"/>
      <c r="F328" s="1128"/>
      <c r="G328" s="1128"/>
      <c r="H328" s="1128"/>
      <c r="I328" s="1128"/>
      <c r="J328" s="1128"/>
      <c r="K328" s="1128"/>
      <c r="L328" s="1128"/>
      <c r="M328" s="1128"/>
      <c r="N328" s="1128"/>
      <c r="O328" s="1128"/>
      <c r="P328" s="1128"/>
      <c r="Q328" s="1128"/>
      <c r="R328" s="1128"/>
      <c r="S328" s="1128"/>
      <c r="T328" s="1128"/>
      <c r="U328" s="1128"/>
      <c r="V328" s="1128"/>
      <c r="W328" s="1128"/>
      <c r="X328" s="1128"/>
      <c r="Y328" s="1128"/>
      <c r="Z328" s="1128"/>
    </row>
    <row r="329" ht="22.5" customHeight="1">
      <c r="A329" s="1128"/>
      <c r="B329" s="1128"/>
      <c r="C329" s="1128"/>
      <c r="D329" s="1128"/>
      <c r="E329" s="1128"/>
      <c r="F329" s="1128"/>
      <c r="G329" s="1128"/>
      <c r="H329" s="1128"/>
      <c r="I329" s="1128"/>
      <c r="J329" s="1128"/>
      <c r="K329" s="1128"/>
      <c r="L329" s="1128"/>
      <c r="M329" s="1128"/>
      <c r="N329" s="1128"/>
      <c r="O329" s="1128"/>
      <c r="P329" s="1128"/>
      <c r="Q329" s="1128"/>
      <c r="R329" s="1128"/>
      <c r="S329" s="1128"/>
      <c r="T329" s="1128"/>
      <c r="U329" s="1128"/>
      <c r="V329" s="1128"/>
      <c r="W329" s="1128"/>
      <c r="X329" s="1128"/>
      <c r="Y329" s="1128"/>
      <c r="Z329" s="1128"/>
    </row>
    <row r="330" ht="22.5" customHeight="1">
      <c r="A330" s="1128"/>
      <c r="B330" s="1128"/>
      <c r="C330" s="1128"/>
      <c r="D330" s="1128"/>
      <c r="E330" s="1128"/>
      <c r="F330" s="1128"/>
      <c r="G330" s="1128"/>
      <c r="H330" s="1128"/>
      <c r="I330" s="1128"/>
      <c r="J330" s="1128"/>
      <c r="K330" s="1128"/>
      <c r="L330" s="1128"/>
      <c r="M330" s="1128"/>
      <c r="N330" s="1128"/>
      <c r="O330" s="1128"/>
      <c r="P330" s="1128"/>
      <c r="Q330" s="1128"/>
      <c r="R330" s="1128"/>
      <c r="S330" s="1128"/>
      <c r="T330" s="1128"/>
      <c r="U330" s="1128"/>
      <c r="V330" s="1128"/>
      <c r="W330" s="1128"/>
      <c r="X330" s="1128"/>
      <c r="Y330" s="1128"/>
      <c r="Z330" s="1128"/>
    </row>
    <row r="331" ht="22.5" customHeight="1">
      <c r="A331" s="1128"/>
      <c r="B331" s="1128"/>
      <c r="C331" s="1128"/>
      <c r="D331" s="1128"/>
      <c r="E331" s="1128"/>
      <c r="F331" s="1128"/>
      <c r="G331" s="1128"/>
      <c r="H331" s="1128"/>
      <c r="I331" s="1128"/>
      <c r="J331" s="1128"/>
      <c r="K331" s="1128"/>
      <c r="L331" s="1128"/>
      <c r="M331" s="1128"/>
      <c r="N331" s="1128"/>
      <c r="O331" s="1128"/>
      <c r="P331" s="1128"/>
      <c r="Q331" s="1128"/>
      <c r="R331" s="1128"/>
      <c r="S331" s="1128"/>
      <c r="T331" s="1128"/>
      <c r="U331" s="1128"/>
      <c r="V331" s="1128"/>
      <c r="W331" s="1128"/>
      <c r="X331" s="1128"/>
      <c r="Y331" s="1128"/>
      <c r="Z331" s="1128"/>
    </row>
    <row r="332" ht="22.5" customHeight="1">
      <c r="A332" s="1128"/>
      <c r="B332" s="1128"/>
      <c r="C332" s="1128"/>
      <c r="D332" s="1128"/>
      <c r="E332" s="1128"/>
      <c r="F332" s="1128"/>
      <c r="G332" s="1128"/>
      <c r="H332" s="1128"/>
      <c r="I332" s="1128"/>
      <c r="J332" s="1128"/>
      <c r="K332" s="1128"/>
      <c r="L332" s="1128"/>
      <c r="M332" s="1128"/>
      <c r="N332" s="1128"/>
      <c r="O332" s="1128"/>
      <c r="P332" s="1128"/>
      <c r="Q332" s="1128"/>
      <c r="R332" s="1128"/>
      <c r="S332" s="1128"/>
      <c r="T332" s="1128"/>
      <c r="U332" s="1128"/>
      <c r="V332" s="1128"/>
      <c r="W332" s="1128"/>
      <c r="X332" s="1128"/>
      <c r="Y332" s="1128"/>
      <c r="Z332" s="1128"/>
    </row>
    <row r="333" ht="22.5" customHeight="1">
      <c r="A333" s="1128"/>
      <c r="B333" s="1128"/>
      <c r="C333" s="1128"/>
      <c r="D333" s="1128"/>
      <c r="E333" s="1128"/>
      <c r="F333" s="1128"/>
      <c r="G333" s="1128"/>
      <c r="H333" s="1128"/>
      <c r="I333" s="1128"/>
      <c r="J333" s="1128"/>
      <c r="K333" s="1128"/>
      <c r="L333" s="1128"/>
      <c r="M333" s="1128"/>
      <c r="N333" s="1128"/>
      <c r="O333" s="1128"/>
      <c r="P333" s="1128"/>
      <c r="Q333" s="1128"/>
      <c r="R333" s="1128"/>
      <c r="S333" s="1128"/>
      <c r="T333" s="1128"/>
      <c r="U333" s="1128"/>
      <c r="V333" s="1128"/>
      <c r="W333" s="1128"/>
      <c r="X333" s="1128"/>
      <c r="Y333" s="1128"/>
      <c r="Z333" s="1128"/>
    </row>
    <row r="334" ht="22.5" customHeight="1">
      <c r="A334" s="1128"/>
      <c r="B334" s="1128"/>
      <c r="C334" s="1128"/>
      <c r="D334" s="1128"/>
      <c r="E334" s="1128"/>
      <c r="F334" s="1128"/>
      <c r="G334" s="1128"/>
      <c r="H334" s="1128"/>
      <c r="I334" s="1128"/>
      <c r="J334" s="1128"/>
      <c r="K334" s="1128"/>
      <c r="L334" s="1128"/>
      <c r="M334" s="1128"/>
      <c r="N334" s="1128"/>
      <c r="O334" s="1128"/>
      <c r="P334" s="1128"/>
      <c r="Q334" s="1128"/>
      <c r="R334" s="1128"/>
      <c r="S334" s="1128"/>
      <c r="T334" s="1128"/>
      <c r="U334" s="1128"/>
      <c r="V334" s="1128"/>
      <c r="W334" s="1128"/>
      <c r="X334" s="1128"/>
      <c r="Y334" s="1128"/>
      <c r="Z334" s="1128"/>
    </row>
    <row r="335" ht="22.5" customHeight="1">
      <c r="A335" s="1128"/>
      <c r="B335" s="1128"/>
      <c r="C335" s="1128"/>
      <c r="D335" s="1128"/>
      <c r="E335" s="1128"/>
      <c r="F335" s="1128"/>
      <c r="G335" s="1128"/>
      <c r="H335" s="1128"/>
      <c r="I335" s="1128"/>
      <c r="J335" s="1128"/>
      <c r="K335" s="1128"/>
      <c r="L335" s="1128"/>
      <c r="M335" s="1128"/>
      <c r="N335" s="1128"/>
      <c r="O335" s="1128"/>
      <c r="P335" s="1128"/>
      <c r="Q335" s="1128"/>
      <c r="R335" s="1128"/>
      <c r="S335" s="1128"/>
      <c r="T335" s="1128"/>
      <c r="U335" s="1128"/>
      <c r="V335" s="1128"/>
      <c r="W335" s="1128"/>
      <c r="X335" s="1128"/>
      <c r="Y335" s="1128"/>
      <c r="Z335" s="1128"/>
    </row>
    <row r="336" ht="22.5" customHeight="1">
      <c r="A336" s="1128"/>
      <c r="B336" s="1128"/>
      <c r="C336" s="1128"/>
      <c r="D336" s="1128"/>
      <c r="E336" s="1128"/>
      <c r="F336" s="1128"/>
      <c r="G336" s="1128"/>
      <c r="H336" s="1128"/>
      <c r="I336" s="1128"/>
      <c r="J336" s="1128"/>
      <c r="K336" s="1128"/>
      <c r="L336" s="1128"/>
      <c r="M336" s="1128"/>
      <c r="N336" s="1128"/>
      <c r="O336" s="1128"/>
      <c r="P336" s="1128"/>
      <c r="Q336" s="1128"/>
      <c r="R336" s="1128"/>
      <c r="S336" s="1128"/>
      <c r="T336" s="1128"/>
      <c r="U336" s="1128"/>
      <c r="V336" s="1128"/>
      <c r="W336" s="1128"/>
      <c r="X336" s="1128"/>
      <c r="Y336" s="1128"/>
      <c r="Z336" s="1128"/>
    </row>
    <row r="337" ht="22.5" customHeight="1">
      <c r="A337" s="1128"/>
      <c r="B337" s="1128"/>
      <c r="C337" s="1128"/>
      <c r="D337" s="1128"/>
      <c r="E337" s="1128"/>
      <c r="F337" s="1128"/>
      <c r="G337" s="1128"/>
      <c r="H337" s="1128"/>
      <c r="I337" s="1128"/>
      <c r="J337" s="1128"/>
      <c r="K337" s="1128"/>
      <c r="L337" s="1128"/>
      <c r="M337" s="1128"/>
      <c r="N337" s="1128"/>
      <c r="O337" s="1128"/>
      <c r="P337" s="1128"/>
      <c r="Q337" s="1128"/>
      <c r="R337" s="1128"/>
      <c r="S337" s="1128"/>
      <c r="T337" s="1128"/>
      <c r="U337" s="1128"/>
      <c r="V337" s="1128"/>
      <c r="W337" s="1128"/>
      <c r="X337" s="1128"/>
      <c r="Y337" s="1128"/>
      <c r="Z337" s="1128"/>
    </row>
    <row r="338" ht="22.5" customHeight="1">
      <c r="A338" s="1128"/>
      <c r="B338" s="1128"/>
      <c r="C338" s="1128"/>
      <c r="D338" s="1128"/>
      <c r="E338" s="1128"/>
      <c r="F338" s="1128"/>
      <c r="G338" s="1128"/>
      <c r="H338" s="1128"/>
      <c r="I338" s="1128"/>
      <c r="J338" s="1128"/>
      <c r="K338" s="1128"/>
      <c r="L338" s="1128"/>
      <c r="M338" s="1128"/>
      <c r="N338" s="1128"/>
      <c r="O338" s="1128"/>
      <c r="P338" s="1128"/>
      <c r="Q338" s="1128"/>
      <c r="R338" s="1128"/>
      <c r="S338" s="1128"/>
      <c r="T338" s="1128"/>
      <c r="U338" s="1128"/>
      <c r="V338" s="1128"/>
      <c r="W338" s="1128"/>
      <c r="X338" s="1128"/>
      <c r="Y338" s="1128"/>
      <c r="Z338" s="1128"/>
    </row>
    <row r="339" ht="22.5" customHeight="1">
      <c r="A339" s="1128"/>
      <c r="B339" s="1128"/>
      <c r="C339" s="1128"/>
      <c r="D339" s="1128"/>
      <c r="E339" s="1128"/>
      <c r="F339" s="1128"/>
      <c r="G339" s="1128"/>
      <c r="H339" s="1128"/>
      <c r="I339" s="1128"/>
      <c r="J339" s="1128"/>
      <c r="K339" s="1128"/>
      <c r="L339" s="1128"/>
      <c r="M339" s="1128"/>
      <c r="N339" s="1128"/>
      <c r="O339" s="1128"/>
      <c r="P339" s="1128"/>
      <c r="Q339" s="1128"/>
      <c r="R339" s="1128"/>
      <c r="S339" s="1128"/>
      <c r="T339" s="1128"/>
      <c r="U339" s="1128"/>
      <c r="V339" s="1128"/>
      <c r="W339" s="1128"/>
      <c r="X339" s="1128"/>
      <c r="Y339" s="1128"/>
      <c r="Z339" s="1128"/>
    </row>
    <row r="340" ht="22.5" customHeight="1">
      <c r="A340" s="1128"/>
      <c r="B340" s="1128"/>
      <c r="C340" s="1128"/>
      <c r="D340" s="1128"/>
      <c r="E340" s="1128"/>
      <c r="F340" s="1128"/>
      <c r="G340" s="1128"/>
      <c r="H340" s="1128"/>
      <c r="I340" s="1128"/>
      <c r="J340" s="1128"/>
      <c r="K340" s="1128"/>
      <c r="L340" s="1128"/>
      <c r="M340" s="1128"/>
      <c r="N340" s="1128"/>
      <c r="O340" s="1128"/>
      <c r="P340" s="1128"/>
      <c r="Q340" s="1128"/>
      <c r="R340" s="1128"/>
      <c r="S340" s="1128"/>
      <c r="T340" s="1128"/>
      <c r="U340" s="1128"/>
      <c r="V340" s="1128"/>
      <c r="W340" s="1128"/>
      <c r="X340" s="1128"/>
      <c r="Y340" s="1128"/>
      <c r="Z340" s="1128"/>
    </row>
    <row r="341" ht="22.5" customHeight="1">
      <c r="A341" s="1128"/>
      <c r="B341" s="1128"/>
      <c r="C341" s="1128"/>
      <c r="D341" s="1128"/>
      <c r="E341" s="1128"/>
      <c r="F341" s="1128"/>
      <c r="G341" s="1128"/>
      <c r="H341" s="1128"/>
      <c r="I341" s="1128"/>
      <c r="J341" s="1128"/>
      <c r="K341" s="1128"/>
      <c r="L341" s="1128"/>
      <c r="M341" s="1128"/>
      <c r="N341" s="1128"/>
      <c r="O341" s="1128"/>
      <c r="P341" s="1128"/>
      <c r="Q341" s="1128"/>
      <c r="R341" s="1128"/>
      <c r="S341" s="1128"/>
      <c r="T341" s="1128"/>
      <c r="U341" s="1128"/>
      <c r="V341" s="1128"/>
      <c r="W341" s="1128"/>
      <c r="X341" s="1128"/>
      <c r="Y341" s="1128"/>
      <c r="Z341" s="1128"/>
    </row>
    <row r="342" ht="22.5" customHeight="1">
      <c r="A342" s="1128"/>
      <c r="B342" s="1128"/>
      <c r="C342" s="1128"/>
      <c r="D342" s="1128"/>
      <c r="E342" s="1128"/>
      <c r="F342" s="1128"/>
      <c r="G342" s="1128"/>
      <c r="H342" s="1128"/>
      <c r="I342" s="1128"/>
      <c r="J342" s="1128"/>
      <c r="K342" s="1128"/>
      <c r="L342" s="1128"/>
      <c r="M342" s="1128"/>
      <c r="N342" s="1128"/>
      <c r="O342" s="1128"/>
      <c r="P342" s="1128"/>
      <c r="Q342" s="1128"/>
      <c r="R342" s="1128"/>
      <c r="S342" s="1128"/>
      <c r="T342" s="1128"/>
      <c r="U342" s="1128"/>
      <c r="V342" s="1128"/>
      <c r="W342" s="1128"/>
      <c r="X342" s="1128"/>
      <c r="Y342" s="1128"/>
      <c r="Z342" s="1128"/>
    </row>
    <row r="343" ht="22.5" customHeight="1">
      <c r="A343" s="1128"/>
      <c r="B343" s="1128"/>
      <c r="C343" s="1128"/>
      <c r="D343" s="1128"/>
      <c r="E343" s="1128"/>
      <c r="F343" s="1128"/>
      <c r="G343" s="1128"/>
      <c r="H343" s="1128"/>
      <c r="I343" s="1128"/>
      <c r="J343" s="1128"/>
      <c r="K343" s="1128"/>
      <c r="L343" s="1128"/>
      <c r="M343" s="1128"/>
      <c r="N343" s="1128"/>
      <c r="O343" s="1128"/>
      <c r="P343" s="1128"/>
      <c r="Q343" s="1128"/>
      <c r="R343" s="1128"/>
      <c r="S343" s="1128"/>
      <c r="T343" s="1128"/>
      <c r="U343" s="1128"/>
      <c r="V343" s="1128"/>
      <c r="W343" s="1128"/>
      <c r="X343" s="1128"/>
      <c r="Y343" s="1128"/>
      <c r="Z343" s="1128"/>
    </row>
    <row r="344" ht="22.5" customHeight="1">
      <c r="A344" s="1128"/>
      <c r="B344" s="1128"/>
      <c r="C344" s="1128"/>
      <c r="D344" s="1128"/>
      <c r="E344" s="1128"/>
      <c r="F344" s="1128"/>
      <c r="G344" s="1128"/>
      <c r="H344" s="1128"/>
      <c r="I344" s="1128"/>
      <c r="J344" s="1128"/>
      <c r="K344" s="1128"/>
      <c r="L344" s="1128"/>
      <c r="M344" s="1128"/>
      <c r="N344" s="1128"/>
      <c r="O344" s="1128"/>
      <c r="P344" s="1128"/>
      <c r="Q344" s="1128"/>
      <c r="R344" s="1128"/>
      <c r="S344" s="1128"/>
      <c r="T344" s="1128"/>
      <c r="U344" s="1128"/>
      <c r="V344" s="1128"/>
      <c r="W344" s="1128"/>
      <c r="X344" s="1128"/>
      <c r="Y344" s="1128"/>
      <c r="Z344" s="1128"/>
    </row>
    <row r="345" ht="22.5" customHeight="1">
      <c r="A345" s="1128"/>
      <c r="B345" s="1128"/>
      <c r="C345" s="1128"/>
      <c r="D345" s="1128"/>
      <c r="E345" s="1128"/>
      <c r="F345" s="1128"/>
      <c r="G345" s="1128"/>
      <c r="H345" s="1128"/>
      <c r="I345" s="1128"/>
      <c r="J345" s="1128"/>
      <c r="K345" s="1128"/>
      <c r="L345" s="1128"/>
      <c r="M345" s="1128"/>
      <c r="N345" s="1128"/>
      <c r="O345" s="1128"/>
      <c r="P345" s="1128"/>
      <c r="Q345" s="1128"/>
      <c r="R345" s="1128"/>
      <c r="S345" s="1128"/>
      <c r="T345" s="1128"/>
      <c r="U345" s="1128"/>
      <c r="V345" s="1128"/>
      <c r="W345" s="1128"/>
      <c r="X345" s="1128"/>
      <c r="Y345" s="1128"/>
      <c r="Z345" s="1128"/>
    </row>
    <row r="346" ht="22.5" customHeight="1">
      <c r="A346" s="1128"/>
      <c r="B346" s="1128"/>
      <c r="C346" s="1128"/>
      <c r="D346" s="1128"/>
      <c r="E346" s="1128"/>
      <c r="F346" s="1128"/>
      <c r="G346" s="1128"/>
      <c r="H346" s="1128"/>
      <c r="I346" s="1128"/>
      <c r="J346" s="1128"/>
      <c r="K346" s="1128"/>
      <c r="L346" s="1128"/>
      <c r="M346" s="1128"/>
      <c r="N346" s="1128"/>
      <c r="O346" s="1128"/>
      <c r="P346" s="1128"/>
      <c r="Q346" s="1128"/>
      <c r="R346" s="1128"/>
      <c r="S346" s="1128"/>
      <c r="T346" s="1128"/>
      <c r="U346" s="1128"/>
      <c r="V346" s="1128"/>
      <c r="W346" s="1128"/>
      <c r="X346" s="1128"/>
      <c r="Y346" s="1128"/>
      <c r="Z346" s="1128"/>
    </row>
    <row r="347" ht="22.5" customHeight="1">
      <c r="A347" s="1128"/>
      <c r="B347" s="1128"/>
      <c r="C347" s="1128"/>
      <c r="D347" s="1128"/>
      <c r="E347" s="1128"/>
      <c r="F347" s="1128"/>
      <c r="G347" s="1128"/>
      <c r="H347" s="1128"/>
      <c r="I347" s="1128"/>
      <c r="J347" s="1128"/>
      <c r="K347" s="1128"/>
      <c r="L347" s="1128"/>
      <c r="M347" s="1128"/>
      <c r="N347" s="1128"/>
      <c r="O347" s="1128"/>
      <c r="P347" s="1128"/>
      <c r="Q347" s="1128"/>
      <c r="R347" s="1128"/>
      <c r="S347" s="1128"/>
      <c r="T347" s="1128"/>
      <c r="U347" s="1128"/>
      <c r="V347" s="1128"/>
      <c r="W347" s="1128"/>
      <c r="X347" s="1128"/>
      <c r="Y347" s="1128"/>
      <c r="Z347" s="1128"/>
    </row>
    <row r="348" ht="22.5" customHeight="1">
      <c r="A348" s="1128"/>
      <c r="B348" s="1128"/>
      <c r="C348" s="1128"/>
      <c r="D348" s="1128"/>
      <c r="E348" s="1128"/>
      <c r="F348" s="1128"/>
      <c r="G348" s="1128"/>
      <c r="H348" s="1128"/>
      <c r="I348" s="1128"/>
      <c r="J348" s="1128"/>
      <c r="K348" s="1128"/>
      <c r="L348" s="1128"/>
      <c r="M348" s="1128"/>
      <c r="N348" s="1128"/>
      <c r="O348" s="1128"/>
      <c r="P348" s="1128"/>
      <c r="Q348" s="1128"/>
      <c r="R348" s="1128"/>
      <c r="S348" s="1128"/>
      <c r="T348" s="1128"/>
      <c r="U348" s="1128"/>
      <c r="V348" s="1128"/>
      <c r="W348" s="1128"/>
      <c r="X348" s="1128"/>
      <c r="Y348" s="1128"/>
      <c r="Z348" s="1128"/>
    </row>
    <row r="349" ht="22.5" customHeight="1">
      <c r="A349" s="1128"/>
      <c r="B349" s="1128"/>
      <c r="C349" s="1128"/>
      <c r="D349" s="1128"/>
      <c r="E349" s="1128"/>
      <c r="F349" s="1128"/>
      <c r="G349" s="1128"/>
      <c r="H349" s="1128"/>
      <c r="I349" s="1128"/>
      <c r="J349" s="1128"/>
      <c r="K349" s="1128"/>
      <c r="L349" s="1128"/>
      <c r="M349" s="1128"/>
      <c r="N349" s="1128"/>
      <c r="O349" s="1128"/>
      <c r="P349" s="1128"/>
      <c r="Q349" s="1128"/>
      <c r="R349" s="1128"/>
      <c r="S349" s="1128"/>
      <c r="T349" s="1128"/>
      <c r="U349" s="1128"/>
      <c r="V349" s="1128"/>
      <c r="W349" s="1128"/>
      <c r="X349" s="1128"/>
      <c r="Y349" s="1128"/>
      <c r="Z349" s="1128"/>
    </row>
    <row r="350" ht="22.5" customHeight="1">
      <c r="A350" s="1128"/>
      <c r="B350" s="1128"/>
      <c r="C350" s="1128"/>
      <c r="D350" s="1128"/>
      <c r="E350" s="1128"/>
      <c r="F350" s="1128"/>
      <c r="G350" s="1128"/>
      <c r="H350" s="1128"/>
      <c r="I350" s="1128"/>
      <c r="J350" s="1128"/>
      <c r="K350" s="1128"/>
      <c r="L350" s="1128"/>
      <c r="M350" s="1128"/>
      <c r="N350" s="1128"/>
      <c r="O350" s="1128"/>
      <c r="P350" s="1128"/>
      <c r="Q350" s="1128"/>
      <c r="R350" s="1128"/>
      <c r="S350" s="1128"/>
      <c r="T350" s="1128"/>
      <c r="U350" s="1128"/>
      <c r="V350" s="1128"/>
      <c r="W350" s="1128"/>
      <c r="X350" s="1128"/>
      <c r="Y350" s="1128"/>
      <c r="Z350" s="1128"/>
    </row>
    <row r="351" ht="22.5" customHeight="1">
      <c r="A351" s="1128"/>
      <c r="B351" s="1128"/>
      <c r="C351" s="1128"/>
      <c r="D351" s="1128"/>
      <c r="E351" s="1128"/>
      <c r="F351" s="1128"/>
      <c r="G351" s="1128"/>
      <c r="H351" s="1128"/>
      <c r="I351" s="1128"/>
      <c r="J351" s="1128"/>
      <c r="K351" s="1128"/>
      <c r="L351" s="1128"/>
      <c r="M351" s="1128"/>
      <c r="N351" s="1128"/>
      <c r="O351" s="1128"/>
      <c r="P351" s="1128"/>
      <c r="Q351" s="1128"/>
      <c r="R351" s="1128"/>
      <c r="S351" s="1128"/>
      <c r="T351" s="1128"/>
      <c r="U351" s="1128"/>
      <c r="V351" s="1128"/>
      <c r="W351" s="1128"/>
      <c r="X351" s="1128"/>
      <c r="Y351" s="1128"/>
      <c r="Z351" s="1128"/>
    </row>
    <row r="352" ht="22.5" customHeight="1">
      <c r="A352" s="1128"/>
      <c r="B352" s="1128"/>
      <c r="C352" s="1128"/>
      <c r="D352" s="1128"/>
      <c r="E352" s="1128"/>
      <c r="F352" s="1128"/>
      <c r="G352" s="1128"/>
      <c r="H352" s="1128"/>
      <c r="I352" s="1128"/>
      <c r="J352" s="1128"/>
      <c r="K352" s="1128"/>
      <c r="L352" s="1128"/>
      <c r="M352" s="1128"/>
      <c r="N352" s="1128"/>
      <c r="O352" s="1128"/>
      <c r="P352" s="1128"/>
      <c r="Q352" s="1128"/>
      <c r="R352" s="1128"/>
      <c r="S352" s="1128"/>
      <c r="T352" s="1128"/>
      <c r="U352" s="1128"/>
      <c r="V352" s="1128"/>
      <c r="W352" s="1128"/>
      <c r="X352" s="1128"/>
      <c r="Y352" s="1128"/>
      <c r="Z352" s="1128"/>
    </row>
    <row r="353" ht="22.5" customHeight="1">
      <c r="A353" s="1128"/>
      <c r="B353" s="1128"/>
      <c r="C353" s="1128"/>
      <c r="D353" s="1128"/>
      <c r="E353" s="1128"/>
      <c r="F353" s="1128"/>
      <c r="G353" s="1128"/>
      <c r="H353" s="1128"/>
      <c r="I353" s="1128"/>
      <c r="J353" s="1128"/>
      <c r="K353" s="1128"/>
      <c r="L353" s="1128"/>
      <c r="M353" s="1128"/>
      <c r="N353" s="1128"/>
      <c r="O353" s="1128"/>
      <c r="P353" s="1128"/>
      <c r="Q353" s="1128"/>
      <c r="R353" s="1128"/>
      <c r="S353" s="1128"/>
      <c r="T353" s="1128"/>
      <c r="U353" s="1128"/>
      <c r="V353" s="1128"/>
      <c r="W353" s="1128"/>
      <c r="X353" s="1128"/>
      <c r="Y353" s="1128"/>
      <c r="Z353" s="1128"/>
    </row>
    <row r="354" ht="22.5" customHeight="1">
      <c r="A354" s="1128"/>
      <c r="B354" s="1128"/>
      <c r="C354" s="1128"/>
      <c r="D354" s="1128"/>
      <c r="E354" s="1128"/>
      <c r="F354" s="1128"/>
      <c r="G354" s="1128"/>
      <c r="H354" s="1128"/>
      <c r="I354" s="1128"/>
      <c r="J354" s="1128"/>
      <c r="K354" s="1128"/>
      <c r="L354" s="1128"/>
      <c r="M354" s="1128"/>
      <c r="N354" s="1128"/>
      <c r="O354" s="1128"/>
      <c r="P354" s="1128"/>
      <c r="Q354" s="1128"/>
      <c r="R354" s="1128"/>
      <c r="S354" s="1128"/>
      <c r="T354" s="1128"/>
      <c r="U354" s="1128"/>
      <c r="V354" s="1128"/>
      <c r="W354" s="1128"/>
      <c r="X354" s="1128"/>
      <c r="Y354" s="1128"/>
      <c r="Z354" s="1128"/>
    </row>
    <row r="355" ht="22.5" customHeight="1">
      <c r="A355" s="1128"/>
      <c r="B355" s="1128"/>
      <c r="C355" s="1128"/>
      <c r="D355" s="1128"/>
      <c r="E355" s="1128"/>
      <c r="F355" s="1128"/>
      <c r="G355" s="1128"/>
      <c r="H355" s="1128"/>
      <c r="I355" s="1128"/>
      <c r="J355" s="1128"/>
      <c r="K355" s="1128"/>
      <c r="L355" s="1128"/>
      <c r="M355" s="1128"/>
      <c r="N355" s="1128"/>
      <c r="O355" s="1128"/>
      <c r="P355" s="1128"/>
      <c r="Q355" s="1128"/>
      <c r="R355" s="1128"/>
      <c r="S355" s="1128"/>
      <c r="T355" s="1128"/>
      <c r="U355" s="1128"/>
      <c r="V355" s="1128"/>
      <c r="W355" s="1128"/>
      <c r="X355" s="1128"/>
      <c r="Y355" s="1128"/>
      <c r="Z355" s="1128"/>
    </row>
    <row r="356" ht="22.5" customHeight="1">
      <c r="A356" s="1128"/>
      <c r="B356" s="1128"/>
      <c r="C356" s="1128"/>
      <c r="D356" s="1128"/>
      <c r="E356" s="1128"/>
      <c r="F356" s="1128"/>
      <c r="G356" s="1128"/>
      <c r="H356" s="1128"/>
      <c r="I356" s="1128"/>
      <c r="J356" s="1128"/>
      <c r="K356" s="1128"/>
      <c r="L356" s="1128"/>
      <c r="M356" s="1128"/>
      <c r="N356" s="1128"/>
      <c r="O356" s="1128"/>
      <c r="P356" s="1128"/>
      <c r="Q356" s="1128"/>
      <c r="R356" s="1128"/>
      <c r="S356" s="1128"/>
      <c r="T356" s="1128"/>
      <c r="U356" s="1128"/>
      <c r="V356" s="1128"/>
      <c r="W356" s="1128"/>
      <c r="X356" s="1128"/>
      <c r="Y356" s="1128"/>
      <c r="Z356" s="1128"/>
    </row>
    <row r="357" ht="22.5" customHeight="1">
      <c r="A357" s="1128"/>
      <c r="B357" s="1128"/>
      <c r="C357" s="1128"/>
      <c r="D357" s="1128"/>
      <c r="E357" s="1128"/>
      <c r="F357" s="1128"/>
      <c r="G357" s="1128"/>
      <c r="H357" s="1128"/>
      <c r="I357" s="1128"/>
      <c r="J357" s="1128"/>
      <c r="K357" s="1128"/>
      <c r="L357" s="1128"/>
      <c r="M357" s="1128"/>
      <c r="N357" s="1128"/>
      <c r="O357" s="1128"/>
      <c r="P357" s="1128"/>
      <c r="Q357" s="1128"/>
      <c r="R357" s="1128"/>
      <c r="S357" s="1128"/>
      <c r="T357" s="1128"/>
      <c r="U357" s="1128"/>
      <c r="V357" s="1128"/>
      <c r="W357" s="1128"/>
      <c r="X357" s="1128"/>
      <c r="Y357" s="1128"/>
      <c r="Z357" s="1128"/>
    </row>
    <row r="358" ht="22.5" customHeight="1">
      <c r="A358" s="1128"/>
      <c r="B358" s="1128"/>
      <c r="C358" s="1128"/>
      <c r="D358" s="1128"/>
      <c r="E358" s="1128"/>
      <c r="F358" s="1128"/>
      <c r="G358" s="1128"/>
      <c r="H358" s="1128"/>
      <c r="I358" s="1128"/>
      <c r="J358" s="1128"/>
      <c r="K358" s="1128"/>
      <c r="L358" s="1128"/>
      <c r="M358" s="1128"/>
      <c r="N358" s="1128"/>
      <c r="O358" s="1128"/>
      <c r="P358" s="1128"/>
      <c r="Q358" s="1128"/>
      <c r="R358" s="1128"/>
      <c r="S358" s="1128"/>
      <c r="T358" s="1128"/>
      <c r="U358" s="1128"/>
      <c r="V358" s="1128"/>
      <c r="W358" s="1128"/>
      <c r="X358" s="1128"/>
      <c r="Y358" s="1128"/>
      <c r="Z358" s="1128"/>
    </row>
    <row r="359" ht="22.5" customHeight="1">
      <c r="A359" s="1128"/>
      <c r="B359" s="1128"/>
      <c r="C359" s="1128"/>
      <c r="D359" s="1128"/>
      <c r="E359" s="1128"/>
      <c r="F359" s="1128"/>
      <c r="G359" s="1128"/>
      <c r="H359" s="1128"/>
      <c r="I359" s="1128"/>
      <c r="J359" s="1128"/>
      <c r="K359" s="1128"/>
      <c r="L359" s="1128"/>
      <c r="M359" s="1128"/>
      <c r="N359" s="1128"/>
      <c r="O359" s="1128"/>
      <c r="P359" s="1128"/>
      <c r="Q359" s="1128"/>
      <c r="R359" s="1128"/>
      <c r="S359" s="1128"/>
      <c r="T359" s="1128"/>
      <c r="U359" s="1128"/>
      <c r="V359" s="1128"/>
      <c r="W359" s="1128"/>
      <c r="X359" s="1128"/>
      <c r="Y359" s="1128"/>
      <c r="Z359" s="1128"/>
    </row>
    <row r="360" ht="22.5" customHeight="1">
      <c r="A360" s="1128"/>
      <c r="B360" s="1128"/>
      <c r="C360" s="1128"/>
      <c r="D360" s="1128"/>
      <c r="E360" s="1128"/>
      <c r="F360" s="1128"/>
      <c r="G360" s="1128"/>
      <c r="H360" s="1128"/>
      <c r="I360" s="1128"/>
      <c r="J360" s="1128"/>
      <c r="K360" s="1128"/>
      <c r="L360" s="1128"/>
      <c r="M360" s="1128"/>
      <c r="N360" s="1128"/>
      <c r="O360" s="1128"/>
      <c r="P360" s="1128"/>
      <c r="Q360" s="1128"/>
      <c r="R360" s="1128"/>
      <c r="S360" s="1128"/>
      <c r="T360" s="1128"/>
      <c r="U360" s="1128"/>
      <c r="V360" s="1128"/>
      <c r="W360" s="1128"/>
      <c r="X360" s="1128"/>
      <c r="Y360" s="1128"/>
      <c r="Z360" s="1128"/>
    </row>
    <row r="361" ht="22.5" customHeight="1">
      <c r="A361" s="1128"/>
      <c r="B361" s="1128"/>
      <c r="C361" s="1128"/>
      <c r="D361" s="1128"/>
      <c r="E361" s="1128"/>
      <c r="F361" s="1128"/>
      <c r="G361" s="1128"/>
      <c r="H361" s="1128"/>
      <c r="I361" s="1128"/>
      <c r="J361" s="1128"/>
      <c r="K361" s="1128"/>
      <c r="L361" s="1128"/>
      <c r="M361" s="1128"/>
      <c r="N361" s="1128"/>
      <c r="O361" s="1128"/>
      <c r="P361" s="1128"/>
      <c r="Q361" s="1128"/>
      <c r="R361" s="1128"/>
      <c r="S361" s="1128"/>
      <c r="T361" s="1128"/>
      <c r="U361" s="1128"/>
      <c r="V361" s="1128"/>
      <c r="W361" s="1128"/>
      <c r="X361" s="1128"/>
      <c r="Y361" s="1128"/>
      <c r="Z361" s="1128"/>
    </row>
    <row r="362" ht="22.5" customHeight="1">
      <c r="A362" s="1128"/>
      <c r="B362" s="1128"/>
      <c r="C362" s="1128"/>
      <c r="D362" s="1128"/>
      <c r="E362" s="1128"/>
      <c r="F362" s="1128"/>
      <c r="G362" s="1128"/>
      <c r="H362" s="1128"/>
      <c r="I362" s="1128"/>
      <c r="J362" s="1128"/>
      <c r="K362" s="1128"/>
      <c r="L362" s="1128"/>
      <c r="M362" s="1128"/>
      <c r="N362" s="1128"/>
      <c r="O362" s="1128"/>
      <c r="P362" s="1128"/>
      <c r="Q362" s="1128"/>
      <c r="R362" s="1128"/>
      <c r="S362" s="1128"/>
      <c r="T362" s="1128"/>
      <c r="U362" s="1128"/>
      <c r="V362" s="1128"/>
      <c r="W362" s="1128"/>
      <c r="X362" s="1128"/>
      <c r="Y362" s="1128"/>
      <c r="Z362" s="1128"/>
    </row>
    <row r="363" ht="22.5" customHeight="1">
      <c r="A363" s="1128"/>
      <c r="B363" s="1128"/>
      <c r="C363" s="1128"/>
      <c r="D363" s="1128"/>
      <c r="E363" s="1128"/>
      <c r="F363" s="1128"/>
      <c r="G363" s="1128"/>
      <c r="H363" s="1128"/>
      <c r="I363" s="1128"/>
      <c r="J363" s="1128"/>
      <c r="K363" s="1128"/>
      <c r="L363" s="1128"/>
      <c r="M363" s="1128"/>
      <c r="N363" s="1128"/>
      <c r="O363" s="1128"/>
      <c r="P363" s="1128"/>
      <c r="Q363" s="1128"/>
      <c r="R363" s="1128"/>
      <c r="S363" s="1128"/>
      <c r="T363" s="1128"/>
      <c r="U363" s="1128"/>
      <c r="V363" s="1128"/>
      <c r="W363" s="1128"/>
      <c r="X363" s="1128"/>
      <c r="Y363" s="1128"/>
      <c r="Z363" s="1128"/>
    </row>
    <row r="364" ht="22.5" customHeight="1">
      <c r="A364" s="1128"/>
      <c r="B364" s="1128"/>
      <c r="C364" s="1128"/>
      <c r="D364" s="1128"/>
      <c r="E364" s="1128"/>
      <c r="F364" s="1128"/>
      <c r="G364" s="1128"/>
      <c r="H364" s="1128"/>
      <c r="I364" s="1128"/>
      <c r="J364" s="1128"/>
      <c r="K364" s="1128"/>
      <c r="L364" s="1128"/>
      <c r="M364" s="1128"/>
      <c r="N364" s="1128"/>
      <c r="O364" s="1128"/>
      <c r="P364" s="1128"/>
      <c r="Q364" s="1128"/>
      <c r="R364" s="1128"/>
      <c r="S364" s="1128"/>
      <c r="T364" s="1128"/>
      <c r="U364" s="1128"/>
      <c r="V364" s="1128"/>
      <c r="W364" s="1128"/>
      <c r="X364" s="1128"/>
      <c r="Y364" s="1128"/>
      <c r="Z364" s="1128"/>
    </row>
    <row r="365" ht="22.5" customHeight="1">
      <c r="A365" s="1128"/>
      <c r="B365" s="1128"/>
      <c r="C365" s="1128"/>
      <c r="D365" s="1128"/>
      <c r="E365" s="1128"/>
      <c r="F365" s="1128"/>
      <c r="G365" s="1128"/>
      <c r="H365" s="1128"/>
      <c r="I365" s="1128"/>
      <c r="J365" s="1128"/>
      <c r="K365" s="1128"/>
      <c r="L365" s="1128"/>
      <c r="M365" s="1128"/>
      <c r="N365" s="1128"/>
      <c r="O365" s="1128"/>
      <c r="P365" s="1128"/>
      <c r="Q365" s="1128"/>
      <c r="R365" s="1128"/>
      <c r="S365" s="1128"/>
      <c r="T365" s="1128"/>
      <c r="U365" s="1128"/>
      <c r="V365" s="1128"/>
      <c r="W365" s="1128"/>
      <c r="X365" s="1128"/>
      <c r="Y365" s="1128"/>
      <c r="Z365" s="1128"/>
    </row>
    <row r="366" ht="22.5" customHeight="1">
      <c r="A366" s="1128"/>
      <c r="B366" s="1128"/>
      <c r="C366" s="1128"/>
      <c r="D366" s="1128"/>
      <c r="E366" s="1128"/>
      <c r="F366" s="1128"/>
      <c r="G366" s="1128"/>
      <c r="H366" s="1128"/>
      <c r="I366" s="1128"/>
      <c r="J366" s="1128"/>
      <c r="K366" s="1128"/>
      <c r="L366" s="1128"/>
      <c r="M366" s="1128"/>
      <c r="N366" s="1128"/>
      <c r="O366" s="1128"/>
      <c r="P366" s="1128"/>
      <c r="Q366" s="1128"/>
      <c r="R366" s="1128"/>
      <c r="S366" s="1128"/>
      <c r="T366" s="1128"/>
      <c r="U366" s="1128"/>
      <c r="V366" s="1128"/>
      <c r="W366" s="1128"/>
      <c r="X366" s="1128"/>
      <c r="Y366" s="1128"/>
      <c r="Z366" s="1128"/>
    </row>
    <row r="367" ht="22.5" customHeight="1">
      <c r="A367" s="1128"/>
      <c r="B367" s="1128"/>
      <c r="C367" s="1128"/>
      <c r="D367" s="1128"/>
      <c r="E367" s="1128"/>
      <c r="F367" s="1128"/>
      <c r="G367" s="1128"/>
      <c r="H367" s="1128"/>
      <c r="I367" s="1128"/>
      <c r="J367" s="1128"/>
      <c r="K367" s="1128"/>
      <c r="L367" s="1128"/>
      <c r="M367" s="1128"/>
      <c r="N367" s="1128"/>
      <c r="O367" s="1128"/>
      <c r="P367" s="1128"/>
      <c r="Q367" s="1128"/>
      <c r="R367" s="1128"/>
      <c r="S367" s="1128"/>
      <c r="T367" s="1128"/>
      <c r="U367" s="1128"/>
      <c r="V367" s="1128"/>
      <c r="W367" s="1128"/>
      <c r="X367" s="1128"/>
      <c r="Y367" s="1128"/>
      <c r="Z367" s="1128"/>
    </row>
    <row r="368" ht="22.5" customHeight="1">
      <c r="A368" s="1128"/>
      <c r="B368" s="1128"/>
      <c r="C368" s="1128"/>
      <c r="D368" s="1128"/>
      <c r="E368" s="1128"/>
      <c r="F368" s="1128"/>
      <c r="G368" s="1128"/>
      <c r="H368" s="1128"/>
      <c r="I368" s="1128"/>
      <c r="J368" s="1128"/>
      <c r="K368" s="1128"/>
      <c r="L368" s="1128"/>
      <c r="M368" s="1128"/>
      <c r="N368" s="1128"/>
      <c r="O368" s="1128"/>
      <c r="P368" s="1128"/>
      <c r="Q368" s="1128"/>
      <c r="R368" s="1128"/>
      <c r="S368" s="1128"/>
      <c r="T368" s="1128"/>
      <c r="U368" s="1128"/>
      <c r="V368" s="1128"/>
      <c r="W368" s="1128"/>
      <c r="X368" s="1128"/>
      <c r="Y368" s="1128"/>
      <c r="Z368" s="1128"/>
    </row>
    <row r="369" ht="22.5" customHeight="1">
      <c r="A369" s="1128"/>
      <c r="B369" s="1128"/>
      <c r="C369" s="1128"/>
      <c r="D369" s="1128"/>
      <c r="E369" s="1128"/>
      <c r="F369" s="1128"/>
      <c r="G369" s="1128"/>
      <c r="H369" s="1128"/>
      <c r="I369" s="1128"/>
      <c r="J369" s="1128"/>
      <c r="K369" s="1128"/>
      <c r="L369" s="1128"/>
      <c r="M369" s="1128"/>
      <c r="N369" s="1128"/>
      <c r="O369" s="1128"/>
      <c r="P369" s="1128"/>
      <c r="Q369" s="1128"/>
      <c r="R369" s="1128"/>
      <c r="S369" s="1128"/>
      <c r="T369" s="1128"/>
      <c r="U369" s="1128"/>
      <c r="V369" s="1128"/>
      <c r="W369" s="1128"/>
      <c r="X369" s="1128"/>
      <c r="Y369" s="1128"/>
      <c r="Z369" s="1128"/>
    </row>
    <row r="370" ht="22.5" customHeight="1">
      <c r="A370" s="1128"/>
      <c r="B370" s="1128"/>
      <c r="C370" s="1128"/>
      <c r="D370" s="1128"/>
      <c r="E370" s="1128"/>
      <c r="F370" s="1128"/>
      <c r="G370" s="1128"/>
      <c r="H370" s="1128"/>
      <c r="I370" s="1128"/>
      <c r="J370" s="1128"/>
      <c r="K370" s="1128"/>
      <c r="L370" s="1128"/>
      <c r="M370" s="1128"/>
      <c r="N370" s="1128"/>
      <c r="O370" s="1128"/>
      <c r="P370" s="1128"/>
      <c r="Q370" s="1128"/>
      <c r="R370" s="1128"/>
      <c r="S370" s="1128"/>
      <c r="T370" s="1128"/>
      <c r="U370" s="1128"/>
      <c r="V370" s="1128"/>
      <c r="W370" s="1128"/>
      <c r="X370" s="1128"/>
      <c r="Y370" s="1128"/>
      <c r="Z370" s="1128"/>
    </row>
    <row r="371" ht="22.5" customHeight="1">
      <c r="A371" s="1128"/>
      <c r="B371" s="1128"/>
      <c r="C371" s="1128"/>
      <c r="D371" s="1128"/>
      <c r="E371" s="1128"/>
      <c r="F371" s="1128"/>
      <c r="G371" s="1128"/>
      <c r="H371" s="1128"/>
      <c r="I371" s="1128"/>
      <c r="J371" s="1128"/>
      <c r="K371" s="1128"/>
      <c r="L371" s="1128"/>
      <c r="M371" s="1128"/>
      <c r="N371" s="1128"/>
      <c r="O371" s="1128"/>
      <c r="P371" s="1128"/>
      <c r="Q371" s="1128"/>
      <c r="R371" s="1128"/>
      <c r="S371" s="1128"/>
      <c r="T371" s="1128"/>
      <c r="U371" s="1128"/>
      <c r="V371" s="1128"/>
      <c r="W371" s="1128"/>
      <c r="X371" s="1128"/>
      <c r="Y371" s="1128"/>
      <c r="Z371" s="1128"/>
    </row>
    <row r="372" ht="22.5" customHeight="1">
      <c r="A372" s="1128"/>
      <c r="B372" s="1128"/>
      <c r="C372" s="1128"/>
      <c r="D372" s="1128"/>
      <c r="E372" s="1128"/>
      <c r="F372" s="1128"/>
      <c r="G372" s="1128"/>
      <c r="H372" s="1128"/>
      <c r="I372" s="1128"/>
      <c r="J372" s="1128"/>
      <c r="K372" s="1128"/>
      <c r="L372" s="1128"/>
      <c r="M372" s="1128"/>
      <c r="N372" s="1128"/>
      <c r="O372" s="1128"/>
      <c r="P372" s="1128"/>
      <c r="Q372" s="1128"/>
      <c r="R372" s="1128"/>
      <c r="S372" s="1128"/>
      <c r="T372" s="1128"/>
      <c r="U372" s="1128"/>
      <c r="V372" s="1128"/>
      <c r="W372" s="1128"/>
      <c r="X372" s="1128"/>
      <c r="Y372" s="1128"/>
      <c r="Z372" s="1128"/>
    </row>
    <row r="373" ht="22.5" customHeight="1">
      <c r="A373" s="1128"/>
      <c r="B373" s="1128"/>
      <c r="C373" s="1128"/>
      <c r="D373" s="1128"/>
      <c r="E373" s="1128"/>
      <c r="F373" s="1128"/>
      <c r="G373" s="1128"/>
      <c r="H373" s="1128"/>
      <c r="I373" s="1128"/>
      <c r="J373" s="1128"/>
      <c r="K373" s="1128"/>
      <c r="L373" s="1128"/>
      <c r="M373" s="1128"/>
      <c r="N373" s="1128"/>
      <c r="O373" s="1128"/>
      <c r="P373" s="1128"/>
      <c r="Q373" s="1128"/>
      <c r="R373" s="1128"/>
      <c r="S373" s="1128"/>
      <c r="T373" s="1128"/>
      <c r="U373" s="1128"/>
      <c r="V373" s="1128"/>
      <c r="W373" s="1128"/>
      <c r="X373" s="1128"/>
      <c r="Y373" s="1128"/>
      <c r="Z373" s="1128"/>
    </row>
    <row r="374" ht="22.5" customHeight="1">
      <c r="A374" s="1128"/>
      <c r="B374" s="1128"/>
      <c r="C374" s="1128"/>
      <c r="D374" s="1128"/>
      <c r="E374" s="1128"/>
      <c r="F374" s="1128"/>
      <c r="G374" s="1128"/>
      <c r="H374" s="1128"/>
      <c r="I374" s="1128"/>
      <c r="J374" s="1128"/>
      <c r="K374" s="1128"/>
      <c r="L374" s="1128"/>
      <c r="M374" s="1128"/>
      <c r="N374" s="1128"/>
      <c r="O374" s="1128"/>
      <c r="P374" s="1128"/>
      <c r="Q374" s="1128"/>
      <c r="R374" s="1128"/>
      <c r="S374" s="1128"/>
      <c r="T374" s="1128"/>
      <c r="U374" s="1128"/>
      <c r="V374" s="1128"/>
      <c r="W374" s="1128"/>
      <c r="X374" s="1128"/>
      <c r="Y374" s="1128"/>
      <c r="Z374" s="1128"/>
    </row>
    <row r="375" ht="22.5" customHeight="1">
      <c r="A375" s="1128"/>
      <c r="B375" s="1128"/>
      <c r="C375" s="1128"/>
      <c r="D375" s="1128"/>
      <c r="E375" s="1128"/>
      <c r="F375" s="1128"/>
      <c r="G375" s="1128"/>
      <c r="H375" s="1128"/>
      <c r="I375" s="1128"/>
      <c r="J375" s="1128"/>
      <c r="K375" s="1128"/>
      <c r="L375" s="1128"/>
      <c r="M375" s="1128"/>
      <c r="N375" s="1128"/>
      <c r="O375" s="1128"/>
      <c r="P375" s="1128"/>
      <c r="Q375" s="1128"/>
      <c r="R375" s="1128"/>
      <c r="S375" s="1128"/>
      <c r="T375" s="1128"/>
      <c r="U375" s="1128"/>
      <c r="V375" s="1128"/>
      <c r="W375" s="1128"/>
      <c r="X375" s="1128"/>
      <c r="Y375" s="1128"/>
      <c r="Z375" s="1128"/>
    </row>
    <row r="376" ht="22.5" customHeight="1">
      <c r="A376" s="1128"/>
      <c r="B376" s="1128"/>
      <c r="C376" s="1128"/>
      <c r="D376" s="1128"/>
      <c r="E376" s="1128"/>
      <c r="F376" s="1128"/>
      <c r="G376" s="1128"/>
      <c r="H376" s="1128"/>
      <c r="I376" s="1128"/>
      <c r="J376" s="1128"/>
      <c r="K376" s="1128"/>
      <c r="L376" s="1128"/>
      <c r="M376" s="1128"/>
      <c r="N376" s="1128"/>
      <c r="O376" s="1128"/>
      <c r="P376" s="1128"/>
      <c r="Q376" s="1128"/>
      <c r="R376" s="1128"/>
      <c r="S376" s="1128"/>
      <c r="T376" s="1128"/>
      <c r="U376" s="1128"/>
      <c r="V376" s="1128"/>
      <c r="W376" s="1128"/>
      <c r="X376" s="1128"/>
      <c r="Y376" s="1128"/>
      <c r="Z376" s="1128"/>
    </row>
    <row r="377" ht="22.5" customHeight="1">
      <c r="A377" s="1128"/>
      <c r="B377" s="1128"/>
      <c r="C377" s="1128"/>
      <c r="D377" s="1128"/>
      <c r="E377" s="1128"/>
      <c r="F377" s="1128"/>
      <c r="G377" s="1128"/>
      <c r="H377" s="1128"/>
      <c r="I377" s="1128"/>
      <c r="J377" s="1128"/>
      <c r="K377" s="1128"/>
      <c r="L377" s="1128"/>
      <c r="M377" s="1128"/>
      <c r="N377" s="1128"/>
      <c r="O377" s="1128"/>
      <c r="P377" s="1128"/>
      <c r="Q377" s="1128"/>
      <c r="R377" s="1128"/>
      <c r="S377" s="1128"/>
      <c r="T377" s="1128"/>
      <c r="U377" s="1128"/>
      <c r="V377" s="1128"/>
      <c r="W377" s="1128"/>
      <c r="X377" s="1128"/>
      <c r="Y377" s="1128"/>
      <c r="Z377" s="1128"/>
    </row>
    <row r="378" ht="22.5" customHeight="1">
      <c r="A378" s="1128"/>
      <c r="B378" s="1128"/>
      <c r="C378" s="1128"/>
      <c r="D378" s="1128"/>
      <c r="E378" s="1128"/>
      <c r="F378" s="1128"/>
      <c r="G378" s="1128"/>
      <c r="H378" s="1128"/>
      <c r="I378" s="1128"/>
      <c r="J378" s="1128"/>
      <c r="K378" s="1128"/>
      <c r="L378" s="1128"/>
      <c r="M378" s="1128"/>
      <c r="N378" s="1128"/>
      <c r="O378" s="1128"/>
      <c r="P378" s="1128"/>
      <c r="Q378" s="1128"/>
      <c r="R378" s="1128"/>
      <c r="S378" s="1128"/>
      <c r="T378" s="1128"/>
      <c r="U378" s="1128"/>
      <c r="V378" s="1128"/>
      <c r="W378" s="1128"/>
      <c r="X378" s="1128"/>
      <c r="Y378" s="1128"/>
      <c r="Z378" s="1128"/>
    </row>
    <row r="379" ht="22.5" customHeight="1">
      <c r="A379" s="1128"/>
      <c r="B379" s="1128"/>
      <c r="C379" s="1128"/>
      <c r="D379" s="1128"/>
      <c r="E379" s="1128"/>
      <c r="F379" s="1128"/>
      <c r="G379" s="1128"/>
      <c r="H379" s="1128"/>
      <c r="I379" s="1128"/>
      <c r="J379" s="1128"/>
      <c r="K379" s="1128"/>
      <c r="L379" s="1128"/>
      <c r="M379" s="1128"/>
      <c r="N379" s="1128"/>
      <c r="O379" s="1128"/>
      <c r="P379" s="1128"/>
      <c r="Q379" s="1128"/>
      <c r="R379" s="1128"/>
      <c r="S379" s="1128"/>
      <c r="T379" s="1128"/>
      <c r="U379" s="1128"/>
      <c r="V379" s="1128"/>
      <c r="W379" s="1128"/>
      <c r="X379" s="1128"/>
      <c r="Y379" s="1128"/>
      <c r="Z379" s="1128"/>
    </row>
    <row r="380" ht="22.5" customHeight="1">
      <c r="A380" s="1128"/>
      <c r="B380" s="1128"/>
      <c r="C380" s="1128"/>
      <c r="D380" s="1128"/>
      <c r="E380" s="1128"/>
      <c r="F380" s="1128"/>
      <c r="G380" s="1128"/>
      <c r="H380" s="1128"/>
      <c r="I380" s="1128"/>
      <c r="J380" s="1128"/>
      <c r="K380" s="1128"/>
      <c r="L380" s="1128"/>
      <c r="M380" s="1128"/>
      <c r="N380" s="1128"/>
      <c r="O380" s="1128"/>
      <c r="P380" s="1128"/>
      <c r="Q380" s="1128"/>
      <c r="R380" s="1128"/>
      <c r="S380" s="1128"/>
      <c r="T380" s="1128"/>
      <c r="U380" s="1128"/>
      <c r="V380" s="1128"/>
      <c r="W380" s="1128"/>
      <c r="X380" s="1128"/>
      <c r="Y380" s="1128"/>
      <c r="Z380" s="1128"/>
    </row>
    <row r="381" ht="22.5" customHeight="1">
      <c r="A381" s="1128"/>
      <c r="B381" s="1128"/>
      <c r="C381" s="1128"/>
      <c r="D381" s="1128"/>
      <c r="E381" s="1128"/>
      <c r="F381" s="1128"/>
      <c r="G381" s="1128"/>
      <c r="H381" s="1128"/>
      <c r="I381" s="1128"/>
      <c r="J381" s="1128"/>
      <c r="K381" s="1128"/>
      <c r="L381" s="1128"/>
      <c r="M381" s="1128"/>
      <c r="N381" s="1128"/>
      <c r="O381" s="1128"/>
      <c r="P381" s="1128"/>
      <c r="Q381" s="1128"/>
      <c r="R381" s="1128"/>
      <c r="S381" s="1128"/>
      <c r="T381" s="1128"/>
      <c r="U381" s="1128"/>
      <c r="V381" s="1128"/>
      <c r="W381" s="1128"/>
      <c r="X381" s="1128"/>
      <c r="Y381" s="1128"/>
      <c r="Z381" s="1128"/>
    </row>
    <row r="382" ht="22.5" customHeight="1">
      <c r="A382" s="1128"/>
      <c r="B382" s="1128"/>
      <c r="C382" s="1128"/>
      <c r="D382" s="1128"/>
      <c r="E382" s="1128"/>
      <c r="F382" s="1128"/>
      <c r="G382" s="1128"/>
      <c r="H382" s="1128"/>
      <c r="I382" s="1128"/>
      <c r="J382" s="1128"/>
      <c r="K382" s="1128"/>
      <c r="L382" s="1128"/>
      <c r="M382" s="1128"/>
      <c r="N382" s="1128"/>
      <c r="O382" s="1128"/>
      <c r="P382" s="1128"/>
      <c r="Q382" s="1128"/>
      <c r="R382" s="1128"/>
      <c r="S382" s="1128"/>
      <c r="T382" s="1128"/>
      <c r="U382" s="1128"/>
      <c r="V382" s="1128"/>
      <c r="W382" s="1128"/>
      <c r="X382" s="1128"/>
      <c r="Y382" s="1128"/>
      <c r="Z382" s="1128"/>
    </row>
    <row r="383" ht="22.5" customHeight="1">
      <c r="A383" s="1128"/>
      <c r="B383" s="1128"/>
      <c r="C383" s="1128"/>
      <c r="D383" s="1128"/>
      <c r="E383" s="1128"/>
      <c r="F383" s="1128"/>
      <c r="G383" s="1128"/>
      <c r="H383" s="1128"/>
      <c r="I383" s="1128"/>
      <c r="J383" s="1128"/>
      <c r="K383" s="1128"/>
      <c r="L383" s="1128"/>
      <c r="M383" s="1128"/>
      <c r="N383" s="1128"/>
      <c r="O383" s="1128"/>
      <c r="P383" s="1128"/>
      <c r="Q383" s="1128"/>
      <c r="R383" s="1128"/>
      <c r="S383" s="1128"/>
      <c r="T383" s="1128"/>
      <c r="U383" s="1128"/>
      <c r="V383" s="1128"/>
      <c r="W383" s="1128"/>
      <c r="X383" s="1128"/>
      <c r="Y383" s="1128"/>
      <c r="Z383" s="1128"/>
    </row>
    <row r="384" ht="22.5" customHeight="1">
      <c r="A384" s="1128"/>
      <c r="B384" s="1128"/>
      <c r="C384" s="1128"/>
      <c r="D384" s="1128"/>
      <c r="E384" s="1128"/>
      <c r="F384" s="1128"/>
      <c r="G384" s="1128"/>
      <c r="H384" s="1128"/>
      <c r="I384" s="1128"/>
      <c r="J384" s="1128"/>
      <c r="K384" s="1128"/>
      <c r="L384" s="1128"/>
      <c r="M384" s="1128"/>
      <c r="N384" s="1128"/>
      <c r="O384" s="1128"/>
      <c r="P384" s="1128"/>
      <c r="Q384" s="1128"/>
      <c r="R384" s="1128"/>
      <c r="S384" s="1128"/>
      <c r="T384" s="1128"/>
      <c r="U384" s="1128"/>
      <c r="V384" s="1128"/>
      <c r="W384" s="1128"/>
      <c r="X384" s="1128"/>
      <c r="Y384" s="1128"/>
      <c r="Z384" s="1128"/>
    </row>
    <row r="385" ht="22.5" customHeight="1">
      <c r="A385" s="1128"/>
      <c r="B385" s="1128"/>
      <c r="C385" s="1128"/>
      <c r="D385" s="1128"/>
      <c r="E385" s="1128"/>
      <c r="F385" s="1128"/>
      <c r="G385" s="1128"/>
      <c r="H385" s="1128"/>
      <c r="I385" s="1128"/>
      <c r="J385" s="1128"/>
      <c r="K385" s="1128"/>
      <c r="L385" s="1128"/>
      <c r="M385" s="1128"/>
      <c r="N385" s="1128"/>
      <c r="O385" s="1128"/>
      <c r="P385" s="1128"/>
      <c r="Q385" s="1128"/>
      <c r="R385" s="1128"/>
      <c r="S385" s="1128"/>
      <c r="T385" s="1128"/>
      <c r="U385" s="1128"/>
      <c r="V385" s="1128"/>
      <c r="W385" s="1128"/>
      <c r="X385" s="1128"/>
      <c r="Y385" s="1128"/>
      <c r="Z385" s="1128"/>
    </row>
    <row r="386" ht="22.5" customHeight="1">
      <c r="A386" s="1128"/>
      <c r="B386" s="1128"/>
      <c r="C386" s="1128"/>
      <c r="D386" s="1128"/>
      <c r="E386" s="1128"/>
      <c r="F386" s="1128"/>
      <c r="G386" s="1128"/>
      <c r="H386" s="1128"/>
      <c r="I386" s="1128"/>
      <c r="J386" s="1128"/>
      <c r="K386" s="1128"/>
      <c r="L386" s="1128"/>
      <c r="M386" s="1128"/>
      <c r="N386" s="1128"/>
      <c r="O386" s="1128"/>
      <c r="P386" s="1128"/>
      <c r="Q386" s="1128"/>
      <c r="R386" s="1128"/>
      <c r="S386" s="1128"/>
      <c r="T386" s="1128"/>
      <c r="U386" s="1128"/>
      <c r="V386" s="1128"/>
      <c r="W386" s="1128"/>
      <c r="X386" s="1128"/>
      <c r="Y386" s="1128"/>
      <c r="Z386" s="1128"/>
    </row>
    <row r="387" ht="22.5" customHeight="1">
      <c r="A387" s="1128"/>
      <c r="B387" s="1128"/>
      <c r="C387" s="1128"/>
      <c r="D387" s="1128"/>
      <c r="E387" s="1128"/>
      <c r="F387" s="1128"/>
      <c r="G387" s="1128"/>
      <c r="H387" s="1128"/>
      <c r="I387" s="1128"/>
      <c r="J387" s="1128"/>
      <c r="K387" s="1128"/>
      <c r="L387" s="1128"/>
      <c r="M387" s="1128"/>
      <c r="N387" s="1128"/>
      <c r="O387" s="1128"/>
      <c r="P387" s="1128"/>
      <c r="Q387" s="1128"/>
      <c r="R387" s="1128"/>
      <c r="S387" s="1128"/>
      <c r="T387" s="1128"/>
      <c r="U387" s="1128"/>
      <c r="V387" s="1128"/>
      <c r="W387" s="1128"/>
      <c r="X387" s="1128"/>
      <c r="Y387" s="1128"/>
      <c r="Z387" s="1128"/>
    </row>
    <row r="388" ht="22.5" customHeight="1">
      <c r="A388" s="1128"/>
      <c r="B388" s="1128"/>
      <c r="C388" s="1128"/>
      <c r="D388" s="1128"/>
      <c r="E388" s="1128"/>
      <c r="F388" s="1128"/>
      <c r="G388" s="1128"/>
      <c r="H388" s="1128"/>
      <c r="I388" s="1128"/>
      <c r="J388" s="1128"/>
      <c r="K388" s="1128"/>
      <c r="L388" s="1128"/>
      <c r="M388" s="1128"/>
      <c r="N388" s="1128"/>
      <c r="O388" s="1128"/>
      <c r="P388" s="1128"/>
      <c r="Q388" s="1128"/>
      <c r="R388" s="1128"/>
      <c r="S388" s="1128"/>
      <c r="T388" s="1128"/>
      <c r="U388" s="1128"/>
      <c r="V388" s="1128"/>
      <c r="W388" s="1128"/>
      <c r="X388" s="1128"/>
      <c r="Y388" s="1128"/>
      <c r="Z388" s="1128"/>
    </row>
    <row r="389" ht="22.5" customHeight="1">
      <c r="A389" s="1128"/>
      <c r="B389" s="1128"/>
      <c r="C389" s="1128"/>
      <c r="D389" s="1128"/>
      <c r="E389" s="1128"/>
      <c r="F389" s="1128"/>
      <c r="G389" s="1128"/>
      <c r="H389" s="1128"/>
      <c r="I389" s="1128"/>
      <c r="J389" s="1128"/>
      <c r="K389" s="1128"/>
      <c r="L389" s="1128"/>
      <c r="M389" s="1128"/>
      <c r="N389" s="1128"/>
      <c r="O389" s="1128"/>
      <c r="P389" s="1128"/>
      <c r="Q389" s="1128"/>
      <c r="R389" s="1128"/>
      <c r="S389" s="1128"/>
      <c r="T389" s="1128"/>
      <c r="U389" s="1128"/>
      <c r="V389" s="1128"/>
      <c r="W389" s="1128"/>
      <c r="X389" s="1128"/>
      <c r="Y389" s="1128"/>
      <c r="Z389" s="1128"/>
    </row>
    <row r="390" ht="22.5" customHeight="1">
      <c r="A390" s="1128"/>
      <c r="B390" s="1128"/>
      <c r="C390" s="1128"/>
      <c r="D390" s="1128"/>
      <c r="E390" s="1128"/>
      <c r="F390" s="1128"/>
      <c r="G390" s="1128"/>
      <c r="H390" s="1128"/>
      <c r="I390" s="1128"/>
      <c r="J390" s="1128"/>
      <c r="K390" s="1128"/>
      <c r="L390" s="1128"/>
      <c r="M390" s="1128"/>
      <c r="N390" s="1128"/>
      <c r="O390" s="1128"/>
      <c r="P390" s="1128"/>
      <c r="Q390" s="1128"/>
      <c r="R390" s="1128"/>
      <c r="S390" s="1128"/>
      <c r="T390" s="1128"/>
      <c r="U390" s="1128"/>
      <c r="V390" s="1128"/>
      <c r="W390" s="1128"/>
      <c r="X390" s="1128"/>
      <c r="Y390" s="1128"/>
      <c r="Z390" s="1128"/>
    </row>
    <row r="391" ht="22.5" customHeight="1">
      <c r="A391" s="1128"/>
      <c r="B391" s="1128"/>
      <c r="C391" s="1128"/>
      <c r="D391" s="1128"/>
      <c r="E391" s="1128"/>
      <c r="F391" s="1128"/>
      <c r="G391" s="1128"/>
      <c r="H391" s="1128"/>
      <c r="I391" s="1128"/>
      <c r="J391" s="1128"/>
      <c r="K391" s="1128"/>
      <c r="L391" s="1128"/>
      <c r="M391" s="1128"/>
      <c r="N391" s="1128"/>
      <c r="O391" s="1128"/>
      <c r="P391" s="1128"/>
      <c r="Q391" s="1128"/>
      <c r="R391" s="1128"/>
      <c r="S391" s="1128"/>
      <c r="T391" s="1128"/>
      <c r="U391" s="1128"/>
      <c r="V391" s="1128"/>
      <c r="W391" s="1128"/>
      <c r="X391" s="1128"/>
      <c r="Y391" s="1128"/>
      <c r="Z391" s="1128"/>
    </row>
    <row r="392" ht="22.5" customHeight="1">
      <c r="A392" s="1128"/>
      <c r="B392" s="1128"/>
      <c r="C392" s="1128"/>
      <c r="D392" s="1128"/>
      <c r="E392" s="1128"/>
      <c r="F392" s="1128"/>
      <c r="G392" s="1128"/>
      <c r="H392" s="1128"/>
      <c r="I392" s="1128"/>
      <c r="J392" s="1128"/>
      <c r="K392" s="1128"/>
      <c r="L392" s="1128"/>
      <c r="M392" s="1128"/>
      <c r="N392" s="1128"/>
      <c r="O392" s="1128"/>
      <c r="P392" s="1128"/>
      <c r="Q392" s="1128"/>
      <c r="R392" s="1128"/>
      <c r="S392" s="1128"/>
      <c r="T392" s="1128"/>
      <c r="U392" s="1128"/>
      <c r="V392" s="1128"/>
      <c r="W392" s="1128"/>
      <c r="X392" s="1128"/>
      <c r="Y392" s="1128"/>
      <c r="Z392" s="1128"/>
    </row>
    <row r="393" ht="22.5" customHeight="1">
      <c r="A393" s="1128"/>
      <c r="B393" s="1128"/>
      <c r="C393" s="1128"/>
      <c r="D393" s="1128"/>
      <c r="E393" s="1128"/>
      <c r="F393" s="1128"/>
      <c r="G393" s="1128"/>
      <c r="H393" s="1128"/>
      <c r="I393" s="1128"/>
      <c r="J393" s="1128"/>
      <c r="K393" s="1128"/>
      <c r="L393" s="1128"/>
      <c r="M393" s="1128"/>
      <c r="N393" s="1128"/>
      <c r="O393" s="1128"/>
      <c r="P393" s="1128"/>
      <c r="Q393" s="1128"/>
      <c r="R393" s="1128"/>
      <c r="S393" s="1128"/>
      <c r="T393" s="1128"/>
      <c r="U393" s="1128"/>
      <c r="V393" s="1128"/>
      <c r="W393" s="1128"/>
      <c r="X393" s="1128"/>
      <c r="Y393" s="1128"/>
      <c r="Z393" s="1128"/>
    </row>
    <row r="394" ht="22.5" customHeight="1">
      <c r="A394" s="1128"/>
      <c r="B394" s="1128"/>
      <c r="C394" s="1128"/>
      <c r="D394" s="1128"/>
      <c r="E394" s="1128"/>
      <c r="F394" s="1128"/>
      <c r="G394" s="1128"/>
      <c r="H394" s="1128"/>
      <c r="I394" s="1128"/>
      <c r="J394" s="1128"/>
      <c r="K394" s="1128"/>
      <c r="L394" s="1128"/>
      <c r="M394" s="1128"/>
      <c r="N394" s="1128"/>
      <c r="O394" s="1128"/>
      <c r="P394" s="1128"/>
      <c r="Q394" s="1128"/>
      <c r="R394" s="1128"/>
      <c r="S394" s="1128"/>
      <c r="T394" s="1128"/>
      <c r="U394" s="1128"/>
      <c r="V394" s="1128"/>
      <c r="W394" s="1128"/>
      <c r="X394" s="1128"/>
      <c r="Y394" s="1128"/>
      <c r="Z394" s="1128"/>
    </row>
    <row r="395" ht="22.5" customHeight="1">
      <c r="A395" s="1128"/>
      <c r="B395" s="1128"/>
      <c r="C395" s="1128"/>
      <c r="D395" s="1128"/>
      <c r="E395" s="1128"/>
      <c r="F395" s="1128"/>
      <c r="G395" s="1128"/>
      <c r="H395" s="1128"/>
      <c r="I395" s="1128"/>
      <c r="J395" s="1128"/>
      <c r="K395" s="1128"/>
      <c r="L395" s="1128"/>
      <c r="M395" s="1128"/>
      <c r="N395" s="1128"/>
      <c r="O395" s="1128"/>
      <c r="P395" s="1128"/>
      <c r="Q395" s="1128"/>
      <c r="R395" s="1128"/>
      <c r="S395" s="1128"/>
      <c r="T395" s="1128"/>
      <c r="U395" s="1128"/>
      <c r="V395" s="1128"/>
      <c r="W395" s="1128"/>
      <c r="X395" s="1128"/>
      <c r="Y395" s="1128"/>
      <c r="Z395" s="1128"/>
    </row>
    <row r="396" ht="22.5" customHeight="1">
      <c r="A396" s="1128"/>
      <c r="B396" s="1128"/>
      <c r="C396" s="1128"/>
      <c r="D396" s="1128"/>
      <c r="E396" s="1128"/>
      <c r="F396" s="1128"/>
      <c r="G396" s="1128"/>
      <c r="H396" s="1128"/>
      <c r="I396" s="1128"/>
      <c r="J396" s="1128"/>
      <c r="K396" s="1128"/>
      <c r="L396" s="1128"/>
      <c r="M396" s="1128"/>
      <c r="N396" s="1128"/>
      <c r="O396" s="1128"/>
      <c r="P396" s="1128"/>
      <c r="Q396" s="1128"/>
      <c r="R396" s="1128"/>
      <c r="S396" s="1128"/>
      <c r="T396" s="1128"/>
      <c r="U396" s="1128"/>
      <c r="V396" s="1128"/>
      <c r="W396" s="1128"/>
      <c r="X396" s="1128"/>
      <c r="Y396" s="1128"/>
      <c r="Z396" s="1128"/>
    </row>
    <row r="397" ht="22.5" customHeight="1">
      <c r="A397" s="1128"/>
      <c r="B397" s="1128"/>
      <c r="C397" s="1128"/>
      <c r="D397" s="1128"/>
      <c r="E397" s="1128"/>
      <c r="F397" s="1128"/>
      <c r="G397" s="1128"/>
      <c r="H397" s="1128"/>
      <c r="I397" s="1128"/>
      <c r="J397" s="1128"/>
      <c r="K397" s="1128"/>
      <c r="L397" s="1128"/>
      <c r="M397" s="1128"/>
      <c r="N397" s="1128"/>
      <c r="O397" s="1128"/>
      <c r="P397" s="1128"/>
      <c r="Q397" s="1128"/>
      <c r="R397" s="1128"/>
      <c r="S397" s="1128"/>
      <c r="T397" s="1128"/>
      <c r="U397" s="1128"/>
      <c r="V397" s="1128"/>
      <c r="W397" s="1128"/>
      <c r="X397" s="1128"/>
      <c r="Y397" s="1128"/>
      <c r="Z397" s="1128"/>
    </row>
    <row r="398" ht="22.5" customHeight="1">
      <c r="A398" s="1128"/>
      <c r="B398" s="1128"/>
      <c r="C398" s="1128"/>
      <c r="D398" s="1128"/>
      <c r="E398" s="1128"/>
      <c r="F398" s="1128"/>
      <c r="G398" s="1128"/>
      <c r="H398" s="1128"/>
      <c r="I398" s="1128"/>
      <c r="J398" s="1128"/>
      <c r="K398" s="1128"/>
      <c r="L398" s="1128"/>
      <c r="M398" s="1128"/>
      <c r="N398" s="1128"/>
      <c r="O398" s="1128"/>
      <c r="P398" s="1128"/>
      <c r="Q398" s="1128"/>
      <c r="R398" s="1128"/>
      <c r="S398" s="1128"/>
      <c r="T398" s="1128"/>
      <c r="U398" s="1128"/>
      <c r="V398" s="1128"/>
      <c r="W398" s="1128"/>
      <c r="X398" s="1128"/>
      <c r="Y398" s="1128"/>
      <c r="Z398" s="1128"/>
    </row>
    <row r="399" ht="22.5" customHeight="1">
      <c r="A399" s="1128"/>
      <c r="B399" s="1128"/>
      <c r="C399" s="1128"/>
      <c r="D399" s="1128"/>
      <c r="E399" s="1128"/>
      <c r="F399" s="1128"/>
      <c r="G399" s="1128"/>
      <c r="H399" s="1128"/>
      <c r="I399" s="1128"/>
      <c r="J399" s="1128"/>
      <c r="K399" s="1128"/>
      <c r="L399" s="1128"/>
      <c r="M399" s="1128"/>
      <c r="N399" s="1128"/>
      <c r="O399" s="1128"/>
      <c r="P399" s="1128"/>
      <c r="Q399" s="1128"/>
      <c r="R399" s="1128"/>
      <c r="S399" s="1128"/>
      <c r="T399" s="1128"/>
      <c r="U399" s="1128"/>
      <c r="V399" s="1128"/>
      <c r="W399" s="1128"/>
      <c r="X399" s="1128"/>
      <c r="Y399" s="1128"/>
      <c r="Z399" s="1128"/>
    </row>
    <row r="400" ht="22.5" customHeight="1">
      <c r="A400" s="1128"/>
      <c r="B400" s="1128"/>
      <c r="C400" s="1128"/>
      <c r="D400" s="1128"/>
      <c r="E400" s="1128"/>
      <c r="F400" s="1128"/>
      <c r="G400" s="1128"/>
      <c r="H400" s="1128"/>
      <c r="I400" s="1128"/>
      <c r="J400" s="1128"/>
      <c r="K400" s="1128"/>
      <c r="L400" s="1128"/>
      <c r="M400" s="1128"/>
      <c r="N400" s="1128"/>
      <c r="O400" s="1128"/>
      <c r="P400" s="1128"/>
      <c r="Q400" s="1128"/>
      <c r="R400" s="1128"/>
      <c r="S400" s="1128"/>
      <c r="T400" s="1128"/>
      <c r="U400" s="1128"/>
      <c r="V400" s="1128"/>
      <c r="W400" s="1128"/>
      <c r="X400" s="1128"/>
      <c r="Y400" s="1128"/>
      <c r="Z400" s="1128"/>
    </row>
    <row r="401" ht="22.5" customHeight="1">
      <c r="A401" s="1128"/>
      <c r="B401" s="1128"/>
      <c r="C401" s="1128"/>
      <c r="D401" s="1128"/>
      <c r="E401" s="1128"/>
      <c r="F401" s="1128"/>
      <c r="G401" s="1128"/>
      <c r="H401" s="1128"/>
      <c r="I401" s="1128"/>
      <c r="J401" s="1128"/>
      <c r="K401" s="1128"/>
      <c r="L401" s="1128"/>
      <c r="M401" s="1128"/>
      <c r="N401" s="1128"/>
      <c r="O401" s="1128"/>
      <c r="P401" s="1128"/>
      <c r="Q401" s="1128"/>
      <c r="R401" s="1128"/>
      <c r="S401" s="1128"/>
      <c r="T401" s="1128"/>
      <c r="U401" s="1128"/>
      <c r="V401" s="1128"/>
      <c r="W401" s="1128"/>
      <c r="X401" s="1128"/>
      <c r="Y401" s="1128"/>
      <c r="Z401" s="1128"/>
    </row>
    <row r="402" ht="22.5" customHeight="1">
      <c r="A402" s="1128"/>
      <c r="B402" s="1128"/>
      <c r="C402" s="1128"/>
      <c r="D402" s="1128"/>
      <c r="E402" s="1128"/>
      <c r="F402" s="1128"/>
      <c r="G402" s="1128"/>
      <c r="H402" s="1128"/>
      <c r="I402" s="1128"/>
      <c r="J402" s="1128"/>
      <c r="K402" s="1128"/>
      <c r="L402" s="1128"/>
      <c r="M402" s="1128"/>
      <c r="N402" s="1128"/>
      <c r="O402" s="1128"/>
      <c r="P402" s="1128"/>
      <c r="Q402" s="1128"/>
      <c r="R402" s="1128"/>
      <c r="S402" s="1128"/>
      <c r="T402" s="1128"/>
      <c r="U402" s="1128"/>
      <c r="V402" s="1128"/>
      <c r="W402" s="1128"/>
      <c r="X402" s="1128"/>
      <c r="Y402" s="1128"/>
      <c r="Z402" s="1128"/>
    </row>
    <row r="403" ht="22.5" customHeight="1">
      <c r="A403" s="1128"/>
      <c r="B403" s="1128"/>
      <c r="C403" s="1128"/>
      <c r="D403" s="1128"/>
      <c r="E403" s="1128"/>
      <c r="F403" s="1128"/>
      <c r="G403" s="1128"/>
      <c r="H403" s="1128"/>
      <c r="I403" s="1128"/>
      <c r="J403" s="1128"/>
      <c r="K403" s="1128"/>
      <c r="L403" s="1128"/>
      <c r="M403" s="1128"/>
      <c r="N403" s="1128"/>
      <c r="O403" s="1128"/>
      <c r="P403" s="1128"/>
      <c r="Q403" s="1128"/>
      <c r="R403" s="1128"/>
      <c r="S403" s="1128"/>
      <c r="T403" s="1128"/>
      <c r="U403" s="1128"/>
      <c r="V403" s="1128"/>
      <c r="W403" s="1128"/>
      <c r="X403" s="1128"/>
      <c r="Y403" s="1128"/>
      <c r="Z403" s="1128"/>
    </row>
    <row r="404" ht="22.5" customHeight="1">
      <c r="A404" s="1128"/>
      <c r="B404" s="1128"/>
      <c r="C404" s="1128"/>
      <c r="D404" s="1128"/>
      <c r="E404" s="1128"/>
      <c r="F404" s="1128"/>
      <c r="G404" s="1128"/>
      <c r="H404" s="1128"/>
      <c r="I404" s="1128"/>
      <c r="J404" s="1128"/>
      <c r="K404" s="1128"/>
      <c r="L404" s="1128"/>
      <c r="M404" s="1128"/>
      <c r="N404" s="1128"/>
      <c r="O404" s="1128"/>
      <c r="P404" s="1128"/>
      <c r="Q404" s="1128"/>
      <c r="R404" s="1128"/>
      <c r="S404" s="1128"/>
      <c r="T404" s="1128"/>
      <c r="U404" s="1128"/>
      <c r="V404" s="1128"/>
      <c r="W404" s="1128"/>
      <c r="X404" s="1128"/>
      <c r="Y404" s="1128"/>
      <c r="Z404" s="1128"/>
    </row>
    <row r="405" ht="22.5" customHeight="1">
      <c r="A405" s="1128"/>
      <c r="B405" s="1128"/>
      <c r="C405" s="1128"/>
      <c r="D405" s="1128"/>
      <c r="E405" s="1128"/>
      <c r="F405" s="1128"/>
      <c r="G405" s="1128"/>
      <c r="H405" s="1128"/>
      <c r="I405" s="1128"/>
      <c r="J405" s="1128"/>
      <c r="K405" s="1128"/>
      <c r="L405" s="1128"/>
      <c r="M405" s="1128"/>
      <c r="N405" s="1128"/>
      <c r="O405" s="1128"/>
      <c r="P405" s="1128"/>
      <c r="Q405" s="1128"/>
      <c r="R405" s="1128"/>
      <c r="S405" s="1128"/>
      <c r="T405" s="1128"/>
      <c r="U405" s="1128"/>
      <c r="V405" s="1128"/>
      <c r="W405" s="1128"/>
      <c r="X405" s="1128"/>
      <c r="Y405" s="1128"/>
      <c r="Z405" s="1128"/>
    </row>
    <row r="406" ht="22.5" customHeight="1">
      <c r="A406" s="1128"/>
      <c r="B406" s="1128"/>
      <c r="C406" s="1128"/>
      <c r="D406" s="1128"/>
      <c r="E406" s="1128"/>
      <c r="F406" s="1128"/>
      <c r="G406" s="1128"/>
      <c r="H406" s="1128"/>
      <c r="I406" s="1128"/>
      <c r="J406" s="1128"/>
      <c r="K406" s="1128"/>
      <c r="L406" s="1128"/>
      <c r="M406" s="1128"/>
      <c r="N406" s="1128"/>
      <c r="O406" s="1128"/>
      <c r="P406" s="1128"/>
      <c r="Q406" s="1128"/>
      <c r="R406" s="1128"/>
      <c r="S406" s="1128"/>
      <c r="T406" s="1128"/>
      <c r="U406" s="1128"/>
      <c r="V406" s="1128"/>
      <c r="W406" s="1128"/>
      <c r="X406" s="1128"/>
      <c r="Y406" s="1128"/>
      <c r="Z406" s="1128"/>
    </row>
    <row r="407" ht="22.5" customHeight="1">
      <c r="A407" s="1128"/>
      <c r="B407" s="1128"/>
      <c r="C407" s="1128"/>
      <c r="D407" s="1128"/>
      <c r="E407" s="1128"/>
      <c r="F407" s="1128"/>
      <c r="G407" s="1128"/>
      <c r="H407" s="1128"/>
      <c r="I407" s="1128"/>
      <c r="J407" s="1128"/>
      <c r="K407" s="1128"/>
      <c r="L407" s="1128"/>
      <c r="M407" s="1128"/>
      <c r="N407" s="1128"/>
      <c r="O407" s="1128"/>
      <c r="P407" s="1128"/>
      <c r="Q407" s="1128"/>
      <c r="R407" s="1128"/>
      <c r="S407" s="1128"/>
      <c r="T407" s="1128"/>
      <c r="U407" s="1128"/>
      <c r="V407" s="1128"/>
      <c r="W407" s="1128"/>
      <c r="X407" s="1128"/>
      <c r="Y407" s="1128"/>
      <c r="Z407" s="1128"/>
    </row>
    <row r="408" ht="22.5" customHeight="1">
      <c r="A408" s="1128"/>
      <c r="B408" s="1128"/>
      <c r="C408" s="1128"/>
      <c r="D408" s="1128"/>
      <c r="E408" s="1128"/>
      <c r="F408" s="1128"/>
      <c r="G408" s="1128"/>
      <c r="H408" s="1128"/>
      <c r="I408" s="1128"/>
      <c r="J408" s="1128"/>
      <c r="K408" s="1128"/>
      <c r="L408" s="1128"/>
      <c r="M408" s="1128"/>
      <c r="N408" s="1128"/>
      <c r="O408" s="1128"/>
      <c r="P408" s="1128"/>
      <c r="Q408" s="1128"/>
      <c r="R408" s="1128"/>
      <c r="S408" s="1128"/>
      <c r="T408" s="1128"/>
      <c r="U408" s="1128"/>
      <c r="V408" s="1128"/>
      <c r="W408" s="1128"/>
      <c r="X408" s="1128"/>
      <c r="Y408" s="1128"/>
      <c r="Z408" s="1128"/>
    </row>
    <row r="409" ht="22.5" customHeight="1">
      <c r="A409" s="1128"/>
      <c r="B409" s="1128"/>
      <c r="C409" s="1128"/>
      <c r="D409" s="1128"/>
      <c r="E409" s="1128"/>
      <c r="F409" s="1128"/>
      <c r="G409" s="1128"/>
      <c r="H409" s="1128"/>
      <c r="I409" s="1128"/>
      <c r="J409" s="1128"/>
      <c r="K409" s="1128"/>
      <c r="L409" s="1128"/>
      <c r="M409" s="1128"/>
      <c r="N409" s="1128"/>
      <c r="O409" s="1128"/>
      <c r="P409" s="1128"/>
      <c r="Q409" s="1128"/>
      <c r="R409" s="1128"/>
      <c r="S409" s="1128"/>
      <c r="T409" s="1128"/>
      <c r="U409" s="1128"/>
      <c r="V409" s="1128"/>
      <c r="W409" s="1128"/>
      <c r="X409" s="1128"/>
      <c r="Y409" s="1128"/>
      <c r="Z409" s="1128"/>
    </row>
    <row r="410" ht="22.5" customHeight="1">
      <c r="A410" s="1128"/>
      <c r="B410" s="1128"/>
      <c r="C410" s="1128"/>
      <c r="D410" s="1128"/>
      <c r="E410" s="1128"/>
      <c r="F410" s="1128"/>
      <c r="G410" s="1128"/>
      <c r="H410" s="1128"/>
      <c r="I410" s="1128"/>
      <c r="J410" s="1128"/>
      <c r="K410" s="1128"/>
      <c r="L410" s="1128"/>
      <c r="M410" s="1128"/>
      <c r="N410" s="1128"/>
      <c r="O410" s="1128"/>
      <c r="P410" s="1128"/>
      <c r="Q410" s="1128"/>
      <c r="R410" s="1128"/>
      <c r="S410" s="1128"/>
      <c r="T410" s="1128"/>
      <c r="U410" s="1128"/>
      <c r="V410" s="1128"/>
      <c r="W410" s="1128"/>
      <c r="X410" s="1128"/>
      <c r="Y410" s="1128"/>
      <c r="Z410" s="1128"/>
    </row>
    <row r="411" ht="22.5" customHeight="1">
      <c r="A411" s="1128"/>
      <c r="B411" s="1128"/>
      <c r="C411" s="1128"/>
      <c r="D411" s="1128"/>
      <c r="E411" s="1128"/>
      <c r="F411" s="1128"/>
      <c r="G411" s="1128"/>
      <c r="H411" s="1128"/>
      <c r="I411" s="1128"/>
      <c r="J411" s="1128"/>
      <c r="K411" s="1128"/>
      <c r="L411" s="1128"/>
      <c r="M411" s="1128"/>
      <c r="N411" s="1128"/>
      <c r="O411" s="1128"/>
      <c r="P411" s="1128"/>
      <c r="Q411" s="1128"/>
      <c r="R411" s="1128"/>
      <c r="S411" s="1128"/>
      <c r="T411" s="1128"/>
      <c r="U411" s="1128"/>
      <c r="V411" s="1128"/>
      <c r="W411" s="1128"/>
      <c r="X411" s="1128"/>
      <c r="Y411" s="1128"/>
      <c r="Z411" s="1128"/>
    </row>
    <row r="412" ht="22.5" customHeight="1">
      <c r="A412" s="1128"/>
      <c r="B412" s="1128"/>
      <c r="C412" s="1128"/>
      <c r="D412" s="1128"/>
      <c r="E412" s="1128"/>
      <c r="F412" s="1128"/>
      <c r="G412" s="1128"/>
      <c r="H412" s="1128"/>
      <c r="I412" s="1128"/>
      <c r="J412" s="1128"/>
      <c r="K412" s="1128"/>
      <c r="L412" s="1128"/>
      <c r="M412" s="1128"/>
      <c r="N412" s="1128"/>
      <c r="O412" s="1128"/>
      <c r="P412" s="1128"/>
      <c r="Q412" s="1128"/>
      <c r="R412" s="1128"/>
      <c r="S412" s="1128"/>
      <c r="T412" s="1128"/>
      <c r="U412" s="1128"/>
      <c r="V412" s="1128"/>
      <c r="W412" s="1128"/>
      <c r="X412" s="1128"/>
      <c r="Y412" s="1128"/>
      <c r="Z412" s="1128"/>
    </row>
    <row r="413" ht="22.5" customHeight="1">
      <c r="A413" s="1128"/>
      <c r="B413" s="1128"/>
      <c r="C413" s="1128"/>
      <c r="D413" s="1128"/>
      <c r="E413" s="1128"/>
      <c r="F413" s="1128"/>
      <c r="G413" s="1128"/>
      <c r="H413" s="1128"/>
      <c r="I413" s="1128"/>
      <c r="J413" s="1128"/>
      <c r="K413" s="1128"/>
      <c r="L413" s="1128"/>
      <c r="M413" s="1128"/>
      <c r="N413" s="1128"/>
      <c r="O413" s="1128"/>
      <c r="P413" s="1128"/>
      <c r="Q413" s="1128"/>
      <c r="R413" s="1128"/>
      <c r="S413" s="1128"/>
      <c r="T413" s="1128"/>
      <c r="U413" s="1128"/>
      <c r="V413" s="1128"/>
      <c r="W413" s="1128"/>
      <c r="X413" s="1128"/>
      <c r="Y413" s="1128"/>
      <c r="Z413" s="1128"/>
    </row>
    <row r="414" ht="22.5" customHeight="1">
      <c r="A414" s="1128"/>
      <c r="B414" s="1128"/>
      <c r="C414" s="1128"/>
      <c r="D414" s="1128"/>
      <c r="E414" s="1128"/>
      <c r="F414" s="1128"/>
      <c r="G414" s="1128"/>
      <c r="H414" s="1128"/>
      <c r="I414" s="1128"/>
      <c r="J414" s="1128"/>
      <c r="K414" s="1128"/>
      <c r="L414" s="1128"/>
      <c r="M414" s="1128"/>
      <c r="N414" s="1128"/>
      <c r="O414" s="1128"/>
      <c r="P414" s="1128"/>
      <c r="Q414" s="1128"/>
      <c r="R414" s="1128"/>
      <c r="S414" s="1128"/>
      <c r="T414" s="1128"/>
      <c r="U414" s="1128"/>
      <c r="V414" s="1128"/>
      <c r="W414" s="1128"/>
      <c r="X414" s="1128"/>
      <c r="Y414" s="1128"/>
      <c r="Z414" s="1128"/>
    </row>
    <row r="415" ht="22.5" customHeight="1">
      <c r="A415" s="1128"/>
      <c r="B415" s="1128"/>
      <c r="C415" s="1128"/>
      <c r="D415" s="1128"/>
      <c r="E415" s="1128"/>
      <c r="F415" s="1128"/>
      <c r="G415" s="1128"/>
      <c r="H415" s="1128"/>
      <c r="I415" s="1128"/>
      <c r="J415" s="1128"/>
      <c r="K415" s="1128"/>
      <c r="L415" s="1128"/>
      <c r="M415" s="1128"/>
      <c r="N415" s="1128"/>
      <c r="O415" s="1128"/>
      <c r="P415" s="1128"/>
      <c r="Q415" s="1128"/>
      <c r="R415" s="1128"/>
      <c r="S415" s="1128"/>
      <c r="T415" s="1128"/>
      <c r="U415" s="1128"/>
      <c r="V415" s="1128"/>
      <c r="W415" s="1128"/>
      <c r="X415" s="1128"/>
      <c r="Y415" s="1128"/>
      <c r="Z415" s="1128"/>
    </row>
    <row r="416" ht="22.5" customHeight="1">
      <c r="A416" s="1128"/>
      <c r="B416" s="1128"/>
      <c r="C416" s="1128"/>
      <c r="D416" s="1128"/>
      <c r="E416" s="1128"/>
      <c r="F416" s="1128"/>
      <c r="G416" s="1128"/>
      <c r="H416" s="1128"/>
      <c r="I416" s="1128"/>
      <c r="J416" s="1128"/>
      <c r="K416" s="1128"/>
      <c r="L416" s="1128"/>
      <c r="M416" s="1128"/>
      <c r="N416" s="1128"/>
      <c r="O416" s="1128"/>
      <c r="P416" s="1128"/>
      <c r="Q416" s="1128"/>
      <c r="R416" s="1128"/>
      <c r="S416" s="1128"/>
      <c r="T416" s="1128"/>
      <c r="U416" s="1128"/>
      <c r="V416" s="1128"/>
      <c r="W416" s="1128"/>
      <c r="X416" s="1128"/>
      <c r="Y416" s="1128"/>
      <c r="Z416" s="1128"/>
    </row>
    <row r="417" ht="22.5" customHeight="1">
      <c r="A417" s="1128"/>
      <c r="B417" s="1128"/>
      <c r="C417" s="1128"/>
      <c r="D417" s="1128"/>
      <c r="E417" s="1128"/>
      <c r="F417" s="1128"/>
      <c r="G417" s="1128"/>
      <c r="H417" s="1128"/>
      <c r="I417" s="1128"/>
      <c r="J417" s="1128"/>
      <c r="K417" s="1128"/>
      <c r="L417" s="1128"/>
      <c r="M417" s="1128"/>
      <c r="N417" s="1128"/>
      <c r="O417" s="1128"/>
      <c r="P417" s="1128"/>
      <c r="Q417" s="1128"/>
      <c r="R417" s="1128"/>
      <c r="S417" s="1128"/>
      <c r="T417" s="1128"/>
      <c r="U417" s="1128"/>
      <c r="V417" s="1128"/>
      <c r="W417" s="1128"/>
      <c r="X417" s="1128"/>
      <c r="Y417" s="1128"/>
      <c r="Z417" s="1128"/>
    </row>
    <row r="418" ht="22.5" customHeight="1">
      <c r="A418" s="1128"/>
      <c r="B418" s="1128"/>
      <c r="C418" s="1128"/>
      <c r="D418" s="1128"/>
      <c r="E418" s="1128"/>
      <c r="F418" s="1128"/>
      <c r="G418" s="1128"/>
      <c r="H418" s="1128"/>
      <c r="I418" s="1128"/>
      <c r="J418" s="1128"/>
      <c r="K418" s="1128"/>
      <c r="L418" s="1128"/>
      <c r="M418" s="1128"/>
      <c r="N418" s="1128"/>
      <c r="O418" s="1128"/>
      <c r="P418" s="1128"/>
      <c r="Q418" s="1128"/>
      <c r="R418" s="1128"/>
      <c r="S418" s="1128"/>
      <c r="T418" s="1128"/>
      <c r="U418" s="1128"/>
      <c r="V418" s="1128"/>
      <c r="W418" s="1128"/>
      <c r="X418" s="1128"/>
      <c r="Y418" s="1128"/>
      <c r="Z418" s="1128"/>
    </row>
    <row r="419" ht="22.5" customHeight="1">
      <c r="A419" s="1128"/>
      <c r="B419" s="1128"/>
      <c r="C419" s="1128"/>
      <c r="D419" s="1128"/>
      <c r="E419" s="1128"/>
      <c r="F419" s="1128"/>
      <c r="G419" s="1128"/>
      <c r="H419" s="1128"/>
      <c r="I419" s="1128"/>
      <c r="J419" s="1128"/>
      <c r="K419" s="1128"/>
      <c r="L419" s="1128"/>
      <c r="M419" s="1128"/>
      <c r="N419" s="1128"/>
      <c r="O419" s="1128"/>
      <c r="P419" s="1128"/>
      <c r="Q419" s="1128"/>
      <c r="R419" s="1128"/>
      <c r="S419" s="1128"/>
      <c r="T419" s="1128"/>
      <c r="U419" s="1128"/>
      <c r="V419" s="1128"/>
      <c r="W419" s="1128"/>
      <c r="X419" s="1128"/>
      <c r="Y419" s="1128"/>
      <c r="Z419" s="1128"/>
    </row>
    <row r="420" ht="22.5" customHeight="1">
      <c r="A420" s="1128"/>
      <c r="B420" s="1128"/>
      <c r="C420" s="1128"/>
      <c r="D420" s="1128"/>
      <c r="E420" s="1128"/>
      <c r="F420" s="1128"/>
      <c r="G420" s="1128"/>
      <c r="H420" s="1128"/>
      <c r="I420" s="1128"/>
      <c r="J420" s="1128"/>
      <c r="K420" s="1128"/>
      <c r="L420" s="1128"/>
      <c r="M420" s="1128"/>
      <c r="N420" s="1128"/>
      <c r="O420" s="1128"/>
      <c r="P420" s="1128"/>
      <c r="Q420" s="1128"/>
      <c r="R420" s="1128"/>
      <c r="S420" s="1128"/>
      <c r="T420" s="1128"/>
      <c r="U420" s="1128"/>
      <c r="V420" s="1128"/>
      <c r="W420" s="1128"/>
      <c r="X420" s="1128"/>
      <c r="Y420" s="1128"/>
      <c r="Z420" s="1128"/>
    </row>
    <row r="421" ht="22.5" customHeight="1">
      <c r="A421" s="1128"/>
      <c r="B421" s="1128"/>
      <c r="C421" s="1128"/>
      <c r="D421" s="1128"/>
      <c r="E421" s="1128"/>
      <c r="F421" s="1128"/>
      <c r="G421" s="1128"/>
      <c r="H421" s="1128"/>
      <c r="I421" s="1128"/>
      <c r="J421" s="1128"/>
      <c r="K421" s="1128"/>
      <c r="L421" s="1128"/>
      <c r="M421" s="1128"/>
      <c r="N421" s="1128"/>
      <c r="O421" s="1128"/>
      <c r="P421" s="1128"/>
      <c r="Q421" s="1128"/>
      <c r="R421" s="1128"/>
      <c r="S421" s="1128"/>
      <c r="T421" s="1128"/>
      <c r="U421" s="1128"/>
      <c r="V421" s="1128"/>
      <c r="W421" s="1128"/>
      <c r="X421" s="1128"/>
      <c r="Y421" s="1128"/>
      <c r="Z421" s="1128"/>
    </row>
    <row r="422" ht="22.5" customHeight="1">
      <c r="A422" s="1128"/>
      <c r="B422" s="1128"/>
      <c r="C422" s="1128"/>
      <c r="D422" s="1128"/>
      <c r="E422" s="1128"/>
      <c r="F422" s="1128"/>
      <c r="G422" s="1128"/>
      <c r="H422" s="1128"/>
      <c r="I422" s="1128"/>
      <c r="J422" s="1128"/>
      <c r="K422" s="1128"/>
      <c r="L422" s="1128"/>
      <c r="M422" s="1128"/>
      <c r="N422" s="1128"/>
      <c r="O422" s="1128"/>
      <c r="P422" s="1128"/>
      <c r="Q422" s="1128"/>
      <c r="R422" s="1128"/>
      <c r="S422" s="1128"/>
      <c r="T422" s="1128"/>
      <c r="U422" s="1128"/>
      <c r="V422" s="1128"/>
      <c r="W422" s="1128"/>
      <c r="X422" s="1128"/>
      <c r="Y422" s="1128"/>
      <c r="Z422" s="1128"/>
    </row>
    <row r="423" ht="22.5" customHeight="1">
      <c r="A423" s="1128"/>
      <c r="B423" s="1128"/>
      <c r="C423" s="1128"/>
      <c r="D423" s="1128"/>
      <c r="E423" s="1128"/>
      <c r="F423" s="1128"/>
      <c r="G423" s="1128"/>
      <c r="H423" s="1128"/>
      <c r="I423" s="1128"/>
      <c r="J423" s="1128"/>
      <c r="K423" s="1128"/>
      <c r="L423" s="1128"/>
      <c r="M423" s="1128"/>
      <c r="N423" s="1128"/>
      <c r="O423" s="1128"/>
      <c r="P423" s="1128"/>
      <c r="Q423" s="1128"/>
      <c r="R423" s="1128"/>
      <c r="S423" s="1128"/>
      <c r="T423" s="1128"/>
      <c r="U423" s="1128"/>
      <c r="V423" s="1128"/>
      <c r="W423" s="1128"/>
      <c r="X423" s="1128"/>
      <c r="Y423" s="1128"/>
      <c r="Z423" s="1128"/>
    </row>
    <row r="424" ht="22.5" customHeight="1">
      <c r="A424" s="1128"/>
      <c r="B424" s="1128"/>
      <c r="C424" s="1128"/>
      <c r="D424" s="1128"/>
      <c r="E424" s="1128"/>
      <c r="F424" s="1128"/>
      <c r="G424" s="1128"/>
      <c r="H424" s="1128"/>
      <c r="I424" s="1128"/>
      <c r="J424" s="1128"/>
      <c r="K424" s="1128"/>
      <c r="L424" s="1128"/>
      <c r="M424" s="1128"/>
      <c r="N424" s="1128"/>
      <c r="O424" s="1128"/>
      <c r="P424" s="1128"/>
      <c r="Q424" s="1128"/>
      <c r="R424" s="1128"/>
      <c r="S424" s="1128"/>
      <c r="T424" s="1128"/>
      <c r="U424" s="1128"/>
      <c r="V424" s="1128"/>
      <c r="W424" s="1128"/>
      <c r="X424" s="1128"/>
      <c r="Y424" s="1128"/>
      <c r="Z424" s="1128"/>
    </row>
    <row r="425" ht="22.5" customHeight="1">
      <c r="A425" s="1128"/>
      <c r="B425" s="1128"/>
      <c r="C425" s="1128"/>
      <c r="D425" s="1128"/>
      <c r="E425" s="1128"/>
      <c r="F425" s="1128"/>
      <c r="G425" s="1128"/>
      <c r="H425" s="1128"/>
      <c r="I425" s="1128"/>
      <c r="J425" s="1128"/>
      <c r="K425" s="1128"/>
      <c r="L425" s="1128"/>
      <c r="M425" s="1128"/>
      <c r="N425" s="1128"/>
      <c r="O425" s="1128"/>
      <c r="P425" s="1128"/>
      <c r="Q425" s="1128"/>
      <c r="R425" s="1128"/>
      <c r="S425" s="1128"/>
      <c r="T425" s="1128"/>
      <c r="U425" s="1128"/>
      <c r="V425" s="1128"/>
      <c r="W425" s="1128"/>
      <c r="X425" s="1128"/>
      <c r="Y425" s="1128"/>
      <c r="Z425" s="1128"/>
    </row>
    <row r="426" ht="22.5" customHeight="1">
      <c r="A426" s="1128"/>
      <c r="B426" s="1128"/>
      <c r="C426" s="1128"/>
      <c r="D426" s="1128"/>
      <c r="E426" s="1128"/>
      <c r="F426" s="1128"/>
      <c r="G426" s="1128"/>
      <c r="H426" s="1128"/>
      <c r="I426" s="1128"/>
      <c r="J426" s="1128"/>
      <c r="K426" s="1128"/>
      <c r="L426" s="1128"/>
      <c r="M426" s="1128"/>
      <c r="N426" s="1128"/>
      <c r="O426" s="1128"/>
      <c r="P426" s="1128"/>
      <c r="Q426" s="1128"/>
      <c r="R426" s="1128"/>
      <c r="S426" s="1128"/>
      <c r="T426" s="1128"/>
      <c r="U426" s="1128"/>
      <c r="V426" s="1128"/>
      <c r="W426" s="1128"/>
      <c r="X426" s="1128"/>
      <c r="Y426" s="1128"/>
      <c r="Z426" s="1128"/>
    </row>
    <row r="427" ht="22.5" customHeight="1">
      <c r="A427" s="1128"/>
      <c r="B427" s="1128"/>
      <c r="C427" s="1128"/>
      <c r="D427" s="1128"/>
      <c r="E427" s="1128"/>
      <c r="F427" s="1128"/>
      <c r="G427" s="1128"/>
      <c r="H427" s="1128"/>
      <c r="I427" s="1128"/>
      <c r="J427" s="1128"/>
      <c r="K427" s="1128"/>
      <c r="L427" s="1128"/>
      <c r="M427" s="1128"/>
      <c r="N427" s="1128"/>
      <c r="O427" s="1128"/>
      <c r="P427" s="1128"/>
      <c r="Q427" s="1128"/>
      <c r="R427" s="1128"/>
      <c r="S427" s="1128"/>
      <c r="T427" s="1128"/>
      <c r="U427" s="1128"/>
      <c r="V427" s="1128"/>
      <c r="W427" s="1128"/>
      <c r="X427" s="1128"/>
      <c r="Y427" s="1128"/>
      <c r="Z427" s="1128"/>
    </row>
    <row r="428" ht="22.5" customHeight="1">
      <c r="A428" s="1128"/>
      <c r="B428" s="1128"/>
      <c r="C428" s="1128"/>
      <c r="D428" s="1128"/>
      <c r="E428" s="1128"/>
      <c r="F428" s="1128"/>
      <c r="G428" s="1128"/>
      <c r="H428" s="1128"/>
      <c r="I428" s="1128"/>
      <c r="J428" s="1128"/>
      <c r="K428" s="1128"/>
      <c r="L428" s="1128"/>
      <c r="M428" s="1128"/>
      <c r="N428" s="1128"/>
      <c r="O428" s="1128"/>
      <c r="P428" s="1128"/>
      <c r="Q428" s="1128"/>
      <c r="R428" s="1128"/>
      <c r="S428" s="1128"/>
      <c r="T428" s="1128"/>
      <c r="U428" s="1128"/>
      <c r="V428" s="1128"/>
      <c r="W428" s="1128"/>
      <c r="X428" s="1128"/>
      <c r="Y428" s="1128"/>
      <c r="Z428" s="1128"/>
    </row>
    <row r="429" ht="22.5" customHeight="1">
      <c r="A429" s="1128"/>
      <c r="B429" s="1128"/>
      <c r="C429" s="1128"/>
      <c r="D429" s="1128"/>
      <c r="E429" s="1128"/>
      <c r="F429" s="1128"/>
      <c r="G429" s="1128"/>
      <c r="H429" s="1128"/>
      <c r="I429" s="1128"/>
      <c r="J429" s="1128"/>
      <c r="K429" s="1128"/>
      <c r="L429" s="1128"/>
      <c r="M429" s="1128"/>
      <c r="N429" s="1128"/>
      <c r="O429" s="1128"/>
      <c r="P429" s="1128"/>
      <c r="Q429" s="1128"/>
      <c r="R429" s="1128"/>
      <c r="S429" s="1128"/>
      <c r="T429" s="1128"/>
      <c r="U429" s="1128"/>
      <c r="V429" s="1128"/>
      <c r="W429" s="1128"/>
      <c r="X429" s="1128"/>
      <c r="Y429" s="1128"/>
      <c r="Z429" s="1128"/>
    </row>
    <row r="430" ht="22.5" customHeight="1">
      <c r="A430" s="1128"/>
      <c r="B430" s="1128"/>
      <c r="C430" s="1128"/>
      <c r="D430" s="1128"/>
      <c r="E430" s="1128"/>
      <c r="F430" s="1128"/>
      <c r="G430" s="1128"/>
      <c r="H430" s="1128"/>
      <c r="I430" s="1128"/>
      <c r="J430" s="1128"/>
      <c r="K430" s="1128"/>
      <c r="L430" s="1128"/>
      <c r="M430" s="1128"/>
      <c r="N430" s="1128"/>
      <c r="O430" s="1128"/>
      <c r="P430" s="1128"/>
      <c r="Q430" s="1128"/>
      <c r="R430" s="1128"/>
      <c r="S430" s="1128"/>
      <c r="T430" s="1128"/>
      <c r="U430" s="1128"/>
      <c r="V430" s="1128"/>
      <c r="W430" s="1128"/>
      <c r="X430" s="1128"/>
      <c r="Y430" s="1128"/>
      <c r="Z430" s="1128"/>
    </row>
    <row r="431" ht="22.5" customHeight="1">
      <c r="A431" s="1128"/>
      <c r="B431" s="1128"/>
      <c r="C431" s="1128"/>
      <c r="D431" s="1128"/>
      <c r="E431" s="1128"/>
      <c r="F431" s="1128"/>
      <c r="G431" s="1128"/>
      <c r="H431" s="1128"/>
      <c r="I431" s="1128"/>
      <c r="J431" s="1128"/>
      <c r="K431" s="1128"/>
      <c r="L431" s="1128"/>
      <c r="M431" s="1128"/>
      <c r="N431" s="1128"/>
      <c r="O431" s="1128"/>
      <c r="P431" s="1128"/>
      <c r="Q431" s="1128"/>
      <c r="R431" s="1128"/>
      <c r="S431" s="1128"/>
      <c r="T431" s="1128"/>
      <c r="U431" s="1128"/>
      <c r="V431" s="1128"/>
      <c r="W431" s="1128"/>
      <c r="X431" s="1128"/>
      <c r="Y431" s="1128"/>
      <c r="Z431" s="1128"/>
    </row>
    <row r="432" ht="22.5" customHeight="1">
      <c r="A432" s="1128"/>
      <c r="B432" s="1128"/>
      <c r="C432" s="1128"/>
      <c r="D432" s="1128"/>
      <c r="E432" s="1128"/>
      <c r="F432" s="1128"/>
      <c r="G432" s="1128"/>
      <c r="H432" s="1128"/>
      <c r="I432" s="1128"/>
      <c r="J432" s="1128"/>
      <c r="K432" s="1128"/>
      <c r="L432" s="1128"/>
      <c r="M432" s="1128"/>
      <c r="N432" s="1128"/>
      <c r="O432" s="1128"/>
      <c r="P432" s="1128"/>
      <c r="Q432" s="1128"/>
      <c r="R432" s="1128"/>
      <c r="S432" s="1128"/>
      <c r="T432" s="1128"/>
      <c r="U432" s="1128"/>
      <c r="V432" s="1128"/>
      <c r="W432" s="1128"/>
      <c r="X432" s="1128"/>
      <c r="Y432" s="1128"/>
      <c r="Z432" s="1128"/>
    </row>
    <row r="433" ht="22.5" customHeight="1">
      <c r="A433" s="1128"/>
      <c r="B433" s="1128"/>
      <c r="C433" s="1128"/>
      <c r="D433" s="1128"/>
      <c r="E433" s="1128"/>
      <c r="F433" s="1128"/>
      <c r="G433" s="1128"/>
      <c r="H433" s="1128"/>
      <c r="I433" s="1128"/>
      <c r="J433" s="1128"/>
      <c r="K433" s="1128"/>
      <c r="L433" s="1128"/>
      <c r="M433" s="1128"/>
      <c r="N433" s="1128"/>
      <c r="O433" s="1128"/>
      <c r="P433" s="1128"/>
      <c r="Q433" s="1128"/>
      <c r="R433" s="1128"/>
      <c r="S433" s="1128"/>
      <c r="T433" s="1128"/>
      <c r="U433" s="1128"/>
      <c r="V433" s="1128"/>
      <c r="W433" s="1128"/>
      <c r="X433" s="1128"/>
      <c r="Y433" s="1128"/>
      <c r="Z433" s="1128"/>
    </row>
    <row r="434" ht="22.5" customHeight="1">
      <c r="A434" s="1128"/>
      <c r="B434" s="1128"/>
      <c r="C434" s="1128"/>
      <c r="D434" s="1128"/>
      <c r="E434" s="1128"/>
      <c r="F434" s="1128"/>
      <c r="G434" s="1128"/>
      <c r="H434" s="1128"/>
      <c r="I434" s="1128"/>
      <c r="J434" s="1128"/>
      <c r="K434" s="1128"/>
      <c r="L434" s="1128"/>
      <c r="M434" s="1128"/>
      <c r="N434" s="1128"/>
      <c r="O434" s="1128"/>
      <c r="P434" s="1128"/>
      <c r="Q434" s="1128"/>
      <c r="R434" s="1128"/>
      <c r="S434" s="1128"/>
      <c r="T434" s="1128"/>
      <c r="U434" s="1128"/>
      <c r="V434" s="1128"/>
      <c r="W434" s="1128"/>
      <c r="X434" s="1128"/>
      <c r="Y434" s="1128"/>
      <c r="Z434" s="1128"/>
    </row>
    <row r="435" ht="22.5" customHeight="1">
      <c r="A435" s="1128"/>
      <c r="B435" s="1128"/>
      <c r="C435" s="1128"/>
      <c r="D435" s="1128"/>
      <c r="E435" s="1128"/>
      <c r="F435" s="1128"/>
      <c r="G435" s="1128"/>
      <c r="H435" s="1128"/>
      <c r="I435" s="1128"/>
      <c r="J435" s="1128"/>
      <c r="K435" s="1128"/>
      <c r="L435" s="1128"/>
      <c r="M435" s="1128"/>
      <c r="N435" s="1128"/>
      <c r="O435" s="1128"/>
      <c r="P435" s="1128"/>
      <c r="Q435" s="1128"/>
      <c r="R435" s="1128"/>
      <c r="S435" s="1128"/>
      <c r="T435" s="1128"/>
      <c r="U435" s="1128"/>
      <c r="V435" s="1128"/>
      <c r="W435" s="1128"/>
      <c r="X435" s="1128"/>
      <c r="Y435" s="1128"/>
      <c r="Z435" s="1128"/>
    </row>
    <row r="436" ht="22.5" customHeight="1">
      <c r="A436" s="1128"/>
      <c r="B436" s="1128"/>
      <c r="C436" s="1128"/>
      <c r="D436" s="1128"/>
      <c r="E436" s="1128"/>
      <c r="F436" s="1128"/>
      <c r="G436" s="1128"/>
      <c r="H436" s="1128"/>
      <c r="I436" s="1128"/>
      <c r="J436" s="1128"/>
      <c r="K436" s="1128"/>
      <c r="L436" s="1128"/>
      <c r="M436" s="1128"/>
      <c r="N436" s="1128"/>
      <c r="O436" s="1128"/>
      <c r="P436" s="1128"/>
      <c r="Q436" s="1128"/>
      <c r="R436" s="1128"/>
      <c r="S436" s="1128"/>
      <c r="T436" s="1128"/>
      <c r="U436" s="1128"/>
      <c r="V436" s="1128"/>
      <c r="W436" s="1128"/>
      <c r="X436" s="1128"/>
      <c r="Y436" s="1128"/>
      <c r="Z436" s="1128"/>
    </row>
    <row r="437" ht="22.5" customHeight="1">
      <c r="A437" s="1128"/>
      <c r="B437" s="1128"/>
      <c r="C437" s="1128"/>
      <c r="D437" s="1128"/>
      <c r="E437" s="1128"/>
      <c r="F437" s="1128"/>
      <c r="G437" s="1128"/>
      <c r="H437" s="1128"/>
      <c r="I437" s="1128"/>
      <c r="J437" s="1128"/>
      <c r="K437" s="1128"/>
      <c r="L437" s="1128"/>
      <c r="M437" s="1128"/>
      <c r="N437" s="1128"/>
      <c r="O437" s="1128"/>
      <c r="P437" s="1128"/>
      <c r="Q437" s="1128"/>
      <c r="R437" s="1128"/>
      <c r="S437" s="1128"/>
      <c r="T437" s="1128"/>
      <c r="U437" s="1128"/>
      <c r="V437" s="1128"/>
      <c r="W437" s="1128"/>
      <c r="X437" s="1128"/>
      <c r="Y437" s="1128"/>
      <c r="Z437" s="1128"/>
    </row>
    <row r="438" ht="22.5" customHeight="1">
      <c r="A438" s="1128"/>
      <c r="B438" s="1128"/>
      <c r="C438" s="1128"/>
      <c r="D438" s="1128"/>
      <c r="E438" s="1128"/>
      <c r="F438" s="1128"/>
      <c r="G438" s="1128"/>
      <c r="H438" s="1128"/>
      <c r="I438" s="1128"/>
      <c r="J438" s="1128"/>
      <c r="K438" s="1128"/>
      <c r="L438" s="1128"/>
      <c r="M438" s="1128"/>
      <c r="N438" s="1128"/>
      <c r="O438" s="1128"/>
      <c r="P438" s="1128"/>
      <c r="Q438" s="1128"/>
      <c r="R438" s="1128"/>
      <c r="S438" s="1128"/>
      <c r="T438" s="1128"/>
      <c r="U438" s="1128"/>
      <c r="V438" s="1128"/>
      <c r="W438" s="1128"/>
      <c r="X438" s="1128"/>
      <c r="Y438" s="1128"/>
      <c r="Z438" s="1128"/>
    </row>
    <row r="439" ht="22.5" customHeight="1">
      <c r="A439" s="1128"/>
      <c r="B439" s="1128"/>
      <c r="C439" s="1128"/>
      <c r="D439" s="1128"/>
      <c r="E439" s="1128"/>
      <c r="F439" s="1128"/>
      <c r="G439" s="1128"/>
      <c r="H439" s="1128"/>
      <c r="I439" s="1128"/>
      <c r="J439" s="1128"/>
      <c r="K439" s="1128"/>
      <c r="L439" s="1128"/>
      <c r="M439" s="1128"/>
      <c r="N439" s="1128"/>
      <c r="O439" s="1128"/>
      <c r="P439" s="1128"/>
      <c r="Q439" s="1128"/>
      <c r="R439" s="1128"/>
      <c r="S439" s="1128"/>
      <c r="T439" s="1128"/>
      <c r="U439" s="1128"/>
      <c r="V439" s="1128"/>
      <c r="W439" s="1128"/>
      <c r="X439" s="1128"/>
      <c r="Y439" s="1128"/>
      <c r="Z439" s="1128"/>
    </row>
    <row r="440" ht="22.5" customHeight="1">
      <c r="A440" s="1128"/>
      <c r="B440" s="1128"/>
      <c r="C440" s="1128"/>
      <c r="D440" s="1128"/>
      <c r="E440" s="1128"/>
      <c r="F440" s="1128"/>
      <c r="G440" s="1128"/>
      <c r="H440" s="1128"/>
      <c r="I440" s="1128"/>
      <c r="J440" s="1128"/>
      <c r="K440" s="1128"/>
      <c r="L440" s="1128"/>
      <c r="M440" s="1128"/>
      <c r="N440" s="1128"/>
      <c r="O440" s="1128"/>
      <c r="P440" s="1128"/>
      <c r="Q440" s="1128"/>
      <c r="R440" s="1128"/>
      <c r="S440" s="1128"/>
      <c r="T440" s="1128"/>
      <c r="U440" s="1128"/>
      <c r="V440" s="1128"/>
      <c r="W440" s="1128"/>
      <c r="X440" s="1128"/>
      <c r="Y440" s="1128"/>
      <c r="Z440" s="1128"/>
    </row>
    <row r="441" ht="22.5" customHeight="1">
      <c r="A441" s="1128"/>
      <c r="B441" s="1128"/>
      <c r="C441" s="1128"/>
      <c r="D441" s="1128"/>
      <c r="E441" s="1128"/>
      <c r="F441" s="1128"/>
      <c r="G441" s="1128"/>
      <c r="H441" s="1128"/>
      <c r="I441" s="1128"/>
      <c r="J441" s="1128"/>
      <c r="K441" s="1128"/>
      <c r="L441" s="1128"/>
      <c r="M441" s="1128"/>
      <c r="N441" s="1128"/>
      <c r="O441" s="1128"/>
      <c r="P441" s="1128"/>
      <c r="Q441" s="1128"/>
      <c r="R441" s="1128"/>
      <c r="S441" s="1128"/>
      <c r="T441" s="1128"/>
      <c r="U441" s="1128"/>
      <c r="V441" s="1128"/>
      <c r="W441" s="1128"/>
      <c r="X441" s="1128"/>
      <c r="Y441" s="1128"/>
      <c r="Z441" s="1128"/>
    </row>
    <row r="442" ht="22.5" customHeight="1">
      <c r="A442" s="1128"/>
      <c r="B442" s="1128"/>
      <c r="C442" s="1128"/>
      <c r="D442" s="1128"/>
      <c r="E442" s="1128"/>
      <c r="F442" s="1128"/>
      <c r="G442" s="1128"/>
      <c r="H442" s="1128"/>
      <c r="I442" s="1128"/>
      <c r="J442" s="1128"/>
      <c r="K442" s="1128"/>
      <c r="L442" s="1128"/>
      <c r="M442" s="1128"/>
      <c r="N442" s="1128"/>
      <c r="O442" s="1128"/>
      <c r="P442" s="1128"/>
      <c r="Q442" s="1128"/>
      <c r="R442" s="1128"/>
      <c r="S442" s="1128"/>
      <c r="T442" s="1128"/>
      <c r="U442" s="1128"/>
      <c r="V442" s="1128"/>
      <c r="W442" s="1128"/>
      <c r="X442" s="1128"/>
      <c r="Y442" s="1128"/>
      <c r="Z442" s="1128"/>
    </row>
    <row r="443" ht="22.5" customHeight="1">
      <c r="A443" s="1128"/>
      <c r="B443" s="1128"/>
      <c r="C443" s="1128"/>
      <c r="D443" s="1128"/>
      <c r="E443" s="1128"/>
      <c r="F443" s="1128"/>
      <c r="G443" s="1128"/>
      <c r="H443" s="1128"/>
      <c r="I443" s="1128"/>
      <c r="J443" s="1128"/>
      <c r="K443" s="1128"/>
      <c r="L443" s="1128"/>
      <c r="M443" s="1128"/>
      <c r="N443" s="1128"/>
      <c r="O443" s="1128"/>
      <c r="P443" s="1128"/>
      <c r="Q443" s="1128"/>
      <c r="R443" s="1128"/>
      <c r="S443" s="1128"/>
      <c r="T443" s="1128"/>
      <c r="U443" s="1128"/>
      <c r="V443" s="1128"/>
      <c r="W443" s="1128"/>
      <c r="X443" s="1128"/>
      <c r="Y443" s="1128"/>
      <c r="Z443" s="1128"/>
    </row>
    <row r="444" ht="22.5" customHeight="1">
      <c r="A444" s="1128"/>
      <c r="B444" s="1128"/>
      <c r="C444" s="1128"/>
      <c r="D444" s="1128"/>
      <c r="E444" s="1128"/>
      <c r="F444" s="1128"/>
      <c r="G444" s="1128"/>
      <c r="H444" s="1128"/>
      <c r="I444" s="1128"/>
      <c r="J444" s="1128"/>
      <c r="K444" s="1128"/>
      <c r="L444" s="1128"/>
      <c r="M444" s="1128"/>
      <c r="N444" s="1128"/>
      <c r="O444" s="1128"/>
      <c r="P444" s="1128"/>
      <c r="Q444" s="1128"/>
      <c r="R444" s="1128"/>
      <c r="S444" s="1128"/>
      <c r="T444" s="1128"/>
      <c r="U444" s="1128"/>
      <c r="V444" s="1128"/>
      <c r="W444" s="1128"/>
      <c r="X444" s="1128"/>
      <c r="Y444" s="1128"/>
      <c r="Z444" s="1128"/>
    </row>
    <row r="445" ht="22.5" customHeight="1">
      <c r="A445" s="1128"/>
      <c r="B445" s="1128"/>
      <c r="C445" s="1128"/>
      <c r="D445" s="1128"/>
      <c r="E445" s="1128"/>
      <c r="F445" s="1128"/>
      <c r="G445" s="1128"/>
      <c r="H445" s="1128"/>
      <c r="I445" s="1128"/>
      <c r="J445" s="1128"/>
      <c r="K445" s="1128"/>
      <c r="L445" s="1128"/>
      <c r="M445" s="1128"/>
      <c r="N445" s="1128"/>
      <c r="O445" s="1128"/>
      <c r="P445" s="1128"/>
      <c r="Q445" s="1128"/>
      <c r="R445" s="1128"/>
      <c r="S445" s="1128"/>
      <c r="T445" s="1128"/>
      <c r="U445" s="1128"/>
      <c r="V445" s="1128"/>
      <c r="W445" s="1128"/>
      <c r="X445" s="1128"/>
      <c r="Y445" s="1128"/>
      <c r="Z445" s="1128"/>
    </row>
    <row r="446" ht="22.5" customHeight="1">
      <c r="A446" s="1128"/>
      <c r="B446" s="1128"/>
      <c r="C446" s="1128"/>
      <c r="D446" s="1128"/>
      <c r="E446" s="1128"/>
      <c r="F446" s="1128"/>
      <c r="G446" s="1128"/>
      <c r="H446" s="1128"/>
      <c r="I446" s="1128"/>
      <c r="J446" s="1128"/>
      <c r="K446" s="1128"/>
      <c r="L446" s="1128"/>
      <c r="M446" s="1128"/>
      <c r="N446" s="1128"/>
      <c r="O446" s="1128"/>
      <c r="P446" s="1128"/>
      <c r="Q446" s="1128"/>
      <c r="R446" s="1128"/>
      <c r="S446" s="1128"/>
      <c r="T446" s="1128"/>
      <c r="U446" s="1128"/>
      <c r="V446" s="1128"/>
      <c r="W446" s="1128"/>
      <c r="X446" s="1128"/>
      <c r="Y446" s="1128"/>
      <c r="Z446" s="1128"/>
    </row>
    <row r="447" ht="22.5" customHeight="1">
      <c r="A447" s="1128"/>
      <c r="B447" s="1128"/>
      <c r="C447" s="1128"/>
      <c r="D447" s="1128"/>
      <c r="E447" s="1128"/>
      <c r="F447" s="1128"/>
      <c r="G447" s="1128"/>
      <c r="H447" s="1128"/>
      <c r="I447" s="1128"/>
      <c r="J447" s="1128"/>
      <c r="K447" s="1128"/>
      <c r="L447" s="1128"/>
      <c r="M447" s="1128"/>
      <c r="N447" s="1128"/>
      <c r="O447" s="1128"/>
      <c r="P447" s="1128"/>
      <c r="Q447" s="1128"/>
      <c r="R447" s="1128"/>
      <c r="S447" s="1128"/>
      <c r="T447" s="1128"/>
      <c r="U447" s="1128"/>
      <c r="V447" s="1128"/>
      <c r="W447" s="1128"/>
      <c r="X447" s="1128"/>
      <c r="Y447" s="1128"/>
      <c r="Z447" s="1128"/>
    </row>
    <row r="448" ht="22.5" customHeight="1">
      <c r="A448" s="1128"/>
      <c r="B448" s="1128"/>
      <c r="C448" s="1128"/>
      <c r="D448" s="1128"/>
      <c r="E448" s="1128"/>
      <c r="F448" s="1128"/>
      <c r="G448" s="1128"/>
      <c r="H448" s="1128"/>
      <c r="I448" s="1128"/>
      <c r="J448" s="1128"/>
      <c r="K448" s="1128"/>
      <c r="L448" s="1128"/>
      <c r="M448" s="1128"/>
      <c r="N448" s="1128"/>
      <c r="O448" s="1128"/>
      <c r="P448" s="1128"/>
      <c r="Q448" s="1128"/>
      <c r="R448" s="1128"/>
      <c r="S448" s="1128"/>
      <c r="T448" s="1128"/>
      <c r="U448" s="1128"/>
      <c r="V448" s="1128"/>
      <c r="W448" s="1128"/>
      <c r="X448" s="1128"/>
      <c r="Y448" s="1128"/>
      <c r="Z448" s="1128"/>
    </row>
    <row r="449" ht="22.5" customHeight="1">
      <c r="A449" s="1128"/>
      <c r="B449" s="1128"/>
      <c r="C449" s="1128"/>
      <c r="D449" s="1128"/>
      <c r="E449" s="1128"/>
      <c r="F449" s="1128"/>
      <c r="G449" s="1128"/>
      <c r="H449" s="1128"/>
      <c r="I449" s="1128"/>
      <c r="J449" s="1128"/>
      <c r="K449" s="1128"/>
      <c r="L449" s="1128"/>
      <c r="M449" s="1128"/>
      <c r="N449" s="1128"/>
      <c r="O449" s="1128"/>
      <c r="P449" s="1128"/>
      <c r="Q449" s="1128"/>
      <c r="R449" s="1128"/>
      <c r="S449" s="1128"/>
      <c r="T449" s="1128"/>
      <c r="U449" s="1128"/>
      <c r="V449" s="1128"/>
      <c r="W449" s="1128"/>
      <c r="X449" s="1128"/>
      <c r="Y449" s="1128"/>
      <c r="Z449" s="1128"/>
    </row>
    <row r="450" ht="22.5" customHeight="1">
      <c r="A450" s="1128"/>
      <c r="B450" s="1128"/>
      <c r="C450" s="1128"/>
      <c r="D450" s="1128"/>
      <c r="E450" s="1128"/>
      <c r="F450" s="1128"/>
      <c r="G450" s="1128"/>
      <c r="H450" s="1128"/>
      <c r="I450" s="1128"/>
      <c r="J450" s="1128"/>
      <c r="K450" s="1128"/>
      <c r="L450" s="1128"/>
      <c r="M450" s="1128"/>
      <c r="N450" s="1128"/>
      <c r="O450" s="1128"/>
      <c r="P450" s="1128"/>
      <c r="Q450" s="1128"/>
      <c r="R450" s="1128"/>
      <c r="S450" s="1128"/>
      <c r="T450" s="1128"/>
      <c r="U450" s="1128"/>
      <c r="V450" s="1128"/>
      <c r="W450" s="1128"/>
      <c r="X450" s="1128"/>
      <c r="Y450" s="1128"/>
      <c r="Z450" s="1128"/>
    </row>
    <row r="451" ht="22.5" customHeight="1">
      <c r="A451" s="1128"/>
      <c r="B451" s="1128"/>
      <c r="C451" s="1128"/>
      <c r="D451" s="1128"/>
      <c r="E451" s="1128"/>
      <c r="F451" s="1128"/>
      <c r="G451" s="1128"/>
      <c r="H451" s="1128"/>
      <c r="I451" s="1128"/>
      <c r="J451" s="1128"/>
      <c r="K451" s="1128"/>
      <c r="L451" s="1128"/>
      <c r="M451" s="1128"/>
      <c r="N451" s="1128"/>
      <c r="O451" s="1128"/>
      <c r="P451" s="1128"/>
      <c r="Q451" s="1128"/>
      <c r="R451" s="1128"/>
      <c r="S451" s="1128"/>
      <c r="T451" s="1128"/>
      <c r="U451" s="1128"/>
      <c r="V451" s="1128"/>
      <c r="W451" s="1128"/>
      <c r="X451" s="1128"/>
      <c r="Y451" s="1128"/>
      <c r="Z451" s="1128"/>
    </row>
    <row r="452" ht="22.5" customHeight="1">
      <c r="A452" s="1128"/>
      <c r="B452" s="1128"/>
      <c r="C452" s="1128"/>
      <c r="D452" s="1128"/>
      <c r="E452" s="1128"/>
      <c r="F452" s="1128"/>
      <c r="G452" s="1128"/>
      <c r="H452" s="1128"/>
      <c r="I452" s="1128"/>
      <c r="J452" s="1128"/>
      <c r="K452" s="1128"/>
      <c r="L452" s="1128"/>
      <c r="M452" s="1128"/>
      <c r="N452" s="1128"/>
      <c r="O452" s="1128"/>
      <c r="P452" s="1128"/>
      <c r="Q452" s="1128"/>
      <c r="R452" s="1128"/>
      <c r="S452" s="1128"/>
      <c r="T452" s="1128"/>
      <c r="U452" s="1128"/>
      <c r="V452" s="1128"/>
      <c r="W452" s="1128"/>
      <c r="X452" s="1128"/>
      <c r="Y452" s="1128"/>
      <c r="Z452" s="1128"/>
    </row>
    <row r="453" ht="22.5" customHeight="1">
      <c r="A453" s="1128"/>
      <c r="B453" s="1128"/>
      <c r="C453" s="1128"/>
      <c r="D453" s="1128"/>
      <c r="E453" s="1128"/>
      <c r="F453" s="1128"/>
      <c r="G453" s="1128"/>
      <c r="H453" s="1128"/>
      <c r="I453" s="1128"/>
      <c r="J453" s="1128"/>
      <c r="K453" s="1128"/>
      <c r="L453" s="1128"/>
      <c r="M453" s="1128"/>
      <c r="N453" s="1128"/>
      <c r="O453" s="1128"/>
      <c r="P453" s="1128"/>
      <c r="Q453" s="1128"/>
      <c r="R453" s="1128"/>
      <c r="S453" s="1128"/>
      <c r="T453" s="1128"/>
      <c r="U453" s="1128"/>
      <c r="V453" s="1128"/>
      <c r="W453" s="1128"/>
      <c r="X453" s="1128"/>
      <c r="Y453" s="1128"/>
      <c r="Z453" s="1128"/>
    </row>
    <row r="454" ht="22.5" customHeight="1">
      <c r="A454" s="1128"/>
      <c r="B454" s="1128"/>
      <c r="C454" s="1128"/>
      <c r="D454" s="1128"/>
      <c r="E454" s="1128"/>
      <c r="F454" s="1128"/>
      <c r="G454" s="1128"/>
      <c r="H454" s="1128"/>
      <c r="I454" s="1128"/>
      <c r="J454" s="1128"/>
      <c r="K454" s="1128"/>
      <c r="L454" s="1128"/>
      <c r="M454" s="1128"/>
      <c r="N454" s="1128"/>
      <c r="O454" s="1128"/>
      <c r="P454" s="1128"/>
      <c r="Q454" s="1128"/>
      <c r="R454" s="1128"/>
      <c r="S454" s="1128"/>
      <c r="T454" s="1128"/>
      <c r="U454" s="1128"/>
      <c r="V454" s="1128"/>
      <c r="W454" s="1128"/>
      <c r="X454" s="1128"/>
      <c r="Y454" s="1128"/>
      <c r="Z454" s="1128"/>
    </row>
    <row r="455" ht="22.5" customHeight="1">
      <c r="A455" s="1128"/>
      <c r="B455" s="1128"/>
      <c r="C455" s="1128"/>
      <c r="D455" s="1128"/>
      <c r="E455" s="1128"/>
      <c r="F455" s="1128"/>
      <c r="G455" s="1128"/>
      <c r="H455" s="1128"/>
      <c r="I455" s="1128"/>
      <c r="J455" s="1128"/>
      <c r="K455" s="1128"/>
      <c r="L455" s="1128"/>
      <c r="M455" s="1128"/>
      <c r="N455" s="1128"/>
      <c r="O455" s="1128"/>
      <c r="P455" s="1128"/>
      <c r="Q455" s="1128"/>
      <c r="R455" s="1128"/>
      <c r="S455" s="1128"/>
      <c r="T455" s="1128"/>
      <c r="U455" s="1128"/>
      <c r="V455" s="1128"/>
      <c r="W455" s="1128"/>
      <c r="X455" s="1128"/>
      <c r="Y455" s="1128"/>
      <c r="Z455" s="1128"/>
    </row>
    <row r="456" ht="22.5" customHeight="1">
      <c r="A456" s="1128"/>
      <c r="B456" s="1128"/>
      <c r="C456" s="1128"/>
      <c r="D456" s="1128"/>
      <c r="E456" s="1128"/>
      <c r="F456" s="1128"/>
      <c r="G456" s="1128"/>
      <c r="H456" s="1128"/>
      <c r="I456" s="1128"/>
      <c r="J456" s="1128"/>
      <c r="K456" s="1128"/>
      <c r="L456" s="1128"/>
      <c r="M456" s="1128"/>
      <c r="N456" s="1128"/>
      <c r="O456" s="1128"/>
      <c r="P456" s="1128"/>
      <c r="Q456" s="1128"/>
      <c r="R456" s="1128"/>
      <c r="S456" s="1128"/>
      <c r="T456" s="1128"/>
      <c r="U456" s="1128"/>
      <c r="V456" s="1128"/>
      <c r="W456" s="1128"/>
      <c r="X456" s="1128"/>
      <c r="Y456" s="1128"/>
      <c r="Z456" s="1128"/>
    </row>
    <row r="457" ht="22.5" customHeight="1">
      <c r="A457" s="1128"/>
      <c r="B457" s="1128"/>
      <c r="C457" s="1128"/>
      <c r="D457" s="1128"/>
      <c r="E457" s="1128"/>
      <c r="F457" s="1128"/>
      <c r="G457" s="1128"/>
      <c r="H457" s="1128"/>
      <c r="I457" s="1128"/>
      <c r="J457" s="1128"/>
      <c r="K457" s="1128"/>
      <c r="L457" s="1128"/>
      <c r="M457" s="1128"/>
      <c r="N457" s="1128"/>
      <c r="O457" s="1128"/>
      <c r="P457" s="1128"/>
      <c r="Q457" s="1128"/>
      <c r="R457" s="1128"/>
      <c r="S457" s="1128"/>
      <c r="T457" s="1128"/>
      <c r="U457" s="1128"/>
      <c r="V457" s="1128"/>
      <c r="W457" s="1128"/>
      <c r="X457" s="1128"/>
      <c r="Y457" s="1128"/>
      <c r="Z457" s="1128"/>
    </row>
    <row r="458" ht="22.5" customHeight="1">
      <c r="A458" s="1128"/>
      <c r="B458" s="1128"/>
      <c r="C458" s="1128"/>
      <c r="D458" s="1128"/>
      <c r="E458" s="1128"/>
      <c r="F458" s="1128"/>
      <c r="G458" s="1128"/>
      <c r="H458" s="1128"/>
      <c r="I458" s="1128"/>
      <c r="J458" s="1128"/>
      <c r="K458" s="1128"/>
      <c r="L458" s="1128"/>
      <c r="M458" s="1128"/>
      <c r="N458" s="1128"/>
      <c r="O458" s="1128"/>
      <c r="P458" s="1128"/>
      <c r="Q458" s="1128"/>
      <c r="R458" s="1128"/>
      <c r="S458" s="1128"/>
      <c r="T458" s="1128"/>
      <c r="U458" s="1128"/>
      <c r="V458" s="1128"/>
      <c r="W458" s="1128"/>
      <c r="X458" s="1128"/>
      <c r="Y458" s="1128"/>
      <c r="Z458" s="1128"/>
    </row>
    <row r="459" ht="22.5" customHeight="1">
      <c r="A459" s="1128"/>
      <c r="B459" s="1128"/>
      <c r="C459" s="1128"/>
      <c r="D459" s="1128"/>
      <c r="E459" s="1128"/>
      <c r="F459" s="1128"/>
      <c r="G459" s="1128"/>
      <c r="H459" s="1128"/>
      <c r="I459" s="1128"/>
      <c r="J459" s="1128"/>
      <c r="K459" s="1128"/>
      <c r="L459" s="1128"/>
      <c r="M459" s="1128"/>
      <c r="N459" s="1128"/>
      <c r="O459" s="1128"/>
      <c r="P459" s="1128"/>
      <c r="Q459" s="1128"/>
      <c r="R459" s="1128"/>
      <c r="S459" s="1128"/>
      <c r="T459" s="1128"/>
      <c r="U459" s="1128"/>
      <c r="V459" s="1128"/>
      <c r="W459" s="1128"/>
      <c r="X459" s="1128"/>
      <c r="Y459" s="1128"/>
      <c r="Z459" s="1128"/>
    </row>
    <row r="460" ht="22.5" customHeight="1">
      <c r="A460" s="1128"/>
      <c r="B460" s="1128"/>
      <c r="C460" s="1128"/>
      <c r="D460" s="1128"/>
      <c r="E460" s="1128"/>
      <c r="F460" s="1128"/>
      <c r="G460" s="1128"/>
      <c r="H460" s="1128"/>
      <c r="I460" s="1128"/>
      <c r="J460" s="1128"/>
      <c r="K460" s="1128"/>
      <c r="L460" s="1128"/>
      <c r="M460" s="1128"/>
      <c r="N460" s="1128"/>
      <c r="O460" s="1128"/>
      <c r="P460" s="1128"/>
      <c r="Q460" s="1128"/>
      <c r="R460" s="1128"/>
      <c r="S460" s="1128"/>
      <c r="T460" s="1128"/>
      <c r="U460" s="1128"/>
      <c r="V460" s="1128"/>
      <c r="W460" s="1128"/>
      <c r="X460" s="1128"/>
      <c r="Y460" s="1128"/>
      <c r="Z460" s="1128"/>
    </row>
    <row r="461" ht="22.5" customHeight="1">
      <c r="A461" s="1128"/>
      <c r="B461" s="1128"/>
      <c r="C461" s="1128"/>
      <c r="D461" s="1128"/>
      <c r="E461" s="1128"/>
      <c r="F461" s="1128"/>
      <c r="G461" s="1128"/>
      <c r="H461" s="1128"/>
      <c r="I461" s="1128"/>
      <c r="J461" s="1128"/>
      <c r="K461" s="1128"/>
      <c r="L461" s="1128"/>
      <c r="M461" s="1128"/>
      <c r="N461" s="1128"/>
      <c r="O461" s="1128"/>
      <c r="P461" s="1128"/>
      <c r="Q461" s="1128"/>
      <c r="R461" s="1128"/>
      <c r="S461" s="1128"/>
      <c r="T461" s="1128"/>
      <c r="U461" s="1128"/>
      <c r="V461" s="1128"/>
      <c r="W461" s="1128"/>
      <c r="X461" s="1128"/>
      <c r="Y461" s="1128"/>
      <c r="Z461" s="1128"/>
    </row>
    <row r="462" ht="22.5" customHeight="1">
      <c r="A462" s="1128"/>
      <c r="B462" s="1128"/>
      <c r="C462" s="1128"/>
      <c r="D462" s="1128"/>
      <c r="E462" s="1128"/>
      <c r="F462" s="1128"/>
      <c r="G462" s="1128"/>
      <c r="H462" s="1128"/>
      <c r="I462" s="1128"/>
      <c r="J462" s="1128"/>
      <c r="K462" s="1128"/>
      <c r="L462" s="1128"/>
      <c r="M462" s="1128"/>
      <c r="N462" s="1128"/>
      <c r="O462" s="1128"/>
      <c r="P462" s="1128"/>
      <c r="Q462" s="1128"/>
      <c r="R462" s="1128"/>
      <c r="S462" s="1128"/>
      <c r="T462" s="1128"/>
      <c r="U462" s="1128"/>
      <c r="V462" s="1128"/>
      <c r="W462" s="1128"/>
      <c r="X462" s="1128"/>
      <c r="Y462" s="1128"/>
      <c r="Z462" s="1128"/>
    </row>
    <row r="463" ht="22.5" customHeight="1">
      <c r="A463" s="1128"/>
      <c r="B463" s="1128"/>
      <c r="C463" s="1128"/>
      <c r="D463" s="1128"/>
      <c r="E463" s="1128"/>
      <c r="F463" s="1128"/>
      <c r="G463" s="1128"/>
      <c r="H463" s="1128"/>
      <c r="I463" s="1128"/>
      <c r="J463" s="1128"/>
      <c r="K463" s="1128"/>
      <c r="L463" s="1128"/>
      <c r="M463" s="1128"/>
      <c r="N463" s="1128"/>
      <c r="O463" s="1128"/>
      <c r="P463" s="1128"/>
      <c r="Q463" s="1128"/>
      <c r="R463" s="1128"/>
      <c r="S463" s="1128"/>
      <c r="T463" s="1128"/>
      <c r="U463" s="1128"/>
      <c r="V463" s="1128"/>
      <c r="W463" s="1128"/>
      <c r="X463" s="1128"/>
      <c r="Y463" s="1128"/>
      <c r="Z463" s="1128"/>
    </row>
    <row r="464" ht="22.5" customHeight="1">
      <c r="A464" s="1128"/>
      <c r="B464" s="1128"/>
      <c r="C464" s="1128"/>
      <c r="D464" s="1128"/>
      <c r="E464" s="1128"/>
      <c r="F464" s="1128"/>
      <c r="G464" s="1128"/>
      <c r="H464" s="1128"/>
      <c r="I464" s="1128"/>
      <c r="J464" s="1128"/>
      <c r="K464" s="1128"/>
      <c r="L464" s="1128"/>
      <c r="M464" s="1128"/>
      <c r="N464" s="1128"/>
      <c r="O464" s="1128"/>
      <c r="P464" s="1128"/>
      <c r="Q464" s="1128"/>
      <c r="R464" s="1128"/>
      <c r="S464" s="1128"/>
      <c r="T464" s="1128"/>
      <c r="U464" s="1128"/>
      <c r="V464" s="1128"/>
      <c r="W464" s="1128"/>
      <c r="X464" s="1128"/>
      <c r="Y464" s="1128"/>
      <c r="Z464" s="1128"/>
    </row>
    <row r="465" ht="22.5" customHeight="1">
      <c r="A465" s="1128"/>
      <c r="B465" s="1128"/>
      <c r="C465" s="1128"/>
      <c r="D465" s="1128"/>
      <c r="E465" s="1128"/>
      <c r="F465" s="1128"/>
      <c r="G465" s="1128"/>
      <c r="H465" s="1128"/>
      <c r="I465" s="1128"/>
      <c r="J465" s="1128"/>
      <c r="K465" s="1128"/>
      <c r="L465" s="1128"/>
      <c r="M465" s="1128"/>
      <c r="N465" s="1128"/>
      <c r="O465" s="1128"/>
      <c r="P465" s="1128"/>
      <c r="Q465" s="1128"/>
      <c r="R465" s="1128"/>
      <c r="S465" s="1128"/>
      <c r="T465" s="1128"/>
      <c r="U465" s="1128"/>
      <c r="V465" s="1128"/>
      <c r="W465" s="1128"/>
      <c r="X465" s="1128"/>
      <c r="Y465" s="1128"/>
      <c r="Z465" s="1128"/>
    </row>
    <row r="466" ht="22.5" customHeight="1">
      <c r="A466" s="1128"/>
      <c r="B466" s="1128"/>
      <c r="C466" s="1128"/>
      <c r="D466" s="1128"/>
      <c r="E466" s="1128"/>
      <c r="F466" s="1128"/>
      <c r="G466" s="1128"/>
      <c r="H466" s="1128"/>
      <c r="I466" s="1128"/>
      <c r="J466" s="1128"/>
      <c r="K466" s="1128"/>
      <c r="L466" s="1128"/>
      <c r="M466" s="1128"/>
      <c r="N466" s="1128"/>
      <c r="O466" s="1128"/>
      <c r="P466" s="1128"/>
      <c r="Q466" s="1128"/>
      <c r="R466" s="1128"/>
      <c r="S466" s="1128"/>
      <c r="T466" s="1128"/>
      <c r="U466" s="1128"/>
      <c r="V466" s="1128"/>
      <c r="W466" s="1128"/>
      <c r="X466" s="1128"/>
      <c r="Y466" s="1128"/>
      <c r="Z466" s="1128"/>
    </row>
    <row r="467" ht="22.5" customHeight="1">
      <c r="A467" s="1128"/>
      <c r="B467" s="1128"/>
      <c r="C467" s="1128"/>
      <c r="D467" s="1128"/>
      <c r="E467" s="1128"/>
      <c r="F467" s="1128"/>
      <c r="G467" s="1128"/>
      <c r="H467" s="1128"/>
      <c r="I467" s="1128"/>
      <c r="J467" s="1128"/>
      <c r="K467" s="1128"/>
      <c r="L467" s="1128"/>
      <c r="M467" s="1128"/>
      <c r="N467" s="1128"/>
      <c r="O467" s="1128"/>
      <c r="P467" s="1128"/>
      <c r="Q467" s="1128"/>
      <c r="R467" s="1128"/>
      <c r="S467" s="1128"/>
      <c r="T467" s="1128"/>
      <c r="U467" s="1128"/>
      <c r="V467" s="1128"/>
      <c r="W467" s="1128"/>
      <c r="X467" s="1128"/>
      <c r="Y467" s="1128"/>
      <c r="Z467" s="1128"/>
    </row>
    <row r="468" ht="22.5" customHeight="1">
      <c r="A468" s="1128"/>
      <c r="B468" s="1128"/>
      <c r="C468" s="1128"/>
      <c r="D468" s="1128"/>
      <c r="E468" s="1128"/>
      <c r="F468" s="1128"/>
      <c r="G468" s="1128"/>
      <c r="H468" s="1128"/>
      <c r="I468" s="1128"/>
      <c r="J468" s="1128"/>
      <c r="K468" s="1128"/>
      <c r="L468" s="1128"/>
      <c r="M468" s="1128"/>
      <c r="N468" s="1128"/>
      <c r="O468" s="1128"/>
      <c r="P468" s="1128"/>
      <c r="Q468" s="1128"/>
      <c r="R468" s="1128"/>
      <c r="S468" s="1128"/>
      <c r="T468" s="1128"/>
      <c r="U468" s="1128"/>
      <c r="V468" s="1128"/>
      <c r="W468" s="1128"/>
      <c r="X468" s="1128"/>
      <c r="Y468" s="1128"/>
      <c r="Z468" s="1128"/>
    </row>
    <row r="469" ht="22.5" customHeight="1">
      <c r="A469" s="1128"/>
      <c r="B469" s="1128"/>
      <c r="C469" s="1128"/>
      <c r="D469" s="1128"/>
      <c r="E469" s="1128"/>
      <c r="F469" s="1128"/>
      <c r="G469" s="1128"/>
      <c r="H469" s="1128"/>
      <c r="I469" s="1128"/>
      <c r="J469" s="1128"/>
      <c r="K469" s="1128"/>
      <c r="L469" s="1128"/>
      <c r="M469" s="1128"/>
      <c r="N469" s="1128"/>
      <c r="O469" s="1128"/>
      <c r="P469" s="1128"/>
      <c r="Q469" s="1128"/>
      <c r="R469" s="1128"/>
      <c r="S469" s="1128"/>
      <c r="T469" s="1128"/>
      <c r="U469" s="1128"/>
      <c r="V469" s="1128"/>
      <c r="W469" s="1128"/>
      <c r="X469" s="1128"/>
      <c r="Y469" s="1128"/>
      <c r="Z469" s="1128"/>
    </row>
    <row r="470" ht="22.5" customHeight="1">
      <c r="A470" s="1128"/>
      <c r="B470" s="1128"/>
      <c r="C470" s="1128"/>
      <c r="D470" s="1128"/>
      <c r="E470" s="1128"/>
      <c r="F470" s="1128"/>
      <c r="G470" s="1128"/>
      <c r="H470" s="1128"/>
      <c r="I470" s="1128"/>
      <c r="J470" s="1128"/>
      <c r="K470" s="1128"/>
      <c r="L470" s="1128"/>
      <c r="M470" s="1128"/>
      <c r="N470" s="1128"/>
      <c r="O470" s="1128"/>
      <c r="P470" s="1128"/>
      <c r="Q470" s="1128"/>
      <c r="R470" s="1128"/>
      <c r="S470" s="1128"/>
      <c r="T470" s="1128"/>
      <c r="U470" s="1128"/>
      <c r="V470" s="1128"/>
      <c r="W470" s="1128"/>
      <c r="X470" s="1128"/>
      <c r="Y470" s="1128"/>
      <c r="Z470" s="1128"/>
    </row>
    <row r="471" ht="22.5" customHeight="1">
      <c r="A471" s="1128"/>
      <c r="B471" s="1128"/>
      <c r="C471" s="1128"/>
      <c r="D471" s="1128"/>
      <c r="E471" s="1128"/>
      <c r="F471" s="1128"/>
      <c r="G471" s="1128"/>
      <c r="H471" s="1128"/>
      <c r="I471" s="1128"/>
      <c r="J471" s="1128"/>
      <c r="K471" s="1128"/>
      <c r="L471" s="1128"/>
      <c r="M471" s="1128"/>
      <c r="N471" s="1128"/>
      <c r="O471" s="1128"/>
      <c r="P471" s="1128"/>
      <c r="Q471" s="1128"/>
      <c r="R471" s="1128"/>
      <c r="S471" s="1128"/>
      <c r="T471" s="1128"/>
      <c r="U471" s="1128"/>
      <c r="V471" s="1128"/>
      <c r="W471" s="1128"/>
      <c r="X471" s="1128"/>
      <c r="Y471" s="1128"/>
      <c r="Z471" s="1128"/>
    </row>
    <row r="472" ht="22.5" customHeight="1">
      <c r="A472" s="1128"/>
      <c r="B472" s="1128"/>
      <c r="C472" s="1128"/>
      <c r="D472" s="1128"/>
      <c r="E472" s="1128"/>
      <c r="F472" s="1128"/>
      <c r="G472" s="1128"/>
      <c r="H472" s="1128"/>
      <c r="I472" s="1128"/>
      <c r="J472" s="1128"/>
      <c r="K472" s="1128"/>
      <c r="L472" s="1128"/>
      <c r="M472" s="1128"/>
      <c r="N472" s="1128"/>
      <c r="O472" s="1128"/>
      <c r="P472" s="1128"/>
      <c r="Q472" s="1128"/>
      <c r="R472" s="1128"/>
      <c r="S472" s="1128"/>
      <c r="T472" s="1128"/>
      <c r="U472" s="1128"/>
      <c r="V472" s="1128"/>
      <c r="W472" s="1128"/>
      <c r="X472" s="1128"/>
      <c r="Y472" s="1128"/>
      <c r="Z472" s="1128"/>
    </row>
    <row r="473" ht="22.5" customHeight="1">
      <c r="A473" s="1128"/>
      <c r="B473" s="1128"/>
      <c r="C473" s="1128"/>
      <c r="D473" s="1128"/>
      <c r="E473" s="1128"/>
      <c r="F473" s="1128"/>
      <c r="G473" s="1128"/>
      <c r="H473" s="1128"/>
      <c r="I473" s="1128"/>
      <c r="J473" s="1128"/>
      <c r="K473" s="1128"/>
      <c r="L473" s="1128"/>
      <c r="M473" s="1128"/>
      <c r="N473" s="1128"/>
      <c r="O473" s="1128"/>
      <c r="P473" s="1128"/>
      <c r="Q473" s="1128"/>
      <c r="R473" s="1128"/>
      <c r="S473" s="1128"/>
      <c r="T473" s="1128"/>
      <c r="U473" s="1128"/>
      <c r="V473" s="1128"/>
      <c r="W473" s="1128"/>
      <c r="X473" s="1128"/>
      <c r="Y473" s="1128"/>
      <c r="Z473" s="1128"/>
    </row>
    <row r="474" ht="22.5" customHeight="1">
      <c r="A474" s="1128"/>
      <c r="B474" s="1128"/>
      <c r="C474" s="1128"/>
      <c r="D474" s="1128"/>
      <c r="E474" s="1128"/>
      <c r="F474" s="1128"/>
      <c r="G474" s="1128"/>
      <c r="H474" s="1128"/>
      <c r="I474" s="1128"/>
      <c r="J474" s="1128"/>
      <c r="K474" s="1128"/>
      <c r="L474" s="1128"/>
      <c r="M474" s="1128"/>
      <c r="N474" s="1128"/>
      <c r="O474" s="1128"/>
      <c r="P474" s="1128"/>
      <c r="Q474" s="1128"/>
      <c r="R474" s="1128"/>
      <c r="S474" s="1128"/>
      <c r="T474" s="1128"/>
      <c r="U474" s="1128"/>
      <c r="V474" s="1128"/>
      <c r="W474" s="1128"/>
      <c r="X474" s="1128"/>
      <c r="Y474" s="1128"/>
      <c r="Z474" s="1128"/>
    </row>
    <row r="475" ht="22.5" customHeight="1">
      <c r="A475" s="1128"/>
      <c r="B475" s="1128"/>
      <c r="C475" s="1128"/>
      <c r="D475" s="1128"/>
      <c r="E475" s="1128"/>
      <c r="F475" s="1128"/>
      <c r="G475" s="1128"/>
      <c r="H475" s="1128"/>
      <c r="I475" s="1128"/>
      <c r="J475" s="1128"/>
      <c r="K475" s="1128"/>
      <c r="L475" s="1128"/>
      <c r="M475" s="1128"/>
      <c r="N475" s="1128"/>
      <c r="O475" s="1128"/>
      <c r="P475" s="1128"/>
      <c r="Q475" s="1128"/>
      <c r="R475" s="1128"/>
      <c r="S475" s="1128"/>
      <c r="T475" s="1128"/>
      <c r="U475" s="1128"/>
      <c r="V475" s="1128"/>
      <c r="W475" s="1128"/>
      <c r="X475" s="1128"/>
      <c r="Y475" s="1128"/>
      <c r="Z475" s="1128"/>
    </row>
    <row r="476" ht="22.5" customHeight="1">
      <c r="A476" s="1128"/>
      <c r="B476" s="1128"/>
      <c r="C476" s="1128"/>
      <c r="D476" s="1128"/>
      <c r="E476" s="1128"/>
      <c r="F476" s="1128"/>
      <c r="G476" s="1128"/>
      <c r="H476" s="1128"/>
      <c r="I476" s="1128"/>
      <c r="J476" s="1128"/>
      <c r="K476" s="1128"/>
      <c r="L476" s="1128"/>
      <c r="M476" s="1128"/>
      <c r="N476" s="1128"/>
      <c r="O476" s="1128"/>
      <c r="P476" s="1128"/>
      <c r="Q476" s="1128"/>
      <c r="R476" s="1128"/>
      <c r="S476" s="1128"/>
      <c r="T476" s="1128"/>
      <c r="U476" s="1128"/>
      <c r="V476" s="1128"/>
      <c r="W476" s="1128"/>
      <c r="X476" s="1128"/>
      <c r="Y476" s="1128"/>
      <c r="Z476" s="1128"/>
    </row>
    <row r="477" ht="22.5" customHeight="1">
      <c r="A477" s="1128"/>
      <c r="B477" s="1128"/>
      <c r="C477" s="1128"/>
      <c r="D477" s="1128"/>
      <c r="E477" s="1128"/>
      <c r="F477" s="1128"/>
      <c r="G477" s="1128"/>
      <c r="H477" s="1128"/>
      <c r="I477" s="1128"/>
      <c r="J477" s="1128"/>
      <c r="K477" s="1128"/>
      <c r="L477" s="1128"/>
      <c r="M477" s="1128"/>
      <c r="N477" s="1128"/>
      <c r="O477" s="1128"/>
      <c r="P477" s="1128"/>
      <c r="Q477" s="1128"/>
      <c r="R477" s="1128"/>
      <c r="S477" s="1128"/>
      <c r="T477" s="1128"/>
      <c r="U477" s="1128"/>
      <c r="V477" s="1128"/>
      <c r="W477" s="1128"/>
      <c r="X477" s="1128"/>
      <c r="Y477" s="1128"/>
      <c r="Z477" s="1128"/>
    </row>
    <row r="478" ht="22.5" customHeight="1">
      <c r="A478" s="1128"/>
      <c r="B478" s="1128"/>
      <c r="C478" s="1128"/>
      <c r="D478" s="1128"/>
      <c r="E478" s="1128"/>
      <c r="F478" s="1128"/>
      <c r="G478" s="1128"/>
      <c r="H478" s="1128"/>
      <c r="I478" s="1128"/>
      <c r="J478" s="1128"/>
      <c r="K478" s="1128"/>
      <c r="L478" s="1128"/>
      <c r="M478" s="1128"/>
      <c r="N478" s="1128"/>
      <c r="O478" s="1128"/>
      <c r="P478" s="1128"/>
      <c r="Q478" s="1128"/>
      <c r="R478" s="1128"/>
      <c r="S478" s="1128"/>
      <c r="T478" s="1128"/>
      <c r="U478" s="1128"/>
      <c r="V478" s="1128"/>
      <c r="W478" s="1128"/>
      <c r="X478" s="1128"/>
      <c r="Y478" s="1128"/>
      <c r="Z478" s="1128"/>
    </row>
    <row r="479" ht="22.5" customHeight="1">
      <c r="A479" s="1128"/>
      <c r="B479" s="1128"/>
      <c r="C479" s="1128"/>
      <c r="D479" s="1128"/>
      <c r="E479" s="1128"/>
      <c r="F479" s="1128"/>
      <c r="G479" s="1128"/>
      <c r="H479" s="1128"/>
      <c r="I479" s="1128"/>
      <c r="J479" s="1128"/>
      <c r="K479" s="1128"/>
      <c r="L479" s="1128"/>
      <c r="M479" s="1128"/>
      <c r="N479" s="1128"/>
      <c r="O479" s="1128"/>
      <c r="P479" s="1128"/>
      <c r="Q479" s="1128"/>
      <c r="R479" s="1128"/>
      <c r="S479" s="1128"/>
      <c r="T479" s="1128"/>
      <c r="U479" s="1128"/>
      <c r="V479" s="1128"/>
      <c r="W479" s="1128"/>
      <c r="X479" s="1128"/>
      <c r="Y479" s="1128"/>
      <c r="Z479" s="1128"/>
    </row>
    <row r="480" ht="22.5" customHeight="1">
      <c r="A480" s="1128"/>
      <c r="B480" s="1128"/>
      <c r="C480" s="1128"/>
      <c r="D480" s="1128"/>
      <c r="E480" s="1128"/>
      <c r="F480" s="1128"/>
      <c r="G480" s="1128"/>
      <c r="H480" s="1128"/>
      <c r="I480" s="1128"/>
      <c r="J480" s="1128"/>
      <c r="K480" s="1128"/>
      <c r="L480" s="1128"/>
      <c r="M480" s="1128"/>
      <c r="N480" s="1128"/>
      <c r="O480" s="1128"/>
      <c r="P480" s="1128"/>
      <c r="Q480" s="1128"/>
      <c r="R480" s="1128"/>
      <c r="S480" s="1128"/>
      <c r="T480" s="1128"/>
      <c r="U480" s="1128"/>
      <c r="V480" s="1128"/>
      <c r="W480" s="1128"/>
      <c r="X480" s="1128"/>
      <c r="Y480" s="1128"/>
      <c r="Z480" s="1128"/>
    </row>
    <row r="481" ht="22.5" customHeight="1">
      <c r="A481" s="1128"/>
      <c r="B481" s="1128"/>
      <c r="C481" s="1128"/>
      <c r="D481" s="1128"/>
      <c r="E481" s="1128"/>
      <c r="F481" s="1128"/>
      <c r="G481" s="1128"/>
      <c r="H481" s="1128"/>
      <c r="I481" s="1128"/>
      <c r="J481" s="1128"/>
      <c r="K481" s="1128"/>
      <c r="L481" s="1128"/>
      <c r="M481" s="1128"/>
      <c r="N481" s="1128"/>
      <c r="O481" s="1128"/>
      <c r="P481" s="1128"/>
      <c r="Q481" s="1128"/>
      <c r="R481" s="1128"/>
      <c r="S481" s="1128"/>
      <c r="T481" s="1128"/>
      <c r="U481" s="1128"/>
      <c r="V481" s="1128"/>
      <c r="W481" s="1128"/>
      <c r="X481" s="1128"/>
      <c r="Y481" s="1128"/>
      <c r="Z481" s="1128"/>
    </row>
    <row r="482" ht="22.5" customHeight="1">
      <c r="A482" s="1128"/>
      <c r="B482" s="1128"/>
      <c r="C482" s="1128"/>
      <c r="D482" s="1128"/>
      <c r="E482" s="1128"/>
      <c r="F482" s="1128"/>
      <c r="G482" s="1128"/>
      <c r="H482" s="1128"/>
      <c r="I482" s="1128"/>
      <c r="J482" s="1128"/>
      <c r="K482" s="1128"/>
      <c r="L482" s="1128"/>
      <c r="M482" s="1128"/>
      <c r="N482" s="1128"/>
      <c r="O482" s="1128"/>
      <c r="P482" s="1128"/>
      <c r="Q482" s="1128"/>
      <c r="R482" s="1128"/>
      <c r="S482" s="1128"/>
      <c r="T482" s="1128"/>
      <c r="U482" s="1128"/>
      <c r="V482" s="1128"/>
      <c r="W482" s="1128"/>
      <c r="X482" s="1128"/>
      <c r="Y482" s="1128"/>
      <c r="Z482" s="1128"/>
    </row>
    <row r="483" ht="22.5" customHeight="1">
      <c r="A483" s="1128"/>
      <c r="B483" s="1128"/>
      <c r="C483" s="1128"/>
      <c r="D483" s="1128"/>
      <c r="E483" s="1128"/>
      <c r="F483" s="1128"/>
      <c r="G483" s="1128"/>
      <c r="H483" s="1128"/>
      <c r="I483" s="1128"/>
      <c r="J483" s="1128"/>
      <c r="K483" s="1128"/>
      <c r="L483" s="1128"/>
      <c r="M483" s="1128"/>
      <c r="N483" s="1128"/>
      <c r="O483" s="1128"/>
      <c r="P483" s="1128"/>
      <c r="Q483" s="1128"/>
      <c r="R483" s="1128"/>
      <c r="S483" s="1128"/>
      <c r="T483" s="1128"/>
      <c r="U483" s="1128"/>
      <c r="V483" s="1128"/>
      <c r="W483" s="1128"/>
      <c r="X483" s="1128"/>
      <c r="Y483" s="1128"/>
      <c r="Z483" s="1128"/>
    </row>
    <row r="484" ht="22.5" customHeight="1">
      <c r="A484" s="1128"/>
      <c r="B484" s="1128"/>
      <c r="C484" s="1128"/>
      <c r="D484" s="1128"/>
      <c r="E484" s="1128"/>
      <c r="F484" s="1128"/>
      <c r="G484" s="1128"/>
      <c r="H484" s="1128"/>
      <c r="I484" s="1128"/>
      <c r="J484" s="1128"/>
      <c r="K484" s="1128"/>
      <c r="L484" s="1128"/>
      <c r="M484" s="1128"/>
      <c r="N484" s="1128"/>
      <c r="O484" s="1128"/>
      <c r="P484" s="1128"/>
      <c r="Q484" s="1128"/>
      <c r="R484" s="1128"/>
      <c r="S484" s="1128"/>
      <c r="T484" s="1128"/>
      <c r="U484" s="1128"/>
      <c r="V484" s="1128"/>
      <c r="W484" s="1128"/>
      <c r="X484" s="1128"/>
      <c r="Y484" s="1128"/>
      <c r="Z484" s="1128"/>
    </row>
    <row r="485" ht="22.5" customHeight="1">
      <c r="A485" s="1128"/>
      <c r="B485" s="1128"/>
      <c r="C485" s="1128"/>
      <c r="D485" s="1128"/>
      <c r="E485" s="1128"/>
      <c r="F485" s="1128"/>
      <c r="G485" s="1128"/>
      <c r="H485" s="1128"/>
      <c r="I485" s="1128"/>
      <c r="J485" s="1128"/>
      <c r="K485" s="1128"/>
      <c r="L485" s="1128"/>
      <c r="M485" s="1128"/>
      <c r="N485" s="1128"/>
      <c r="O485" s="1128"/>
      <c r="P485" s="1128"/>
      <c r="Q485" s="1128"/>
      <c r="R485" s="1128"/>
      <c r="S485" s="1128"/>
      <c r="T485" s="1128"/>
      <c r="U485" s="1128"/>
      <c r="V485" s="1128"/>
      <c r="W485" s="1128"/>
      <c r="X485" s="1128"/>
      <c r="Y485" s="1128"/>
      <c r="Z485" s="1128"/>
    </row>
    <row r="486" ht="22.5" customHeight="1">
      <c r="A486" s="1128"/>
      <c r="B486" s="1128"/>
      <c r="C486" s="1128"/>
      <c r="D486" s="1128"/>
      <c r="E486" s="1128"/>
      <c r="F486" s="1128"/>
      <c r="G486" s="1128"/>
      <c r="H486" s="1128"/>
      <c r="I486" s="1128"/>
      <c r="J486" s="1128"/>
      <c r="K486" s="1128"/>
      <c r="L486" s="1128"/>
      <c r="M486" s="1128"/>
      <c r="N486" s="1128"/>
      <c r="O486" s="1128"/>
      <c r="P486" s="1128"/>
      <c r="Q486" s="1128"/>
      <c r="R486" s="1128"/>
      <c r="S486" s="1128"/>
      <c r="T486" s="1128"/>
      <c r="U486" s="1128"/>
      <c r="V486" s="1128"/>
      <c r="W486" s="1128"/>
      <c r="X486" s="1128"/>
      <c r="Y486" s="1128"/>
      <c r="Z486" s="1128"/>
    </row>
    <row r="487" ht="22.5" customHeight="1">
      <c r="A487" s="1128"/>
      <c r="B487" s="1128"/>
      <c r="C487" s="1128"/>
      <c r="D487" s="1128"/>
      <c r="E487" s="1128"/>
      <c r="F487" s="1128"/>
      <c r="G487" s="1128"/>
      <c r="H487" s="1128"/>
      <c r="I487" s="1128"/>
      <c r="J487" s="1128"/>
      <c r="K487" s="1128"/>
      <c r="L487" s="1128"/>
      <c r="M487" s="1128"/>
      <c r="N487" s="1128"/>
      <c r="O487" s="1128"/>
      <c r="P487" s="1128"/>
      <c r="Q487" s="1128"/>
      <c r="R487" s="1128"/>
      <c r="S487" s="1128"/>
      <c r="T487" s="1128"/>
      <c r="U487" s="1128"/>
      <c r="V487" s="1128"/>
      <c r="W487" s="1128"/>
      <c r="X487" s="1128"/>
      <c r="Y487" s="1128"/>
      <c r="Z487" s="1128"/>
    </row>
    <row r="488" ht="22.5" customHeight="1">
      <c r="A488" s="1128"/>
      <c r="B488" s="1128"/>
      <c r="C488" s="1128"/>
      <c r="D488" s="1128"/>
      <c r="E488" s="1128"/>
      <c r="F488" s="1128"/>
      <c r="G488" s="1128"/>
      <c r="H488" s="1128"/>
      <c r="I488" s="1128"/>
      <c r="J488" s="1128"/>
      <c r="K488" s="1128"/>
      <c r="L488" s="1128"/>
      <c r="M488" s="1128"/>
      <c r="N488" s="1128"/>
      <c r="O488" s="1128"/>
      <c r="P488" s="1128"/>
      <c r="Q488" s="1128"/>
      <c r="R488" s="1128"/>
      <c r="S488" s="1128"/>
      <c r="T488" s="1128"/>
      <c r="U488" s="1128"/>
      <c r="V488" s="1128"/>
      <c r="W488" s="1128"/>
      <c r="X488" s="1128"/>
      <c r="Y488" s="1128"/>
      <c r="Z488" s="1128"/>
    </row>
    <row r="489" ht="22.5" customHeight="1">
      <c r="A489" s="1128"/>
      <c r="B489" s="1128"/>
      <c r="C489" s="1128"/>
      <c r="D489" s="1128"/>
      <c r="E489" s="1128"/>
      <c r="F489" s="1128"/>
      <c r="G489" s="1128"/>
      <c r="H489" s="1128"/>
      <c r="I489" s="1128"/>
      <c r="J489" s="1128"/>
      <c r="K489" s="1128"/>
      <c r="L489" s="1128"/>
      <c r="M489" s="1128"/>
      <c r="N489" s="1128"/>
      <c r="O489" s="1128"/>
      <c r="P489" s="1128"/>
      <c r="Q489" s="1128"/>
      <c r="R489" s="1128"/>
      <c r="S489" s="1128"/>
      <c r="T489" s="1128"/>
      <c r="U489" s="1128"/>
      <c r="V489" s="1128"/>
      <c r="W489" s="1128"/>
      <c r="X489" s="1128"/>
      <c r="Y489" s="1128"/>
      <c r="Z489" s="1128"/>
    </row>
    <row r="490" ht="22.5" customHeight="1">
      <c r="A490" s="1128"/>
      <c r="B490" s="1128"/>
      <c r="C490" s="1128"/>
      <c r="D490" s="1128"/>
      <c r="E490" s="1128"/>
      <c r="F490" s="1128"/>
      <c r="G490" s="1128"/>
      <c r="H490" s="1128"/>
      <c r="I490" s="1128"/>
      <c r="J490" s="1128"/>
      <c r="K490" s="1128"/>
      <c r="L490" s="1128"/>
      <c r="M490" s="1128"/>
      <c r="N490" s="1128"/>
      <c r="O490" s="1128"/>
      <c r="P490" s="1128"/>
      <c r="Q490" s="1128"/>
      <c r="R490" s="1128"/>
      <c r="S490" s="1128"/>
      <c r="T490" s="1128"/>
      <c r="U490" s="1128"/>
      <c r="V490" s="1128"/>
      <c r="W490" s="1128"/>
      <c r="X490" s="1128"/>
      <c r="Y490" s="1128"/>
      <c r="Z490" s="1128"/>
    </row>
    <row r="491" ht="22.5" customHeight="1">
      <c r="A491" s="1128"/>
      <c r="B491" s="1128"/>
      <c r="C491" s="1128"/>
      <c r="D491" s="1128"/>
      <c r="E491" s="1128"/>
      <c r="F491" s="1128"/>
      <c r="G491" s="1128"/>
      <c r="H491" s="1128"/>
      <c r="I491" s="1128"/>
      <c r="J491" s="1128"/>
      <c r="K491" s="1128"/>
      <c r="L491" s="1128"/>
      <c r="M491" s="1128"/>
      <c r="N491" s="1128"/>
      <c r="O491" s="1128"/>
      <c r="P491" s="1128"/>
      <c r="Q491" s="1128"/>
      <c r="R491" s="1128"/>
      <c r="S491" s="1128"/>
      <c r="T491" s="1128"/>
      <c r="U491" s="1128"/>
      <c r="V491" s="1128"/>
      <c r="W491" s="1128"/>
      <c r="X491" s="1128"/>
      <c r="Y491" s="1128"/>
      <c r="Z491" s="1128"/>
    </row>
    <row r="492" ht="22.5" customHeight="1">
      <c r="A492" s="1128"/>
      <c r="B492" s="1128"/>
      <c r="C492" s="1128"/>
      <c r="D492" s="1128"/>
      <c r="E492" s="1128"/>
      <c r="F492" s="1128"/>
      <c r="G492" s="1128"/>
      <c r="H492" s="1128"/>
      <c r="I492" s="1128"/>
      <c r="J492" s="1128"/>
      <c r="K492" s="1128"/>
      <c r="L492" s="1128"/>
      <c r="M492" s="1128"/>
      <c r="N492" s="1128"/>
      <c r="O492" s="1128"/>
      <c r="P492" s="1128"/>
      <c r="Q492" s="1128"/>
      <c r="R492" s="1128"/>
      <c r="S492" s="1128"/>
      <c r="T492" s="1128"/>
      <c r="U492" s="1128"/>
      <c r="V492" s="1128"/>
      <c r="W492" s="1128"/>
      <c r="X492" s="1128"/>
      <c r="Y492" s="1128"/>
      <c r="Z492" s="1128"/>
    </row>
    <row r="493" ht="22.5" customHeight="1">
      <c r="A493" s="1128"/>
      <c r="B493" s="1128"/>
      <c r="C493" s="1128"/>
      <c r="D493" s="1128"/>
      <c r="E493" s="1128"/>
      <c r="F493" s="1128"/>
      <c r="G493" s="1128"/>
      <c r="H493" s="1128"/>
      <c r="I493" s="1128"/>
      <c r="J493" s="1128"/>
      <c r="K493" s="1128"/>
      <c r="L493" s="1128"/>
      <c r="M493" s="1128"/>
      <c r="N493" s="1128"/>
      <c r="O493" s="1128"/>
      <c r="P493" s="1128"/>
      <c r="Q493" s="1128"/>
      <c r="R493" s="1128"/>
      <c r="S493" s="1128"/>
      <c r="T493" s="1128"/>
      <c r="U493" s="1128"/>
      <c r="V493" s="1128"/>
      <c r="W493" s="1128"/>
      <c r="X493" s="1128"/>
      <c r="Y493" s="1128"/>
      <c r="Z493" s="1128"/>
    </row>
    <row r="494" ht="22.5" customHeight="1">
      <c r="A494" s="1128"/>
      <c r="B494" s="1128"/>
      <c r="C494" s="1128"/>
      <c r="D494" s="1128"/>
      <c r="E494" s="1128"/>
      <c r="F494" s="1128"/>
      <c r="G494" s="1128"/>
      <c r="H494" s="1128"/>
      <c r="I494" s="1128"/>
      <c r="J494" s="1128"/>
      <c r="K494" s="1128"/>
      <c r="L494" s="1128"/>
      <c r="M494" s="1128"/>
      <c r="N494" s="1128"/>
      <c r="O494" s="1128"/>
      <c r="P494" s="1128"/>
      <c r="Q494" s="1128"/>
      <c r="R494" s="1128"/>
      <c r="S494" s="1128"/>
      <c r="T494" s="1128"/>
      <c r="U494" s="1128"/>
      <c r="V494" s="1128"/>
      <c r="W494" s="1128"/>
      <c r="X494" s="1128"/>
      <c r="Y494" s="1128"/>
      <c r="Z494" s="1128"/>
    </row>
    <row r="495" ht="22.5" customHeight="1">
      <c r="A495" s="1128"/>
      <c r="B495" s="1128"/>
      <c r="C495" s="1128"/>
      <c r="D495" s="1128"/>
      <c r="E495" s="1128"/>
      <c r="F495" s="1128"/>
      <c r="G495" s="1128"/>
      <c r="H495" s="1128"/>
      <c r="I495" s="1128"/>
      <c r="J495" s="1128"/>
      <c r="K495" s="1128"/>
      <c r="L495" s="1128"/>
      <c r="M495" s="1128"/>
      <c r="N495" s="1128"/>
      <c r="O495" s="1128"/>
      <c r="P495" s="1128"/>
      <c r="Q495" s="1128"/>
      <c r="R495" s="1128"/>
      <c r="S495" s="1128"/>
      <c r="T495" s="1128"/>
      <c r="U495" s="1128"/>
      <c r="V495" s="1128"/>
      <c r="W495" s="1128"/>
      <c r="X495" s="1128"/>
      <c r="Y495" s="1128"/>
      <c r="Z495" s="1128"/>
    </row>
    <row r="496" ht="22.5" customHeight="1">
      <c r="A496" s="1128"/>
      <c r="B496" s="1128"/>
      <c r="C496" s="1128"/>
      <c r="D496" s="1128"/>
      <c r="E496" s="1128"/>
      <c r="F496" s="1128"/>
      <c r="G496" s="1128"/>
      <c r="H496" s="1128"/>
      <c r="I496" s="1128"/>
      <c r="J496" s="1128"/>
      <c r="K496" s="1128"/>
      <c r="L496" s="1128"/>
      <c r="M496" s="1128"/>
      <c r="N496" s="1128"/>
      <c r="O496" s="1128"/>
      <c r="P496" s="1128"/>
      <c r="Q496" s="1128"/>
      <c r="R496" s="1128"/>
      <c r="S496" s="1128"/>
      <c r="T496" s="1128"/>
      <c r="U496" s="1128"/>
      <c r="V496" s="1128"/>
      <c r="W496" s="1128"/>
      <c r="X496" s="1128"/>
      <c r="Y496" s="1128"/>
      <c r="Z496" s="1128"/>
    </row>
    <row r="497" ht="22.5" customHeight="1">
      <c r="A497" s="1128"/>
      <c r="B497" s="1128"/>
      <c r="C497" s="1128"/>
      <c r="D497" s="1128"/>
      <c r="E497" s="1128"/>
      <c r="F497" s="1128"/>
      <c r="G497" s="1128"/>
      <c r="H497" s="1128"/>
      <c r="I497" s="1128"/>
      <c r="J497" s="1128"/>
      <c r="K497" s="1128"/>
      <c r="L497" s="1128"/>
      <c r="M497" s="1128"/>
      <c r="N497" s="1128"/>
      <c r="O497" s="1128"/>
      <c r="P497" s="1128"/>
      <c r="Q497" s="1128"/>
      <c r="R497" s="1128"/>
      <c r="S497" s="1128"/>
      <c r="T497" s="1128"/>
      <c r="U497" s="1128"/>
      <c r="V497" s="1128"/>
      <c r="W497" s="1128"/>
      <c r="X497" s="1128"/>
      <c r="Y497" s="1128"/>
      <c r="Z497" s="1128"/>
    </row>
    <row r="498" ht="22.5" customHeight="1">
      <c r="A498" s="1128"/>
      <c r="B498" s="1128"/>
      <c r="C498" s="1128"/>
      <c r="D498" s="1128"/>
      <c r="E498" s="1128"/>
      <c r="F498" s="1128"/>
      <c r="G498" s="1128"/>
      <c r="H498" s="1128"/>
      <c r="I498" s="1128"/>
      <c r="J498" s="1128"/>
      <c r="K498" s="1128"/>
      <c r="L498" s="1128"/>
      <c r="M498" s="1128"/>
      <c r="N498" s="1128"/>
      <c r="O498" s="1128"/>
      <c r="P498" s="1128"/>
      <c r="Q498" s="1128"/>
      <c r="R498" s="1128"/>
      <c r="S498" s="1128"/>
      <c r="T498" s="1128"/>
      <c r="U498" s="1128"/>
      <c r="V498" s="1128"/>
      <c r="W498" s="1128"/>
      <c r="X498" s="1128"/>
      <c r="Y498" s="1128"/>
      <c r="Z498" s="1128"/>
    </row>
    <row r="499" ht="22.5" customHeight="1">
      <c r="A499" s="1128"/>
      <c r="B499" s="1128"/>
      <c r="C499" s="1128"/>
      <c r="D499" s="1128"/>
      <c r="E499" s="1128"/>
      <c r="F499" s="1128"/>
      <c r="G499" s="1128"/>
      <c r="H499" s="1128"/>
      <c r="I499" s="1128"/>
      <c r="J499" s="1128"/>
      <c r="K499" s="1128"/>
      <c r="L499" s="1128"/>
      <c r="M499" s="1128"/>
      <c r="N499" s="1128"/>
      <c r="O499" s="1128"/>
      <c r="P499" s="1128"/>
      <c r="Q499" s="1128"/>
      <c r="R499" s="1128"/>
      <c r="S499" s="1128"/>
      <c r="T499" s="1128"/>
      <c r="U499" s="1128"/>
      <c r="V499" s="1128"/>
      <c r="W499" s="1128"/>
      <c r="X499" s="1128"/>
      <c r="Y499" s="1128"/>
      <c r="Z499" s="1128"/>
    </row>
    <row r="500" ht="22.5" customHeight="1">
      <c r="A500" s="1128"/>
      <c r="B500" s="1128"/>
      <c r="C500" s="1128"/>
      <c r="D500" s="1128"/>
      <c r="E500" s="1128"/>
      <c r="F500" s="1128"/>
      <c r="G500" s="1128"/>
      <c r="H500" s="1128"/>
      <c r="I500" s="1128"/>
      <c r="J500" s="1128"/>
      <c r="K500" s="1128"/>
      <c r="L500" s="1128"/>
      <c r="M500" s="1128"/>
      <c r="N500" s="1128"/>
      <c r="O500" s="1128"/>
      <c r="P500" s="1128"/>
      <c r="Q500" s="1128"/>
      <c r="R500" s="1128"/>
      <c r="S500" s="1128"/>
      <c r="T500" s="1128"/>
      <c r="U500" s="1128"/>
      <c r="V500" s="1128"/>
      <c r="W500" s="1128"/>
      <c r="X500" s="1128"/>
      <c r="Y500" s="1128"/>
      <c r="Z500" s="1128"/>
    </row>
    <row r="501" ht="22.5" customHeight="1">
      <c r="A501" s="1128"/>
      <c r="B501" s="1128"/>
      <c r="C501" s="1128"/>
      <c r="D501" s="1128"/>
      <c r="E501" s="1128"/>
      <c r="F501" s="1128"/>
      <c r="G501" s="1128"/>
      <c r="H501" s="1128"/>
      <c r="I501" s="1128"/>
      <c r="J501" s="1128"/>
      <c r="K501" s="1128"/>
      <c r="L501" s="1128"/>
      <c r="M501" s="1128"/>
      <c r="N501" s="1128"/>
      <c r="O501" s="1128"/>
      <c r="P501" s="1128"/>
      <c r="Q501" s="1128"/>
      <c r="R501" s="1128"/>
      <c r="S501" s="1128"/>
      <c r="T501" s="1128"/>
      <c r="U501" s="1128"/>
      <c r="V501" s="1128"/>
      <c r="W501" s="1128"/>
      <c r="X501" s="1128"/>
      <c r="Y501" s="1128"/>
      <c r="Z501" s="1128"/>
    </row>
    <row r="502" ht="22.5" customHeight="1">
      <c r="A502" s="1128"/>
      <c r="B502" s="1128"/>
      <c r="C502" s="1128"/>
      <c r="D502" s="1128"/>
      <c r="E502" s="1128"/>
      <c r="F502" s="1128"/>
      <c r="G502" s="1128"/>
      <c r="H502" s="1128"/>
      <c r="I502" s="1128"/>
      <c r="J502" s="1128"/>
      <c r="K502" s="1128"/>
      <c r="L502" s="1128"/>
      <c r="M502" s="1128"/>
      <c r="N502" s="1128"/>
      <c r="O502" s="1128"/>
      <c r="P502" s="1128"/>
      <c r="Q502" s="1128"/>
      <c r="R502" s="1128"/>
      <c r="S502" s="1128"/>
      <c r="T502" s="1128"/>
      <c r="U502" s="1128"/>
      <c r="V502" s="1128"/>
      <c r="W502" s="1128"/>
      <c r="X502" s="1128"/>
      <c r="Y502" s="1128"/>
      <c r="Z502" s="1128"/>
    </row>
    <row r="503" ht="22.5" customHeight="1">
      <c r="A503" s="1128"/>
      <c r="B503" s="1128"/>
      <c r="C503" s="1128"/>
      <c r="D503" s="1128"/>
      <c r="E503" s="1128"/>
      <c r="F503" s="1128"/>
      <c r="G503" s="1128"/>
      <c r="H503" s="1128"/>
      <c r="I503" s="1128"/>
      <c r="J503" s="1128"/>
      <c r="K503" s="1128"/>
      <c r="L503" s="1128"/>
      <c r="M503" s="1128"/>
      <c r="N503" s="1128"/>
      <c r="O503" s="1128"/>
      <c r="P503" s="1128"/>
      <c r="Q503" s="1128"/>
      <c r="R503" s="1128"/>
      <c r="S503" s="1128"/>
      <c r="T503" s="1128"/>
      <c r="U503" s="1128"/>
      <c r="V503" s="1128"/>
      <c r="W503" s="1128"/>
      <c r="X503" s="1128"/>
      <c r="Y503" s="1128"/>
      <c r="Z503" s="1128"/>
    </row>
    <row r="504" ht="22.5" customHeight="1">
      <c r="A504" s="1128"/>
      <c r="B504" s="1128"/>
      <c r="C504" s="1128"/>
      <c r="D504" s="1128"/>
      <c r="E504" s="1128"/>
      <c r="F504" s="1128"/>
      <c r="G504" s="1128"/>
      <c r="H504" s="1128"/>
      <c r="I504" s="1128"/>
      <c r="J504" s="1128"/>
      <c r="K504" s="1128"/>
      <c r="L504" s="1128"/>
      <c r="M504" s="1128"/>
      <c r="N504" s="1128"/>
      <c r="O504" s="1128"/>
      <c r="P504" s="1128"/>
      <c r="Q504" s="1128"/>
      <c r="R504" s="1128"/>
      <c r="S504" s="1128"/>
      <c r="T504" s="1128"/>
      <c r="U504" s="1128"/>
      <c r="V504" s="1128"/>
      <c r="W504" s="1128"/>
      <c r="X504" s="1128"/>
      <c r="Y504" s="1128"/>
      <c r="Z504" s="1128"/>
    </row>
    <row r="505" ht="22.5" customHeight="1">
      <c r="A505" s="1128"/>
      <c r="B505" s="1128"/>
      <c r="C505" s="1128"/>
      <c r="D505" s="1128"/>
      <c r="E505" s="1128"/>
      <c r="F505" s="1128"/>
      <c r="G505" s="1128"/>
      <c r="H505" s="1128"/>
      <c r="I505" s="1128"/>
      <c r="J505" s="1128"/>
      <c r="K505" s="1128"/>
      <c r="L505" s="1128"/>
      <c r="M505" s="1128"/>
      <c r="N505" s="1128"/>
      <c r="O505" s="1128"/>
      <c r="P505" s="1128"/>
      <c r="Q505" s="1128"/>
      <c r="R505" s="1128"/>
      <c r="S505" s="1128"/>
      <c r="T505" s="1128"/>
      <c r="U505" s="1128"/>
      <c r="V505" s="1128"/>
      <c r="W505" s="1128"/>
      <c r="X505" s="1128"/>
      <c r="Y505" s="1128"/>
      <c r="Z505" s="1128"/>
    </row>
    <row r="506" ht="22.5" customHeight="1">
      <c r="A506" s="1128"/>
      <c r="B506" s="1128"/>
      <c r="C506" s="1128"/>
      <c r="D506" s="1128"/>
      <c r="E506" s="1128"/>
      <c r="F506" s="1128"/>
      <c r="G506" s="1128"/>
      <c r="H506" s="1128"/>
      <c r="I506" s="1128"/>
      <c r="J506" s="1128"/>
      <c r="K506" s="1128"/>
      <c r="L506" s="1128"/>
      <c r="M506" s="1128"/>
      <c r="N506" s="1128"/>
      <c r="O506" s="1128"/>
      <c r="P506" s="1128"/>
      <c r="Q506" s="1128"/>
      <c r="R506" s="1128"/>
      <c r="S506" s="1128"/>
      <c r="T506" s="1128"/>
      <c r="U506" s="1128"/>
      <c r="V506" s="1128"/>
      <c r="W506" s="1128"/>
      <c r="X506" s="1128"/>
      <c r="Y506" s="1128"/>
      <c r="Z506" s="1128"/>
    </row>
    <row r="507" ht="22.5" customHeight="1">
      <c r="A507" s="1128"/>
      <c r="B507" s="1128"/>
      <c r="C507" s="1128"/>
      <c r="D507" s="1128"/>
      <c r="E507" s="1128"/>
      <c r="F507" s="1128"/>
      <c r="G507" s="1128"/>
      <c r="H507" s="1128"/>
      <c r="I507" s="1128"/>
      <c r="J507" s="1128"/>
      <c r="K507" s="1128"/>
      <c r="L507" s="1128"/>
      <c r="M507" s="1128"/>
      <c r="N507" s="1128"/>
      <c r="O507" s="1128"/>
      <c r="P507" s="1128"/>
      <c r="Q507" s="1128"/>
      <c r="R507" s="1128"/>
      <c r="S507" s="1128"/>
      <c r="T507" s="1128"/>
      <c r="U507" s="1128"/>
      <c r="V507" s="1128"/>
      <c r="W507" s="1128"/>
      <c r="X507" s="1128"/>
      <c r="Y507" s="1128"/>
      <c r="Z507" s="1128"/>
    </row>
    <row r="508" ht="22.5" customHeight="1">
      <c r="A508" s="1128"/>
      <c r="B508" s="1128"/>
      <c r="C508" s="1128"/>
      <c r="D508" s="1128"/>
      <c r="E508" s="1128"/>
      <c r="F508" s="1128"/>
      <c r="G508" s="1128"/>
      <c r="H508" s="1128"/>
      <c r="I508" s="1128"/>
      <c r="J508" s="1128"/>
      <c r="K508" s="1128"/>
      <c r="L508" s="1128"/>
      <c r="M508" s="1128"/>
      <c r="N508" s="1128"/>
      <c r="O508" s="1128"/>
      <c r="P508" s="1128"/>
      <c r="Q508" s="1128"/>
      <c r="R508" s="1128"/>
      <c r="S508" s="1128"/>
      <c r="T508" s="1128"/>
      <c r="U508" s="1128"/>
      <c r="V508" s="1128"/>
      <c r="W508" s="1128"/>
      <c r="X508" s="1128"/>
      <c r="Y508" s="1128"/>
      <c r="Z508" s="1128"/>
    </row>
    <row r="509" ht="22.5" customHeight="1">
      <c r="A509" s="1128"/>
      <c r="B509" s="1128"/>
      <c r="C509" s="1128"/>
      <c r="D509" s="1128"/>
      <c r="E509" s="1128"/>
      <c r="F509" s="1128"/>
      <c r="G509" s="1128"/>
      <c r="H509" s="1128"/>
      <c r="I509" s="1128"/>
      <c r="J509" s="1128"/>
      <c r="K509" s="1128"/>
      <c r="L509" s="1128"/>
      <c r="M509" s="1128"/>
      <c r="N509" s="1128"/>
      <c r="O509" s="1128"/>
      <c r="P509" s="1128"/>
      <c r="Q509" s="1128"/>
      <c r="R509" s="1128"/>
      <c r="S509" s="1128"/>
      <c r="T509" s="1128"/>
      <c r="U509" s="1128"/>
      <c r="V509" s="1128"/>
      <c r="W509" s="1128"/>
      <c r="X509" s="1128"/>
      <c r="Y509" s="1128"/>
      <c r="Z509" s="1128"/>
    </row>
    <row r="510" ht="22.5" customHeight="1">
      <c r="A510" s="1128"/>
      <c r="B510" s="1128"/>
      <c r="C510" s="1128"/>
      <c r="D510" s="1128"/>
      <c r="E510" s="1128"/>
      <c r="F510" s="1128"/>
      <c r="G510" s="1128"/>
      <c r="H510" s="1128"/>
      <c r="I510" s="1128"/>
      <c r="J510" s="1128"/>
      <c r="K510" s="1128"/>
      <c r="L510" s="1128"/>
      <c r="M510" s="1128"/>
      <c r="N510" s="1128"/>
      <c r="O510" s="1128"/>
      <c r="P510" s="1128"/>
      <c r="Q510" s="1128"/>
      <c r="R510" s="1128"/>
      <c r="S510" s="1128"/>
      <c r="T510" s="1128"/>
      <c r="U510" s="1128"/>
      <c r="V510" s="1128"/>
      <c r="W510" s="1128"/>
      <c r="X510" s="1128"/>
      <c r="Y510" s="1128"/>
      <c r="Z510" s="1128"/>
    </row>
    <row r="511" ht="22.5" customHeight="1">
      <c r="A511" s="1128"/>
      <c r="B511" s="1128"/>
      <c r="C511" s="1128"/>
      <c r="D511" s="1128"/>
      <c r="E511" s="1128"/>
      <c r="F511" s="1128"/>
      <c r="G511" s="1128"/>
      <c r="H511" s="1128"/>
      <c r="I511" s="1128"/>
      <c r="J511" s="1128"/>
      <c r="K511" s="1128"/>
      <c r="L511" s="1128"/>
      <c r="M511" s="1128"/>
      <c r="N511" s="1128"/>
      <c r="O511" s="1128"/>
      <c r="P511" s="1128"/>
      <c r="Q511" s="1128"/>
      <c r="R511" s="1128"/>
      <c r="S511" s="1128"/>
      <c r="T511" s="1128"/>
      <c r="U511" s="1128"/>
      <c r="V511" s="1128"/>
      <c r="W511" s="1128"/>
      <c r="X511" s="1128"/>
      <c r="Y511" s="1128"/>
      <c r="Z511" s="1128"/>
    </row>
    <row r="512" ht="22.5" customHeight="1">
      <c r="A512" s="1128"/>
      <c r="B512" s="1128"/>
      <c r="C512" s="1128"/>
      <c r="D512" s="1128"/>
      <c r="E512" s="1128"/>
      <c r="F512" s="1128"/>
      <c r="G512" s="1128"/>
      <c r="H512" s="1128"/>
      <c r="I512" s="1128"/>
      <c r="J512" s="1128"/>
      <c r="K512" s="1128"/>
      <c r="L512" s="1128"/>
      <c r="M512" s="1128"/>
      <c r="N512" s="1128"/>
      <c r="O512" s="1128"/>
      <c r="P512" s="1128"/>
      <c r="Q512" s="1128"/>
      <c r="R512" s="1128"/>
      <c r="S512" s="1128"/>
      <c r="T512" s="1128"/>
      <c r="U512" s="1128"/>
      <c r="V512" s="1128"/>
      <c r="W512" s="1128"/>
      <c r="X512" s="1128"/>
      <c r="Y512" s="1128"/>
      <c r="Z512" s="1128"/>
    </row>
    <row r="513" ht="22.5" customHeight="1">
      <c r="A513" s="1128"/>
      <c r="B513" s="1128"/>
      <c r="C513" s="1128"/>
      <c r="D513" s="1128"/>
      <c r="E513" s="1128"/>
      <c r="F513" s="1128"/>
      <c r="G513" s="1128"/>
      <c r="H513" s="1128"/>
      <c r="I513" s="1128"/>
      <c r="J513" s="1128"/>
      <c r="K513" s="1128"/>
      <c r="L513" s="1128"/>
      <c r="M513" s="1128"/>
      <c r="N513" s="1128"/>
      <c r="O513" s="1128"/>
      <c r="P513" s="1128"/>
      <c r="Q513" s="1128"/>
      <c r="R513" s="1128"/>
      <c r="S513" s="1128"/>
      <c r="T513" s="1128"/>
      <c r="U513" s="1128"/>
      <c r="V513" s="1128"/>
      <c r="W513" s="1128"/>
      <c r="X513" s="1128"/>
      <c r="Y513" s="1128"/>
      <c r="Z513" s="1128"/>
    </row>
    <row r="514" ht="22.5" customHeight="1">
      <c r="A514" s="1128"/>
      <c r="B514" s="1128"/>
      <c r="C514" s="1128"/>
      <c r="D514" s="1128"/>
      <c r="E514" s="1128"/>
      <c r="F514" s="1128"/>
      <c r="G514" s="1128"/>
      <c r="H514" s="1128"/>
      <c r="I514" s="1128"/>
      <c r="J514" s="1128"/>
      <c r="K514" s="1128"/>
      <c r="L514" s="1128"/>
      <c r="M514" s="1128"/>
      <c r="N514" s="1128"/>
      <c r="O514" s="1128"/>
      <c r="P514" s="1128"/>
      <c r="Q514" s="1128"/>
      <c r="R514" s="1128"/>
      <c r="S514" s="1128"/>
      <c r="T514" s="1128"/>
      <c r="U514" s="1128"/>
      <c r="V514" s="1128"/>
      <c r="W514" s="1128"/>
      <c r="X514" s="1128"/>
      <c r="Y514" s="1128"/>
      <c r="Z514" s="1128"/>
    </row>
    <row r="515" ht="22.5" customHeight="1">
      <c r="A515" s="1128"/>
      <c r="B515" s="1128"/>
      <c r="C515" s="1128"/>
      <c r="D515" s="1128"/>
      <c r="E515" s="1128"/>
      <c r="F515" s="1128"/>
      <c r="G515" s="1128"/>
      <c r="H515" s="1128"/>
      <c r="I515" s="1128"/>
      <c r="J515" s="1128"/>
      <c r="K515" s="1128"/>
      <c r="L515" s="1128"/>
      <c r="M515" s="1128"/>
      <c r="N515" s="1128"/>
      <c r="O515" s="1128"/>
      <c r="P515" s="1128"/>
      <c r="Q515" s="1128"/>
      <c r="R515" s="1128"/>
      <c r="S515" s="1128"/>
      <c r="T515" s="1128"/>
      <c r="U515" s="1128"/>
      <c r="V515" s="1128"/>
      <c r="W515" s="1128"/>
      <c r="X515" s="1128"/>
      <c r="Y515" s="1128"/>
      <c r="Z515" s="1128"/>
    </row>
    <row r="516" ht="22.5" customHeight="1">
      <c r="A516" s="1128"/>
      <c r="B516" s="1128"/>
      <c r="C516" s="1128"/>
      <c r="D516" s="1128"/>
      <c r="E516" s="1128"/>
      <c r="F516" s="1128"/>
      <c r="G516" s="1128"/>
      <c r="H516" s="1128"/>
      <c r="I516" s="1128"/>
      <c r="J516" s="1128"/>
      <c r="K516" s="1128"/>
      <c r="L516" s="1128"/>
      <c r="M516" s="1128"/>
      <c r="N516" s="1128"/>
      <c r="O516" s="1128"/>
      <c r="P516" s="1128"/>
      <c r="Q516" s="1128"/>
      <c r="R516" s="1128"/>
      <c r="S516" s="1128"/>
      <c r="T516" s="1128"/>
      <c r="U516" s="1128"/>
      <c r="V516" s="1128"/>
      <c r="W516" s="1128"/>
      <c r="X516" s="1128"/>
      <c r="Y516" s="1128"/>
      <c r="Z516" s="1128"/>
    </row>
    <row r="517" ht="22.5" customHeight="1">
      <c r="A517" s="1128"/>
      <c r="B517" s="1128"/>
      <c r="C517" s="1128"/>
      <c r="D517" s="1128"/>
      <c r="E517" s="1128"/>
      <c r="F517" s="1128"/>
      <c r="G517" s="1128"/>
      <c r="H517" s="1128"/>
      <c r="I517" s="1128"/>
      <c r="J517" s="1128"/>
      <c r="K517" s="1128"/>
      <c r="L517" s="1128"/>
      <c r="M517" s="1128"/>
      <c r="N517" s="1128"/>
      <c r="O517" s="1128"/>
      <c r="P517" s="1128"/>
      <c r="Q517" s="1128"/>
      <c r="R517" s="1128"/>
      <c r="S517" s="1128"/>
      <c r="T517" s="1128"/>
      <c r="U517" s="1128"/>
      <c r="V517" s="1128"/>
      <c r="W517" s="1128"/>
      <c r="X517" s="1128"/>
      <c r="Y517" s="1128"/>
      <c r="Z517" s="1128"/>
    </row>
    <row r="518" ht="22.5" customHeight="1">
      <c r="A518" s="1128"/>
      <c r="B518" s="1128"/>
      <c r="C518" s="1128"/>
      <c r="D518" s="1128"/>
      <c r="E518" s="1128"/>
      <c r="F518" s="1128"/>
      <c r="G518" s="1128"/>
      <c r="H518" s="1128"/>
      <c r="I518" s="1128"/>
      <c r="J518" s="1128"/>
      <c r="K518" s="1128"/>
      <c r="L518" s="1128"/>
      <c r="M518" s="1128"/>
      <c r="N518" s="1128"/>
      <c r="O518" s="1128"/>
      <c r="P518" s="1128"/>
      <c r="Q518" s="1128"/>
      <c r="R518" s="1128"/>
      <c r="S518" s="1128"/>
      <c r="T518" s="1128"/>
      <c r="U518" s="1128"/>
      <c r="V518" s="1128"/>
      <c r="W518" s="1128"/>
      <c r="X518" s="1128"/>
      <c r="Y518" s="1128"/>
      <c r="Z518" s="1128"/>
    </row>
    <row r="519" ht="22.5" customHeight="1">
      <c r="A519" s="1128"/>
      <c r="B519" s="1128"/>
      <c r="C519" s="1128"/>
      <c r="D519" s="1128"/>
      <c r="E519" s="1128"/>
      <c r="F519" s="1128"/>
      <c r="G519" s="1128"/>
      <c r="H519" s="1128"/>
      <c r="I519" s="1128"/>
      <c r="J519" s="1128"/>
      <c r="K519" s="1128"/>
      <c r="L519" s="1128"/>
      <c r="M519" s="1128"/>
      <c r="N519" s="1128"/>
      <c r="O519" s="1128"/>
      <c r="P519" s="1128"/>
      <c r="Q519" s="1128"/>
      <c r="R519" s="1128"/>
      <c r="S519" s="1128"/>
      <c r="T519" s="1128"/>
      <c r="U519" s="1128"/>
      <c r="V519" s="1128"/>
      <c r="W519" s="1128"/>
      <c r="X519" s="1128"/>
      <c r="Y519" s="1128"/>
      <c r="Z519" s="1128"/>
    </row>
    <row r="520" ht="22.5" customHeight="1">
      <c r="A520" s="1128"/>
      <c r="B520" s="1128"/>
      <c r="C520" s="1128"/>
      <c r="D520" s="1128"/>
      <c r="E520" s="1128"/>
      <c r="F520" s="1128"/>
      <c r="G520" s="1128"/>
      <c r="H520" s="1128"/>
      <c r="I520" s="1128"/>
      <c r="J520" s="1128"/>
      <c r="K520" s="1128"/>
      <c r="L520" s="1128"/>
      <c r="M520" s="1128"/>
      <c r="N520" s="1128"/>
      <c r="O520" s="1128"/>
      <c r="P520" s="1128"/>
      <c r="Q520" s="1128"/>
      <c r="R520" s="1128"/>
      <c r="S520" s="1128"/>
      <c r="T520" s="1128"/>
      <c r="U520" s="1128"/>
      <c r="V520" s="1128"/>
      <c r="W520" s="1128"/>
      <c r="X520" s="1128"/>
      <c r="Y520" s="1128"/>
      <c r="Z520" s="1128"/>
    </row>
    <row r="521" ht="22.5" customHeight="1">
      <c r="A521" s="1128"/>
      <c r="B521" s="1128"/>
      <c r="C521" s="1128"/>
      <c r="D521" s="1128"/>
      <c r="E521" s="1128"/>
      <c r="F521" s="1128"/>
      <c r="G521" s="1128"/>
      <c r="H521" s="1128"/>
      <c r="I521" s="1128"/>
      <c r="J521" s="1128"/>
      <c r="K521" s="1128"/>
      <c r="L521" s="1128"/>
      <c r="M521" s="1128"/>
      <c r="N521" s="1128"/>
      <c r="O521" s="1128"/>
      <c r="P521" s="1128"/>
      <c r="Q521" s="1128"/>
      <c r="R521" s="1128"/>
      <c r="S521" s="1128"/>
      <c r="T521" s="1128"/>
      <c r="U521" s="1128"/>
      <c r="V521" s="1128"/>
      <c r="W521" s="1128"/>
      <c r="X521" s="1128"/>
      <c r="Y521" s="1128"/>
      <c r="Z521" s="1128"/>
    </row>
    <row r="522" ht="22.5" customHeight="1">
      <c r="A522" s="1128"/>
      <c r="B522" s="1128"/>
      <c r="C522" s="1128"/>
      <c r="D522" s="1128"/>
      <c r="E522" s="1128"/>
      <c r="F522" s="1128"/>
      <c r="G522" s="1128"/>
      <c r="H522" s="1128"/>
      <c r="I522" s="1128"/>
      <c r="J522" s="1128"/>
      <c r="K522" s="1128"/>
      <c r="L522" s="1128"/>
      <c r="M522" s="1128"/>
      <c r="N522" s="1128"/>
      <c r="O522" s="1128"/>
      <c r="P522" s="1128"/>
      <c r="Q522" s="1128"/>
      <c r="R522" s="1128"/>
      <c r="S522" s="1128"/>
      <c r="T522" s="1128"/>
      <c r="U522" s="1128"/>
      <c r="V522" s="1128"/>
      <c r="W522" s="1128"/>
      <c r="X522" s="1128"/>
      <c r="Y522" s="1128"/>
      <c r="Z522" s="1128"/>
    </row>
    <row r="523" ht="22.5" customHeight="1">
      <c r="A523" s="1128"/>
      <c r="B523" s="1128"/>
      <c r="C523" s="1128"/>
      <c r="D523" s="1128"/>
      <c r="E523" s="1128"/>
      <c r="F523" s="1128"/>
      <c r="G523" s="1128"/>
      <c r="H523" s="1128"/>
      <c r="I523" s="1128"/>
      <c r="J523" s="1128"/>
      <c r="K523" s="1128"/>
      <c r="L523" s="1128"/>
      <c r="M523" s="1128"/>
      <c r="N523" s="1128"/>
      <c r="O523" s="1128"/>
      <c r="P523" s="1128"/>
      <c r="Q523" s="1128"/>
      <c r="R523" s="1128"/>
      <c r="S523" s="1128"/>
      <c r="T523" s="1128"/>
      <c r="U523" s="1128"/>
      <c r="V523" s="1128"/>
      <c r="W523" s="1128"/>
      <c r="X523" s="1128"/>
      <c r="Y523" s="1128"/>
      <c r="Z523" s="1128"/>
    </row>
    <row r="524" ht="22.5" customHeight="1">
      <c r="A524" s="1128"/>
      <c r="B524" s="1128"/>
      <c r="C524" s="1128"/>
      <c r="D524" s="1128"/>
      <c r="E524" s="1128"/>
      <c r="F524" s="1128"/>
      <c r="G524" s="1128"/>
      <c r="H524" s="1128"/>
      <c r="I524" s="1128"/>
      <c r="J524" s="1128"/>
      <c r="K524" s="1128"/>
      <c r="L524" s="1128"/>
      <c r="M524" s="1128"/>
      <c r="N524" s="1128"/>
      <c r="O524" s="1128"/>
      <c r="P524" s="1128"/>
      <c r="Q524" s="1128"/>
      <c r="R524" s="1128"/>
      <c r="S524" s="1128"/>
      <c r="T524" s="1128"/>
      <c r="U524" s="1128"/>
      <c r="V524" s="1128"/>
      <c r="W524" s="1128"/>
      <c r="X524" s="1128"/>
      <c r="Y524" s="1128"/>
      <c r="Z524" s="1128"/>
    </row>
    <row r="525" ht="22.5" customHeight="1">
      <c r="A525" s="1128"/>
      <c r="B525" s="1128"/>
      <c r="C525" s="1128"/>
      <c r="D525" s="1128"/>
      <c r="E525" s="1128"/>
      <c r="F525" s="1128"/>
      <c r="G525" s="1128"/>
      <c r="H525" s="1128"/>
      <c r="I525" s="1128"/>
      <c r="J525" s="1128"/>
      <c r="K525" s="1128"/>
      <c r="L525" s="1128"/>
      <c r="M525" s="1128"/>
      <c r="N525" s="1128"/>
      <c r="O525" s="1128"/>
      <c r="P525" s="1128"/>
      <c r="Q525" s="1128"/>
      <c r="R525" s="1128"/>
      <c r="S525" s="1128"/>
      <c r="T525" s="1128"/>
      <c r="U525" s="1128"/>
      <c r="V525" s="1128"/>
      <c r="W525" s="1128"/>
      <c r="X525" s="1128"/>
      <c r="Y525" s="1128"/>
      <c r="Z525" s="1128"/>
    </row>
    <row r="526" ht="22.5" customHeight="1">
      <c r="A526" s="1128"/>
      <c r="B526" s="1128"/>
      <c r="C526" s="1128"/>
      <c r="D526" s="1128"/>
      <c r="E526" s="1128"/>
      <c r="F526" s="1128"/>
      <c r="G526" s="1128"/>
      <c r="H526" s="1128"/>
      <c r="I526" s="1128"/>
      <c r="J526" s="1128"/>
      <c r="K526" s="1128"/>
      <c r="L526" s="1128"/>
      <c r="M526" s="1128"/>
      <c r="N526" s="1128"/>
      <c r="O526" s="1128"/>
      <c r="P526" s="1128"/>
      <c r="Q526" s="1128"/>
      <c r="R526" s="1128"/>
      <c r="S526" s="1128"/>
      <c r="T526" s="1128"/>
      <c r="U526" s="1128"/>
      <c r="V526" s="1128"/>
      <c r="W526" s="1128"/>
      <c r="X526" s="1128"/>
      <c r="Y526" s="1128"/>
      <c r="Z526" s="1128"/>
    </row>
    <row r="527" ht="22.5" customHeight="1">
      <c r="A527" s="1128"/>
      <c r="B527" s="1128"/>
      <c r="C527" s="1128"/>
      <c r="D527" s="1128"/>
      <c r="E527" s="1128"/>
      <c r="F527" s="1128"/>
      <c r="G527" s="1128"/>
      <c r="H527" s="1128"/>
      <c r="I527" s="1128"/>
      <c r="J527" s="1128"/>
      <c r="K527" s="1128"/>
      <c r="L527" s="1128"/>
      <c r="M527" s="1128"/>
      <c r="N527" s="1128"/>
      <c r="O527" s="1128"/>
      <c r="P527" s="1128"/>
      <c r="Q527" s="1128"/>
      <c r="R527" s="1128"/>
      <c r="S527" s="1128"/>
      <c r="T527" s="1128"/>
      <c r="U527" s="1128"/>
      <c r="V527" s="1128"/>
      <c r="W527" s="1128"/>
      <c r="X527" s="1128"/>
      <c r="Y527" s="1128"/>
      <c r="Z527" s="1128"/>
    </row>
    <row r="528" ht="22.5" customHeight="1">
      <c r="A528" s="1128"/>
      <c r="B528" s="1128"/>
      <c r="C528" s="1128"/>
      <c r="D528" s="1128"/>
      <c r="E528" s="1128"/>
      <c r="F528" s="1128"/>
      <c r="G528" s="1128"/>
      <c r="H528" s="1128"/>
      <c r="I528" s="1128"/>
      <c r="J528" s="1128"/>
      <c r="K528" s="1128"/>
      <c r="L528" s="1128"/>
      <c r="M528" s="1128"/>
      <c r="N528" s="1128"/>
      <c r="O528" s="1128"/>
      <c r="P528" s="1128"/>
      <c r="Q528" s="1128"/>
      <c r="R528" s="1128"/>
      <c r="S528" s="1128"/>
      <c r="T528" s="1128"/>
      <c r="U528" s="1128"/>
      <c r="V528" s="1128"/>
      <c r="W528" s="1128"/>
      <c r="X528" s="1128"/>
      <c r="Y528" s="1128"/>
      <c r="Z528" s="1128"/>
    </row>
    <row r="529" ht="22.5" customHeight="1">
      <c r="A529" s="1128"/>
      <c r="B529" s="1128"/>
      <c r="C529" s="1128"/>
      <c r="D529" s="1128"/>
      <c r="E529" s="1128"/>
      <c r="F529" s="1128"/>
      <c r="G529" s="1128"/>
      <c r="H529" s="1128"/>
      <c r="I529" s="1128"/>
      <c r="J529" s="1128"/>
      <c r="K529" s="1128"/>
      <c r="L529" s="1128"/>
      <c r="M529" s="1128"/>
      <c r="N529" s="1128"/>
      <c r="O529" s="1128"/>
      <c r="P529" s="1128"/>
      <c r="Q529" s="1128"/>
      <c r="R529" s="1128"/>
      <c r="S529" s="1128"/>
      <c r="T529" s="1128"/>
      <c r="U529" s="1128"/>
      <c r="V529" s="1128"/>
      <c r="W529" s="1128"/>
      <c r="X529" s="1128"/>
      <c r="Y529" s="1128"/>
      <c r="Z529" s="1128"/>
    </row>
    <row r="530" ht="22.5" customHeight="1">
      <c r="A530" s="1128"/>
      <c r="B530" s="1128"/>
      <c r="C530" s="1128"/>
      <c r="D530" s="1128"/>
      <c r="E530" s="1128"/>
      <c r="F530" s="1128"/>
      <c r="G530" s="1128"/>
      <c r="H530" s="1128"/>
      <c r="I530" s="1128"/>
      <c r="J530" s="1128"/>
      <c r="K530" s="1128"/>
      <c r="L530" s="1128"/>
      <c r="M530" s="1128"/>
      <c r="N530" s="1128"/>
      <c r="O530" s="1128"/>
      <c r="P530" s="1128"/>
      <c r="Q530" s="1128"/>
      <c r="R530" s="1128"/>
      <c r="S530" s="1128"/>
      <c r="T530" s="1128"/>
      <c r="U530" s="1128"/>
      <c r="V530" s="1128"/>
      <c r="W530" s="1128"/>
      <c r="X530" s="1128"/>
      <c r="Y530" s="1128"/>
      <c r="Z530" s="1128"/>
    </row>
    <row r="531" ht="22.5" customHeight="1">
      <c r="A531" s="1128"/>
      <c r="B531" s="1128"/>
      <c r="C531" s="1128"/>
      <c r="D531" s="1128"/>
      <c r="E531" s="1128"/>
      <c r="F531" s="1128"/>
      <c r="G531" s="1128"/>
      <c r="H531" s="1128"/>
      <c r="I531" s="1128"/>
      <c r="J531" s="1128"/>
      <c r="K531" s="1128"/>
      <c r="L531" s="1128"/>
      <c r="M531" s="1128"/>
      <c r="N531" s="1128"/>
      <c r="O531" s="1128"/>
      <c r="P531" s="1128"/>
      <c r="Q531" s="1128"/>
      <c r="R531" s="1128"/>
      <c r="S531" s="1128"/>
      <c r="T531" s="1128"/>
      <c r="U531" s="1128"/>
      <c r="V531" s="1128"/>
      <c r="W531" s="1128"/>
      <c r="X531" s="1128"/>
      <c r="Y531" s="1128"/>
      <c r="Z531" s="1128"/>
    </row>
    <row r="532" ht="22.5" customHeight="1">
      <c r="A532" s="1128"/>
      <c r="B532" s="1128"/>
      <c r="C532" s="1128"/>
      <c r="D532" s="1128"/>
      <c r="E532" s="1128"/>
      <c r="F532" s="1128"/>
      <c r="G532" s="1128"/>
      <c r="H532" s="1128"/>
      <c r="I532" s="1128"/>
      <c r="J532" s="1128"/>
      <c r="K532" s="1128"/>
      <c r="L532" s="1128"/>
      <c r="M532" s="1128"/>
      <c r="N532" s="1128"/>
      <c r="O532" s="1128"/>
      <c r="P532" s="1128"/>
      <c r="Q532" s="1128"/>
      <c r="R532" s="1128"/>
      <c r="S532" s="1128"/>
      <c r="T532" s="1128"/>
      <c r="U532" s="1128"/>
      <c r="V532" s="1128"/>
      <c r="W532" s="1128"/>
      <c r="X532" s="1128"/>
      <c r="Y532" s="1128"/>
      <c r="Z532" s="1128"/>
    </row>
    <row r="533" ht="22.5" customHeight="1">
      <c r="A533" s="1128"/>
      <c r="B533" s="1128"/>
      <c r="C533" s="1128"/>
      <c r="D533" s="1128"/>
      <c r="E533" s="1128"/>
      <c r="F533" s="1128"/>
      <c r="G533" s="1128"/>
      <c r="H533" s="1128"/>
      <c r="I533" s="1128"/>
      <c r="J533" s="1128"/>
      <c r="K533" s="1128"/>
      <c r="L533" s="1128"/>
      <c r="M533" s="1128"/>
      <c r="N533" s="1128"/>
      <c r="O533" s="1128"/>
      <c r="P533" s="1128"/>
      <c r="Q533" s="1128"/>
      <c r="R533" s="1128"/>
      <c r="S533" s="1128"/>
      <c r="T533" s="1128"/>
      <c r="U533" s="1128"/>
      <c r="V533" s="1128"/>
      <c r="W533" s="1128"/>
      <c r="X533" s="1128"/>
      <c r="Y533" s="1128"/>
      <c r="Z533" s="1128"/>
    </row>
    <row r="534" ht="22.5" customHeight="1">
      <c r="A534" s="1128"/>
      <c r="B534" s="1128"/>
      <c r="C534" s="1128"/>
      <c r="D534" s="1128"/>
      <c r="E534" s="1128"/>
      <c r="F534" s="1128"/>
      <c r="G534" s="1128"/>
      <c r="H534" s="1128"/>
      <c r="I534" s="1128"/>
      <c r="J534" s="1128"/>
      <c r="K534" s="1128"/>
      <c r="L534" s="1128"/>
      <c r="M534" s="1128"/>
      <c r="N534" s="1128"/>
      <c r="O534" s="1128"/>
      <c r="P534" s="1128"/>
      <c r="Q534" s="1128"/>
      <c r="R534" s="1128"/>
      <c r="S534" s="1128"/>
      <c r="T534" s="1128"/>
      <c r="U534" s="1128"/>
      <c r="V534" s="1128"/>
      <c r="W534" s="1128"/>
      <c r="X534" s="1128"/>
      <c r="Y534" s="1128"/>
      <c r="Z534" s="1128"/>
    </row>
    <row r="535" ht="22.5" customHeight="1">
      <c r="A535" s="1128"/>
      <c r="B535" s="1128"/>
      <c r="C535" s="1128"/>
      <c r="D535" s="1128"/>
      <c r="E535" s="1128"/>
      <c r="F535" s="1128"/>
      <c r="G535" s="1128"/>
      <c r="H535" s="1128"/>
      <c r="I535" s="1128"/>
      <c r="J535" s="1128"/>
      <c r="K535" s="1128"/>
      <c r="L535" s="1128"/>
      <c r="M535" s="1128"/>
      <c r="N535" s="1128"/>
      <c r="O535" s="1128"/>
      <c r="P535" s="1128"/>
      <c r="Q535" s="1128"/>
      <c r="R535" s="1128"/>
      <c r="S535" s="1128"/>
      <c r="T535" s="1128"/>
      <c r="U535" s="1128"/>
      <c r="V535" s="1128"/>
      <c r="W535" s="1128"/>
      <c r="X535" s="1128"/>
      <c r="Y535" s="1128"/>
      <c r="Z535" s="1128"/>
    </row>
    <row r="536" ht="22.5" customHeight="1">
      <c r="A536" s="1128"/>
      <c r="B536" s="1128"/>
      <c r="C536" s="1128"/>
      <c r="D536" s="1128"/>
      <c r="E536" s="1128"/>
      <c r="F536" s="1128"/>
      <c r="G536" s="1128"/>
      <c r="H536" s="1128"/>
      <c r="I536" s="1128"/>
      <c r="J536" s="1128"/>
      <c r="K536" s="1128"/>
      <c r="L536" s="1128"/>
      <c r="M536" s="1128"/>
      <c r="N536" s="1128"/>
      <c r="O536" s="1128"/>
      <c r="P536" s="1128"/>
      <c r="Q536" s="1128"/>
      <c r="R536" s="1128"/>
      <c r="S536" s="1128"/>
      <c r="T536" s="1128"/>
      <c r="U536" s="1128"/>
      <c r="V536" s="1128"/>
      <c r="W536" s="1128"/>
      <c r="X536" s="1128"/>
      <c r="Y536" s="1128"/>
      <c r="Z536" s="1128"/>
    </row>
    <row r="537" ht="22.5" customHeight="1">
      <c r="A537" s="1128"/>
      <c r="B537" s="1128"/>
      <c r="C537" s="1128"/>
      <c r="D537" s="1128"/>
      <c r="E537" s="1128"/>
      <c r="F537" s="1128"/>
      <c r="G537" s="1128"/>
      <c r="H537" s="1128"/>
      <c r="I537" s="1128"/>
      <c r="J537" s="1128"/>
      <c r="K537" s="1128"/>
      <c r="L537" s="1128"/>
      <c r="M537" s="1128"/>
      <c r="N537" s="1128"/>
      <c r="O537" s="1128"/>
      <c r="P537" s="1128"/>
      <c r="Q537" s="1128"/>
      <c r="R537" s="1128"/>
      <c r="S537" s="1128"/>
      <c r="T537" s="1128"/>
      <c r="U537" s="1128"/>
      <c r="V537" s="1128"/>
      <c r="W537" s="1128"/>
      <c r="X537" s="1128"/>
      <c r="Y537" s="1128"/>
      <c r="Z537" s="1128"/>
    </row>
    <row r="538" ht="22.5" customHeight="1">
      <c r="A538" s="1128"/>
      <c r="B538" s="1128"/>
      <c r="C538" s="1128"/>
      <c r="D538" s="1128"/>
      <c r="E538" s="1128"/>
      <c r="F538" s="1128"/>
      <c r="G538" s="1128"/>
      <c r="H538" s="1128"/>
      <c r="I538" s="1128"/>
      <c r="J538" s="1128"/>
      <c r="K538" s="1128"/>
      <c r="L538" s="1128"/>
      <c r="M538" s="1128"/>
      <c r="N538" s="1128"/>
      <c r="O538" s="1128"/>
      <c r="P538" s="1128"/>
      <c r="Q538" s="1128"/>
      <c r="R538" s="1128"/>
      <c r="S538" s="1128"/>
      <c r="T538" s="1128"/>
      <c r="U538" s="1128"/>
      <c r="V538" s="1128"/>
      <c r="W538" s="1128"/>
      <c r="X538" s="1128"/>
      <c r="Y538" s="1128"/>
      <c r="Z538" s="1128"/>
    </row>
    <row r="539" ht="22.5" customHeight="1">
      <c r="A539" s="1128"/>
      <c r="B539" s="1128"/>
      <c r="C539" s="1128"/>
      <c r="D539" s="1128"/>
      <c r="E539" s="1128"/>
      <c r="F539" s="1128"/>
      <c r="G539" s="1128"/>
      <c r="H539" s="1128"/>
      <c r="I539" s="1128"/>
      <c r="J539" s="1128"/>
      <c r="K539" s="1128"/>
      <c r="L539" s="1128"/>
      <c r="M539" s="1128"/>
      <c r="N539" s="1128"/>
      <c r="O539" s="1128"/>
      <c r="P539" s="1128"/>
      <c r="Q539" s="1128"/>
      <c r="R539" s="1128"/>
      <c r="S539" s="1128"/>
      <c r="T539" s="1128"/>
      <c r="U539" s="1128"/>
      <c r="V539" s="1128"/>
      <c r="W539" s="1128"/>
      <c r="X539" s="1128"/>
      <c r="Y539" s="1128"/>
      <c r="Z539" s="1128"/>
    </row>
    <row r="540" ht="22.5" customHeight="1">
      <c r="A540" s="1128"/>
      <c r="B540" s="1128"/>
      <c r="C540" s="1128"/>
      <c r="D540" s="1128"/>
      <c r="E540" s="1128"/>
      <c r="F540" s="1128"/>
      <c r="G540" s="1128"/>
      <c r="H540" s="1128"/>
      <c r="I540" s="1128"/>
      <c r="J540" s="1128"/>
      <c r="K540" s="1128"/>
      <c r="L540" s="1128"/>
      <c r="M540" s="1128"/>
      <c r="N540" s="1128"/>
      <c r="O540" s="1128"/>
      <c r="P540" s="1128"/>
      <c r="Q540" s="1128"/>
      <c r="R540" s="1128"/>
      <c r="S540" s="1128"/>
      <c r="T540" s="1128"/>
      <c r="U540" s="1128"/>
      <c r="V540" s="1128"/>
      <c r="W540" s="1128"/>
      <c r="X540" s="1128"/>
      <c r="Y540" s="1128"/>
      <c r="Z540" s="1128"/>
    </row>
    <row r="541" ht="22.5" customHeight="1">
      <c r="A541" s="1128"/>
      <c r="B541" s="1128"/>
      <c r="C541" s="1128"/>
      <c r="D541" s="1128"/>
      <c r="E541" s="1128"/>
      <c r="F541" s="1128"/>
      <c r="G541" s="1128"/>
      <c r="H541" s="1128"/>
      <c r="I541" s="1128"/>
      <c r="J541" s="1128"/>
      <c r="K541" s="1128"/>
      <c r="L541" s="1128"/>
      <c r="M541" s="1128"/>
      <c r="N541" s="1128"/>
      <c r="O541" s="1128"/>
      <c r="P541" s="1128"/>
      <c r="Q541" s="1128"/>
      <c r="R541" s="1128"/>
      <c r="S541" s="1128"/>
      <c r="T541" s="1128"/>
      <c r="U541" s="1128"/>
      <c r="V541" s="1128"/>
      <c r="W541" s="1128"/>
      <c r="X541" s="1128"/>
      <c r="Y541" s="1128"/>
      <c r="Z541" s="1128"/>
    </row>
    <row r="542" ht="22.5" customHeight="1">
      <c r="A542" s="1128"/>
      <c r="B542" s="1128"/>
      <c r="C542" s="1128"/>
      <c r="D542" s="1128"/>
      <c r="E542" s="1128"/>
      <c r="F542" s="1128"/>
      <c r="G542" s="1128"/>
      <c r="H542" s="1128"/>
      <c r="I542" s="1128"/>
      <c r="J542" s="1128"/>
      <c r="K542" s="1128"/>
      <c r="L542" s="1128"/>
      <c r="M542" s="1128"/>
      <c r="N542" s="1128"/>
      <c r="O542" s="1128"/>
      <c r="P542" s="1128"/>
      <c r="Q542" s="1128"/>
      <c r="R542" s="1128"/>
      <c r="S542" s="1128"/>
      <c r="T542" s="1128"/>
      <c r="U542" s="1128"/>
      <c r="V542" s="1128"/>
      <c r="W542" s="1128"/>
      <c r="X542" s="1128"/>
      <c r="Y542" s="1128"/>
      <c r="Z542" s="1128"/>
    </row>
    <row r="543" ht="22.5" customHeight="1">
      <c r="A543" s="1128"/>
      <c r="B543" s="1128"/>
      <c r="C543" s="1128"/>
      <c r="D543" s="1128"/>
      <c r="E543" s="1128"/>
      <c r="F543" s="1128"/>
      <c r="G543" s="1128"/>
      <c r="H543" s="1128"/>
      <c r="I543" s="1128"/>
      <c r="J543" s="1128"/>
      <c r="K543" s="1128"/>
      <c r="L543" s="1128"/>
      <c r="M543" s="1128"/>
      <c r="N543" s="1128"/>
      <c r="O543" s="1128"/>
      <c r="P543" s="1128"/>
      <c r="Q543" s="1128"/>
      <c r="R543" s="1128"/>
      <c r="S543" s="1128"/>
      <c r="T543" s="1128"/>
      <c r="U543" s="1128"/>
      <c r="V543" s="1128"/>
      <c r="W543" s="1128"/>
      <c r="X543" s="1128"/>
      <c r="Y543" s="1128"/>
      <c r="Z543" s="1128"/>
    </row>
    <row r="544" ht="22.5" customHeight="1">
      <c r="A544" s="1128"/>
      <c r="B544" s="1128"/>
      <c r="C544" s="1128"/>
      <c r="D544" s="1128"/>
      <c r="E544" s="1128"/>
      <c r="F544" s="1128"/>
      <c r="G544" s="1128"/>
      <c r="H544" s="1128"/>
      <c r="I544" s="1128"/>
      <c r="J544" s="1128"/>
      <c r="K544" s="1128"/>
      <c r="L544" s="1128"/>
      <c r="M544" s="1128"/>
      <c r="N544" s="1128"/>
      <c r="O544" s="1128"/>
      <c r="P544" s="1128"/>
      <c r="Q544" s="1128"/>
      <c r="R544" s="1128"/>
      <c r="S544" s="1128"/>
      <c r="T544" s="1128"/>
      <c r="U544" s="1128"/>
      <c r="V544" s="1128"/>
      <c r="W544" s="1128"/>
      <c r="X544" s="1128"/>
      <c r="Y544" s="1128"/>
      <c r="Z544" s="1128"/>
    </row>
    <row r="545" ht="22.5" customHeight="1">
      <c r="A545" s="1128"/>
      <c r="B545" s="1128"/>
      <c r="C545" s="1128"/>
      <c r="D545" s="1128"/>
      <c r="E545" s="1128"/>
      <c r="F545" s="1128"/>
      <c r="G545" s="1128"/>
      <c r="H545" s="1128"/>
      <c r="I545" s="1128"/>
      <c r="J545" s="1128"/>
      <c r="K545" s="1128"/>
      <c r="L545" s="1128"/>
      <c r="M545" s="1128"/>
      <c r="N545" s="1128"/>
      <c r="O545" s="1128"/>
      <c r="P545" s="1128"/>
      <c r="Q545" s="1128"/>
      <c r="R545" s="1128"/>
      <c r="S545" s="1128"/>
      <c r="T545" s="1128"/>
      <c r="U545" s="1128"/>
      <c r="V545" s="1128"/>
      <c r="W545" s="1128"/>
      <c r="X545" s="1128"/>
      <c r="Y545" s="1128"/>
      <c r="Z545" s="1128"/>
    </row>
    <row r="546" ht="22.5" customHeight="1">
      <c r="A546" s="1128"/>
      <c r="B546" s="1128"/>
      <c r="C546" s="1128"/>
      <c r="D546" s="1128"/>
      <c r="E546" s="1128"/>
      <c r="F546" s="1128"/>
      <c r="G546" s="1128"/>
      <c r="H546" s="1128"/>
      <c r="I546" s="1128"/>
      <c r="J546" s="1128"/>
      <c r="K546" s="1128"/>
      <c r="L546" s="1128"/>
      <c r="M546" s="1128"/>
      <c r="N546" s="1128"/>
      <c r="O546" s="1128"/>
      <c r="P546" s="1128"/>
      <c r="Q546" s="1128"/>
      <c r="R546" s="1128"/>
      <c r="S546" s="1128"/>
      <c r="T546" s="1128"/>
      <c r="U546" s="1128"/>
      <c r="V546" s="1128"/>
      <c r="W546" s="1128"/>
      <c r="X546" s="1128"/>
      <c r="Y546" s="1128"/>
      <c r="Z546" s="1128"/>
    </row>
    <row r="547" ht="22.5" customHeight="1">
      <c r="A547" s="1128"/>
      <c r="B547" s="1128"/>
      <c r="C547" s="1128"/>
      <c r="D547" s="1128"/>
      <c r="E547" s="1128"/>
      <c r="F547" s="1128"/>
      <c r="G547" s="1128"/>
      <c r="H547" s="1128"/>
      <c r="I547" s="1128"/>
      <c r="J547" s="1128"/>
      <c r="K547" s="1128"/>
      <c r="L547" s="1128"/>
      <c r="M547" s="1128"/>
      <c r="N547" s="1128"/>
      <c r="O547" s="1128"/>
      <c r="P547" s="1128"/>
      <c r="Q547" s="1128"/>
      <c r="R547" s="1128"/>
      <c r="S547" s="1128"/>
      <c r="T547" s="1128"/>
      <c r="U547" s="1128"/>
      <c r="V547" s="1128"/>
      <c r="W547" s="1128"/>
      <c r="X547" s="1128"/>
      <c r="Y547" s="1128"/>
      <c r="Z547" s="1128"/>
    </row>
    <row r="548" ht="22.5" customHeight="1">
      <c r="A548" s="1128"/>
      <c r="B548" s="1128"/>
      <c r="C548" s="1128"/>
      <c r="D548" s="1128"/>
      <c r="E548" s="1128"/>
      <c r="F548" s="1128"/>
      <c r="G548" s="1128"/>
      <c r="H548" s="1128"/>
      <c r="I548" s="1128"/>
      <c r="J548" s="1128"/>
      <c r="K548" s="1128"/>
      <c r="L548" s="1128"/>
      <c r="M548" s="1128"/>
      <c r="N548" s="1128"/>
      <c r="O548" s="1128"/>
      <c r="P548" s="1128"/>
      <c r="Q548" s="1128"/>
      <c r="R548" s="1128"/>
      <c r="S548" s="1128"/>
      <c r="T548" s="1128"/>
      <c r="U548" s="1128"/>
      <c r="V548" s="1128"/>
      <c r="W548" s="1128"/>
      <c r="X548" s="1128"/>
      <c r="Y548" s="1128"/>
      <c r="Z548" s="1128"/>
    </row>
    <row r="549" ht="22.5" customHeight="1">
      <c r="A549" s="1128"/>
      <c r="B549" s="1128"/>
      <c r="C549" s="1128"/>
      <c r="D549" s="1128"/>
      <c r="E549" s="1128"/>
      <c r="F549" s="1128"/>
      <c r="G549" s="1128"/>
      <c r="H549" s="1128"/>
      <c r="I549" s="1128"/>
      <c r="J549" s="1128"/>
      <c r="K549" s="1128"/>
      <c r="L549" s="1128"/>
      <c r="M549" s="1128"/>
      <c r="N549" s="1128"/>
      <c r="O549" s="1128"/>
      <c r="P549" s="1128"/>
      <c r="Q549" s="1128"/>
      <c r="R549" s="1128"/>
      <c r="S549" s="1128"/>
      <c r="T549" s="1128"/>
      <c r="U549" s="1128"/>
      <c r="V549" s="1128"/>
      <c r="W549" s="1128"/>
      <c r="X549" s="1128"/>
      <c r="Y549" s="1128"/>
      <c r="Z549" s="1128"/>
    </row>
    <row r="550" ht="22.5" customHeight="1">
      <c r="A550" s="1128"/>
      <c r="B550" s="1128"/>
      <c r="C550" s="1128"/>
      <c r="D550" s="1128"/>
      <c r="E550" s="1128"/>
      <c r="F550" s="1128"/>
      <c r="G550" s="1128"/>
      <c r="H550" s="1128"/>
      <c r="I550" s="1128"/>
      <c r="J550" s="1128"/>
      <c r="K550" s="1128"/>
      <c r="L550" s="1128"/>
      <c r="M550" s="1128"/>
      <c r="N550" s="1128"/>
      <c r="O550" s="1128"/>
      <c r="P550" s="1128"/>
      <c r="Q550" s="1128"/>
      <c r="R550" s="1128"/>
      <c r="S550" s="1128"/>
      <c r="T550" s="1128"/>
      <c r="U550" s="1128"/>
      <c r="V550" s="1128"/>
      <c r="W550" s="1128"/>
      <c r="X550" s="1128"/>
      <c r="Y550" s="1128"/>
      <c r="Z550" s="1128"/>
    </row>
    <row r="551" ht="22.5" customHeight="1">
      <c r="A551" s="1128"/>
      <c r="B551" s="1128"/>
      <c r="C551" s="1128"/>
      <c r="D551" s="1128"/>
      <c r="E551" s="1128"/>
      <c r="F551" s="1128"/>
      <c r="G551" s="1128"/>
      <c r="H551" s="1128"/>
      <c r="I551" s="1128"/>
      <c r="J551" s="1128"/>
      <c r="K551" s="1128"/>
      <c r="L551" s="1128"/>
      <c r="M551" s="1128"/>
      <c r="N551" s="1128"/>
      <c r="O551" s="1128"/>
      <c r="P551" s="1128"/>
      <c r="Q551" s="1128"/>
      <c r="R551" s="1128"/>
      <c r="S551" s="1128"/>
      <c r="T551" s="1128"/>
      <c r="U551" s="1128"/>
      <c r="V551" s="1128"/>
      <c r="W551" s="1128"/>
      <c r="X551" s="1128"/>
      <c r="Y551" s="1128"/>
      <c r="Z551" s="1128"/>
    </row>
    <row r="552" ht="22.5" customHeight="1">
      <c r="A552" s="1128"/>
      <c r="B552" s="1128"/>
      <c r="C552" s="1128"/>
      <c r="D552" s="1128"/>
      <c r="E552" s="1128"/>
      <c r="F552" s="1128"/>
      <c r="G552" s="1128"/>
      <c r="H552" s="1128"/>
      <c r="I552" s="1128"/>
      <c r="J552" s="1128"/>
      <c r="K552" s="1128"/>
      <c r="L552" s="1128"/>
      <c r="M552" s="1128"/>
      <c r="N552" s="1128"/>
      <c r="O552" s="1128"/>
      <c r="P552" s="1128"/>
      <c r="Q552" s="1128"/>
      <c r="R552" s="1128"/>
      <c r="S552" s="1128"/>
      <c r="T552" s="1128"/>
      <c r="U552" s="1128"/>
      <c r="V552" s="1128"/>
      <c r="W552" s="1128"/>
      <c r="X552" s="1128"/>
      <c r="Y552" s="1128"/>
      <c r="Z552" s="1128"/>
    </row>
    <row r="553" ht="22.5" customHeight="1">
      <c r="A553" s="1128"/>
      <c r="B553" s="1128"/>
      <c r="C553" s="1128"/>
      <c r="D553" s="1128"/>
      <c r="E553" s="1128"/>
      <c r="F553" s="1128"/>
      <c r="G553" s="1128"/>
      <c r="H553" s="1128"/>
      <c r="I553" s="1128"/>
      <c r="J553" s="1128"/>
      <c r="K553" s="1128"/>
      <c r="L553" s="1128"/>
      <c r="M553" s="1128"/>
      <c r="N553" s="1128"/>
      <c r="O553" s="1128"/>
      <c r="P553" s="1128"/>
      <c r="Q553" s="1128"/>
      <c r="R553" s="1128"/>
      <c r="S553" s="1128"/>
      <c r="T553" s="1128"/>
      <c r="U553" s="1128"/>
      <c r="V553" s="1128"/>
      <c r="W553" s="1128"/>
      <c r="X553" s="1128"/>
      <c r="Y553" s="1128"/>
      <c r="Z553" s="1128"/>
    </row>
    <row r="554" ht="22.5" customHeight="1">
      <c r="A554" s="1128"/>
      <c r="B554" s="1128"/>
      <c r="C554" s="1128"/>
      <c r="D554" s="1128"/>
      <c r="E554" s="1128"/>
      <c r="F554" s="1128"/>
      <c r="G554" s="1128"/>
      <c r="H554" s="1128"/>
      <c r="I554" s="1128"/>
      <c r="J554" s="1128"/>
      <c r="K554" s="1128"/>
      <c r="L554" s="1128"/>
      <c r="M554" s="1128"/>
      <c r="N554" s="1128"/>
      <c r="O554" s="1128"/>
      <c r="P554" s="1128"/>
      <c r="Q554" s="1128"/>
      <c r="R554" s="1128"/>
      <c r="S554" s="1128"/>
      <c r="T554" s="1128"/>
      <c r="U554" s="1128"/>
      <c r="V554" s="1128"/>
      <c r="W554" s="1128"/>
      <c r="X554" s="1128"/>
      <c r="Y554" s="1128"/>
      <c r="Z554" s="1128"/>
    </row>
    <row r="555" ht="22.5" customHeight="1">
      <c r="A555" s="1128"/>
      <c r="B555" s="1128"/>
      <c r="C555" s="1128"/>
      <c r="D555" s="1128"/>
      <c r="E555" s="1128"/>
      <c r="F555" s="1128"/>
      <c r="G555" s="1128"/>
      <c r="H555" s="1128"/>
      <c r="I555" s="1128"/>
      <c r="J555" s="1128"/>
      <c r="K555" s="1128"/>
      <c r="L555" s="1128"/>
      <c r="M555" s="1128"/>
      <c r="N555" s="1128"/>
      <c r="O555" s="1128"/>
      <c r="P555" s="1128"/>
      <c r="Q555" s="1128"/>
      <c r="R555" s="1128"/>
      <c r="S555" s="1128"/>
      <c r="T555" s="1128"/>
      <c r="U555" s="1128"/>
      <c r="V555" s="1128"/>
      <c r="W555" s="1128"/>
      <c r="X555" s="1128"/>
      <c r="Y555" s="1128"/>
      <c r="Z555" s="1128"/>
    </row>
    <row r="556" ht="22.5" customHeight="1">
      <c r="A556" s="1128"/>
      <c r="B556" s="1128"/>
      <c r="C556" s="1128"/>
      <c r="D556" s="1128"/>
      <c r="E556" s="1128"/>
      <c r="F556" s="1128"/>
      <c r="G556" s="1128"/>
      <c r="H556" s="1128"/>
      <c r="I556" s="1128"/>
      <c r="J556" s="1128"/>
      <c r="K556" s="1128"/>
      <c r="L556" s="1128"/>
      <c r="M556" s="1128"/>
      <c r="N556" s="1128"/>
      <c r="O556" s="1128"/>
      <c r="P556" s="1128"/>
      <c r="Q556" s="1128"/>
      <c r="R556" s="1128"/>
      <c r="S556" s="1128"/>
      <c r="T556" s="1128"/>
      <c r="U556" s="1128"/>
      <c r="V556" s="1128"/>
      <c r="W556" s="1128"/>
      <c r="X556" s="1128"/>
      <c r="Y556" s="1128"/>
      <c r="Z556" s="1128"/>
    </row>
    <row r="557" ht="22.5" customHeight="1">
      <c r="A557" s="1128"/>
      <c r="B557" s="1128"/>
      <c r="C557" s="1128"/>
      <c r="D557" s="1128"/>
      <c r="E557" s="1128"/>
      <c r="F557" s="1128"/>
      <c r="G557" s="1128"/>
      <c r="H557" s="1128"/>
      <c r="I557" s="1128"/>
      <c r="J557" s="1128"/>
      <c r="K557" s="1128"/>
      <c r="L557" s="1128"/>
      <c r="M557" s="1128"/>
      <c r="N557" s="1128"/>
      <c r="O557" s="1128"/>
      <c r="P557" s="1128"/>
      <c r="Q557" s="1128"/>
      <c r="R557" s="1128"/>
      <c r="S557" s="1128"/>
      <c r="T557" s="1128"/>
      <c r="U557" s="1128"/>
      <c r="V557" s="1128"/>
      <c r="W557" s="1128"/>
      <c r="X557" s="1128"/>
      <c r="Y557" s="1128"/>
      <c r="Z557" s="1128"/>
    </row>
    <row r="558" ht="22.5" customHeight="1">
      <c r="A558" s="1128"/>
      <c r="B558" s="1128"/>
      <c r="C558" s="1128"/>
      <c r="D558" s="1128"/>
      <c r="E558" s="1128"/>
      <c r="F558" s="1128"/>
      <c r="G558" s="1128"/>
      <c r="H558" s="1128"/>
      <c r="I558" s="1128"/>
      <c r="J558" s="1128"/>
      <c r="K558" s="1128"/>
      <c r="L558" s="1128"/>
      <c r="M558" s="1128"/>
      <c r="N558" s="1128"/>
      <c r="O558" s="1128"/>
      <c r="P558" s="1128"/>
      <c r="Q558" s="1128"/>
      <c r="R558" s="1128"/>
      <c r="S558" s="1128"/>
      <c r="T558" s="1128"/>
      <c r="U558" s="1128"/>
      <c r="V558" s="1128"/>
      <c r="W558" s="1128"/>
      <c r="X558" s="1128"/>
      <c r="Y558" s="1128"/>
      <c r="Z558" s="1128"/>
    </row>
    <row r="559" ht="22.5" customHeight="1">
      <c r="A559" s="1128"/>
      <c r="B559" s="1128"/>
      <c r="C559" s="1128"/>
      <c r="D559" s="1128"/>
      <c r="E559" s="1128"/>
      <c r="F559" s="1128"/>
      <c r="G559" s="1128"/>
      <c r="H559" s="1128"/>
      <c r="I559" s="1128"/>
      <c r="J559" s="1128"/>
      <c r="K559" s="1128"/>
      <c r="L559" s="1128"/>
      <c r="M559" s="1128"/>
      <c r="N559" s="1128"/>
      <c r="O559" s="1128"/>
      <c r="P559" s="1128"/>
      <c r="Q559" s="1128"/>
      <c r="R559" s="1128"/>
      <c r="S559" s="1128"/>
      <c r="T559" s="1128"/>
      <c r="U559" s="1128"/>
      <c r="V559" s="1128"/>
      <c r="W559" s="1128"/>
      <c r="X559" s="1128"/>
      <c r="Y559" s="1128"/>
      <c r="Z559" s="1128"/>
    </row>
    <row r="560" ht="22.5" customHeight="1">
      <c r="A560" s="1128"/>
      <c r="B560" s="1128"/>
      <c r="C560" s="1128"/>
      <c r="D560" s="1128"/>
      <c r="E560" s="1128"/>
      <c r="F560" s="1128"/>
      <c r="G560" s="1128"/>
      <c r="H560" s="1128"/>
      <c r="I560" s="1128"/>
      <c r="J560" s="1128"/>
      <c r="K560" s="1128"/>
      <c r="L560" s="1128"/>
      <c r="M560" s="1128"/>
      <c r="N560" s="1128"/>
      <c r="O560" s="1128"/>
      <c r="P560" s="1128"/>
      <c r="Q560" s="1128"/>
      <c r="R560" s="1128"/>
      <c r="S560" s="1128"/>
      <c r="T560" s="1128"/>
      <c r="U560" s="1128"/>
      <c r="V560" s="1128"/>
      <c r="W560" s="1128"/>
      <c r="X560" s="1128"/>
      <c r="Y560" s="1128"/>
      <c r="Z560" s="1128"/>
    </row>
    <row r="561" ht="22.5" customHeight="1">
      <c r="A561" s="1128"/>
      <c r="B561" s="1128"/>
      <c r="C561" s="1128"/>
      <c r="D561" s="1128"/>
      <c r="E561" s="1128"/>
      <c r="F561" s="1128"/>
      <c r="G561" s="1128"/>
      <c r="H561" s="1128"/>
      <c r="I561" s="1128"/>
      <c r="J561" s="1128"/>
      <c r="K561" s="1128"/>
      <c r="L561" s="1128"/>
      <c r="M561" s="1128"/>
      <c r="N561" s="1128"/>
      <c r="O561" s="1128"/>
      <c r="P561" s="1128"/>
      <c r="Q561" s="1128"/>
      <c r="R561" s="1128"/>
      <c r="S561" s="1128"/>
      <c r="T561" s="1128"/>
      <c r="U561" s="1128"/>
      <c r="V561" s="1128"/>
      <c r="W561" s="1128"/>
      <c r="X561" s="1128"/>
      <c r="Y561" s="1128"/>
      <c r="Z561" s="1128"/>
    </row>
    <row r="562" ht="22.5" customHeight="1">
      <c r="A562" s="1128"/>
      <c r="B562" s="1128"/>
      <c r="C562" s="1128"/>
      <c r="D562" s="1128"/>
      <c r="E562" s="1128"/>
      <c r="F562" s="1128"/>
      <c r="G562" s="1128"/>
      <c r="H562" s="1128"/>
      <c r="I562" s="1128"/>
      <c r="J562" s="1128"/>
      <c r="K562" s="1128"/>
      <c r="L562" s="1128"/>
      <c r="M562" s="1128"/>
      <c r="N562" s="1128"/>
      <c r="O562" s="1128"/>
      <c r="P562" s="1128"/>
      <c r="Q562" s="1128"/>
      <c r="R562" s="1128"/>
      <c r="S562" s="1128"/>
      <c r="T562" s="1128"/>
      <c r="U562" s="1128"/>
      <c r="V562" s="1128"/>
      <c r="W562" s="1128"/>
      <c r="X562" s="1128"/>
      <c r="Y562" s="1128"/>
      <c r="Z562" s="1128"/>
    </row>
    <row r="563" ht="22.5" customHeight="1">
      <c r="A563" s="1128"/>
      <c r="B563" s="1128"/>
      <c r="C563" s="1128"/>
      <c r="D563" s="1128"/>
      <c r="E563" s="1128"/>
      <c r="F563" s="1128"/>
      <c r="G563" s="1128"/>
      <c r="H563" s="1128"/>
      <c r="I563" s="1128"/>
      <c r="J563" s="1128"/>
      <c r="K563" s="1128"/>
      <c r="L563" s="1128"/>
      <c r="M563" s="1128"/>
      <c r="N563" s="1128"/>
      <c r="O563" s="1128"/>
      <c r="P563" s="1128"/>
      <c r="Q563" s="1128"/>
      <c r="R563" s="1128"/>
      <c r="S563" s="1128"/>
      <c r="T563" s="1128"/>
      <c r="U563" s="1128"/>
      <c r="V563" s="1128"/>
      <c r="W563" s="1128"/>
      <c r="X563" s="1128"/>
      <c r="Y563" s="1128"/>
      <c r="Z563" s="1128"/>
    </row>
    <row r="564" ht="22.5" customHeight="1">
      <c r="A564" s="1128"/>
      <c r="B564" s="1128"/>
      <c r="C564" s="1128"/>
      <c r="D564" s="1128"/>
      <c r="E564" s="1128"/>
      <c r="F564" s="1128"/>
      <c r="G564" s="1128"/>
      <c r="H564" s="1128"/>
      <c r="I564" s="1128"/>
      <c r="J564" s="1128"/>
      <c r="K564" s="1128"/>
      <c r="L564" s="1128"/>
      <c r="M564" s="1128"/>
      <c r="N564" s="1128"/>
      <c r="O564" s="1128"/>
      <c r="P564" s="1128"/>
      <c r="Q564" s="1128"/>
      <c r="R564" s="1128"/>
      <c r="S564" s="1128"/>
      <c r="T564" s="1128"/>
      <c r="U564" s="1128"/>
      <c r="V564" s="1128"/>
      <c r="W564" s="1128"/>
      <c r="X564" s="1128"/>
      <c r="Y564" s="1128"/>
      <c r="Z564" s="1128"/>
    </row>
    <row r="565" ht="22.5" customHeight="1">
      <c r="A565" s="1128"/>
      <c r="B565" s="1128"/>
      <c r="C565" s="1128"/>
      <c r="D565" s="1128"/>
      <c r="E565" s="1128"/>
      <c r="F565" s="1128"/>
      <c r="G565" s="1128"/>
      <c r="H565" s="1128"/>
      <c r="I565" s="1128"/>
      <c r="J565" s="1128"/>
      <c r="K565" s="1128"/>
      <c r="L565" s="1128"/>
      <c r="M565" s="1128"/>
      <c r="N565" s="1128"/>
      <c r="O565" s="1128"/>
      <c r="P565" s="1128"/>
      <c r="Q565" s="1128"/>
      <c r="R565" s="1128"/>
      <c r="S565" s="1128"/>
      <c r="T565" s="1128"/>
      <c r="U565" s="1128"/>
      <c r="V565" s="1128"/>
      <c r="W565" s="1128"/>
      <c r="X565" s="1128"/>
      <c r="Y565" s="1128"/>
      <c r="Z565" s="1128"/>
    </row>
    <row r="566" ht="22.5" customHeight="1">
      <c r="A566" s="1128"/>
      <c r="B566" s="1128"/>
      <c r="C566" s="1128"/>
      <c r="D566" s="1128"/>
      <c r="E566" s="1128"/>
      <c r="F566" s="1128"/>
      <c r="G566" s="1128"/>
      <c r="H566" s="1128"/>
      <c r="I566" s="1128"/>
      <c r="J566" s="1128"/>
      <c r="K566" s="1128"/>
      <c r="L566" s="1128"/>
      <c r="M566" s="1128"/>
      <c r="N566" s="1128"/>
      <c r="O566" s="1128"/>
      <c r="P566" s="1128"/>
      <c r="Q566" s="1128"/>
      <c r="R566" s="1128"/>
      <c r="S566" s="1128"/>
      <c r="T566" s="1128"/>
      <c r="U566" s="1128"/>
      <c r="V566" s="1128"/>
      <c r="W566" s="1128"/>
      <c r="X566" s="1128"/>
      <c r="Y566" s="1128"/>
      <c r="Z566" s="1128"/>
    </row>
    <row r="567" ht="22.5" customHeight="1">
      <c r="A567" s="1128"/>
      <c r="B567" s="1128"/>
      <c r="C567" s="1128"/>
      <c r="D567" s="1128"/>
      <c r="E567" s="1128"/>
      <c r="F567" s="1128"/>
      <c r="G567" s="1128"/>
      <c r="H567" s="1128"/>
      <c r="I567" s="1128"/>
      <c r="J567" s="1128"/>
      <c r="K567" s="1128"/>
      <c r="L567" s="1128"/>
      <c r="M567" s="1128"/>
      <c r="N567" s="1128"/>
      <c r="O567" s="1128"/>
      <c r="P567" s="1128"/>
      <c r="Q567" s="1128"/>
      <c r="R567" s="1128"/>
      <c r="S567" s="1128"/>
      <c r="T567" s="1128"/>
      <c r="U567" s="1128"/>
      <c r="V567" s="1128"/>
      <c r="W567" s="1128"/>
      <c r="X567" s="1128"/>
      <c r="Y567" s="1128"/>
      <c r="Z567" s="1128"/>
    </row>
    <row r="568" ht="22.5" customHeight="1">
      <c r="A568" s="1128"/>
      <c r="B568" s="1128"/>
      <c r="C568" s="1128"/>
      <c r="D568" s="1128"/>
      <c r="E568" s="1128"/>
      <c r="F568" s="1128"/>
      <c r="G568" s="1128"/>
      <c r="H568" s="1128"/>
      <c r="I568" s="1128"/>
      <c r="J568" s="1128"/>
      <c r="K568" s="1128"/>
      <c r="L568" s="1128"/>
      <c r="M568" s="1128"/>
      <c r="N568" s="1128"/>
      <c r="O568" s="1128"/>
      <c r="P568" s="1128"/>
      <c r="Q568" s="1128"/>
      <c r="R568" s="1128"/>
      <c r="S568" s="1128"/>
      <c r="T568" s="1128"/>
      <c r="U568" s="1128"/>
      <c r="V568" s="1128"/>
      <c r="W568" s="1128"/>
      <c r="X568" s="1128"/>
      <c r="Y568" s="1128"/>
      <c r="Z568" s="1128"/>
    </row>
    <row r="569" ht="22.5" customHeight="1">
      <c r="A569" s="1128"/>
      <c r="B569" s="1128"/>
      <c r="C569" s="1128"/>
      <c r="D569" s="1128"/>
      <c r="E569" s="1128"/>
      <c r="F569" s="1128"/>
      <c r="G569" s="1128"/>
      <c r="H569" s="1128"/>
      <c r="I569" s="1128"/>
      <c r="J569" s="1128"/>
      <c r="K569" s="1128"/>
      <c r="L569" s="1128"/>
      <c r="M569" s="1128"/>
      <c r="N569" s="1128"/>
      <c r="O569" s="1128"/>
      <c r="P569" s="1128"/>
      <c r="Q569" s="1128"/>
      <c r="R569" s="1128"/>
      <c r="S569" s="1128"/>
      <c r="T569" s="1128"/>
      <c r="U569" s="1128"/>
      <c r="V569" s="1128"/>
      <c r="W569" s="1128"/>
      <c r="X569" s="1128"/>
      <c r="Y569" s="1128"/>
      <c r="Z569" s="1128"/>
    </row>
    <row r="570" ht="22.5" customHeight="1">
      <c r="A570" s="1128"/>
      <c r="B570" s="1128"/>
      <c r="C570" s="1128"/>
      <c r="D570" s="1128"/>
      <c r="E570" s="1128"/>
      <c r="F570" s="1128"/>
      <c r="G570" s="1128"/>
      <c r="H570" s="1128"/>
      <c r="I570" s="1128"/>
      <c r="J570" s="1128"/>
      <c r="K570" s="1128"/>
      <c r="L570" s="1128"/>
      <c r="M570" s="1128"/>
      <c r="N570" s="1128"/>
      <c r="O570" s="1128"/>
      <c r="P570" s="1128"/>
      <c r="Q570" s="1128"/>
      <c r="R570" s="1128"/>
      <c r="S570" s="1128"/>
      <c r="T570" s="1128"/>
      <c r="U570" s="1128"/>
      <c r="V570" s="1128"/>
      <c r="W570" s="1128"/>
      <c r="X570" s="1128"/>
      <c r="Y570" s="1128"/>
      <c r="Z570" s="1128"/>
    </row>
    <row r="571" ht="22.5" customHeight="1">
      <c r="A571" s="1128"/>
      <c r="B571" s="1128"/>
      <c r="C571" s="1128"/>
      <c r="D571" s="1128"/>
      <c r="E571" s="1128"/>
      <c r="F571" s="1128"/>
      <c r="G571" s="1128"/>
      <c r="H571" s="1128"/>
      <c r="I571" s="1128"/>
      <c r="J571" s="1128"/>
      <c r="K571" s="1128"/>
      <c r="L571" s="1128"/>
      <c r="M571" s="1128"/>
      <c r="N571" s="1128"/>
      <c r="O571" s="1128"/>
      <c r="P571" s="1128"/>
      <c r="Q571" s="1128"/>
      <c r="R571" s="1128"/>
      <c r="S571" s="1128"/>
      <c r="T571" s="1128"/>
      <c r="U571" s="1128"/>
      <c r="V571" s="1128"/>
      <c r="W571" s="1128"/>
      <c r="X571" s="1128"/>
      <c r="Y571" s="1128"/>
      <c r="Z571" s="1128"/>
    </row>
    <row r="572" ht="22.5" customHeight="1">
      <c r="A572" s="1128"/>
      <c r="B572" s="1128"/>
      <c r="C572" s="1128"/>
      <c r="D572" s="1128"/>
      <c r="E572" s="1128"/>
      <c r="F572" s="1128"/>
      <c r="G572" s="1128"/>
      <c r="H572" s="1128"/>
      <c r="I572" s="1128"/>
      <c r="J572" s="1128"/>
      <c r="K572" s="1128"/>
      <c r="L572" s="1128"/>
      <c r="M572" s="1128"/>
      <c r="N572" s="1128"/>
      <c r="O572" s="1128"/>
      <c r="P572" s="1128"/>
      <c r="Q572" s="1128"/>
      <c r="R572" s="1128"/>
      <c r="S572" s="1128"/>
      <c r="T572" s="1128"/>
      <c r="U572" s="1128"/>
      <c r="V572" s="1128"/>
      <c r="W572" s="1128"/>
      <c r="X572" s="1128"/>
      <c r="Y572" s="1128"/>
      <c r="Z572" s="1128"/>
    </row>
    <row r="573" ht="22.5" customHeight="1">
      <c r="A573" s="1128"/>
      <c r="B573" s="1128"/>
      <c r="C573" s="1128"/>
      <c r="D573" s="1128"/>
      <c r="E573" s="1128"/>
      <c r="F573" s="1128"/>
      <c r="G573" s="1128"/>
      <c r="H573" s="1128"/>
      <c r="I573" s="1128"/>
      <c r="J573" s="1128"/>
      <c r="K573" s="1128"/>
      <c r="L573" s="1128"/>
      <c r="M573" s="1128"/>
      <c r="N573" s="1128"/>
      <c r="O573" s="1128"/>
      <c r="P573" s="1128"/>
      <c r="Q573" s="1128"/>
      <c r="R573" s="1128"/>
      <c r="S573" s="1128"/>
      <c r="T573" s="1128"/>
      <c r="U573" s="1128"/>
      <c r="V573" s="1128"/>
      <c r="W573" s="1128"/>
      <c r="X573" s="1128"/>
      <c r="Y573" s="1128"/>
      <c r="Z573" s="1128"/>
    </row>
    <row r="574" ht="22.5" customHeight="1">
      <c r="A574" s="1128"/>
      <c r="B574" s="1128"/>
      <c r="C574" s="1128"/>
      <c r="D574" s="1128"/>
      <c r="E574" s="1128"/>
      <c r="F574" s="1128"/>
      <c r="G574" s="1128"/>
      <c r="H574" s="1128"/>
      <c r="I574" s="1128"/>
      <c r="J574" s="1128"/>
      <c r="K574" s="1128"/>
      <c r="L574" s="1128"/>
      <c r="M574" s="1128"/>
      <c r="N574" s="1128"/>
      <c r="O574" s="1128"/>
      <c r="P574" s="1128"/>
      <c r="Q574" s="1128"/>
      <c r="R574" s="1128"/>
      <c r="S574" s="1128"/>
      <c r="T574" s="1128"/>
      <c r="U574" s="1128"/>
      <c r="V574" s="1128"/>
      <c r="W574" s="1128"/>
      <c r="X574" s="1128"/>
      <c r="Y574" s="1128"/>
      <c r="Z574" s="1128"/>
    </row>
    <row r="575" ht="22.5" customHeight="1">
      <c r="A575" s="1128"/>
      <c r="B575" s="1128"/>
      <c r="C575" s="1128"/>
      <c r="D575" s="1128"/>
      <c r="E575" s="1128"/>
      <c r="F575" s="1128"/>
      <c r="G575" s="1128"/>
      <c r="H575" s="1128"/>
      <c r="I575" s="1128"/>
      <c r="J575" s="1128"/>
      <c r="K575" s="1128"/>
      <c r="L575" s="1128"/>
      <c r="M575" s="1128"/>
      <c r="N575" s="1128"/>
      <c r="O575" s="1128"/>
      <c r="P575" s="1128"/>
      <c r="Q575" s="1128"/>
      <c r="R575" s="1128"/>
      <c r="S575" s="1128"/>
      <c r="T575" s="1128"/>
      <c r="U575" s="1128"/>
      <c r="V575" s="1128"/>
      <c r="W575" s="1128"/>
      <c r="X575" s="1128"/>
      <c r="Y575" s="1128"/>
      <c r="Z575" s="1128"/>
    </row>
    <row r="576" ht="22.5" customHeight="1">
      <c r="A576" s="1128"/>
      <c r="B576" s="1128"/>
      <c r="C576" s="1128"/>
      <c r="D576" s="1128"/>
      <c r="E576" s="1128"/>
      <c r="F576" s="1128"/>
      <c r="G576" s="1128"/>
      <c r="H576" s="1128"/>
      <c r="I576" s="1128"/>
      <c r="J576" s="1128"/>
      <c r="K576" s="1128"/>
      <c r="L576" s="1128"/>
      <c r="M576" s="1128"/>
      <c r="N576" s="1128"/>
      <c r="O576" s="1128"/>
      <c r="P576" s="1128"/>
      <c r="Q576" s="1128"/>
      <c r="R576" s="1128"/>
      <c r="S576" s="1128"/>
      <c r="T576" s="1128"/>
      <c r="U576" s="1128"/>
      <c r="V576" s="1128"/>
      <c r="W576" s="1128"/>
      <c r="X576" s="1128"/>
      <c r="Y576" s="1128"/>
      <c r="Z576" s="1128"/>
    </row>
    <row r="577" ht="22.5" customHeight="1">
      <c r="A577" s="1128"/>
      <c r="B577" s="1128"/>
      <c r="C577" s="1128"/>
      <c r="D577" s="1128"/>
      <c r="E577" s="1128"/>
      <c r="F577" s="1128"/>
      <c r="G577" s="1128"/>
      <c r="H577" s="1128"/>
      <c r="I577" s="1128"/>
      <c r="J577" s="1128"/>
      <c r="K577" s="1128"/>
      <c r="L577" s="1128"/>
      <c r="M577" s="1128"/>
      <c r="N577" s="1128"/>
      <c r="O577" s="1128"/>
      <c r="P577" s="1128"/>
      <c r="Q577" s="1128"/>
      <c r="R577" s="1128"/>
      <c r="S577" s="1128"/>
      <c r="T577" s="1128"/>
      <c r="U577" s="1128"/>
      <c r="V577" s="1128"/>
      <c r="W577" s="1128"/>
      <c r="X577" s="1128"/>
      <c r="Y577" s="1128"/>
      <c r="Z577" s="1128"/>
    </row>
    <row r="578" ht="22.5" customHeight="1">
      <c r="A578" s="1128"/>
      <c r="B578" s="1128"/>
      <c r="C578" s="1128"/>
      <c r="D578" s="1128"/>
      <c r="E578" s="1128"/>
      <c r="F578" s="1128"/>
      <c r="G578" s="1128"/>
      <c r="H578" s="1128"/>
      <c r="I578" s="1128"/>
      <c r="J578" s="1128"/>
      <c r="K578" s="1128"/>
      <c r="L578" s="1128"/>
      <c r="M578" s="1128"/>
      <c r="N578" s="1128"/>
      <c r="O578" s="1128"/>
      <c r="P578" s="1128"/>
      <c r="Q578" s="1128"/>
      <c r="R578" s="1128"/>
      <c r="S578" s="1128"/>
      <c r="T578" s="1128"/>
      <c r="U578" s="1128"/>
      <c r="V578" s="1128"/>
      <c r="W578" s="1128"/>
      <c r="X578" s="1128"/>
      <c r="Y578" s="1128"/>
      <c r="Z578" s="1128"/>
    </row>
    <row r="579" ht="22.5" customHeight="1">
      <c r="A579" s="1128"/>
      <c r="B579" s="1128"/>
      <c r="C579" s="1128"/>
      <c r="D579" s="1128"/>
      <c r="E579" s="1128"/>
      <c r="F579" s="1128"/>
      <c r="G579" s="1128"/>
      <c r="H579" s="1128"/>
      <c r="I579" s="1128"/>
      <c r="J579" s="1128"/>
      <c r="K579" s="1128"/>
      <c r="L579" s="1128"/>
      <c r="M579" s="1128"/>
      <c r="N579" s="1128"/>
      <c r="O579" s="1128"/>
      <c r="P579" s="1128"/>
      <c r="Q579" s="1128"/>
      <c r="R579" s="1128"/>
      <c r="S579" s="1128"/>
      <c r="T579" s="1128"/>
      <c r="U579" s="1128"/>
      <c r="V579" s="1128"/>
      <c r="W579" s="1128"/>
      <c r="X579" s="1128"/>
      <c r="Y579" s="1128"/>
      <c r="Z579" s="1128"/>
    </row>
    <row r="580" ht="22.5" customHeight="1">
      <c r="A580" s="1128"/>
      <c r="B580" s="1128"/>
      <c r="C580" s="1128"/>
      <c r="D580" s="1128"/>
      <c r="E580" s="1128"/>
      <c r="F580" s="1128"/>
      <c r="G580" s="1128"/>
      <c r="H580" s="1128"/>
      <c r="I580" s="1128"/>
      <c r="J580" s="1128"/>
      <c r="K580" s="1128"/>
      <c r="L580" s="1128"/>
      <c r="M580" s="1128"/>
      <c r="N580" s="1128"/>
      <c r="O580" s="1128"/>
      <c r="P580" s="1128"/>
      <c r="Q580" s="1128"/>
      <c r="R580" s="1128"/>
      <c r="S580" s="1128"/>
      <c r="T580" s="1128"/>
      <c r="U580" s="1128"/>
      <c r="V580" s="1128"/>
      <c r="W580" s="1128"/>
      <c r="X580" s="1128"/>
      <c r="Y580" s="1128"/>
      <c r="Z580" s="1128"/>
    </row>
    <row r="581" ht="22.5" customHeight="1">
      <c r="A581" s="1128"/>
      <c r="B581" s="1128"/>
      <c r="C581" s="1128"/>
      <c r="D581" s="1128"/>
      <c r="E581" s="1128"/>
      <c r="F581" s="1128"/>
      <c r="G581" s="1128"/>
      <c r="H581" s="1128"/>
      <c r="I581" s="1128"/>
      <c r="J581" s="1128"/>
      <c r="K581" s="1128"/>
      <c r="L581" s="1128"/>
      <c r="M581" s="1128"/>
      <c r="N581" s="1128"/>
      <c r="O581" s="1128"/>
      <c r="P581" s="1128"/>
      <c r="Q581" s="1128"/>
      <c r="R581" s="1128"/>
      <c r="S581" s="1128"/>
      <c r="T581" s="1128"/>
      <c r="U581" s="1128"/>
      <c r="V581" s="1128"/>
      <c r="W581" s="1128"/>
      <c r="X581" s="1128"/>
      <c r="Y581" s="1128"/>
      <c r="Z581" s="1128"/>
    </row>
    <row r="582" ht="22.5" customHeight="1">
      <c r="A582" s="1128"/>
      <c r="B582" s="1128"/>
      <c r="C582" s="1128"/>
      <c r="D582" s="1128"/>
      <c r="E582" s="1128"/>
      <c r="F582" s="1128"/>
      <c r="G582" s="1128"/>
      <c r="H582" s="1128"/>
      <c r="I582" s="1128"/>
      <c r="J582" s="1128"/>
      <c r="K582" s="1128"/>
      <c r="L582" s="1128"/>
      <c r="M582" s="1128"/>
      <c r="N582" s="1128"/>
      <c r="O582" s="1128"/>
      <c r="P582" s="1128"/>
      <c r="Q582" s="1128"/>
      <c r="R582" s="1128"/>
      <c r="S582" s="1128"/>
      <c r="T582" s="1128"/>
      <c r="U582" s="1128"/>
      <c r="V582" s="1128"/>
      <c r="W582" s="1128"/>
      <c r="X582" s="1128"/>
      <c r="Y582" s="1128"/>
      <c r="Z582" s="1128"/>
    </row>
    <row r="583" ht="22.5" customHeight="1">
      <c r="A583" s="1128"/>
      <c r="B583" s="1128"/>
      <c r="C583" s="1128"/>
      <c r="D583" s="1128"/>
      <c r="E583" s="1128"/>
      <c r="F583" s="1128"/>
      <c r="G583" s="1128"/>
      <c r="H583" s="1128"/>
      <c r="I583" s="1128"/>
      <c r="J583" s="1128"/>
      <c r="K583" s="1128"/>
      <c r="L583" s="1128"/>
      <c r="M583" s="1128"/>
      <c r="N583" s="1128"/>
      <c r="O583" s="1128"/>
      <c r="P583" s="1128"/>
      <c r="Q583" s="1128"/>
      <c r="R583" s="1128"/>
      <c r="S583" s="1128"/>
      <c r="T583" s="1128"/>
      <c r="U583" s="1128"/>
      <c r="V583" s="1128"/>
      <c r="W583" s="1128"/>
      <c r="X583" s="1128"/>
      <c r="Y583" s="1128"/>
      <c r="Z583" s="1128"/>
    </row>
    <row r="584" ht="22.5" customHeight="1">
      <c r="A584" s="1128"/>
      <c r="B584" s="1128"/>
      <c r="C584" s="1128"/>
      <c r="D584" s="1128"/>
      <c r="E584" s="1128"/>
      <c r="F584" s="1128"/>
      <c r="G584" s="1128"/>
      <c r="H584" s="1128"/>
      <c r="I584" s="1128"/>
      <c r="J584" s="1128"/>
      <c r="K584" s="1128"/>
      <c r="L584" s="1128"/>
      <c r="M584" s="1128"/>
      <c r="N584" s="1128"/>
      <c r="O584" s="1128"/>
      <c r="P584" s="1128"/>
      <c r="Q584" s="1128"/>
      <c r="R584" s="1128"/>
      <c r="S584" s="1128"/>
      <c r="T584" s="1128"/>
      <c r="U584" s="1128"/>
      <c r="V584" s="1128"/>
      <c r="W584" s="1128"/>
      <c r="X584" s="1128"/>
      <c r="Y584" s="1128"/>
      <c r="Z584" s="1128"/>
    </row>
    <row r="585" ht="22.5" customHeight="1">
      <c r="A585" s="1128"/>
      <c r="B585" s="1128"/>
      <c r="C585" s="1128"/>
      <c r="D585" s="1128"/>
      <c r="E585" s="1128"/>
      <c r="F585" s="1128"/>
      <c r="G585" s="1128"/>
      <c r="H585" s="1128"/>
      <c r="I585" s="1128"/>
      <c r="J585" s="1128"/>
      <c r="K585" s="1128"/>
      <c r="L585" s="1128"/>
      <c r="M585" s="1128"/>
      <c r="N585" s="1128"/>
      <c r="O585" s="1128"/>
      <c r="P585" s="1128"/>
      <c r="Q585" s="1128"/>
      <c r="R585" s="1128"/>
      <c r="S585" s="1128"/>
      <c r="T585" s="1128"/>
      <c r="U585" s="1128"/>
      <c r="V585" s="1128"/>
      <c r="W585" s="1128"/>
      <c r="X585" s="1128"/>
      <c r="Y585" s="1128"/>
      <c r="Z585" s="1128"/>
    </row>
    <row r="586" ht="22.5" customHeight="1">
      <c r="A586" s="1128"/>
      <c r="B586" s="1128"/>
      <c r="C586" s="1128"/>
      <c r="D586" s="1128"/>
      <c r="E586" s="1128"/>
      <c r="F586" s="1128"/>
      <c r="G586" s="1128"/>
      <c r="H586" s="1128"/>
      <c r="I586" s="1128"/>
      <c r="J586" s="1128"/>
      <c r="K586" s="1128"/>
      <c r="L586" s="1128"/>
      <c r="M586" s="1128"/>
      <c r="N586" s="1128"/>
      <c r="O586" s="1128"/>
      <c r="P586" s="1128"/>
      <c r="Q586" s="1128"/>
      <c r="R586" s="1128"/>
      <c r="S586" s="1128"/>
      <c r="T586" s="1128"/>
      <c r="U586" s="1128"/>
      <c r="V586" s="1128"/>
      <c r="W586" s="1128"/>
      <c r="X586" s="1128"/>
      <c r="Y586" s="1128"/>
      <c r="Z586" s="1128"/>
    </row>
    <row r="587" ht="22.5" customHeight="1">
      <c r="A587" s="1128"/>
      <c r="B587" s="1128"/>
      <c r="C587" s="1128"/>
      <c r="D587" s="1128"/>
      <c r="E587" s="1128"/>
      <c r="F587" s="1128"/>
      <c r="G587" s="1128"/>
      <c r="H587" s="1128"/>
      <c r="I587" s="1128"/>
      <c r="J587" s="1128"/>
      <c r="K587" s="1128"/>
      <c r="L587" s="1128"/>
      <c r="M587" s="1128"/>
      <c r="N587" s="1128"/>
      <c r="O587" s="1128"/>
      <c r="P587" s="1128"/>
      <c r="Q587" s="1128"/>
      <c r="R587" s="1128"/>
      <c r="S587" s="1128"/>
      <c r="T587" s="1128"/>
      <c r="U587" s="1128"/>
      <c r="V587" s="1128"/>
      <c r="W587" s="1128"/>
      <c r="X587" s="1128"/>
      <c r="Y587" s="1128"/>
      <c r="Z587" s="1128"/>
    </row>
    <row r="588" ht="22.5" customHeight="1">
      <c r="A588" s="1128"/>
      <c r="B588" s="1128"/>
      <c r="C588" s="1128"/>
      <c r="D588" s="1128"/>
      <c r="E588" s="1128"/>
      <c r="F588" s="1128"/>
      <c r="G588" s="1128"/>
      <c r="H588" s="1128"/>
      <c r="I588" s="1128"/>
      <c r="J588" s="1128"/>
      <c r="K588" s="1128"/>
      <c r="L588" s="1128"/>
      <c r="M588" s="1128"/>
      <c r="N588" s="1128"/>
      <c r="O588" s="1128"/>
      <c r="P588" s="1128"/>
      <c r="Q588" s="1128"/>
      <c r="R588" s="1128"/>
      <c r="S588" s="1128"/>
      <c r="T588" s="1128"/>
      <c r="U588" s="1128"/>
      <c r="V588" s="1128"/>
      <c r="W588" s="1128"/>
      <c r="X588" s="1128"/>
      <c r="Y588" s="1128"/>
      <c r="Z588" s="1128"/>
    </row>
    <row r="589" ht="22.5" customHeight="1">
      <c r="A589" s="1128"/>
      <c r="B589" s="1128"/>
      <c r="C589" s="1128"/>
      <c r="D589" s="1128"/>
      <c r="E589" s="1128"/>
      <c r="F589" s="1128"/>
      <c r="G589" s="1128"/>
      <c r="H589" s="1128"/>
      <c r="I589" s="1128"/>
      <c r="J589" s="1128"/>
      <c r="K589" s="1128"/>
      <c r="L589" s="1128"/>
      <c r="M589" s="1128"/>
      <c r="N589" s="1128"/>
      <c r="O589" s="1128"/>
      <c r="P589" s="1128"/>
      <c r="Q589" s="1128"/>
      <c r="R589" s="1128"/>
      <c r="S589" s="1128"/>
      <c r="T589" s="1128"/>
      <c r="U589" s="1128"/>
      <c r="V589" s="1128"/>
      <c r="W589" s="1128"/>
      <c r="X589" s="1128"/>
      <c r="Y589" s="1128"/>
      <c r="Z589" s="1128"/>
    </row>
    <row r="590" ht="22.5" customHeight="1">
      <c r="A590" s="1128"/>
      <c r="B590" s="1128"/>
      <c r="C590" s="1128"/>
      <c r="D590" s="1128"/>
      <c r="E590" s="1128"/>
      <c r="F590" s="1128"/>
      <c r="G590" s="1128"/>
      <c r="H590" s="1128"/>
      <c r="I590" s="1128"/>
      <c r="J590" s="1128"/>
      <c r="K590" s="1128"/>
      <c r="L590" s="1128"/>
      <c r="M590" s="1128"/>
      <c r="N590" s="1128"/>
      <c r="O590" s="1128"/>
      <c r="P590" s="1128"/>
      <c r="Q590" s="1128"/>
      <c r="R590" s="1128"/>
      <c r="S590" s="1128"/>
      <c r="T590" s="1128"/>
      <c r="U590" s="1128"/>
      <c r="V590" s="1128"/>
      <c r="W590" s="1128"/>
      <c r="X590" s="1128"/>
      <c r="Y590" s="1128"/>
      <c r="Z590" s="1128"/>
    </row>
    <row r="591" ht="22.5" customHeight="1">
      <c r="A591" s="1128"/>
      <c r="B591" s="1128"/>
      <c r="C591" s="1128"/>
      <c r="D591" s="1128"/>
      <c r="E591" s="1128"/>
      <c r="F591" s="1128"/>
      <c r="G591" s="1128"/>
      <c r="H591" s="1128"/>
      <c r="I591" s="1128"/>
      <c r="J591" s="1128"/>
      <c r="K591" s="1128"/>
      <c r="L591" s="1128"/>
      <c r="M591" s="1128"/>
      <c r="N591" s="1128"/>
      <c r="O591" s="1128"/>
      <c r="P591" s="1128"/>
      <c r="Q591" s="1128"/>
      <c r="R591" s="1128"/>
      <c r="S591" s="1128"/>
      <c r="T591" s="1128"/>
      <c r="U591" s="1128"/>
      <c r="V591" s="1128"/>
      <c r="W591" s="1128"/>
      <c r="X591" s="1128"/>
      <c r="Y591" s="1128"/>
      <c r="Z591" s="1128"/>
    </row>
    <row r="592" ht="22.5" customHeight="1">
      <c r="A592" s="1128"/>
      <c r="B592" s="1128"/>
      <c r="C592" s="1128"/>
      <c r="D592" s="1128"/>
      <c r="E592" s="1128"/>
      <c r="F592" s="1128"/>
      <c r="G592" s="1128"/>
      <c r="H592" s="1128"/>
      <c r="I592" s="1128"/>
      <c r="J592" s="1128"/>
      <c r="K592" s="1128"/>
      <c r="L592" s="1128"/>
      <c r="M592" s="1128"/>
      <c r="N592" s="1128"/>
      <c r="O592" s="1128"/>
      <c r="P592" s="1128"/>
      <c r="Q592" s="1128"/>
      <c r="R592" s="1128"/>
      <c r="S592" s="1128"/>
      <c r="T592" s="1128"/>
      <c r="U592" s="1128"/>
      <c r="V592" s="1128"/>
      <c r="W592" s="1128"/>
      <c r="X592" s="1128"/>
      <c r="Y592" s="1128"/>
      <c r="Z592" s="1128"/>
    </row>
    <row r="593" ht="22.5" customHeight="1">
      <c r="A593" s="1128"/>
      <c r="B593" s="1128"/>
      <c r="C593" s="1128"/>
      <c r="D593" s="1128"/>
      <c r="E593" s="1128"/>
      <c r="F593" s="1128"/>
      <c r="G593" s="1128"/>
      <c r="H593" s="1128"/>
      <c r="I593" s="1128"/>
      <c r="J593" s="1128"/>
      <c r="K593" s="1128"/>
      <c r="L593" s="1128"/>
      <c r="M593" s="1128"/>
      <c r="N593" s="1128"/>
      <c r="O593" s="1128"/>
      <c r="P593" s="1128"/>
      <c r="Q593" s="1128"/>
      <c r="R593" s="1128"/>
      <c r="S593" s="1128"/>
      <c r="T593" s="1128"/>
      <c r="U593" s="1128"/>
      <c r="V593" s="1128"/>
      <c r="W593" s="1128"/>
      <c r="X593" s="1128"/>
      <c r="Y593" s="1128"/>
      <c r="Z593" s="1128"/>
    </row>
    <row r="594" ht="22.5" customHeight="1">
      <c r="A594" s="1128"/>
      <c r="B594" s="1128"/>
      <c r="C594" s="1128"/>
      <c r="D594" s="1128"/>
      <c r="E594" s="1128"/>
      <c r="F594" s="1128"/>
      <c r="G594" s="1128"/>
      <c r="H594" s="1128"/>
      <c r="I594" s="1128"/>
      <c r="J594" s="1128"/>
      <c r="K594" s="1128"/>
      <c r="L594" s="1128"/>
      <c r="M594" s="1128"/>
      <c r="N594" s="1128"/>
      <c r="O594" s="1128"/>
      <c r="P594" s="1128"/>
      <c r="Q594" s="1128"/>
      <c r="R594" s="1128"/>
      <c r="S594" s="1128"/>
      <c r="T594" s="1128"/>
      <c r="U594" s="1128"/>
      <c r="V594" s="1128"/>
      <c r="W594" s="1128"/>
      <c r="X594" s="1128"/>
      <c r="Y594" s="1128"/>
      <c r="Z594" s="1128"/>
    </row>
    <row r="595" ht="22.5" customHeight="1">
      <c r="A595" s="1128"/>
      <c r="B595" s="1128"/>
      <c r="C595" s="1128"/>
      <c r="D595" s="1128"/>
      <c r="E595" s="1128"/>
      <c r="F595" s="1128"/>
      <c r="G595" s="1128"/>
      <c r="H595" s="1128"/>
      <c r="I595" s="1128"/>
      <c r="J595" s="1128"/>
      <c r="K595" s="1128"/>
      <c r="L595" s="1128"/>
      <c r="M595" s="1128"/>
      <c r="N595" s="1128"/>
      <c r="O595" s="1128"/>
      <c r="P595" s="1128"/>
      <c r="Q595" s="1128"/>
      <c r="R595" s="1128"/>
      <c r="S595" s="1128"/>
      <c r="T595" s="1128"/>
      <c r="U595" s="1128"/>
      <c r="V595" s="1128"/>
      <c r="W595" s="1128"/>
      <c r="X595" s="1128"/>
      <c r="Y595" s="1128"/>
      <c r="Z595" s="1128"/>
    </row>
    <row r="596" ht="22.5" customHeight="1">
      <c r="A596" s="1128"/>
      <c r="B596" s="1128"/>
      <c r="C596" s="1128"/>
      <c r="D596" s="1128"/>
      <c r="E596" s="1128"/>
      <c r="F596" s="1128"/>
      <c r="G596" s="1128"/>
      <c r="H596" s="1128"/>
      <c r="I596" s="1128"/>
      <c r="J596" s="1128"/>
      <c r="K596" s="1128"/>
      <c r="L596" s="1128"/>
      <c r="M596" s="1128"/>
      <c r="N596" s="1128"/>
      <c r="O596" s="1128"/>
      <c r="P596" s="1128"/>
      <c r="Q596" s="1128"/>
      <c r="R596" s="1128"/>
      <c r="S596" s="1128"/>
      <c r="T596" s="1128"/>
      <c r="U596" s="1128"/>
      <c r="V596" s="1128"/>
      <c r="W596" s="1128"/>
      <c r="X596" s="1128"/>
      <c r="Y596" s="1128"/>
      <c r="Z596" s="1128"/>
    </row>
    <row r="597" ht="22.5" customHeight="1">
      <c r="A597" s="1128"/>
      <c r="B597" s="1128"/>
      <c r="C597" s="1128"/>
      <c r="D597" s="1128"/>
      <c r="E597" s="1128"/>
      <c r="F597" s="1128"/>
      <c r="G597" s="1128"/>
      <c r="H597" s="1128"/>
      <c r="I597" s="1128"/>
      <c r="J597" s="1128"/>
      <c r="K597" s="1128"/>
      <c r="L597" s="1128"/>
      <c r="M597" s="1128"/>
      <c r="N597" s="1128"/>
      <c r="O597" s="1128"/>
      <c r="P597" s="1128"/>
      <c r="Q597" s="1128"/>
      <c r="R597" s="1128"/>
      <c r="S597" s="1128"/>
      <c r="T597" s="1128"/>
      <c r="U597" s="1128"/>
      <c r="V597" s="1128"/>
      <c r="W597" s="1128"/>
      <c r="X597" s="1128"/>
      <c r="Y597" s="1128"/>
      <c r="Z597" s="1128"/>
    </row>
    <row r="598" ht="22.5" customHeight="1">
      <c r="A598" s="1128"/>
      <c r="B598" s="1128"/>
      <c r="C598" s="1128"/>
      <c r="D598" s="1128"/>
      <c r="E598" s="1128"/>
      <c r="F598" s="1128"/>
      <c r="G598" s="1128"/>
      <c r="H598" s="1128"/>
      <c r="I598" s="1128"/>
      <c r="J598" s="1128"/>
      <c r="K598" s="1128"/>
      <c r="L598" s="1128"/>
      <c r="M598" s="1128"/>
      <c r="N598" s="1128"/>
      <c r="O598" s="1128"/>
      <c r="P598" s="1128"/>
      <c r="Q598" s="1128"/>
      <c r="R598" s="1128"/>
      <c r="S598" s="1128"/>
      <c r="T598" s="1128"/>
      <c r="U598" s="1128"/>
      <c r="V598" s="1128"/>
      <c r="W598" s="1128"/>
      <c r="X598" s="1128"/>
      <c r="Y598" s="1128"/>
      <c r="Z598" s="1128"/>
    </row>
    <row r="599" ht="22.5" customHeight="1">
      <c r="A599" s="1128"/>
      <c r="B599" s="1128"/>
      <c r="C599" s="1128"/>
      <c r="D599" s="1128"/>
      <c r="E599" s="1128"/>
      <c r="F599" s="1128"/>
      <c r="G599" s="1128"/>
      <c r="H599" s="1128"/>
      <c r="I599" s="1128"/>
      <c r="J599" s="1128"/>
      <c r="K599" s="1128"/>
      <c r="L599" s="1128"/>
      <c r="M599" s="1128"/>
      <c r="N599" s="1128"/>
      <c r="O599" s="1128"/>
      <c r="P599" s="1128"/>
      <c r="Q599" s="1128"/>
      <c r="R599" s="1128"/>
      <c r="S599" s="1128"/>
      <c r="T599" s="1128"/>
      <c r="U599" s="1128"/>
      <c r="V599" s="1128"/>
      <c r="W599" s="1128"/>
      <c r="X599" s="1128"/>
      <c r="Y599" s="1128"/>
      <c r="Z599" s="1128"/>
    </row>
    <row r="600" ht="22.5" customHeight="1">
      <c r="A600" s="1128"/>
      <c r="B600" s="1128"/>
      <c r="C600" s="1128"/>
      <c r="D600" s="1128"/>
      <c r="E600" s="1128"/>
      <c r="F600" s="1128"/>
      <c r="G600" s="1128"/>
      <c r="H600" s="1128"/>
      <c r="I600" s="1128"/>
      <c r="J600" s="1128"/>
      <c r="K600" s="1128"/>
      <c r="L600" s="1128"/>
      <c r="M600" s="1128"/>
      <c r="N600" s="1128"/>
      <c r="O600" s="1128"/>
      <c r="P600" s="1128"/>
      <c r="Q600" s="1128"/>
      <c r="R600" s="1128"/>
      <c r="S600" s="1128"/>
      <c r="T600" s="1128"/>
      <c r="U600" s="1128"/>
      <c r="V600" s="1128"/>
      <c r="W600" s="1128"/>
      <c r="X600" s="1128"/>
      <c r="Y600" s="1128"/>
      <c r="Z600" s="1128"/>
    </row>
    <row r="601" ht="22.5" customHeight="1">
      <c r="A601" s="1128"/>
      <c r="B601" s="1128"/>
      <c r="C601" s="1128"/>
      <c r="D601" s="1128"/>
      <c r="E601" s="1128"/>
      <c r="F601" s="1128"/>
      <c r="G601" s="1128"/>
      <c r="H601" s="1128"/>
      <c r="I601" s="1128"/>
      <c r="J601" s="1128"/>
      <c r="K601" s="1128"/>
      <c r="L601" s="1128"/>
      <c r="M601" s="1128"/>
      <c r="N601" s="1128"/>
      <c r="O601" s="1128"/>
      <c r="P601" s="1128"/>
      <c r="Q601" s="1128"/>
      <c r="R601" s="1128"/>
      <c r="S601" s="1128"/>
      <c r="T601" s="1128"/>
      <c r="U601" s="1128"/>
      <c r="V601" s="1128"/>
      <c r="W601" s="1128"/>
      <c r="X601" s="1128"/>
      <c r="Y601" s="1128"/>
      <c r="Z601" s="1128"/>
    </row>
    <row r="602" ht="22.5" customHeight="1">
      <c r="A602" s="1128"/>
      <c r="B602" s="1128"/>
      <c r="C602" s="1128"/>
      <c r="D602" s="1128"/>
      <c r="E602" s="1128"/>
      <c r="F602" s="1128"/>
      <c r="G602" s="1128"/>
      <c r="H602" s="1128"/>
      <c r="I602" s="1128"/>
      <c r="J602" s="1128"/>
      <c r="K602" s="1128"/>
      <c r="L602" s="1128"/>
      <c r="M602" s="1128"/>
      <c r="N602" s="1128"/>
      <c r="O602" s="1128"/>
      <c r="P602" s="1128"/>
      <c r="Q602" s="1128"/>
      <c r="R602" s="1128"/>
      <c r="S602" s="1128"/>
      <c r="T602" s="1128"/>
      <c r="U602" s="1128"/>
      <c r="V602" s="1128"/>
      <c r="W602" s="1128"/>
      <c r="X602" s="1128"/>
      <c r="Y602" s="1128"/>
      <c r="Z602" s="1128"/>
    </row>
    <row r="603" ht="22.5" customHeight="1">
      <c r="A603" s="1128"/>
      <c r="B603" s="1128"/>
      <c r="C603" s="1128"/>
      <c r="D603" s="1128"/>
      <c r="E603" s="1128"/>
      <c r="F603" s="1128"/>
      <c r="G603" s="1128"/>
      <c r="H603" s="1128"/>
      <c r="I603" s="1128"/>
      <c r="J603" s="1128"/>
      <c r="K603" s="1128"/>
      <c r="L603" s="1128"/>
      <c r="M603" s="1128"/>
      <c r="N603" s="1128"/>
      <c r="O603" s="1128"/>
      <c r="P603" s="1128"/>
      <c r="Q603" s="1128"/>
      <c r="R603" s="1128"/>
      <c r="S603" s="1128"/>
      <c r="T603" s="1128"/>
      <c r="U603" s="1128"/>
      <c r="V603" s="1128"/>
      <c r="W603" s="1128"/>
      <c r="X603" s="1128"/>
      <c r="Y603" s="1128"/>
      <c r="Z603" s="1128"/>
    </row>
    <row r="604" ht="22.5" customHeight="1">
      <c r="A604" s="1128"/>
      <c r="B604" s="1128"/>
      <c r="C604" s="1128"/>
      <c r="D604" s="1128"/>
      <c r="E604" s="1128"/>
      <c r="F604" s="1128"/>
      <c r="G604" s="1128"/>
      <c r="H604" s="1128"/>
      <c r="I604" s="1128"/>
      <c r="J604" s="1128"/>
      <c r="K604" s="1128"/>
      <c r="L604" s="1128"/>
      <c r="M604" s="1128"/>
      <c r="N604" s="1128"/>
      <c r="O604" s="1128"/>
      <c r="P604" s="1128"/>
      <c r="Q604" s="1128"/>
      <c r="R604" s="1128"/>
      <c r="S604" s="1128"/>
      <c r="T604" s="1128"/>
      <c r="U604" s="1128"/>
      <c r="V604" s="1128"/>
      <c r="W604" s="1128"/>
      <c r="X604" s="1128"/>
      <c r="Y604" s="1128"/>
      <c r="Z604" s="1128"/>
    </row>
    <row r="605" ht="22.5" customHeight="1">
      <c r="A605" s="1128"/>
      <c r="B605" s="1128"/>
      <c r="C605" s="1128"/>
      <c r="D605" s="1128"/>
      <c r="E605" s="1128"/>
      <c r="F605" s="1128"/>
      <c r="G605" s="1128"/>
      <c r="H605" s="1128"/>
      <c r="I605" s="1128"/>
      <c r="J605" s="1128"/>
      <c r="K605" s="1128"/>
      <c r="L605" s="1128"/>
      <c r="M605" s="1128"/>
      <c r="N605" s="1128"/>
      <c r="O605" s="1128"/>
      <c r="P605" s="1128"/>
      <c r="Q605" s="1128"/>
      <c r="R605" s="1128"/>
      <c r="S605" s="1128"/>
      <c r="T605" s="1128"/>
      <c r="U605" s="1128"/>
      <c r="V605" s="1128"/>
      <c r="W605" s="1128"/>
      <c r="X605" s="1128"/>
      <c r="Y605" s="1128"/>
      <c r="Z605" s="1128"/>
    </row>
    <row r="606" ht="22.5" customHeight="1">
      <c r="A606" s="1128"/>
      <c r="B606" s="1128"/>
      <c r="C606" s="1128"/>
      <c r="D606" s="1128"/>
      <c r="E606" s="1128"/>
      <c r="F606" s="1128"/>
      <c r="G606" s="1128"/>
      <c r="H606" s="1128"/>
      <c r="I606" s="1128"/>
      <c r="J606" s="1128"/>
      <c r="K606" s="1128"/>
      <c r="L606" s="1128"/>
      <c r="M606" s="1128"/>
      <c r="N606" s="1128"/>
      <c r="O606" s="1128"/>
      <c r="P606" s="1128"/>
      <c r="Q606" s="1128"/>
      <c r="R606" s="1128"/>
      <c r="S606" s="1128"/>
      <c r="T606" s="1128"/>
      <c r="U606" s="1128"/>
      <c r="V606" s="1128"/>
      <c r="W606" s="1128"/>
      <c r="X606" s="1128"/>
      <c r="Y606" s="1128"/>
      <c r="Z606" s="1128"/>
    </row>
    <row r="607" ht="22.5" customHeight="1">
      <c r="A607" s="1128"/>
      <c r="B607" s="1128"/>
      <c r="C607" s="1128"/>
      <c r="D607" s="1128"/>
      <c r="E607" s="1128"/>
      <c r="F607" s="1128"/>
      <c r="G607" s="1128"/>
      <c r="H607" s="1128"/>
      <c r="I607" s="1128"/>
      <c r="J607" s="1128"/>
      <c r="K607" s="1128"/>
      <c r="L607" s="1128"/>
      <c r="M607" s="1128"/>
      <c r="N607" s="1128"/>
      <c r="O607" s="1128"/>
      <c r="P607" s="1128"/>
      <c r="Q607" s="1128"/>
      <c r="R607" s="1128"/>
      <c r="S607" s="1128"/>
      <c r="T607" s="1128"/>
      <c r="U607" s="1128"/>
      <c r="V607" s="1128"/>
      <c r="W607" s="1128"/>
      <c r="X607" s="1128"/>
      <c r="Y607" s="1128"/>
      <c r="Z607" s="1128"/>
    </row>
    <row r="608" ht="22.5" customHeight="1">
      <c r="A608" s="1128"/>
      <c r="B608" s="1128"/>
      <c r="C608" s="1128"/>
      <c r="D608" s="1128"/>
      <c r="E608" s="1128"/>
      <c r="F608" s="1128"/>
      <c r="G608" s="1128"/>
      <c r="H608" s="1128"/>
      <c r="I608" s="1128"/>
      <c r="J608" s="1128"/>
      <c r="K608" s="1128"/>
      <c r="L608" s="1128"/>
      <c r="M608" s="1128"/>
      <c r="N608" s="1128"/>
      <c r="O608" s="1128"/>
      <c r="P608" s="1128"/>
      <c r="Q608" s="1128"/>
      <c r="R608" s="1128"/>
      <c r="S608" s="1128"/>
      <c r="T608" s="1128"/>
      <c r="U608" s="1128"/>
      <c r="V608" s="1128"/>
      <c r="W608" s="1128"/>
      <c r="X608" s="1128"/>
      <c r="Y608" s="1128"/>
      <c r="Z608" s="1128"/>
    </row>
    <row r="609" ht="22.5" customHeight="1">
      <c r="A609" s="1128"/>
      <c r="B609" s="1128"/>
      <c r="C609" s="1128"/>
      <c r="D609" s="1128"/>
      <c r="E609" s="1128"/>
      <c r="F609" s="1128"/>
      <c r="G609" s="1128"/>
      <c r="H609" s="1128"/>
      <c r="I609" s="1128"/>
      <c r="J609" s="1128"/>
      <c r="K609" s="1128"/>
      <c r="L609" s="1128"/>
      <c r="M609" s="1128"/>
      <c r="N609" s="1128"/>
      <c r="O609" s="1128"/>
      <c r="P609" s="1128"/>
      <c r="Q609" s="1128"/>
      <c r="R609" s="1128"/>
      <c r="S609" s="1128"/>
      <c r="T609" s="1128"/>
      <c r="U609" s="1128"/>
      <c r="V609" s="1128"/>
      <c r="W609" s="1128"/>
      <c r="X609" s="1128"/>
      <c r="Y609" s="1128"/>
      <c r="Z609" s="1128"/>
    </row>
    <row r="610" ht="22.5" customHeight="1">
      <c r="A610" s="1128"/>
      <c r="B610" s="1128"/>
      <c r="C610" s="1128"/>
      <c r="D610" s="1128"/>
      <c r="E610" s="1128"/>
      <c r="F610" s="1128"/>
      <c r="G610" s="1128"/>
      <c r="H610" s="1128"/>
      <c r="I610" s="1128"/>
      <c r="J610" s="1128"/>
      <c r="K610" s="1128"/>
      <c r="L610" s="1128"/>
      <c r="M610" s="1128"/>
      <c r="N610" s="1128"/>
      <c r="O610" s="1128"/>
      <c r="P610" s="1128"/>
      <c r="Q610" s="1128"/>
      <c r="R610" s="1128"/>
      <c r="S610" s="1128"/>
      <c r="T610" s="1128"/>
      <c r="U610" s="1128"/>
      <c r="V610" s="1128"/>
      <c r="W610" s="1128"/>
      <c r="X610" s="1128"/>
      <c r="Y610" s="1128"/>
      <c r="Z610" s="1128"/>
    </row>
    <row r="611" ht="22.5" customHeight="1">
      <c r="A611" s="1128"/>
      <c r="B611" s="1128"/>
      <c r="C611" s="1128"/>
      <c r="D611" s="1128"/>
      <c r="E611" s="1128"/>
      <c r="F611" s="1128"/>
      <c r="G611" s="1128"/>
      <c r="H611" s="1128"/>
      <c r="I611" s="1128"/>
      <c r="J611" s="1128"/>
      <c r="K611" s="1128"/>
      <c r="L611" s="1128"/>
      <c r="M611" s="1128"/>
      <c r="N611" s="1128"/>
      <c r="O611" s="1128"/>
      <c r="P611" s="1128"/>
      <c r="Q611" s="1128"/>
      <c r="R611" s="1128"/>
      <c r="S611" s="1128"/>
      <c r="T611" s="1128"/>
      <c r="U611" s="1128"/>
      <c r="V611" s="1128"/>
      <c r="W611" s="1128"/>
      <c r="X611" s="1128"/>
      <c r="Y611" s="1128"/>
      <c r="Z611" s="1128"/>
    </row>
    <row r="612" ht="22.5" customHeight="1">
      <c r="A612" s="1128"/>
      <c r="B612" s="1128"/>
      <c r="C612" s="1128"/>
      <c r="D612" s="1128"/>
      <c r="E612" s="1128"/>
      <c r="F612" s="1128"/>
      <c r="G612" s="1128"/>
      <c r="H612" s="1128"/>
      <c r="I612" s="1128"/>
      <c r="J612" s="1128"/>
      <c r="K612" s="1128"/>
      <c r="L612" s="1128"/>
      <c r="M612" s="1128"/>
      <c r="N612" s="1128"/>
      <c r="O612" s="1128"/>
      <c r="P612" s="1128"/>
      <c r="Q612" s="1128"/>
      <c r="R612" s="1128"/>
      <c r="S612" s="1128"/>
      <c r="T612" s="1128"/>
      <c r="U612" s="1128"/>
      <c r="V612" s="1128"/>
      <c r="W612" s="1128"/>
      <c r="X612" s="1128"/>
      <c r="Y612" s="1128"/>
      <c r="Z612" s="1128"/>
    </row>
    <row r="613" ht="22.5" customHeight="1">
      <c r="A613" s="1128"/>
      <c r="B613" s="1128"/>
      <c r="C613" s="1128"/>
      <c r="D613" s="1128"/>
      <c r="E613" s="1128"/>
      <c r="F613" s="1128"/>
      <c r="G613" s="1128"/>
      <c r="H613" s="1128"/>
      <c r="I613" s="1128"/>
      <c r="J613" s="1128"/>
      <c r="K613" s="1128"/>
      <c r="L613" s="1128"/>
      <c r="M613" s="1128"/>
      <c r="N613" s="1128"/>
      <c r="O613" s="1128"/>
      <c r="P613" s="1128"/>
      <c r="Q613" s="1128"/>
      <c r="R613" s="1128"/>
      <c r="S613" s="1128"/>
      <c r="T613" s="1128"/>
      <c r="U613" s="1128"/>
      <c r="V613" s="1128"/>
      <c r="W613" s="1128"/>
      <c r="X613" s="1128"/>
      <c r="Y613" s="1128"/>
      <c r="Z613" s="1128"/>
    </row>
    <row r="614" ht="22.5" customHeight="1">
      <c r="A614" s="1128"/>
      <c r="B614" s="1128"/>
      <c r="C614" s="1128"/>
      <c r="D614" s="1128"/>
      <c r="E614" s="1128"/>
      <c r="F614" s="1128"/>
      <c r="G614" s="1128"/>
      <c r="H614" s="1128"/>
      <c r="I614" s="1128"/>
      <c r="J614" s="1128"/>
      <c r="K614" s="1128"/>
      <c r="L614" s="1128"/>
      <c r="M614" s="1128"/>
      <c r="N614" s="1128"/>
      <c r="O614" s="1128"/>
      <c r="P614" s="1128"/>
      <c r="Q614" s="1128"/>
      <c r="R614" s="1128"/>
      <c r="S614" s="1128"/>
      <c r="T614" s="1128"/>
      <c r="U614" s="1128"/>
      <c r="V614" s="1128"/>
      <c r="W614" s="1128"/>
      <c r="X614" s="1128"/>
      <c r="Y614" s="1128"/>
      <c r="Z614" s="1128"/>
    </row>
    <row r="615" ht="22.5" customHeight="1">
      <c r="A615" s="1128"/>
      <c r="B615" s="1128"/>
      <c r="C615" s="1128"/>
      <c r="D615" s="1128"/>
      <c r="E615" s="1128"/>
      <c r="F615" s="1128"/>
      <c r="G615" s="1128"/>
      <c r="H615" s="1128"/>
      <c r="I615" s="1128"/>
      <c r="J615" s="1128"/>
      <c r="K615" s="1128"/>
      <c r="L615" s="1128"/>
      <c r="M615" s="1128"/>
      <c r="N615" s="1128"/>
      <c r="O615" s="1128"/>
      <c r="P615" s="1128"/>
      <c r="Q615" s="1128"/>
      <c r="R615" s="1128"/>
      <c r="S615" s="1128"/>
      <c r="T615" s="1128"/>
      <c r="U615" s="1128"/>
      <c r="V615" s="1128"/>
      <c r="W615" s="1128"/>
      <c r="X615" s="1128"/>
      <c r="Y615" s="1128"/>
      <c r="Z615" s="1128"/>
    </row>
    <row r="616" ht="22.5" customHeight="1">
      <c r="A616" s="1128"/>
      <c r="B616" s="1128"/>
      <c r="C616" s="1128"/>
      <c r="D616" s="1128"/>
      <c r="E616" s="1128"/>
      <c r="F616" s="1128"/>
      <c r="G616" s="1128"/>
      <c r="H616" s="1128"/>
      <c r="I616" s="1128"/>
      <c r="J616" s="1128"/>
      <c r="K616" s="1128"/>
      <c r="L616" s="1128"/>
      <c r="M616" s="1128"/>
      <c r="N616" s="1128"/>
      <c r="O616" s="1128"/>
      <c r="P616" s="1128"/>
      <c r="Q616" s="1128"/>
      <c r="R616" s="1128"/>
      <c r="S616" s="1128"/>
      <c r="T616" s="1128"/>
      <c r="U616" s="1128"/>
      <c r="V616" s="1128"/>
      <c r="W616" s="1128"/>
      <c r="X616" s="1128"/>
      <c r="Y616" s="1128"/>
      <c r="Z616" s="1128"/>
    </row>
    <row r="617" ht="22.5" customHeight="1">
      <c r="A617" s="1128"/>
      <c r="B617" s="1128"/>
      <c r="C617" s="1128"/>
      <c r="D617" s="1128"/>
      <c r="E617" s="1128"/>
      <c r="F617" s="1128"/>
      <c r="G617" s="1128"/>
      <c r="H617" s="1128"/>
      <c r="I617" s="1128"/>
      <c r="J617" s="1128"/>
      <c r="K617" s="1128"/>
      <c r="L617" s="1128"/>
      <c r="M617" s="1128"/>
      <c r="N617" s="1128"/>
      <c r="O617" s="1128"/>
      <c r="P617" s="1128"/>
      <c r="Q617" s="1128"/>
      <c r="R617" s="1128"/>
      <c r="S617" s="1128"/>
      <c r="T617" s="1128"/>
      <c r="U617" s="1128"/>
      <c r="V617" s="1128"/>
      <c r="W617" s="1128"/>
      <c r="X617" s="1128"/>
      <c r="Y617" s="1128"/>
      <c r="Z617" s="1128"/>
    </row>
    <row r="618" ht="22.5" customHeight="1">
      <c r="A618" s="1128"/>
      <c r="B618" s="1128"/>
      <c r="C618" s="1128"/>
      <c r="D618" s="1128"/>
      <c r="E618" s="1128"/>
      <c r="F618" s="1128"/>
      <c r="G618" s="1128"/>
      <c r="H618" s="1128"/>
      <c r="I618" s="1128"/>
      <c r="J618" s="1128"/>
      <c r="K618" s="1128"/>
      <c r="L618" s="1128"/>
      <c r="M618" s="1128"/>
      <c r="N618" s="1128"/>
      <c r="O618" s="1128"/>
      <c r="P618" s="1128"/>
      <c r="Q618" s="1128"/>
      <c r="R618" s="1128"/>
      <c r="S618" s="1128"/>
      <c r="T618" s="1128"/>
      <c r="U618" s="1128"/>
      <c r="V618" s="1128"/>
      <c r="W618" s="1128"/>
      <c r="X618" s="1128"/>
      <c r="Y618" s="1128"/>
      <c r="Z618" s="1128"/>
    </row>
    <row r="619" ht="22.5" customHeight="1">
      <c r="A619" s="1128"/>
      <c r="B619" s="1128"/>
      <c r="C619" s="1128"/>
      <c r="D619" s="1128"/>
      <c r="E619" s="1128"/>
      <c r="F619" s="1128"/>
      <c r="G619" s="1128"/>
      <c r="H619" s="1128"/>
      <c r="I619" s="1128"/>
      <c r="J619" s="1128"/>
      <c r="K619" s="1128"/>
      <c r="L619" s="1128"/>
      <c r="M619" s="1128"/>
      <c r="N619" s="1128"/>
      <c r="O619" s="1128"/>
      <c r="P619" s="1128"/>
      <c r="Q619" s="1128"/>
      <c r="R619" s="1128"/>
      <c r="S619" s="1128"/>
      <c r="T619" s="1128"/>
      <c r="U619" s="1128"/>
      <c r="V619" s="1128"/>
      <c r="W619" s="1128"/>
      <c r="X619" s="1128"/>
      <c r="Y619" s="1128"/>
      <c r="Z619" s="1128"/>
    </row>
    <row r="620" ht="22.5" customHeight="1">
      <c r="A620" s="1128"/>
      <c r="B620" s="1128"/>
      <c r="C620" s="1128"/>
      <c r="D620" s="1128"/>
      <c r="E620" s="1128"/>
      <c r="F620" s="1128"/>
      <c r="G620" s="1128"/>
      <c r="H620" s="1128"/>
      <c r="I620" s="1128"/>
      <c r="J620" s="1128"/>
      <c r="K620" s="1128"/>
      <c r="L620" s="1128"/>
      <c r="M620" s="1128"/>
      <c r="N620" s="1128"/>
      <c r="O620" s="1128"/>
      <c r="P620" s="1128"/>
      <c r="Q620" s="1128"/>
      <c r="R620" s="1128"/>
      <c r="S620" s="1128"/>
      <c r="T620" s="1128"/>
      <c r="U620" s="1128"/>
      <c r="V620" s="1128"/>
      <c r="W620" s="1128"/>
      <c r="X620" s="1128"/>
      <c r="Y620" s="1128"/>
      <c r="Z620" s="1128"/>
    </row>
    <row r="621" ht="22.5" customHeight="1">
      <c r="A621" s="1128"/>
      <c r="B621" s="1128"/>
      <c r="C621" s="1128"/>
      <c r="D621" s="1128"/>
      <c r="E621" s="1128"/>
      <c r="F621" s="1128"/>
      <c r="G621" s="1128"/>
      <c r="H621" s="1128"/>
      <c r="I621" s="1128"/>
      <c r="J621" s="1128"/>
      <c r="K621" s="1128"/>
      <c r="L621" s="1128"/>
      <c r="M621" s="1128"/>
      <c r="N621" s="1128"/>
      <c r="O621" s="1128"/>
      <c r="P621" s="1128"/>
      <c r="Q621" s="1128"/>
      <c r="R621" s="1128"/>
      <c r="S621" s="1128"/>
      <c r="T621" s="1128"/>
      <c r="U621" s="1128"/>
      <c r="V621" s="1128"/>
      <c r="W621" s="1128"/>
      <c r="X621" s="1128"/>
      <c r="Y621" s="1128"/>
      <c r="Z621" s="1128"/>
    </row>
    <row r="622" ht="22.5" customHeight="1">
      <c r="A622" s="1128"/>
      <c r="B622" s="1128"/>
      <c r="C622" s="1128"/>
      <c r="D622" s="1128"/>
      <c r="E622" s="1128"/>
      <c r="F622" s="1128"/>
      <c r="G622" s="1128"/>
      <c r="H622" s="1128"/>
      <c r="I622" s="1128"/>
      <c r="J622" s="1128"/>
      <c r="K622" s="1128"/>
      <c r="L622" s="1128"/>
      <c r="M622" s="1128"/>
      <c r="N622" s="1128"/>
      <c r="O622" s="1128"/>
      <c r="P622" s="1128"/>
      <c r="Q622" s="1128"/>
      <c r="R622" s="1128"/>
      <c r="S622" s="1128"/>
      <c r="T622" s="1128"/>
      <c r="U622" s="1128"/>
      <c r="V622" s="1128"/>
      <c r="W622" s="1128"/>
      <c r="X622" s="1128"/>
      <c r="Y622" s="1128"/>
      <c r="Z622" s="1128"/>
    </row>
    <row r="623" ht="22.5" customHeight="1">
      <c r="A623" s="1128"/>
      <c r="B623" s="1128"/>
      <c r="C623" s="1128"/>
      <c r="D623" s="1128"/>
      <c r="E623" s="1128"/>
      <c r="F623" s="1128"/>
      <c r="G623" s="1128"/>
      <c r="H623" s="1128"/>
      <c r="I623" s="1128"/>
      <c r="J623" s="1128"/>
      <c r="K623" s="1128"/>
      <c r="L623" s="1128"/>
      <c r="M623" s="1128"/>
      <c r="N623" s="1128"/>
      <c r="O623" s="1128"/>
      <c r="P623" s="1128"/>
      <c r="Q623" s="1128"/>
      <c r="R623" s="1128"/>
      <c r="S623" s="1128"/>
      <c r="T623" s="1128"/>
      <c r="U623" s="1128"/>
      <c r="V623" s="1128"/>
      <c r="W623" s="1128"/>
      <c r="X623" s="1128"/>
      <c r="Y623" s="1128"/>
      <c r="Z623" s="1128"/>
    </row>
    <row r="624" ht="22.5" customHeight="1">
      <c r="A624" s="1128"/>
      <c r="B624" s="1128"/>
      <c r="C624" s="1128"/>
      <c r="D624" s="1128"/>
      <c r="E624" s="1128"/>
      <c r="F624" s="1128"/>
      <c r="G624" s="1128"/>
      <c r="H624" s="1128"/>
      <c r="I624" s="1128"/>
      <c r="J624" s="1128"/>
      <c r="K624" s="1128"/>
      <c r="L624" s="1128"/>
      <c r="M624" s="1128"/>
      <c r="N624" s="1128"/>
      <c r="O624" s="1128"/>
      <c r="P624" s="1128"/>
      <c r="Q624" s="1128"/>
      <c r="R624" s="1128"/>
      <c r="S624" s="1128"/>
      <c r="T624" s="1128"/>
      <c r="U624" s="1128"/>
      <c r="V624" s="1128"/>
      <c r="W624" s="1128"/>
      <c r="X624" s="1128"/>
      <c r="Y624" s="1128"/>
      <c r="Z624" s="1128"/>
    </row>
    <row r="625" ht="22.5" customHeight="1">
      <c r="A625" s="1128"/>
      <c r="B625" s="1128"/>
      <c r="C625" s="1128"/>
      <c r="D625" s="1128"/>
      <c r="E625" s="1128"/>
      <c r="F625" s="1128"/>
      <c r="G625" s="1128"/>
      <c r="H625" s="1128"/>
      <c r="I625" s="1128"/>
      <c r="J625" s="1128"/>
      <c r="K625" s="1128"/>
      <c r="L625" s="1128"/>
      <c r="M625" s="1128"/>
      <c r="N625" s="1128"/>
      <c r="O625" s="1128"/>
      <c r="P625" s="1128"/>
      <c r="Q625" s="1128"/>
      <c r="R625" s="1128"/>
      <c r="S625" s="1128"/>
      <c r="T625" s="1128"/>
      <c r="U625" s="1128"/>
      <c r="V625" s="1128"/>
      <c r="W625" s="1128"/>
      <c r="X625" s="1128"/>
      <c r="Y625" s="1128"/>
      <c r="Z625" s="1128"/>
    </row>
    <row r="626" ht="22.5" customHeight="1">
      <c r="A626" s="1128"/>
      <c r="B626" s="1128"/>
      <c r="C626" s="1128"/>
      <c r="D626" s="1128"/>
      <c r="E626" s="1128"/>
      <c r="F626" s="1128"/>
      <c r="G626" s="1128"/>
      <c r="H626" s="1128"/>
      <c r="I626" s="1128"/>
      <c r="J626" s="1128"/>
      <c r="K626" s="1128"/>
      <c r="L626" s="1128"/>
      <c r="M626" s="1128"/>
      <c r="N626" s="1128"/>
      <c r="O626" s="1128"/>
      <c r="P626" s="1128"/>
      <c r="Q626" s="1128"/>
      <c r="R626" s="1128"/>
      <c r="S626" s="1128"/>
      <c r="T626" s="1128"/>
      <c r="U626" s="1128"/>
      <c r="V626" s="1128"/>
      <c r="W626" s="1128"/>
      <c r="X626" s="1128"/>
      <c r="Y626" s="1128"/>
      <c r="Z626" s="1128"/>
    </row>
    <row r="627" ht="22.5" customHeight="1">
      <c r="A627" s="1128"/>
      <c r="B627" s="1128"/>
      <c r="C627" s="1128"/>
      <c r="D627" s="1128"/>
      <c r="E627" s="1128"/>
      <c r="F627" s="1128"/>
      <c r="G627" s="1128"/>
      <c r="H627" s="1128"/>
      <c r="I627" s="1128"/>
      <c r="J627" s="1128"/>
      <c r="K627" s="1128"/>
      <c r="L627" s="1128"/>
      <c r="M627" s="1128"/>
      <c r="N627" s="1128"/>
      <c r="O627" s="1128"/>
      <c r="P627" s="1128"/>
      <c r="Q627" s="1128"/>
      <c r="R627" s="1128"/>
      <c r="S627" s="1128"/>
      <c r="T627" s="1128"/>
      <c r="U627" s="1128"/>
      <c r="V627" s="1128"/>
      <c r="W627" s="1128"/>
      <c r="X627" s="1128"/>
      <c r="Y627" s="1128"/>
      <c r="Z627" s="1128"/>
    </row>
    <row r="628" ht="22.5" customHeight="1">
      <c r="A628" s="1128"/>
      <c r="B628" s="1128"/>
      <c r="C628" s="1128"/>
      <c r="D628" s="1128"/>
      <c r="E628" s="1128"/>
      <c r="F628" s="1128"/>
      <c r="G628" s="1128"/>
      <c r="H628" s="1128"/>
      <c r="I628" s="1128"/>
      <c r="J628" s="1128"/>
      <c r="K628" s="1128"/>
      <c r="L628" s="1128"/>
      <c r="M628" s="1128"/>
      <c r="N628" s="1128"/>
      <c r="O628" s="1128"/>
      <c r="P628" s="1128"/>
      <c r="Q628" s="1128"/>
      <c r="R628" s="1128"/>
      <c r="S628" s="1128"/>
      <c r="T628" s="1128"/>
      <c r="U628" s="1128"/>
      <c r="V628" s="1128"/>
      <c r="W628" s="1128"/>
      <c r="X628" s="1128"/>
      <c r="Y628" s="1128"/>
      <c r="Z628" s="1128"/>
    </row>
    <row r="629" ht="22.5" customHeight="1">
      <c r="A629" s="1128"/>
      <c r="B629" s="1128"/>
      <c r="C629" s="1128"/>
      <c r="D629" s="1128"/>
      <c r="E629" s="1128"/>
      <c r="F629" s="1128"/>
      <c r="G629" s="1128"/>
      <c r="H629" s="1128"/>
      <c r="I629" s="1128"/>
      <c r="J629" s="1128"/>
      <c r="K629" s="1128"/>
      <c r="L629" s="1128"/>
      <c r="M629" s="1128"/>
      <c r="N629" s="1128"/>
      <c r="O629" s="1128"/>
      <c r="P629" s="1128"/>
      <c r="Q629" s="1128"/>
      <c r="R629" s="1128"/>
      <c r="S629" s="1128"/>
      <c r="T629" s="1128"/>
      <c r="U629" s="1128"/>
      <c r="V629" s="1128"/>
      <c r="W629" s="1128"/>
      <c r="X629" s="1128"/>
      <c r="Y629" s="1128"/>
      <c r="Z629" s="1128"/>
    </row>
    <row r="630" ht="22.5" customHeight="1">
      <c r="A630" s="1128"/>
      <c r="B630" s="1128"/>
      <c r="C630" s="1128"/>
      <c r="D630" s="1128"/>
      <c r="E630" s="1128"/>
      <c r="F630" s="1128"/>
      <c r="G630" s="1128"/>
      <c r="H630" s="1128"/>
      <c r="I630" s="1128"/>
      <c r="J630" s="1128"/>
      <c r="K630" s="1128"/>
      <c r="L630" s="1128"/>
      <c r="M630" s="1128"/>
      <c r="N630" s="1128"/>
      <c r="O630" s="1128"/>
      <c r="P630" s="1128"/>
      <c r="Q630" s="1128"/>
      <c r="R630" s="1128"/>
      <c r="S630" s="1128"/>
      <c r="T630" s="1128"/>
      <c r="U630" s="1128"/>
      <c r="V630" s="1128"/>
      <c r="W630" s="1128"/>
      <c r="X630" s="1128"/>
      <c r="Y630" s="1128"/>
      <c r="Z630" s="1128"/>
    </row>
    <row r="631" ht="22.5" customHeight="1">
      <c r="A631" s="1128"/>
      <c r="B631" s="1128"/>
      <c r="C631" s="1128"/>
      <c r="D631" s="1128"/>
      <c r="E631" s="1128"/>
      <c r="F631" s="1128"/>
      <c r="G631" s="1128"/>
      <c r="H631" s="1128"/>
      <c r="I631" s="1128"/>
      <c r="J631" s="1128"/>
      <c r="K631" s="1128"/>
      <c r="L631" s="1128"/>
      <c r="M631" s="1128"/>
      <c r="N631" s="1128"/>
      <c r="O631" s="1128"/>
      <c r="P631" s="1128"/>
      <c r="Q631" s="1128"/>
      <c r="R631" s="1128"/>
      <c r="S631" s="1128"/>
      <c r="T631" s="1128"/>
      <c r="U631" s="1128"/>
      <c r="V631" s="1128"/>
      <c r="W631" s="1128"/>
      <c r="X631" s="1128"/>
      <c r="Y631" s="1128"/>
      <c r="Z631" s="1128"/>
    </row>
    <row r="632" ht="22.5" customHeight="1">
      <c r="A632" s="1128"/>
      <c r="B632" s="1128"/>
      <c r="C632" s="1128"/>
      <c r="D632" s="1128"/>
      <c r="E632" s="1128"/>
      <c r="F632" s="1128"/>
      <c r="G632" s="1128"/>
      <c r="H632" s="1128"/>
      <c r="I632" s="1128"/>
      <c r="J632" s="1128"/>
      <c r="K632" s="1128"/>
      <c r="L632" s="1128"/>
      <c r="M632" s="1128"/>
      <c r="N632" s="1128"/>
      <c r="O632" s="1128"/>
      <c r="P632" s="1128"/>
      <c r="Q632" s="1128"/>
      <c r="R632" s="1128"/>
      <c r="S632" s="1128"/>
      <c r="T632" s="1128"/>
      <c r="U632" s="1128"/>
      <c r="V632" s="1128"/>
      <c r="W632" s="1128"/>
      <c r="X632" s="1128"/>
      <c r="Y632" s="1128"/>
      <c r="Z632" s="1128"/>
    </row>
    <row r="633" ht="22.5" customHeight="1">
      <c r="A633" s="1128"/>
      <c r="B633" s="1128"/>
      <c r="C633" s="1128"/>
      <c r="D633" s="1128"/>
      <c r="E633" s="1128"/>
      <c r="F633" s="1128"/>
      <c r="G633" s="1128"/>
      <c r="H633" s="1128"/>
      <c r="I633" s="1128"/>
      <c r="J633" s="1128"/>
      <c r="K633" s="1128"/>
      <c r="L633" s="1128"/>
      <c r="M633" s="1128"/>
      <c r="N633" s="1128"/>
      <c r="O633" s="1128"/>
      <c r="P633" s="1128"/>
      <c r="Q633" s="1128"/>
      <c r="R633" s="1128"/>
      <c r="S633" s="1128"/>
      <c r="T633" s="1128"/>
      <c r="U633" s="1128"/>
      <c r="V633" s="1128"/>
      <c r="W633" s="1128"/>
      <c r="X633" s="1128"/>
      <c r="Y633" s="1128"/>
      <c r="Z633" s="1128"/>
    </row>
    <row r="634" ht="22.5" customHeight="1">
      <c r="A634" s="1128"/>
      <c r="B634" s="1128"/>
      <c r="C634" s="1128"/>
      <c r="D634" s="1128"/>
      <c r="E634" s="1128"/>
      <c r="F634" s="1128"/>
      <c r="G634" s="1128"/>
      <c r="H634" s="1128"/>
      <c r="I634" s="1128"/>
      <c r="J634" s="1128"/>
      <c r="K634" s="1128"/>
      <c r="L634" s="1128"/>
      <c r="M634" s="1128"/>
      <c r="N634" s="1128"/>
      <c r="O634" s="1128"/>
      <c r="P634" s="1128"/>
      <c r="Q634" s="1128"/>
      <c r="R634" s="1128"/>
      <c r="S634" s="1128"/>
      <c r="T634" s="1128"/>
      <c r="U634" s="1128"/>
      <c r="V634" s="1128"/>
      <c r="W634" s="1128"/>
      <c r="X634" s="1128"/>
      <c r="Y634" s="1128"/>
      <c r="Z634" s="1128"/>
    </row>
    <row r="635" ht="22.5" customHeight="1">
      <c r="A635" s="1128"/>
      <c r="B635" s="1128"/>
      <c r="C635" s="1128"/>
      <c r="D635" s="1128"/>
      <c r="E635" s="1128"/>
      <c r="F635" s="1128"/>
      <c r="G635" s="1128"/>
      <c r="H635" s="1128"/>
      <c r="I635" s="1128"/>
      <c r="J635" s="1128"/>
      <c r="K635" s="1128"/>
      <c r="L635" s="1128"/>
      <c r="M635" s="1128"/>
      <c r="N635" s="1128"/>
      <c r="O635" s="1128"/>
      <c r="P635" s="1128"/>
      <c r="Q635" s="1128"/>
      <c r="R635" s="1128"/>
      <c r="S635" s="1128"/>
      <c r="T635" s="1128"/>
      <c r="U635" s="1128"/>
      <c r="V635" s="1128"/>
      <c r="W635" s="1128"/>
      <c r="X635" s="1128"/>
      <c r="Y635" s="1128"/>
      <c r="Z635" s="1128"/>
    </row>
    <row r="636" ht="22.5" customHeight="1">
      <c r="A636" s="1128"/>
      <c r="B636" s="1128"/>
      <c r="C636" s="1128"/>
      <c r="D636" s="1128"/>
      <c r="E636" s="1128"/>
      <c r="F636" s="1128"/>
      <c r="G636" s="1128"/>
      <c r="H636" s="1128"/>
      <c r="I636" s="1128"/>
      <c r="J636" s="1128"/>
      <c r="K636" s="1128"/>
      <c r="L636" s="1128"/>
      <c r="M636" s="1128"/>
      <c r="N636" s="1128"/>
      <c r="O636" s="1128"/>
      <c r="P636" s="1128"/>
      <c r="Q636" s="1128"/>
      <c r="R636" s="1128"/>
      <c r="S636" s="1128"/>
      <c r="T636" s="1128"/>
      <c r="U636" s="1128"/>
      <c r="V636" s="1128"/>
      <c r="W636" s="1128"/>
      <c r="X636" s="1128"/>
      <c r="Y636" s="1128"/>
      <c r="Z636" s="1128"/>
    </row>
    <row r="637" ht="22.5" customHeight="1">
      <c r="A637" s="1128"/>
      <c r="B637" s="1128"/>
      <c r="C637" s="1128"/>
      <c r="D637" s="1128"/>
      <c r="E637" s="1128"/>
      <c r="F637" s="1128"/>
      <c r="G637" s="1128"/>
      <c r="H637" s="1128"/>
      <c r="I637" s="1128"/>
      <c r="J637" s="1128"/>
      <c r="K637" s="1128"/>
      <c r="L637" s="1128"/>
      <c r="M637" s="1128"/>
      <c r="N637" s="1128"/>
      <c r="O637" s="1128"/>
      <c r="P637" s="1128"/>
      <c r="Q637" s="1128"/>
      <c r="R637" s="1128"/>
      <c r="S637" s="1128"/>
      <c r="T637" s="1128"/>
      <c r="U637" s="1128"/>
      <c r="V637" s="1128"/>
      <c r="W637" s="1128"/>
      <c r="X637" s="1128"/>
      <c r="Y637" s="1128"/>
      <c r="Z637" s="1128"/>
    </row>
    <row r="638" ht="22.5" customHeight="1">
      <c r="A638" s="1128"/>
      <c r="B638" s="1128"/>
      <c r="C638" s="1128"/>
      <c r="D638" s="1128"/>
      <c r="E638" s="1128"/>
      <c r="F638" s="1128"/>
      <c r="G638" s="1128"/>
      <c r="H638" s="1128"/>
      <c r="I638" s="1128"/>
      <c r="J638" s="1128"/>
      <c r="K638" s="1128"/>
      <c r="L638" s="1128"/>
      <c r="M638" s="1128"/>
      <c r="N638" s="1128"/>
      <c r="O638" s="1128"/>
      <c r="P638" s="1128"/>
      <c r="Q638" s="1128"/>
      <c r="R638" s="1128"/>
      <c r="S638" s="1128"/>
      <c r="T638" s="1128"/>
      <c r="U638" s="1128"/>
      <c r="V638" s="1128"/>
      <c r="W638" s="1128"/>
      <c r="X638" s="1128"/>
      <c r="Y638" s="1128"/>
      <c r="Z638" s="1128"/>
    </row>
    <row r="639" ht="22.5" customHeight="1">
      <c r="A639" s="1128"/>
      <c r="B639" s="1128"/>
      <c r="C639" s="1128"/>
      <c r="D639" s="1128"/>
      <c r="E639" s="1128"/>
      <c r="F639" s="1128"/>
      <c r="G639" s="1128"/>
      <c r="H639" s="1128"/>
      <c r="I639" s="1128"/>
      <c r="J639" s="1128"/>
      <c r="K639" s="1128"/>
      <c r="L639" s="1128"/>
      <c r="M639" s="1128"/>
      <c r="N639" s="1128"/>
      <c r="O639" s="1128"/>
      <c r="P639" s="1128"/>
      <c r="Q639" s="1128"/>
      <c r="R639" s="1128"/>
      <c r="S639" s="1128"/>
      <c r="T639" s="1128"/>
      <c r="U639" s="1128"/>
      <c r="V639" s="1128"/>
      <c r="W639" s="1128"/>
      <c r="X639" s="1128"/>
      <c r="Y639" s="1128"/>
      <c r="Z639" s="1128"/>
    </row>
    <row r="640" ht="22.5" customHeight="1">
      <c r="A640" s="1128"/>
      <c r="B640" s="1128"/>
      <c r="C640" s="1128"/>
      <c r="D640" s="1128"/>
      <c r="E640" s="1128"/>
      <c r="F640" s="1128"/>
      <c r="G640" s="1128"/>
      <c r="H640" s="1128"/>
      <c r="I640" s="1128"/>
      <c r="J640" s="1128"/>
      <c r="K640" s="1128"/>
      <c r="L640" s="1128"/>
      <c r="M640" s="1128"/>
      <c r="N640" s="1128"/>
      <c r="O640" s="1128"/>
      <c r="P640" s="1128"/>
      <c r="Q640" s="1128"/>
      <c r="R640" s="1128"/>
      <c r="S640" s="1128"/>
      <c r="T640" s="1128"/>
      <c r="U640" s="1128"/>
      <c r="V640" s="1128"/>
      <c r="W640" s="1128"/>
      <c r="X640" s="1128"/>
      <c r="Y640" s="1128"/>
      <c r="Z640" s="1128"/>
    </row>
    <row r="641" ht="22.5" customHeight="1">
      <c r="A641" s="1128"/>
      <c r="B641" s="1128"/>
      <c r="C641" s="1128"/>
      <c r="D641" s="1128"/>
      <c r="E641" s="1128"/>
      <c r="F641" s="1128"/>
      <c r="G641" s="1128"/>
      <c r="H641" s="1128"/>
      <c r="I641" s="1128"/>
      <c r="J641" s="1128"/>
      <c r="K641" s="1128"/>
      <c r="L641" s="1128"/>
      <c r="M641" s="1128"/>
      <c r="N641" s="1128"/>
      <c r="O641" s="1128"/>
      <c r="P641" s="1128"/>
      <c r="Q641" s="1128"/>
      <c r="R641" s="1128"/>
      <c r="S641" s="1128"/>
      <c r="T641" s="1128"/>
      <c r="U641" s="1128"/>
      <c r="V641" s="1128"/>
      <c r="W641" s="1128"/>
      <c r="X641" s="1128"/>
      <c r="Y641" s="1128"/>
      <c r="Z641" s="1128"/>
    </row>
    <row r="642" ht="22.5" customHeight="1">
      <c r="A642" s="1128"/>
      <c r="B642" s="1128"/>
      <c r="C642" s="1128"/>
      <c r="D642" s="1128"/>
      <c r="E642" s="1128"/>
      <c r="F642" s="1128"/>
      <c r="G642" s="1128"/>
      <c r="H642" s="1128"/>
      <c r="I642" s="1128"/>
      <c r="J642" s="1128"/>
      <c r="K642" s="1128"/>
      <c r="L642" s="1128"/>
      <c r="M642" s="1128"/>
      <c r="N642" s="1128"/>
      <c r="O642" s="1128"/>
      <c r="P642" s="1128"/>
      <c r="Q642" s="1128"/>
      <c r="R642" s="1128"/>
      <c r="S642" s="1128"/>
      <c r="T642" s="1128"/>
      <c r="U642" s="1128"/>
      <c r="V642" s="1128"/>
      <c r="W642" s="1128"/>
      <c r="X642" s="1128"/>
      <c r="Y642" s="1128"/>
      <c r="Z642" s="1128"/>
    </row>
    <row r="643" ht="22.5" customHeight="1">
      <c r="A643" s="1128"/>
      <c r="B643" s="1128"/>
      <c r="C643" s="1128"/>
      <c r="D643" s="1128"/>
      <c r="E643" s="1128"/>
      <c r="F643" s="1128"/>
      <c r="G643" s="1128"/>
      <c r="H643" s="1128"/>
      <c r="I643" s="1128"/>
      <c r="J643" s="1128"/>
      <c r="K643" s="1128"/>
      <c r="L643" s="1128"/>
      <c r="M643" s="1128"/>
      <c r="N643" s="1128"/>
      <c r="O643" s="1128"/>
      <c r="P643" s="1128"/>
      <c r="Q643" s="1128"/>
      <c r="R643" s="1128"/>
      <c r="S643" s="1128"/>
      <c r="T643" s="1128"/>
      <c r="U643" s="1128"/>
      <c r="V643" s="1128"/>
      <c r="W643" s="1128"/>
      <c r="X643" s="1128"/>
      <c r="Y643" s="1128"/>
      <c r="Z643" s="1128"/>
    </row>
    <row r="644" ht="22.5" customHeight="1">
      <c r="A644" s="1128"/>
      <c r="B644" s="1128"/>
      <c r="C644" s="1128"/>
      <c r="D644" s="1128"/>
      <c r="E644" s="1128"/>
      <c r="F644" s="1128"/>
      <c r="G644" s="1128"/>
      <c r="H644" s="1128"/>
      <c r="I644" s="1128"/>
      <c r="J644" s="1128"/>
      <c r="K644" s="1128"/>
      <c r="L644" s="1128"/>
      <c r="M644" s="1128"/>
      <c r="N644" s="1128"/>
      <c r="O644" s="1128"/>
      <c r="P644" s="1128"/>
      <c r="Q644" s="1128"/>
      <c r="R644" s="1128"/>
      <c r="S644" s="1128"/>
      <c r="T644" s="1128"/>
      <c r="U644" s="1128"/>
      <c r="V644" s="1128"/>
      <c r="W644" s="1128"/>
      <c r="X644" s="1128"/>
      <c r="Y644" s="1128"/>
      <c r="Z644" s="1128"/>
    </row>
    <row r="645" ht="22.5" customHeight="1">
      <c r="A645" s="1128"/>
      <c r="B645" s="1128"/>
      <c r="C645" s="1128"/>
      <c r="D645" s="1128"/>
      <c r="E645" s="1128"/>
      <c r="F645" s="1128"/>
      <c r="G645" s="1128"/>
      <c r="H645" s="1128"/>
      <c r="I645" s="1128"/>
      <c r="J645" s="1128"/>
      <c r="K645" s="1128"/>
      <c r="L645" s="1128"/>
      <c r="M645" s="1128"/>
      <c r="N645" s="1128"/>
      <c r="O645" s="1128"/>
      <c r="P645" s="1128"/>
      <c r="Q645" s="1128"/>
      <c r="R645" s="1128"/>
      <c r="S645" s="1128"/>
      <c r="T645" s="1128"/>
      <c r="U645" s="1128"/>
      <c r="V645" s="1128"/>
      <c r="W645" s="1128"/>
      <c r="X645" s="1128"/>
      <c r="Y645" s="1128"/>
      <c r="Z645" s="1128"/>
    </row>
    <row r="646" ht="22.5" customHeight="1">
      <c r="A646" s="1128"/>
      <c r="B646" s="1128"/>
      <c r="C646" s="1128"/>
      <c r="D646" s="1128"/>
      <c r="E646" s="1128"/>
      <c r="F646" s="1128"/>
      <c r="G646" s="1128"/>
      <c r="H646" s="1128"/>
      <c r="I646" s="1128"/>
      <c r="J646" s="1128"/>
      <c r="K646" s="1128"/>
      <c r="L646" s="1128"/>
      <c r="M646" s="1128"/>
      <c r="N646" s="1128"/>
      <c r="O646" s="1128"/>
      <c r="P646" s="1128"/>
      <c r="Q646" s="1128"/>
      <c r="R646" s="1128"/>
      <c r="S646" s="1128"/>
      <c r="T646" s="1128"/>
      <c r="U646" s="1128"/>
      <c r="V646" s="1128"/>
      <c r="W646" s="1128"/>
      <c r="X646" s="1128"/>
      <c r="Y646" s="1128"/>
      <c r="Z646" s="1128"/>
    </row>
    <row r="647" ht="22.5" customHeight="1">
      <c r="A647" s="1128"/>
      <c r="B647" s="1128"/>
      <c r="C647" s="1128"/>
      <c r="D647" s="1128"/>
      <c r="E647" s="1128"/>
      <c r="F647" s="1128"/>
      <c r="G647" s="1128"/>
      <c r="H647" s="1128"/>
      <c r="I647" s="1128"/>
      <c r="J647" s="1128"/>
      <c r="K647" s="1128"/>
      <c r="L647" s="1128"/>
      <c r="M647" s="1128"/>
      <c r="N647" s="1128"/>
      <c r="O647" s="1128"/>
      <c r="P647" s="1128"/>
      <c r="Q647" s="1128"/>
      <c r="R647" s="1128"/>
      <c r="S647" s="1128"/>
      <c r="T647" s="1128"/>
      <c r="U647" s="1128"/>
      <c r="V647" s="1128"/>
      <c r="W647" s="1128"/>
      <c r="X647" s="1128"/>
      <c r="Y647" s="1128"/>
      <c r="Z647" s="1128"/>
    </row>
    <row r="648" ht="22.5" customHeight="1">
      <c r="A648" s="1128"/>
      <c r="B648" s="1128"/>
      <c r="C648" s="1128"/>
      <c r="D648" s="1128"/>
      <c r="E648" s="1128"/>
      <c r="F648" s="1128"/>
      <c r="G648" s="1128"/>
      <c r="H648" s="1128"/>
      <c r="I648" s="1128"/>
      <c r="J648" s="1128"/>
      <c r="K648" s="1128"/>
      <c r="L648" s="1128"/>
      <c r="M648" s="1128"/>
      <c r="N648" s="1128"/>
      <c r="O648" s="1128"/>
      <c r="P648" s="1128"/>
      <c r="Q648" s="1128"/>
      <c r="R648" s="1128"/>
      <c r="S648" s="1128"/>
      <c r="T648" s="1128"/>
      <c r="U648" s="1128"/>
      <c r="V648" s="1128"/>
      <c r="W648" s="1128"/>
      <c r="X648" s="1128"/>
      <c r="Y648" s="1128"/>
      <c r="Z648" s="1128"/>
    </row>
    <row r="649" ht="22.5" customHeight="1">
      <c r="A649" s="1128"/>
      <c r="B649" s="1128"/>
      <c r="C649" s="1128"/>
      <c r="D649" s="1128"/>
      <c r="E649" s="1128"/>
      <c r="F649" s="1128"/>
      <c r="G649" s="1128"/>
      <c r="H649" s="1128"/>
      <c r="I649" s="1128"/>
      <c r="J649" s="1128"/>
      <c r="K649" s="1128"/>
      <c r="L649" s="1128"/>
      <c r="M649" s="1128"/>
      <c r="N649" s="1128"/>
      <c r="O649" s="1128"/>
      <c r="P649" s="1128"/>
      <c r="Q649" s="1128"/>
      <c r="R649" s="1128"/>
      <c r="S649" s="1128"/>
      <c r="T649" s="1128"/>
      <c r="U649" s="1128"/>
      <c r="V649" s="1128"/>
      <c r="W649" s="1128"/>
      <c r="X649" s="1128"/>
      <c r="Y649" s="1128"/>
      <c r="Z649" s="1128"/>
    </row>
    <row r="650" ht="22.5" customHeight="1">
      <c r="A650" s="1128"/>
      <c r="B650" s="1128"/>
      <c r="C650" s="1128"/>
      <c r="D650" s="1128"/>
      <c r="E650" s="1128"/>
      <c r="F650" s="1128"/>
      <c r="G650" s="1128"/>
      <c r="H650" s="1128"/>
      <c r="I650" s="1128"/>
      <c r="J650" s="1128"/>
      <c r="K650" s="1128"/>
      <c r="L650" s="1128"/>
      <c r="M650" s="1128"/>
      <c r="N650" s="1128"/>
      <c r="O650" s="1128"/>
      <c r="P650" s="1128"/>
      <c r="Q650" s="1128"/>
      <c r="R650" s="1128"/>
      <c r="S650" s="1128"/>
      <c r="T650" s="1128"/>
      <c r="U650" s="1128"/>
      <c r="V650" s="1128"/>
      <c r="W650" s="1128"/>
      <c r="X650" s="1128"/>
      <c r="Y650" s="1128"/>
      <c r="Z650" s="1128"/>
    </row>
    <row r="651" ht="22.5" customHeight="1">
      <c r="A651" s="1128"/>
      <c r="B651" s="1128"/>
      <c r="C651" s="1128"/>
      <c r="D651" s="1128"/>
      <c r="E651" s="1128"/>
      <c r="F651" s="1128"/>
      <c r="G651" s="1128"/>
      <c r="H651" s="1128"/>
      <c r="I651" s="1128"/>
      <c r="J651" s="1128"/>
      <c r="K651" s="1128"/>
      <c r="L651" s="1128"/>
      <c r="M651" s="1128"/>
      <c r="N651" s="1128"/>
      <c r="O651" s="1128"/>
      <c r="P651" s="1128"/>
      <c r="Q651" s="1128"/>
      <c r="R651" s="1128"/>
      <c r="S651" s="1128"/>
      <c r="T651" s="1128"/>
      <c r="U651" s="1128"/>
      <c r="V651" s="1128"/>
      <c r="W651" s="1128"/>
      <c r="X651" s="1128"/>
      <c r="Y651" s="1128"/>
      <c r="Z651" s="1128"/>
    </row>
    <row r="652" ht="22.5" customHeight="1">
      <c r="A652" s="1128"/>
      <c r="B652" s="1128"/>
      <c r="C652" s="1128"/>
      <c r="D652" s="1128"/>
      <c r="E652" s="1128"/>
      <c r="F652" s="1128"/>
      <c r="G652" s="1128"/>
      <c r="H652" s="1128"/>
      <c r="I652" s="1128"/>
      <c r="J652" s="1128"/>
      <c r="K652" s="1128"/>
      <c r="L652" s="1128"/>
      <c r="M652" s="1128"/>
      <c r="N652" s="1128"/>
      <c r="O652" s="1128"/>
      <c r="P652" s="1128"/>
      <c r="Q652" s="1128"/>
      <c r="R652" s="1128"/>
      <c r="S652" s="1128"/>
      <c r="T652" s="1128"/>
      <c r="U652" s="1128"/>
      <c r="V652" s="1128"/>
      <c r="W652" s="1128"/>
      <c r="X652" s="1128"/>
      <c r="Y652" s="1128"/>
      <c r="Z652" s="1128"/>
    </row>
    <row r="653" ht="22.5" customHeight="1">
      <c r="A653" s="1128"/>
      <c r="B653" s="1128"/>
      <c r="C653" s="1128"/>
      <c r="D653" s="1128"/>
      <c r="E653" s="1128"/>
      <c r="F653" s="1128"/>
      <c r="G653" s="1128"/>
      <c r="H653" s="1128"/>
      <c r="I653" s="1128"/>
      <c r="J653" s="1128"/>
      <c r="K653" s="1128"/>
      <c r="L653" s="1128"/>
      <c r="M653" s="1128"/>
      <c r="N653" s="1128"/>
      <c r="O653" s="1128"/>
      <c r="P653" s="1128"/>
      <c r="Q653" s="1128"/>
      <c r="R653" s="1128"/>
      <c r="S653" s="1128"/>
      <c r="T653" s="1128"/>
      <c r="U653" s="1128"/>
      <c r="V653" s="1128"/>
      <c r="W653" s="1128"/>
      <c r="X653" s="1128"/>
      <c r="Y653" s="1128"/>
      <c r="Z653" s="1128"/>
    </row>
    <row r="654" ht="22.5" customHeight="1">
      <c r="A654" s="1128"/>
      <c r="B654" s="1128"/>
      <c r="C654" s="1128"/>
      <c r="D654" s="1128"/>
      <c r="E654" s="1128"/>
      <c r="F654" s="1128"/>
      <c r="G654" s="1128"/>
      <c r="H654" s="1128"/>
      <c r="I654" s="1128"/>
      <c r="J654" s="1128"/>
      <c r="K654" s="1128"/>
      <c r="L654" s="1128"/>
      <c r="M654" s="1128"/>
      <c r="N654" s="1128"/>
      <c r="O654" s="1128"/>
      <c r="P654" s="1128"/>
      <c r="Q654" s="1128"/>
      <c r="R654" s="1128"/>
      <c r="S654" s="1128"/>
      <c r="T654" s="1128"/>
      <c r="U654" s="1128"/>
      <c r="V654" s="1128"/>
      <c r="W654" s="1128"/>
      <c r="X654" s="1128"/>
      <c r="Y654" s="1128"/>
      <c r="Z654" s="1128"/>
    </row>
    <row r="655" ht="22.5" customHeight="1">
      <c r="A655" s="1128"/>
      <c r="B655" s="1128"/>
      <c r="C655" s="1128"/>
      <c r="D655" s="1128"/>
      <c r="E655" s="1128"/>
      <c r="F655" s="1128"/>
      <c r="G655" s="1128"/>
      <c r="H655" s="1128"/>
      <c r="I655" s="1128"/>
      <c r="J655" s="1128"/>
      <c r="K655" s="1128"/>
      <c r="L655" s="1128"/>
      <c r="M655" s="1128"/>
      <c r="N655" s="1128"/>
      <c r="O655" s="1128"/>
      <c r="P655" s="1128"/>
      <c r="Q655" s="1128"/>
      <c r="R655" s="1128"/>
      <c r="S655" s="1128"/>
      <c r="T655" s="1128"/>
      <c r="U655" s="1128"/>
      <c r="V655" s="1128"/>
      <c r="W655" s="1128"/>
      <c r="X655" s="1128"/>
      <c r="Y655" s="1128"/>
      <c r="Z655" s="1128"/>
    </row>
    <row r="656" ht="22.5" customHeight="1">
      <c r="A656" s="1128"/>
      <c r="B656" s="1128"/>
      <c r="C656" s="1128"/>
      <c r="D656" s="1128"/>
      <c r="E656" s="1128"/>
      <c r="F656" s="1128"/>
      <c r="G656" s="1128"/>
      <c r="H656" s="1128"/>
      <c r="I656" s="1128"/>
      <c r="J656" s="1128"/>
      <c r="K656" s="1128"/>
      <c r="L656" s="1128"/>
      <c r="M656" s="1128"/>
      <c r="N656" s="1128"/>
      <c r="O656" s="1128"/>
      <c r="P656" s="1128"/>
      <c r="Q656" s="1128"/>
      <c r="R656" s="1128"/>
      <c r="S656" s="1128"/>
      <c r="T656" s="1128"/>
      <c r="U656" s="1128"/>
      <c r="V656" s="1128"/>
      <c r="W656" s="1128"/>
      <c r="X656" s="1128"/>
      <c r="Y656" s="1128"/>
      <c r="Z656" s="1128"/>
    </row>
    <row r="657" ht="22.5" customHeight="1">
      <c r="A657" s="1128"/>
      <c r="B657" s="1128"/>
      <c r="C657" s="1128"/>
      <c r="D657" s="1128"/>
      <c r="E657" s="1128"/>
      <c r="F657" s="1128"/>
      <c r="G657" s="1128"/>
      <c r="H657" s="1128"/>
      <c r="I657" s="1128"/>
      <c r="J657" s="1128"/>
      <c r="K657" s="1128"/>
      <c r="L657" s="1128"/>
      <c r="M657" s="1128"/>
      <c r="N657" s="1128"/>
      <c r="O657" s="1128"/>
      <c r="P657" s="1128"/>
      <c r="Q657" s="1128"/>
      <c r="R657" s="1128"/>
      <c r="S657" s="1128"/>
      <c r="T657" s="1128"/>
      <c r="U657" s="1128"/>
      <c r="V657" s="1128"/>
      <c r="W657" s="1128"/>
      <c r="X657" s="1128"/>
      <c r="Y657" s="1128"/>
      <c r="Z657" s="1128"/>
    </row>
    <row r="658" ht="22.5" customHeight="1">
      <c r="A658" s="1128"/>
      <c r="B658" s="1128"/>
      <c r="C658" s="1128"/>
      <c r="D658" s="1128"/>
      <c r="E658" s="1128"/>
      <c r="F658" s="1128"/>
      <c r="G658" s="1128"/>
      <c r="H658" s="1128"/>
      <c r="I658" s="1128"/>
      <c r="J658" s="1128"/>
      <c r="K658" s="1128"/>
      <c r="L658" s="1128"/>
      <c r="M658" s="1128"/>
      <c r="N658" s="1128"/>
      <c r="O658" s="1128"/>
      <c r="P658" s="1128"/>
      <c r="Q658" s="1128"/>
      <c r="R658" s="1128"/>
      <c r="S658" s="1128"/>
      <c r="T658" s="1128"/>
      <c r="U658" s="1128"/>
      <c r="V658" s="1128"/>
      <c r="W658" s="1128"/>
      <c r="X658" s="1128"/>
      <c r="Y658" s="1128"/>
      <c r="Z658" s="1128"/>
    </row>
    <row r="659" ht="22.5" customHeight="1">
      <c r="A659" s="1128"/>
      <c r="B659" s="1128"/>
      <c r="C659" s="1128"/>
      <c r="D659" s="1128"/>
      <c r="E659" s="1128"/>
      <c r="F659" s="1128"/>
      <c r="G659" s="1128"/>
      <c r="H659" s="1128"/>
      <c r="I659" s="1128"/>
      <c r="J659" s="1128"/>
      <c r="K659" s="1128"/>
      <c r="L659" s="1128"/>
      <c r="M659" s="1128"/>
      <c r="N659" s="1128"/>
      <c r="O659" s="1128"/>
      <c r="P659" s="1128"/>
      <c r="Q659" s="1128"/>
      <c r="R659" s="1128"/>
      <c r="S659" s="1128"/>
      <c r="T659" s="1128"/>
      <c r="U659" s="1128"/>
      <c r="V659" s="1128"/>
      <c r="W659" s="1128"/>
      <c r="X659" s="1128"/>
      <c r="Y659" s="1128"/>
      <c r="Z659" s="1128"/>
    </row>
    <row r="660" ht="22.5" customHeight="1">
      <c r="A660" s="1128"/>
      <c r="B660" s="1128"/>
      <c r="C660" s="1128"/>
      <c r="D660" s="1128"/>
      <c r="E660" s="1128"/>
      <c r="F660" s="1128"/>
      <c r="G660" s="1128"/>
      <c r="H660" s="1128"/>
      <c r="I660" s="1128"/>
      <c r="J660" s="1128"/>
      <c r="K660" s="1128"/>
      <c r="L660" s="1128"/>
      <c r="M660" s="1128"/>
      <c r="N660" s="1128"/>
      <c r="O660" s="1128"/>
      <c r="P660" s="1128"/>
      <c r="Q660" s="1128"/>
      <c r="R660" s="1128"/>
      <c r="S660" s="1128"/>
      <c r="T660" s="1128"/>
      <c r="U660" s="1128"/>
      <c r="V660" s="1128"/>
      <c r="W660" s="1128"/>
      <c r="X660" s="1128"/>
      <c r="Y660" s="1128"/>
      <c r="Z660" s="1128"/>
    </row>
    <row r="661" ht="22.5" customHeight="1">
      <c r="A661" s="1128"/>
      <c r="B661" s="1128"/>
      <c r="C661" s="1128"/>
      <c r="D661" s="1128"/>
      <c r="E661" s="1128"/>
      <c r="F661" s="1128"/>
      <c r="G661" s="1128"/>
      <c r="H661" s="1128"/>
      <c r="I661" s="1128"/>
      <c r="J661" s="1128"/>
      <c r="K661" s="1128"/>
      <c r="L661" s="1128"/>
      <c r="M661" s="1128"/>
      <c r="N661" s="1128"/>
      <c r="O661" s="1128"/>
      <c r="P661" s="1128"/>
      <c r="Q661" s="1128"/>
      <c r="R661" s="1128"/>
      <c r="S661" s="1128"/>
      <c r="T661" s="1128"/>
      <c r="U661" s="1128"/>
      <c r="V661" s="1128"/>
      <c r="W661" s="1128"/>
      <c r="X661" s="1128"/>
      <c r="Y661" s="1128"/>
      <c r="Z661" s="1128"/>
    </row>
    <row r="662" ht="22.5" customHeight="1">
      <c r="A662" s="1128"/>
      <c r="B662" s="1128"/>
      <c r="C662" s="1128"/>
      <c r="D662" s="1128"/>
      <c r="E662" s="1128"/>
      <c r="F662" s="1128"/>
      <c r="G662" s="1128"/>
      <c r="H662" s="1128"/>
      <c r="I662" s="1128"/>
      <c r="J662" s="1128"/>
      <c r="K662" s="1128"/>
      <c r="L662" s="1128"/>
      <c r="M662" s="1128"/>
      <c r="N662" s="1128"/>
      <c r="O662" s="1128"/>
      <c r="P662" s="1128"/>
      <c r="Q662" s="1128"/>
      <c r="R662" s="1128"/>
      <c r="S662" s="1128"/>
      <c r="T662" s="1128"/>
      <c r="U662" s="1128"/>
      <c r="V662" s="1128"/>
      <c r="W662" s="1128"/>
      <c r="X662" s="1128"/>
      <c r="Y662" s="1128"/>
      <c r="Z662" s="1128"/>
    </row>
    <row r="663" ht="22.5" customHeight="1">
      <c r="A663" s="1128"/>
      <c r="B663" s="1128"/>
      <c r="C663" s="1128"/>
      <c r="D663" s="1128"/>
      <c r="E663" s="1128"/>
      <c r="F663" s="1128"/>
      <c r="G663" s="1128"/>
      <c r="H663" s="1128"/>
      <c r="I663" s="1128"/>
      <c r="J663" s="1128"/>
      <c r="K663" s="1128"/>
      <c r="L663" s="1128"/>
      <c r="M663" s="1128"/>
      <c r="N663" s="1128"/>
      <c r="O663" s="1128"/>
      <c r="P663" s="1128"/>
      <c r="Q663" s="1128"/>
      <c r="R663" s="1128"/>
      <c r="S663" s="1128"/>
      <c r="T663" s="1128"/>
      <c r="U663" s="1128"/>
      <c r="V663" s="1128"/>
      <c r="W663" s="1128"/>
      <c r="X663" s="1128"/>
      <c r="Y663" s="1128"/>
      <c r="Z663" s="1128"/>
    </row>
    <row r="664" ht="22.5" customHeight="1">
      <c r="A664" s="1128"/>
      <c r="B664" s="1128"/>
      <c r="C664" s="1128"/>
      <c r="D664" s="1128"/>
      <c r="E664" s="1128"/>
      <c r="F664" s="1128"/>
      <c r="G664" s="1128"/>
      <c r="H664" s="1128"/>
      <c r="I664" s="1128"/>
      <c r="J664" s="1128"/>
      <c r="K664" s="1128"/>
      <c r="L664" s="1128"/>
      <c r="M664" s="1128"/>
      <c r="N664" s="1128"/>
      <c r="O664" s="1128"/>
      <c r="P664" s="1128"/>
      <c r="Q664" s="1128"/>
      <c r="R664" s="1128"/>
      <c r="S664" s="1128"/>
      <c r="T664" s="1128"/>
      <c r="U664" s="1128"/>
      <c r="V664" s="1128"/>
      <c r="W664" s="1128"/>
      <c r="X664" s="1128"/>
      <c r="Y664" s="1128"/>
      <c r="Z664" s="1128"/>
    </row>
    <row r="665" ht="22.5" customHeight="1">
      <c r="A665" s="1128"/>
      <c r="B665" s="1128"/>
      <c r="C665" s="1128"/>
      <c r="D665" s="1128"/>
      <c r="E665" s="1128"/>
      <c r="F665" s="1128"/>
      <c r="G665" s="1128"/>
      <c r="H665" s="1128"/>
      <c r="I665" s="1128"/>
      <c r="J665" s="1128"/>
      <c r="K665" s="1128"/>
      <c r="L665" s="1128"/>
      <c r="M665" s="1128"/>
      <c r="N665" s="1128"/>
      <c r="O665" s="1128"/>
      <c r="P665" s="1128"/>
      <c r="Q665" s="1128"/>
      <c r="R665" s="1128"/>
      <c r="S665" s="1128"/>
      <c r="T665" s="1128"/>
      <c r="U665" s="1128"/>
      <c r="V665" s="1128"/>
      <c r="W665" s="1128"/>
      <c r="X665" s="1128"/>
      <c r="Y665" s="1128"/>
      <c r="Z665" s="1128"/>
    </row>
    <row r="666" ht="22.5" customHeight="1">
      <c r="A666" s="1128"/>
      <c r="B666" s="1128"/>
      <c r="C666" s="1128"/>
      <c r="D666" s="1128"/>
      <c r="E666" s="1128"/>
      <c r="F666" s="1128"/>
      <c r="G666" s="1128"/>
      <c r="H666" s="1128"/>
      <c r="I666" s="1128"/>
      <c r="J666" s="1128"/>
      <c r="K666" s="1128"/>
      <c r="L666" s="1128"/>
      <c r="M666" s="1128"/>
      <c r="N666" s="1128"/>
      <c r="O666" s="1128"/>
      <c r="P666" s="1128"/>
      <c r="Q666" s="1128"/>
      <c r="R666" s="1128"/>
      <c r="S666" s="1128"/>
      <c r="T666" s="1128"/>
      <c r="U666" s="1128"/>
      <c r="V666" s="1128"/>
      <c r="W666" s="1128"/>
      <c r="X666" s="1128"/>
      <c r="Y666" s="1128"/>
      <c r="Z666" s="1128"/>
    </row>
    <row r="667" ht="22.5" customHeight="1">
      <c r="A667" s="1128"/>
      <c r="B667" s="1128"/>
      <c r="C667" s="1128"/>
      <c r="D667" s="1128"/>
      <c r="E667" s="1128"/>
      <c r="F667" s="1128"/>
      <c r="G667" s="1128"/>
      <c r="H667" s="1128"/>
      <c r="I667" s="1128"/>
      <c r="J667" s="1128"/>
      <c r="K667" s="1128"/>
      <c r="L667" s="1128"/>
      <c r="M667" s="1128"/>
      <c r="N667" s="1128"/>
      <c r="O667" s="1128"/>
      <c r="P667" s="1128"/>
      <c r="Q667" s="1128"/>
      <c r="R667" s="1128"/>
      <c r="S667" s="1128"/>
      <c r="T667" s="1128"/>
      <c r="U667" s="1128"/>
      <c r="V667" s="1128"/>
      <c r="W667" s="1128"/>
      <c r="X667" s="1128"/>
      <c r="Y667" s="1128"/>
      <c r="Z667" s="1128"/>
    </row>
    <row r="668" ht="22.5" customHeight="1">
      <c r="A668" s="1128"/>
      <c r="B668" s="1128"/>
      <c r="C668" s="1128"/>
      <c r="D668" s="1128"/>
      <c r="E668" s="1128"/>
      <c r="F668" s="1128"/>
      <c r="G668" s="1128"/>
      <c r="H668" s="1128"/>
      <c r="I668" s="1128"/>
      <c r="J668" s="1128"/>
      <c r="K668" s="1128"/>
      <c r="L668" s="1128"/>
      <c r="M668" s="1128"/>
      <c r="N668" s="1128"/>
      <c r="O668" s="1128"/>
      <c r="P668" s="1128"/>
      <c r="Q668" s="1128"/>
      <c r="R668" s="1128"/>
      <c r="S668" s="1128"/>
      <c r="T668" s="1128"/>
      <c r="U668" s="1128"/>
      <c r="V668" s="1128"/>
      <c r="W668" s="1128"/>
      <c r="X668" s="1128"/>
      <c r="Y668" s="1128"/>
      <c r="Z668" s="1128"/>
    </row>
    <row r="669" ht="22.5" customHeight="1">
      <c r="A669" s="1128"/>
      <c r="B669" s="1128"/>
      <c r="C669" s="1128"/>
      <c r="D669" s="1128"/>
      <c r="E669" s="1128"/>
      <c r="F669" s="1128"/>
      <c r="G669" s="1128"/>
      <c r="H669" s="1128"/>
      <c r="I669" s="1128"/>
      <c r="J669" s="1128"/>
      <c r="K669" s="1128"/>
      <c r="L669" s="1128"/>
      <c r="M669" s="1128"/>
      <c r="N669" s="1128"/>
      <c r="O669" s="1128"/>
      <c r="P669" s="1128"/>
      <c r="Q669" s="1128"/>
      <c r="R669" s="1128"/>
      <c r="S669" s="1128"/>
      <c r="T669" s="1128"/>
      <c r="U669" s="1128"/>
      <c r="V669" s="1128"/>
      <c r="W669" s="1128"/>
      <c r="X669" s="1128"/>
      <c r="Y669" s="1128"/>
      <c r="Z669" s="1128"/>
    </row>
    <row r="670" ht="22.5" customHeight="1">
      <c r="A670" s="1128"/>
      <c r="B670" s="1128"/>
      <c r="C670" s="1128"/>
      <c r="D670" s="1128"/>
      <c r="E670" s="1128"/>
      <c r="F670" s="1128"/>
      <c r="G670" s="1128"/>
      <c r="H670" s="1128"/>
      <c r="I670" s="1128"/>
      <c r="J670" s="1128"/>
      <c r="K670" s="1128"/>
      <c r="L670" s="1128"/>
      <c r="M670" s="1128"/>
      <c r="N670" s="1128"/>
      <c r="O670" s="1128"/>
      <c r="P670" s="1128"/>
      <c r="Q670" s="1128"/>
      <c r="R670" s="1128"/>
      <c r="S670" s="1128"/>
      <c r="T670" s="1128"/>
      <c r="U670" s="1128"/>
      <c r="V670" s="1128"/>
      <c r="W670" s="1128"/>
      <c r="X670" s="1128"/>
      <c r="Y670" s="1128"/>
      <c r="Z670" s="1128"/>
    </row>
    <row r="671" ht="22.5" customHeight="1">
      <c r="A671" s="1128"/>
      <c r="B671" s="1128"/>
      <c r="C671" s="1128"/>
      <c r="D671" s="1128"/>
      <c r="E671" s="1128"/>
      <c r="F671" s="1128"/>
      <c r="G671" s="1128"/>
      <c r="H671" s="1128"/>
      <c r="I671" s="1128"/>
      <c r="J671" s="1128"/>
      <c r="K671" s="1128"/>
      <c r="L671" s="1128"/>
      <c r="M671" s="1128"/>
      <c r="N671" s="1128"/>
      <c r="O671" s="1128"/>
      <c r="P671" s="1128"/>
      <c r="Q671" s="1128"/>
      <c r="R671" s="1128"/>
      <c r="S671" s="1128"/>
      <c r="T671" s="1128"/>
      <c r="U671" s="1128"/>
      <c r="V671" s="1128"/>
      <c r="W671" s="1128"/>
      <c r="X671" s="1128"/>
      <c r="Y671" s="1128"/>
      <c r="Z671" s="1128"/>
    </row>
    <row r="672" ht="22.5" customHeight="1">
      <c r="A672" s="1128"/>
      <c r="B672" s="1128"/>
      <c r="C672" s="1128"/>
      <c r="D672" s="1128"/>
      <c r="E672" s="1128"/>
      <c r="F672" s="1128"/>
      <c r="G672" s="1128"/>
      <c r="H672" s="1128"/>
      <c r="I672" s="1128"/>
      <c r="J672" s="1128"/>
      <c r="K672" s="1128"/>
      <c r="L672" s="1128"/>
      <c r="M672" s="1128"/>
      <c r="N672" s="1128"/>
      <c r="O672" s="1128"/>
      <c r="P672" s="1128"/>
      <c r="Q672" s="1128"/>
      <c r="R672" s="1128"/>
      <c r="S672" s="1128"/>
      <c r="T672" s="1128"/>
      <c r="U672" s="1128"/>
      <c r="V672" s="1128"/>
      <c r="W672" s="1128"/>
      <c r="X672" s="1128"/>
      <c r="Y672" s="1128"/>
      <c r="Z672" s="1128"/>
    </row>
    <row r="673" ht="22.5" customHeight="1">
      <c r="A673" s="1128"/>
      <c r="B673" s="1128"/>
      <c r="C673" s="1128"/>
      <c r="D673" s="1128"/>
      <c r="E673" s="1128"/>
      <c r="F673" s="1128"/>
      <c r="G673" s="1128"/>
      <c r="H673" s="1128"/>
      <c r="I673" s="1128"/>
      <c r="J673" s="1128"/>
      <c r="K673" s="1128"/>
      <c r="L673" s="1128"/>
      <c r="M673" s="1128"/>
      <c r="N673" s="1128"/>
      <c r="O673" s="1128"/>
      <c r="P673" s="1128"/>
      <c r="Q673" s="1128"/>
      <c r="R673" s="1128"/>
      <c r="S673" s="1128"/>
      <c r="T673" s="1128"/>
      <c r="U673" s="1128"/>
      <c r="V673" s="1128"/>
      <c r="W673" s="1128"/>
      <c r="X673" s="1128"/>
      <c r="Y673" s="1128"/>
      <c r="Z673" s="1128"/>
    </row>
    <row r="674" ht="22.5" customHeight="1">
      <c r="A674" s="1128"/>
      <c r="B674" s="1128"/>
      <c r="C674" s="1128"/>
      <c r="D674" s="1128"/>
      <c r="E674" s="1128"/>
      <c r="F674" s="1128"/>
      <c r="G674" s="1128"/>
      <c r="H674" s="1128"/>
      <c r="I674" s="1128"/>
      <c r="J674" s="1128"/>
      <c r="K674" s="1128"/>
      <c r="L674" s="1128"/>
      <c r="M674" s="1128"/>
      <c r="N674" s="1128"/>
      <c r="O674" s="1128"/>
      <c r="P674" s="1128"/>
      <c r="Q674" s="1128"/>
      <c r="R674" s="1128"/>
      <c r="S674" s="1128"/>
      <c r="T674" s="1128"/>
      <c r="U674" s="1128"/>
      <c r="V674" s="1128"/>
      <c r="W674" s="1128"/>
      <c r="X674" s="1128"/>
      <c r="Y674" s="1128"/>
      <c r="Z674" s="1128"/>
    </row>
    <row r="675" ht="22.5" customHeight="1">
      <c r="A675" s="1128"/>
      <c r="B675" s="1128"/>
      <c r="C675" s="1128"/>
      <c r="D675" s="1128"/>
      <c r="E675" s="1128"/>
      <c r="F675" s="1128"/>
      <c r="G675" s="1128"/>
      <c r="H675" s="1128"/>
      <c r="I675" s="1128"/>
      <c r="J675" s="1128"/>
      <c r="K675" s="1128"/>
      <c r="L675" s="1128"/>
      <c r="M675" s="1128"/>
      <c r="N675" s="1128"/>
      <c r="O675" s="1128"/>
      <c r="P675" s="1128"/>
      <c r="Q675" s="1128"/>
      <c r="R675" s="1128"/>
      <c r="S675" s="1128"/>
      <c r="T675" s="1128"/>
      <c r="U675" s="1128"/>
      <c r="V675" s="1128"/>
      <c r="W675" s="1128"/>
      <c r="X675" s="1128"/>
      <c r="Y675" s="1128"/>
      <c r="Z675" s="1128"/>
    </row>
    <row r="676" ht="22.5" customHeight="1">
      <c r="A676" s="1128"/>
      <c r="B676" s="1128"/>
      <c r="C676" s="1128"/>
      <c r="D676" s="1128"/>
      <c r="E676" s="1128"/>
      <c r="F676" s="1128"/>
      <c r="G676" s="1128"/>
      <c r="H676" s="1128"/>
      <c r="I676" s="1128"/>
      <c r="J676" s="1128"/>
      <c r="K676" s="1128"/>
      <c r="L676" s="1128"/>
      <c r="M676" s="1128"/>
      <c r="N676" s="1128"/>
      <c r="O676" s="1128"/>
      <c r="P676" s="1128"/>
      <c r="Q676" s="1128"/>
      <c r="R676" s="1128"/>
      <c r="S676" s="1128"/>
      <c r="T676" s="1128"/>
      <c r="U676" s="1128"/>
      <c r="V676" s="1128"/>
      <c r="W676" s="1128"/>
      <c r="X676" s="1128"/>
      <c r="Y676" s="1128"/>
      <c r="Z676" s="1128"/>
    </row>
    <row r="677" ht="22.5" customHeight="1">
      <c r="A677" s="1128"/>
      <c r="B677" s="1128"/>
      <c r="C677" s="1128"/>
      <c r="D677" s="1128"/>
      <c r="E677" s="1128"/>
      <c r="F677" s="1128"/>
      <c r="G677" s="1128"/>
      <c r="H677" s="1128"/>
      <c r="I677" s="1128"/>
      <c r="J677" s="1128"/>
      <c r="K677" s="1128"/>
      <c r="L677" s="1128"/>
      <c r="M677" s="1128"/>
      <c r="N677" s="1128"/>
      <c r="O677" s="1128"/>
      <c r="P677" s="1128"/>
      <c r="Q677" s="1128"/>
      <c r="R677" s="1128"/>
      <c r="S677" s="1128"/>
      <c r="T677" s="1128"/>
      <c r="U677" s="1128"/>
      <c r="V677" s="1128"/>
      <c r="W677" s="1128"/>
      <c r="X677" s="1128"/>
      <c r="Y677" s="1128"/>
      <c r="Z677" s="1128"/>
    </row>
    <row r="678" ht="22.5" customHeight="1">
      <c r="A678" s="1128"/>
      <c r="B678" s="1128"/>
      <c r="C678" s="1128"/>
      <c r="D678" s="1128"/>
      <c r="E678" s="1128"/>
      <c r="F678" s="1128"/>
      <c r="G678" s="1128"/>
      <c r="H678" s="1128"/>
      <c r="I678" s="1128"/>
      <c r="J678" s="1128"/>
      <c r="K678" s="1128"/>
      <c r="L678" s="1128"/>
      <c r="M678" s="1128"/>
      <c r="N678" s="1128"/>
      <c r="O678" s="1128"/>
      <c r="P678" s="1128"/>
      <c r="Q678" s="1128"/>
      <c r="R678" s="1128"/>
      <c r="S678" s="1128"/>
      <c r="T678" s="1128"/>
      <c r="U678" s="1128"/>
      <c r="V678" s="1128"/>
      <c r="W678" s="1128"/>
      <c r="X678" s="1128"/>
      <c r="Y678" s="1128"/>
      <c r="Z678" s="1128"/>
    </row>
    <row r="679" ht="22.5" customHeight="1">
      <c r="A679" s="1128"/>
      <c r="B679" s="1128"/>
      <c r="C679" s="1128"/>
      <c r="D679" s="1128"/>
      <c r="E679" s="1128"/>
      <c r="F679" s="1128"/>
      <c r="G679" s="1128"/>
      <c r="H679" s="1128"/>
      <c r="I679" s="1128"/>
      <c r="J679" s="1128"/>
      <c r="K679" s="1128"/>
      <c r="L679" s="1128"/>
      <c r="M679" s="1128"/>
      <c r="N679" s="1128"/>
      <c r="O679" s="1128"/>
      <c r="P679" s="1128"/>
      <c r="Q679" s="1128"/>
      <c r="R679" s="1128"/>
      <c r="S679" s="1128"/>
      <c r="T679" s="1128"/>
      <c r="U679" s="1128"/>
      <c r="V679" s="1128"/>
      <c r="W679" s="1128"/>
      <c r="X679" s="1128"/>
      <c r="Y679" s="1128"/>
      <c r="Z679" s="1128"/>
    </row>
    <row r="680" ht="22.5" customHeight="1">
      <c r="A680" s="1128"/>
      <c r="B680" s="1128"/>
      <c r="C680" s="1128"/>
      <c r="D680" s="1128"/>
      <c r="E680" s="1128"/>
      <c r="F680" s="1128"/>
      <c r="G680" s="1128"/>
      <c r="H680" s="1128"/>
      <c r="I680" s="1128"/>
      <c r="J680" s="1128"/>
      <c r="K680" s="1128"/>
      <c r="L680" s="1128"/>
      <c r="M680" s="1128"/>
      <c r="N680" s="1128"/>
      <c r="O680" s="1128"/>
      <c r="P680" s="1128"/>
      <c r="Q680" s="1128"/>
      <c r="R680" s="1128"/>
      <c r="S680" s="1128"/>
      <c r="T680" s="1128"/>
      <c r="U680" s="1128"/>
      <c r="V680" s="1128"/>
      <c r="W680" s="1128"/>
      <c r="X680" s="1128"/>
      <c r="Y680" s="1128"/>
      <c r="Z680" s="1128"/>
    </row>
    <row r="681" ht="22.5" customHeight="1">
      <c r="A681" s="1128"/>
      <c r="B681" s="1128"/>
      <c r="C681" s="1128"/>
      <c r="D681" s="1128"/>
      <c r="E681" s="1128"/>
      <c r="F681" s="1128"/>
      <c r="G681" s="1128"/>
      <c r="H681" s="1128"/>
      <c r="I681" s="1128"/>
      <c r="J681" s="1128"/>
      <c r="K681" s="1128"/>
      <c r="L681" s="1128"/>
      <c r="M681" s="1128"/>
      <c r="N681" s="1128"/>
      <c r="O681" s="1128"/>
      <c r="P681" s="1128"/>
      <c r="Q681" s="1128"/>
      <c r="R681" s="1128"/>
      <c r="S681" s="1128"/>
      <c r="T681" s="1128"/>
      <c r="U681" s="1128"/>
      <c r="V681" s="1128"/>
      <c r="W681" s="1128"/>
      <c r="X681" s="1128"/>
      <c r="Y681" s="1128"/>
      <c r="Z681" s="1128"/>
    </row>
    <row r="682" ht="22.5" customHeight="1">
      <c r="A682" s="1128"/>
      <c r="B682" s="1128"/>
      <c r="C682" s="1128"/>
      <c r="D682" s="1128"/>
      <c r="E682" s="1128"/>
      <c r="F682" s="1128"/>
      <c r="G682" s="1128"/>
      <c r="H682" s="1128"/>
      <c r="I682" s="1128"/>
      <c r="J682" s="1128"/>
      <c r="K682" s="1128"/>
      <c r="L682" s="1128"/>
      <c r="M682" s="1128"/>
      <c r="N682" s="1128"/>
      <c r="O682" s="1128"/>
      <c r="P682" s="1128"/>
      <c r="Q682" s="1128"/>
      <c r="R682" s="1128"/>
      <c r="S682" s="1128"/>
      <c r="T682" s="1128"/>
      <c r="U682" s="1128"/>
      <c r="V682" s="1128"/>
      <c r="W682" s="1128"/>
      <c r="X682" s="1128"/>
      <c r="Y682" s="1128"/>
      <c r="Z682" s="1128"/>
    </row>
    <row r="683" ht="22.5" customHeight="1">
      <c r="A683" s="1128"/>
      <c r="B683" s="1128"/>
      <c r="C683" s="1128"/>
      <c r="D683" s="1128"/>
      <c r="E683" s="1128"/>
      <c r="F683" s="1128"/>
      <c r="G683" s="1128"/>
      <c r="H683" s="1128"/>
      <c r="I683" s="1128"/>
      <c r="J683" s="1128"/>
      <c r="K683" s="1128"/>
      <c r="L683" s="1128"/>
      <c r="M683" s="1128"/>
      <c r="N683" s="1128"/>
      <c r="O683" s="1128"/>
      <c r="P683" s="1128"/>
      <c r="Q683" s="1128"/>
      <c r="R683" s="1128"/>
      <c r="S683" s="1128"/>
      <c r="T683" s="1128"/>
      <c r="U683" s="1128"/>
      <c r="V683" s="1128"/>
      <c r="W683" s="1128"/>
      <c r="X683" s="1128"/>
      <c r="Y683" s="1128"/>
      <c r="Z683" s="1128"/>
    </row>
    <row r="684" ht="22.5" customHeight="1">
      <c r="A684" s="1128"/>
      <c r="B684" s="1128"/>
      <c r="C684" s="1128"/>
      <c r="D684" s="1128"/>
      <c r="E684" s="1128"/>
      <c r="F684" s="1128"/>
      <c r="G684" s="1128"/>
      <c r="H684" s="1128"/>
      <c r="I684" s="1128"/>
      <c r="J684" s="1128"/>
      <c r="K684" s="1128"/>
      <c r="L684" s="1128"/>
      <c r="M684" s="1128"/>
      <c r="N684" s="1128"/>
      <c r="O684" s="1128"/>
      <c r="P684" s="1128"/>
      <c r="Q684" s="1128"/>
      <c r="R684" s="1128"/>
      <c r="S684" s="1128"/>
      <c r="T684" s="1128"/>
      <c r="U684" s="1128"/>
      <c r="V684" s="1128"/>
      <c r="W684" s="1128"/>
      <c r="X684" s="1128"/>
      <c r="Y684" s="1128"/>
      <c r="Z684" s="1128"/>
    </row>
    <row r="685" ht="22.5" customHeight="1">
      <c r="A685" s="1128"/>
      <c r="B685" s="1128"/>
      <c r="C685" s="1128"/>
      <c r="D685" s="1128"/>
      <c r="E685" s="1128"/>
      <c r="F685" s="1128"/>
      <c r="G685" s="1128"/>
      <c r="H685" s="1128"/>
      <c r="I685" s="1128"/>
      <c r="J685" s="1128"/>
      <c r="K685" s="1128"/>
      <c r="L685" s="1128"/>
      <c r="M685" s="1128"/>
      <c r="N685" s="1128"/>
      <c r="O685" s="1128"/>
      <c r="P685" s="1128"/>
      <c r="Q685" s="1128"/>
      <c r="R685" s="1128"/>
      <c r="S685" s="1128"/>
      <c r="T685" s="1128"/>
      <c r="U685" s="1128"/>
      <c r="V685" s="1128"/>
      <c r="W685" s="1128"/>
      <c r="X685" s="1128"/>
      <c r="Y685" s="1128"/>
      <c r="Z685" s="1128"/>
    </row>
    <row r="686" ht="22.5" customHeight="1">
      <c r="A686" s="1128"/>
      <c r="B686" s="1128"/>
      <c r="C686" s="1128"/>
      <c r="D686" s="1128"/>
      <c r="E686" s="1128"/>
      <c r="F686" s="1128"/>
      <c r="G686" s="1128"/>
      <c r="H686" s="1128"/>
      <c r="I686" s="1128"/>
      <c r="J686" s="1128"/>
      <c r="K686" s="1128"/>
      <c r="L686" s="1128"/>
      <c r="M686" s="1128"/>
      <c r="N686" s="1128"/>
      <c r="O686" s="1128"/>
      <c r="P686" s="1128"/>
      <c r="Q686" s="1128"/>
      <c r="R686" s="1128"/>
      <c r="S686" s="1128"/>
      <c r="T686" s="1128"/>
      <c r="U686" s="1128"/>
      <c r="V686" s="1128"/>
      <c r="W686" s="1128"/>
      <c r="X686" s="1128"/>
      <c r="Y686" s="1128"/>
      <c r="Z686" s="1128"/>
    </row>
    <row r="687" ht="22.5" customHeight="1">
      <c r="A687" s="1128"/>
      <c r="B687" s="1128"/>
      <c r="C687" s="1128"/>
      <c r="D687" s="1128"/>
      <c r="E687" s="1128"/>
      <c r="F687" s="1128"/>
      <c r="G687" s="1128"/>
      <c r="H687" s="1128"/>
      <c r="I687" s="1128"/>
      <c r="J687" s="1128"/>
      <c r="K687" s="1128"/>
      <c r="L687" s="1128"/>
      <c r="M687" s="1128"/>
      <c r="N687" s="1128"/>
      <c r="O687" s="1128"/>
      <c r="P687" s="1128"/>
      <c r="Q687" s="1128"/>
      <c r="R687" s="1128"/>
      <c r="S687" s="1128"/>
      <c r="T687" s="1128"/>
      <c r="U687" s="1128"/>
      <c r="V687" s="1128"/>
      <c r="W687" s="1128"/>
      <c r="X687" s="1128"/>
      <c r="Y687" s="1128"/>
      <c r="Z687" s="1128"/>
    </row>
    <row r="688" ht="22.5" customHeight="1">
      <c r="A688" s="1128"/>
      <c r="B688" s="1128"/>
      <c r="C688" s="1128"/>
      <c r="D688" s="1128"/>
      <c r="E688" s="1128"/>
      <c r="F688" s="1128"/>
      <c r="G688" s="1128"/>
      <c r="H688" s="1128"/>
      <c r="I688" s="1128"/>
      <c r="J688" s="1128"/>
      <c r="K688" s="1128"/>
      <c r="L688" s="1128"/>
      <c r="M688" s="1128"/>
      <c r="N688" s="1128"/>
      <c r="O688" s="1128"/>
      <c r="P688" s="1128"/>
      <c r="Q688" s="1128"/>
      <c r="R688" s="1128"/>
      <c r="S688" s="1128"/>
      <c r="T688" s="1128"/>
      <c r="U688" s="1128"/>
      <c r="V688" s="1128"/>
      <c r="W688" s="1128"/>
      <c r="X688" s="1128"/>
      <c r="Y688" s="1128"/>
      <c r="Z688" s="1128"/>
    </row>
    <row r="689" ht="22.5" customHeight="1">
      <c r="A689" s="1128"/>
      <c r="B689" s="1128"/>
      <c r="C689" s="1128"/>
      <c r="D689" s="1128"/>
      <c r="E689" s="1128"/>
      <c r="F689" s="1128"/>
      <c r="G689" s="1128"/>
      <c r="H689" s="1128"/>
      <c r="I689" s="1128"/>
      <c r="J689" s="1128"/>
      <c r="K689" s="1128"/>
      <c r="L689" s="1128"/>
      <c r="M689" s="1128"/>
      <c r="N689" s="1128"/>
      <c r="O689" s="1128"/>
      <c r="P689" s="1128"/>
      <c r="Q689" s="1128"/>
      <c r="R689" s="1128"/>
      <c r="S689" s="1128"/>
      <c r="T689" s="1128"/>
      <c r="U689" s="1128"/>
      <c r="V689" s="1128"/>
      <c r="W689" s="1128"/>
      <c r="X689" s="1128"/>
      <c r="Y689" s="1128"/>
      <c r="Z689" s="1128"/>
    </row>
    <row r="690" ht="22.5" customHeight="1">
      <c r="A690" s="1128"/>
      <c r="B690" s="1128"/>
      <c r="C690" s="1128"/>
      <c r="D690" s="1128"/>
      <c r="E690" s="1128"/>
      <c r="F690" s="1128"/>
      <c r="G690" s="1128"/>
      <c r="H690" s="1128"/>
      <c r="I690" s="1128"/>
      <c r="J690" s="1128"/>
      <c r="K690" s="1128"/>
      <c r="L690" s="1128"/>
      <c r="M690" s="1128"/>
      <c r="N690" s="1128"/>
      <c r="O690" s="1128"/>
      <c r="P690" s="1128"/>
      <c r="Q690" s="1128"/>
      <c r="R690" s="1128"/>
      <c r="S690" s="1128"/>
      <c r="T690" s="1128"/>
      <c r="U690" s="1128"/>
      <c r="V690" s="1128"/>
      <c r="W690" s="1128"/>
      <c r="X690" s="1128"/>
      <c r="Y690" s="1128"/>
      <c r="Z690" s="1128"/>
    </row>
    <row r="691" ht="22.5" customHeight="1">
      <c r="A691" s="1128"/>
      <c r="B691" s="1128"/>
      <c r="C691" s="1128"/>
      <c r="D691" s="1128"/>
      <c r="E691" s="1128"/>
      <c r="F691" s="1128"/>
      <c r="G691" s="1128"/>
      <c r="H691" s="1128"/>
      <c r="I691" s="1128"/>
      <c r="J691" s="1128"/>
      <c r="K691" s="1128"/>
      <c r="L691" s="1128"/>
      <c r="M691" s="1128"/>
      <c r="N691" s="1128"/>
      <c r="O691" s="1128"/>
      <c r="P691" s="1128"/>
      <c r="Q691" s="1128"/>
      <c r="R691" s="1128"/>
      <c r="S691" s="1128"/>
      <c r="T691" s="1128"/>
      <c r="U691" s="1128"/>
      <c r="V691" s="1128"/>
      <c r="W691" s="1128"/>
      <c r="X691" s="1128"/>
      <c r="Y691" s="1128"/>
      <c r="Z691" s="1128"/>
    </row>
    <row r="692" ht="22.5" customHeight="1">
      <c r="A692" s="1128"/>
      <c r="B692" s="1128"/>
      <c r="C692" s="1128"/>
      <c r="D692" s="1128"/>
      <c r="E692" s="1128"/>
      <c r="F692" s="1128"/>
      <c r="G692" s="1128"/>
      <c r="H692" s="1128"/>
      <c r="I692" s="1128"/>
      <c r="J692" s="1128"/>
      <c r="K692" s="1128"/>
      <c r="L692" s="1128"/>
      <c r="M692" s="1128"/>
      <c r="N692" s="1128"/>
      <c r="O692" s="1128"/>
      <c r="P692" s="1128"/>
      <c r="Q692" s="1128"/>
      <c r="R692" s="1128"/>
      <c r="S692" s="1128"/>
      <c r="T692" s="1128"/>
      <c r="U692" s="1128"/>
      <c r="V692" s="1128"/>
      <c r="W692" s="1128"/>
      <c r="X692" s="1128"/>
      <c r="Y692" s="1128"/>
      <c r="Z692" s="1128"/>
    </row>
    <row r="693" ht="22.5" customHeight="1">
      <c r="A693" s="1128"/>
      <c r="B693" s="1128"/>
      <c r="C693" s="1128"/>
      <c r="D693" s="1128"/>
      <c r="E693" s="1128"/>
      <c r="F693" s="1128"/>
      <c r="G693" s="1128"/>
      <c r="H693" s="1128"/>
      <c r="I693" s="1128"/>
      <c r="J693" s="1128"/>
      <c r="K693" s="1128"/>
      <c r="L693" s="1128"/>
      <c r="M693" s="1128"/>
      <c r="N693" s="1128"/>
      <c r="O693" s="1128"/>
      <c r="P693" s="1128"/>
      <c r="Q693" s="1128"/>
      <c r="R693" s="1128"/>
      <c r="S693" s="1128"/>
      <c r="T693" s="1128"/>
      <c r="U693" s="1128"/>
      <c r="V693" s="1128"/>
      <c r="W693" s="1128"/>
      <c r="X693" s="1128"/>
      <c r="Y693" s="1128"/>
      <c r="Z693" s="1128"/>
    </row>
    <row r="694" ht="22.5" customHeight="1">
      <c r="A694" s="1128"/>
      <c r="B694" s="1128"/>
      <c r="C694" s="1128"/>
      <c r="D694" s="1128"/>
      <c r="E694" s="1128"/>
      <c r="F694" s="1128"/>
      <c r="G694" s="1128"/>
      <c r="H694" s="1128"/>
      <c r="I694" s="1128"/>
      <c r="J694" s="1128"/>
      <c r="K694" s="1128"/>
      <c r="L694" s="1128"/>
      <c r="M694" s="1128"/>
      <c r="N694" s="1128"/>
      <c r="O694" s="1128"/>
      <c r="P694" s="1128"/>
      <c r="Q694" s="1128"/>
      <c r="R694" s="1128"/>
      <c r="S694" s="1128"/>
      <c r="T694" s="1128"/>
      <c r="U694" s="1128"/>
      <c r="V694" s="1128"/>
      <c r="W694" s="1128"/>
      <c r="X694" s="1128"/>
      <c r="Y694" s="1128"/>
      <c r="Z694" s="1128"/>
    </row>
    <row r="695" ht="22.5" customHeight="1">
      <c r="A695" s="1128"/>
      <c r="B695" s="1128"/>
      <c r="C695" s="1128"/>
      <c r="D695" s="1128"/>
      <c r="E695" s="1128"/>
      <c r="F695" s="1128"/>
      <c r="G695" s="1128"/>
      <c r="H695" s="1128"/>
      <c r="I695" s="1128"/>
      <c r="J695" s="1128"/>
      <c r="K695" s="1128"/>
      <c r="L695" s="1128"/>
      <c r="M695" s="1128"/>
      <c r="N695" s="1128"/>
      <c r="O695" s="1128"/>
      <c r="P695" s="1128"/>
      <c r="Q695" s="1128"/>
      <c r="R695" s="1128"/>
      <c r="S695" s="1128"/>
      <c r="T695" s="1128"/>
      <c r="U695" s="1128"/>
      <c r="V695" s="1128"/>
      <c r="W695" s="1128"/>
      <c r="X695" s="1128"/>
      <c r="Y695" s="1128"/>
      <c r="Z695" s="1128"/>
    </row>
    <row r="696" ht="22.5" customHeight="1">
      <c r="A696" s="1128"/>
      <c r="B696" s="1128"/>
      <c r="C696" s="1128"/>
      <c r="D696" s="1128"/>
      <c r="E696" s="1128"/>
      <c r="F696" s="1128"/>
      <c r="G696" s="1128"/>
      <c r="H696" s="1128"/>
      <c r="I696" s="1128"/>
      <c r="J696" s="1128"/>
      <c r="K696" s="1128"/>
      <c r="L696" s="1128"/>
      <c r="M696" s="1128"/>
      <c r="N696" s="1128"/>
      <c r="O696" s="1128"/>
      <c r="P696" s="1128"/>
      <c r="Q696" s="1128"/>
      <c r="R696" s="1128"/>
      <c r="S696" s="1128"/>
      <c r="T696" s="1128"/>
      <c r="U696" s="1128"/>
      <c r="V696" s="1128"/>
      <c r="W696" s="1128"/>
      <c r="X696" s="1128"/>
      <c r="Y696" s="1128"/>
      <c r="Z696" s="1128"/>
    </row>
    <row r="697" ht="22.5" customHeight="1">
      <c r="A697" s="1128"/>
      <c r="B697" s="1128"/>
      <c r="C697" s="1128"/>
      <c r="D697" s="1128"/>
      <c r="E697" s="1128"/>
      <c r="F697" s="1128"/>
      <c r="G697" s="1128"/>
      <c r="H697" s="1128"/>
      <c r="I697" s="1128"/>
      <c r="J697" s="1128"/>
      <c r="K697" s="1128"/>
      <c r="L697" s="1128"/>
      <c r="M697" s="1128"/>
      <c r="N697" s="1128"/>
      <c r="O697" s="1128"/>
      <c r="P697" s="1128"/>
      <c r="Q697" s="1128"/>
      <c r="R697" s="1128"/>
      <c r="S697" s="1128"/>
      <c r="T697" s="1128"/>
      <c r="U697" s="1128"/>
      <c r="V697" s="1128"/>
      <c r="W697" s="1128"/>
      <c r="X697" s="1128"/>
      <c r="Y697" s="1128"/>
      <c r="Z697" s="1128"/>
    </row>
    <row r="698" ht="22.5" customHeight="1">
      <c r="A698" s="1128"/>
      <c r="B698" s="1128"/>
      <c r="C698" s="1128"/>
      <c r="D698" s="1128"/>
      <c r="E698" s="1128"/>
      <c r="F698" s="1128"/>
      <c r="G698" s="1128"/>
      <c r="H698" s="1128"/>
      <c r="I698" s="1128"/>
      <c r="J698" s="1128"/>
      <c r="K698" s="1128"/>
      <c r="L698" s="1128"/>
      <c r="M698" s="1128"/>
      <c r="N698" s="1128"/>
      <c r="O698" s="1128"/>
      <c r="P698" s="1128"/>
      <c r="Q698" s="1128"/>
      <c r="R698" s="1128"/>
      <c r="S698" s="1128"/>
      <c r="T698" s="1128"/>
      <c r="U698" s="1128"/>
      <c r="V698" s="1128"/>
      <c r="W698" s="1128"/>
      <c r="X698" s="1128"/>
      <c r="Y698" s="1128"/>
      <c r="Z698" s="1128"/>
    </row>
    <row r="699" ht="22.5" customHeight="1">
      <c r="A699" s="1128"/>
      <c r="B699" s="1128"/>
      <c r="C699" s="1128"/>
      <c r="D699" s="1128"/>
      <c r="E699" s="1128"/>
      <c r="F699" s="1128"/>
      <c r="G699" s="1128"/>
      <c r="H699" s="1128"/>
      <c r="I699" s="1128"/>
      <c r="J699" s="1128"/>
      <c r="K699" s="1128"/>
      <c r="L699" s="1128"/>
      <c r="M699" s="1128"/>
      <c r="N699" s="1128"/>
      <c r="O699" s="1128"/>
      <c r="P699" s="1128"/>
      <c r="Q699" s="1128"/>
      <c r="R699" s="1128"/>
      <c r="S699" s="1128"/>
      <c r="T699" s="1128"/>
      <c r="U699" s="1128"/>
      <c r="V699" s="1128"/>
      <c r="W699" s="1128"/>
      <c r="X699" s="1128"/>
      <c r="Y699" s="1128"/>
      <c r="Z699" s="1128"/>
    </row>
    <row r="700" ht="22.5" customHeight="1">
      <c r="A700" s="1128"/>
      <c r="B700" s="1128"/>
      <c r="C700" s="1128"/>
      <c r="D700" s="1128"/>
      <c r="E700" s="1128"/>
      <c r="F700" s="1128"/>
      <c r="G700" s="1128"/>
      <c r="H700" s="1128"/>
      <c r="I700" s="1128"/>
      <c r="J700" s="1128"/>
      <c r="K700" s="1128"/>
      <c r="L700" s="1128"/>
      <c r="M700" s="1128"/>
      <c r="N700" s="1128"/>
      <c r="O700" s="1128"/>
      <c r="P700" s="1128"/>
      <c r="Q700" s="1128"/>
      <c r="R700" s="1128"/>
      <c r="S700" s="1128"/>
      <c r="T700" s="1128"/>
      <c r="U700" s="1128"/>
      <c r="V700" s="1128"/>
      <c r="W700" s="1128"/>
      <c r="X700" s="1128"/>
      <c r="Y700" s="1128"/>
      <c r="Z700" s="1128"/>
    </row>
    <row r="701" ht="22.5" customHeight="1">
      <c r="A701" s="1128"/>
      <c r="B701" s="1128"/>
      <c r="C701" s="1128"/>
      <c r="D701" s="1128"/>
      <c r="E701" s="1128"/>
      <c r="F701" s="1128"/>
      <c r="G701" s="1128"/>
      <c r="H701" s="1128"/>
      <c r="I701" s="1128"/>
      <c r="J701" s="1128"/>
      <c r="K701" s="1128"/>
      <c r="L701" s="1128"/>
      <c r="M701" s="1128"/>
      <c r="N701" s="1128"/>
      <c r="O701" s="1128"/>
      <c r="P701" s="1128"/>
      <c r="Q701" s="1128"/>
      <c r="R701" s="1128"/>
      <c r="S701" s="1128"/>
      <c r="T701" s="1128"/>
      <c r="U701" s="1128"/>
      <c r="V701" s="1128"/>
      <c r="W701" s="1128"/>
      <c r="X701" s="1128"/>
      <c r="Y701" s="1128"/>
      <c r="Z701" s="1128"/>
    </row>
    <row r="702" ht="22.5" customHeight="1">
      <c r="A702" s="1128"/>
      <c r="B702" s="1128"/>
      <c r="C702" s="1128"/>
      <c r="D702" s="1128"/>
      <c r="E702" s="1128"/>
      <c r="F702" s="1128"/>
      <c r="G702" s="1128"/>
      <c r="H702" s="1128"/>
      <c r="I702" s="1128"/>
      <c r="J702" s="1128"/>
      <c r="K702" s="1128"/>
      <c r="L702" s="1128"/>
      <c r="M702" s="1128"/>
      <c r="N702" s="1128"/>
      <c r="O702" s="1128"/>
      <c r="P702" s="1128"/>
      <c r="Q702" s="1128"/>
      <c r="R702" s="1128"/>
      <c r="S702" s="1128"/>
      <c r="T702" s="1128"/>
      <c r="U702" s="1128"/>
      <c r="V702" s="1128"/>
      <c r="W702" s="1128"/>
      <c r="X702" s="1128"/>
      <c r="Y702" s="1128"/>
      <c r="Z702" s="1128"/>
    </row>
    <row r="703" ht="22.5" customHeight="1">
      <c r="A703" s="1128"/>
      <c r="B703" s="1128"/>
      <c r="C703" s="1128"/>
      <c r="D703" s="1128"/>
      <c r="E703" s="1128"/>
      <c r="F703" s="1128"/>
      <c r="G703" s="1128"/>
      <c r="H703" s="1128"/>
      <c r="I703" s="1128"/>
      <c r="J703" s="1128"/>
      <c r="K703" s="1128"/>
      <c r="L703" s="1128"/>
      <c r="M703" s="1128"/>
      <c r="N703" s="1128"/>
      <c r="O703" s="1128"/>
      <c r="P703" s="1128"/>
      <c r="Q703" s="1128"/>
      <c r="R703" s="1128"/>
      <c r="S703" s="1128"/>
      <c r="T703" s="1128"/>
      <c r="U703" s="1128"/>
      <c r="V703" s="1128"/>
      <c r="W703" s="1128"/>
      <c r="X703" s="1128"/>
      <c r="Y703" s="1128"/>
      <c r="Z703" s="1128"/>
    </row>
    <row r="704" ht="22.5" customHeight="1">
      <c r="A704" s="1128"/>
      <c r="B704" s="1128"/>
      <c r="C704" s="1128"/>
      <c r="D704" s="1128"/>
      <c r="E704" s="1128"/>
      <c r="F704" s="1128"/>
      <c r="G704" s="1128"/>
      <c r="H704" s="1128"/>
      <c r="I704" s="1128"/>
      <c r="J704" s="1128"/>
      <c r="K704" s="1128"/>
      <c r="L704" s="1128"/>
      <c r="M704" s="1128"/>
      <c r="N704" s="1128"/>
      <c r="O704" s="1128"/>
      <c r="P704" s="1128"/>
      <c r="Q704" s="1128"/>
      <c r="R704" s="1128"/>
      <c r="S704" s="1128"/>
      <c r="T704" s="1128"/>
      <c r="U704" s="1128"/>
      <c r="V704" s="1128"/>
      <c r="W704" s="1128"/>
      <c r="X704" s="1128"/>
      <c r="Y704" s="1128"/>
      <c r="Z704" s="1128"/>
    </row>
    <row r="705" ht="22.5" customHeight="1">
      <c r="A705" s="1128"/>
      <c r="B705" s="1128"/>
      <c r="C705" s="1128"/>
      <c r="D705" s="1128"/>
      <c r="E705" s="1128"/>
      <c r="F705" s="1128"/>
      <c r="G705" s="1128"/>
      <c r="H705" s="1128"/>
      <c r="I705" s="1128"/>
      <c r="J705" s="1128"/>
      <c r="K705" s="1128"/>
      <c r="L705" s="1128"/>
      <c r="M705" s="1128"/>
      <c r="N705" s="1128"/>
      <c r="O705" s="1128"/>
      <c r="P705" s="1128"/>
      <c r="Q705" s="1128"/>
      <c r="R705" s="1128"/>
      <c r="S705" s="1128"/>
      <c r="T705" s="1128"/>
      <c r="U705" s="1128"/>
      <c r="V705" s="1128"/>
      <c r="W705" s="1128"/>
      <c r="X705" s="1128"/>
      <c r="Y705" s="1128"/>
      <c r="Z705" s="1128"/>
    </row>
    <row r="706" ht="22.5" customHeight="1">
      <c r="A706" s="1128"/>
      <c r="B706" s="1128"/>
      <c r="C706" s="1128"/>
      <c r="D706" s="1128"/>
      <c r="E706" s="1128"/>
      <c r="F706" s="1128"/>
      <c r="G706" s="1128"/>
      <c r="H706" s="1128"/>
      <c r="I706" s="1128"/>
      <c r="J706" s="1128"/>
      <c r="K706" s="1128"/>
      <c r="L706" s="1128"/>
      <c r="M706" s="1128"/>
      <c r="N706" s="1128"/>
      <c r="O706" s="1128"/>
      <c r="P706" s="1128"/>
      <c r="Q706" s="1128"/>
      <c r="R706" s="1128"/>
      <c r="S706" s="1128"/>
      <c r="T706" s="1128"/>
      <c r="U706" s="1128"/>
      <c r="V706" s="1128"/>
      <c r="W706" s="1128"/>
      <c r="X706" s="1128"/>
      <c r="Y706" s="1128"/>
      <c r="Z706" s="1128"/>
    </row>
    <row r="707" ht="22.5" customHeight="1">
      <c r="A707" s="1128"/>
      <c r="B707" s="1128"/>
      <c r="C707" s="1128"/>
      <c r="D707" s="1128"/>
      <c r="E707" s="1128"/>
      <c r="F707" s="1128"/>
      <c r="G707" s="1128"/>
      <c r="H707" s="1128"/>
      <c r="I707" s="1128"/>
      <c r="J707" s="1128"/>
      <c r="K707" s="1128"/>
      <c r="L707" s="1128"/>
      <c r="M707" s="1128"/>
      <c r="N707" s="1128"/>
      <c r="O707" s="1128"/>
      <c r="P707" s="1128"/>
      <c r="Q707" s="1128"/>
      <c r="R707" s="1128"/>
      <c r="S707" s="1128"/>
      <c r="T707" s="1128"/>
      <c r="U707" s="1128"/>
      <c r="V707" s="1128"/>
      <c r="W707" s="1128"/>
      <c r="X707" s="1128"/>
      <c r="Y707" s="1128"/>
      <c r="Z707" s="1128"/>
    </row>
    <row r="708" ht="22.5" customHeight="1">
      <c r="A708" s="1128"/>
      <c r="B708" s="1128"/>
      <c r="C708" s="1128"/>
      <c r="D708" s="1128"/>
      <c r="E708" s="1128"/>
      <c r="F708" s="1128"/>
      <c r="G708" s="1128"/>
      <c r="H708" s="1128"/>
      <c r="I708" s="1128"/>
      <c r="J708" s="1128"/>
      <c r="K708" s="1128"/>
      <c r="L708" s="1128"/>
      <c r="M708" s="1128"/>
      <c r="N708" s="1128"/>
      <c r="O708" s="1128"/>
      <c r="P708" s="1128"/>
      <c r="Q708" s="1128"/>
      <c r="R708" s="1128"/>
      <c r="S708" s="1128"/>
      <c r="T708" s="1128"/>
      <c r="U708" s="1128"/>
      <c r="V708" s="1128"/>
      <c r="W708" s="1128"/>
      <c r="X708" s="1128"/>
      <c r="Y708" s="1128"/>
      <c r="Z708" s="1128"/>
    </row>
    <row r="709" ht="22.5" customHeight="1">
      <c r="A709" s="1128"/>
      <c r="B709" s="1128"/>
      <c r="C709" s="1128"/>
      <c r="D709" s="1128"/>
      <c r="E709" s="1128"/>
      <c r="F709" s="1128"/>
      <c r="G709" s="1128"/>
      <c r="H709" s="1128"/>
      <c r="I709" s="1128"/>
      <c r="J709" s="1128"/>
      <c r="K709" s="1128"/>
      <c r="L709" s="1128"/>
      <c r="M709" s="1128"/>
      <c r="N709" s="1128"/>
      <c r="O709" s="1128"/>
      <c r="P709" s="1128"/>
      <c r="Q709" s="1128"/>
      <c r="R709" s="1128"/>
      <c r="S709" s="1128"/>
      <c r="T709" s="1128"/>
      <c r="U709" s="1128"/>
      <c r="V709" s="1128"/>
      <c r="W709" s="1128"/>
      <c r="X709" s="1128"/>
      <c r="Y709" s="1128"/>
      <c r="Z709" s="1128"/>
    </row>
    <row r="710" ht="22.5" customHeight="1">
      <c r="A710" s="1128"/>
      <c r="B710" s="1128"/>
      <c r="C710" s="1128"/>
      <c r="D710" s="1128"/>
      <c r="E710" s="1128"/>
      <c r="F710" s="1128"/>
      <c r="G710" s="1128"/>
      <c r="H710" s="1128"/>
      <c r="I710" s="1128"/>
      <c r="J710" s="1128"/>
      <c r="K710" s="1128"/>
      <c r="L710" s="1128"/>
      <c r="M710" s="1128"/>
      <c r="N710" s="1128"/>
      <c r="O710" s="1128"/>
      <c r="P710" s="1128"/>
      <c r="Q710" s="1128"/>
      <c r="R710" s="1128"/>
      <c r="S710" s="1128"/>
      <c r="T710" s="1128"/>
      <c r="U710" s="1128"/>
      <c r="V710" s="1128"/>
      <c r="W710" s="1128"/>
      <c r="X710" s="1128"/>
      <c r="Y710" s="1128"/>
      <c r="Z710" s="1128"/>
    </row>
    <row r="711" ht="22.5" customHeight="1">
      <c r="A711" s="1128"/>
      <c r="B711" s="1128"/>
      <c r="C711" s="1128"/>
      <c r="D711" s="1128"/>
      <c r="E711" s="1128"/>
      <c r="F711" s="1128"/>
      <c r="G711" s="1128"/>
      <c r="H711" s="1128"/>
      <c r="I711" s="1128"/>
      <c r="J711" s="1128"/>
      <c r="K711" s="1128"/>
      <c r="L711" s="1128"/>
      <c r="M711" s="1128"/>
      <c r="N711" s="1128"/>
      <c r="O711" s="1128"/>
      <c r="P711" s="1128"/>
      <c r="Q711" s="1128"/>
      <c r="R711" s="1128"/>
      <c r="S711" s="1128"/>
      <c r="T711" s="1128"/>
      <c r="U711" s="1128"/>
      <c r="V711" s="1128"/>
      <c r="W711" s="1128"/>
      <c r="X711" s="1128"/>
      <c r="Y711" s="1128"/>
      <c r="Z711" s="1128"/>
    </row>
    <row r="712" ht="22.5" customHeight="1">
      <c r="A712" s="1128"/>
      <c r="B712" s="1128"/>
      <c r="C712" s="1128"/>
      <c r="D712" s="1128"/>
      <c r="E712" s="1128"/>
      <c r="F712" s="1128"/>
      <c r="G712" s="1128"/>
      <c r="H712" s="1128"/>
      <c r="I712" s="1128"/>
      <c r="J712" s="1128"/>
      <c r="K712" s="1128"/>
      <c r="L712" s="1128"/>
      <c r="M712" s="1128"/>
      <c r="N712" s="1128"/>
      <c r="O712" s="1128"/>
      <c r="P712" s="1128"/>
      <c r="Q712" s="1128"/>
      <c r="R712" s="1128"/>
      <c r="S712" s="1128"/>
      <c r="T712" s="1128"/>
      <c r="U712" s="1128"/>
      <c r="V712" s="1128"/>
      <c r="W712" s="1128"/>
      <c r="X712" s="1128"/>
      <c r="Y712" s="1128"/>
      <c r="Z712" s="1128"/>
    </row>
    <row r="713" ht="22.5" customHeight="1">
      <c r="A713" s="1128"/>
      <c r="B713" s="1128"/>
      <c r="C713" s="1128"/>
      <c r="D713" s="1128"/>
      <c r="E713" s="1128"/>
      <c r="F713" s="1128"/>
      <c r="G713" s="1128"/>
      <c r="H713" s="1128"/>
      <c r="I713" s="1128"/>
      <c r="J713" s="1128"/>
      <c r="K713" s="1128"/>
      <c r="L713" s="1128"/>
      <c r="M713" s="1128"/>
      <c r="N713" s="1128"/>
      <c r="O713" s="1128"/>
      <c r="P713" s="1128"/>
      <c r="Q713" s="1128"/>
      <c r="R713" s="1128"/>
      <c r="S713" s="1128"/>
      <c r="T713" s="1128"/>
      <c r="U713" s="1128"/>
      <c r="V713" s="1128"/>
      <c r="W713" s="1128"/>
      <c r="X713" s="1128"/>
      <c r="Y713" s="1128"/>
      <c r="Z713" s="1128"/>
    </row>
    <row r="714" ht="22.5" customHeight="1">
      <c r="A714" s="1128"/>
      <c r="B714" s="1128"/>
      <c r="C714" s="1128"/>
      <c r="D714" s="1128"/>
      <c r="E714" s="1128"/>
      <c r="F714" s="1128"/>
      <c r="G714" s="1128"/>
      <c r="H714" s="1128"/>
      <c r="I714" s="1128"/>
      <c r="J714" s="1128"/>
      <c r="K714" s="1128"/>
      <c r="L714" s="1128"/>
      <c r="M714" s="1128"/>
      <c r="N714" s="1128"/>
      <c r="O714" s="1128"/>
      <c r="P714" s="1128"/>
      <c r="Q714" s="1128"/>
      <c r="R714" s="1128"/>
      <c r="S714" s="1128"/>
      <c r="T714" s="1128"/>
      <c r="U714" s="1128"/>
      <c r="V714" s="1128"/>
      <c r="W714" s="1128"/>
      <c r="X714" s="1128"/>
      <c r="Y714" s="1128"/>
      <c r="Z714" s="1128"/>
    </row>
    <row r="715" ht="22.5" customHeight="1">
      <c r="A715" s="1128"/>
      <c r="B715" s="1128"/>
      <c r="C715" s="1128"/>
      <c r="D715" s="1128"/>
      <c r="E715" s="1128"/>
      <c r="F715" s="1128"/>
      <c r="G715" s="1128"/>
      <c r="H715" s="1128"/>
      <c r="I715" s="1128"/>
      <c r="J715" s="1128"/>
      <c r="K715" s="1128"/>
      <c r="L715" s="1128"/>
      <c r="M715" s="1128"/>
      <c r="N715" s="1128"/>
      <c r="O715" s="1128"/>
      <c r="P715" s="1128"/>
      <c r="Q715" s="1128"/>
      <c r="R715" s="1128"/>
      <c r="S715" s="1128"/>
      <c r="T715" s="1128"/>
      <c r="U715" s="1128"/>
      <c r="V715" s="1128"/>
      <c r="W715" s="1128"/>
      <c r="X715" s="1128"/>
      <c r="Y715" s="1128"/>
      <c r="Z715" s="1128"/>
    </row>
    <row r="716" ht="22.5" customHeight="1">
      <c r="A716" s="1128"/>
      <c r="B716" s="1128"/>
      <c r="C716" s="1128"/>
      <c r="D716" s="1128"/>
      <c r="E716" s="1128"/>
      <c r="F716" s="1128"/>
      <c r="G716" s="1128"/>
      <c r="H716" s="1128"/>
      <c r="I716" s="1128"/>
      <c r="J716" s="1128"/>
      <c r="K716" s="1128"/>
      <c r="L716" s="1128"/>
      <c r="M716" s="1128"/>
      <c r="N716" s="1128"/>
      <c r="O716" s="1128"/>
      <c r="P716" s="1128"/>
      <c r="Q716" s="1128"/>
      <c r="R716" s="1128"/>
      <c r="S716" s="1128"/>
      <c r="T716" s="1128"/>
      <c r="U716" s="1128"/>
      <c r="V716" s="1128"/>
      <c r="W716" s="1128"/>
      <c r="X716" s="1128"/>
      <c r="Y716" s="1128"/>
      <c r="Z716" s="1128"/>
    </row>
    <row r="717" ht="22.5" customHeight="1">
      <c r="A717" s="1128"/>
      <c r="B717" s="1128"/>
      <c r="C717" s="1128"/>
      <c r="D717" s="1128"/>
      <c r="E717" s="1128"/>
      <c r="F717" s="1128"/>
      <c r="G717" s="1128"/>
      <c r="H717" s="1128"/>
      <c r="I717" s="1128"/>
      <c r="J717" s="1128"/>
      <c r="K717" s="1128"/>
      <c r="L717" s="1128"/>
      <c r="M717" s="1128"/>
      <c r="N717" s="1128"/>
      <c r="O717" s="1128"/>
      <c r="P717" s="1128"/>
      <c r="Q717" s="1128"/>
      <c r="R717" s="1128"/>
      <c r="S717" s="1128"/>
      <c r="T717" s="1128"/>
      <c r="U717" s="1128"/>
      <c r="V717" s="1128"/>
      <c r="W717" s="1128"/>
      <c r="X717" s="1128"/>
      <c r="Y717" s="1128"/>
      <c r="Z717" s="1128"/>
    </row>
    <row r="718" ht="22.5" customHeight="1">
      <c r="A718" s="1128"/>
      <c r="B718" s="1128"/>
      <c r="C718" s="1128"/>
      <c r="D718" s="1128"/>
      <c r="E718" s="1128"/>
      <c r="F718" s="1128"/>
      <c r="G718" s="1128"/>
      <c r="H718" s="1128"/>
      <c r="I718" s="1128"/>
      <c r="J718" s="1128"/>
      <c r="K718" s="1128"/>
      <c r="L718" s="1128"/>
      <c r="M718" s="1128"/>
      <c r="N718" s="1128"/>
      <c r="O718" s="1128"/>
      <c r="P718" s="1128"/>
      <c r="Q718" s="1128"/>
      <c r="R718" s="1128"/>
      <c r="S718" s="1128"/>
      <c r="T718" s="1128"/>
      <c r="U718" s="1128"/>
      <c r="V718" s="1128"/>
      <c r="W718" s="1128"/>
      <c r="X718" s="1128"/>
      <c r="Y718" s="1128"/>
      <c r="Z718" s="1128"/>
    </row>
    <row r="719" ht="22.5" customHeight="1">
      <c r="A719" s="1128"/>
      <c r="B719" s="1128"/>
      <c r="C719" s="1128"/>
      <c r="D719" s="1128"/>
      <c r="E719" s="1128"/>
      <c r="F719" s="1128"/>
      <c r="G719" s="1128"/>
      <c r="H719" s="1128"/>
      <c r="I719" s="1128"/>
      <c r="J719" s="1128"/>
      <c r="K719" s="1128"/>
      <c r="L719" s="1128"/>
      <c r="M719" s="1128"/>
      <c r="N719" s="1128"/>
      <c r="O719" s="1128"/>
      <c r="P719" s="1128"/>
      <c r="Q719" s="1128"/>
      <c r="R719" s="1128"/>
      <c r="S719" s="1128"/>
      <c r="T719" s="1128"/>
      <c r="U719" s="1128"/>
      <c r="V719" s="1128"/>
      <c r="W719" s="1128"/>
      <c r="X719" s="1128"/>
      <c r="Y719" s="1128"/>
      <c r="Z719" s="1128"/>
    </row>
    <row r="720" ht="22.5" customHeight="1">
      <c r="A720" s="1128"/>
      <c r="B720" s="1128"/>
      <c r="C720" s="1128"/>
      <c r="D720" s="1128"/>
      <c r="E720" s="1128"/>
      <c r="F720" s="1128"/>
      <c r="G720" s="1128"/>
      <c r="H720" s="1128"/>
      <c r="I720" s="1128"/>
      <c r="J720" s="1128"/>
      <c r="K720" s="1128"/>
      <c r="L720" s="1128"/>
      <c r="M720" s="1128"/>
      <c r="N720" s="1128"/>
      <c r="O720" s="1128"/>
      <c r="P720" s="1128"/>
      <c r="Q720" s="1128"/>
      <c r="R720" s="1128"/>
      <c r="S720" s="1128"/>
      <c r="T720" s="1128"/>
      <c r="U720" s="1128"/>
      <c r="V720" s="1128"/>
      <c r="W720" s="1128"/>
      <c r="X720" s="1128"/>
      <c r="Y720" s="1128"/>
      <c r="Z720" s="1128"/>
    </row>
    <row r="721" ht="22.5" customHeight="1">
      <c r="A721" s="1128"/>
      <c r="B721" s="1128"/>
      <c r="C721" s="1128"/>
      <c r="D721" s="1128"/>
      <c r="E721" s="1128"/>
      <c r="F721" s="1128"/>
      <c r="G721" s="1128"/>
      <c r="H721" s="1128"/>
      <c r="I721" s="1128"/>
      <c r="J721" s="1128"/>
      <c r="K721" s="1128"/>
      <c r="L721" s="1128"/>
      <c r="M721" s="1128"/>
      <c r="N721" s="1128"/>
      <c r="O721" s="1128"/>
      <c r="P721" s="1128"/>
      <c r="Q721" s="1128"/>
      <c r="R721" s="1128"/>
      <c r="S721" s="1128"/>
      <c r="T721" s="1128"/>
      <c r="U721" s="1128"/>
      <c r="V721" s="1128"/>
      <c r="W721" s="1128"/>
      <c r="X721" s="1128"/>
      <c r="Y721" s="1128"/>
      <c r="Z721" s="1128"/>
    </row>
    <row r="722" ht="22.5" customHeight="1">
      <c r="A722" s="1128"/>
      <c r="B722" s="1128"/>
      <c r="C722" s="1128"/>
      <c r="D722" s="1128"/>
      <c r="E722" s="1128"/>
      <c r="F722" s="1128"/>
      <c r="G722" s="1128"/>
      <c r="H722" s="1128"/>
      <c r="I722" s="1128"/>
      <c r="J722" s="1128"/>
      <c r="K722" s="1128"/>
      <c r="L722" s="1128"/>
      <c r="M722" s="1128"/>
      <c r="N722" s="1128"/>
      <c r="O722" s="1128"/>
      <c r="P722" s="1128"/>
      <c r="Q722" s="1128"/>
      <c r="R722" s="1128"/>
      <c r="S722" s="1128"/>
      <c r="T722" s="1128"/>
      <c r="U722" s="1128"/>
      <c r="V722" s="1128"/>
      <c r="W722" s="1128"/>
      <c r="X722" s="1128"/>
      <c r="Y722" s="1128"/>
      <c r="Z722" s="1128"/>
    </row>
    <row r="723" ht="22.5" customHeight="1">
      <c r="A723" s="1128"/>
      <c r="B723" s="1128"/>
      <c r="C723" s="1128"/>
      <c r="D723" s="1128"/>
      <c r="E723" s="1128"/>
      <c r="F723" s="1128"/>
      <c r="G723" s="1128"/>
      <c r="H723" s="1128"/>
      <c r="I723" s="1128"/>
      <c r="J723" s="1128"/>
      <c r="K723" s="1128"/>
      <c r="L723" s="1128"/>
      <c r="M723" s="1128"/>
      <c r="N723" s="1128"/>
      <c r="O723" s="1128"/>
      <c r="P723" s="1128"/>
      <c r="Q723" s="1128"/>
      <c r="R723" s="1128"/>
      <c r="S723" s="1128"/>
      <c r="T723" s="1128"/>
      <c r="U723" s="1128"/>
      <c r="V723" s="1128"/>
      <c r="W723" s="1128"/>
      <c r="X723" s="1128"/>
      <c r="Y723" s="1128"/>
      <c r="Z723" s="1128"/>
    </row>
    <row r="724" ht="22.5" customHeight="1">
      <c r="A724" s="1128"/>
      <c r="B724" s="1128"/>
      <c r="C724" s="1128"/>
      <c r="D724" s="1128"/>
      <c r="E724" s="1128"/>
      <c r="F724" s="1128"/>
      <c r="G724" s="1128"/>
      <c r="H724" s="1128"/>
      <c r="I724" s="1128"/>
      <c r="J724" s="1128"/>
      <c r="K724" s="1128"/>
      <c r="L724" s="1128"/>
      <c r="M724" s="1128"/>
      <c r="N724" s="1128"/>
      <c r="O724" s="1128"/>
      <c r="P724" s="1128"/>
      <c r="Q724" s="1128"/>
      <c r="R724" s="1128"/>
      <c r="S724" s="1128"/>
      <c r="T724" s="1128"/>
      <c r="U724" s="1128"/>
      <c r="V724" s="1128"/>
      <c r="W724" s="1128"/>
      <c r="X724" s="1128"/>
      <c r="Y724" s="1128"/>
      <c r="Z724" s="1128"/>
    </row>
    <row r="725" ht="22.5" customHeight="1">
      <c r="A725" s="1128"/>
      <c r="B725" s="1128"/>
      <c r="C725" s="1128"/>
      <c r="D725" s="1128"/>
      <c r="E725" s="1128"/>
      <c r="F725" s="1128"/>
      <c r="G725" s="1128"/>
      <c r="H725" s="1128"/>
      <c r="I725" s="1128"/>
      <c r="J725" s="1128"/>
      <c r="K725" s="1128"/>
      <c r="L725" s="1128"/>
      <c r="M725" s="1128"/>
      <c r="N725" s="1128"/>
      <c r="O725" s="1128"/>
      <c r="P725" s="1128"/>
      <c r="Q725" s="1128"/>
      <c r="R725" s="1128"/>
      <c r="S725" s="1128"/>
      <c r="T725" s="1128"/>
      <c r="U725" s="1128"/>
      <c r="V725" s="1128"/>
      <c r="W725" s="1128"/>
      <c r="X725" s="1128"/>
      <c r="Y725" s="1128"/>
      <c r="Z725" s="1128"/>
    </row>
    <row r="726" ht="22.5" customHeight="1">
      <c r="A726" s="1128"/>
      <c r="B726" s="1128"/>
      <c r="C726" s="1128"/>
      <c r="D726" s="1128"/>
      <c r="E726" s="1128"/>
      <c r="F726" s="1128"/>
      <c r="G726" s="1128"/>
      <c r="H726" s="1128"/>
      <c r="I726" s="1128"/>
      <c r="J726" s="1128"/>
      <c r="K726" s="1128"/>
      <c r="L726" s="1128"/>
      <c r="M726" s="1128"/>
      <c r="N726" s="1128"/>
      <c r="O726" s="1128"/>
      <c r="P726" s="1128"/>
      <c r="Q726" s="1128"/>
      <c r="R726" s="1128"/>
      <c r="S726" s="1128"/>
      <c r="T726" s="1128"/>
      <c r="U726" s="1128"/>
      <c r="V726" s="1128"/>
      <c r="W726" s="1128"/>
      <c r="X726" s="1128"/>
      <c r="Y726" s="1128"/>
      <c r="Z726" s="1128"/>
    </row>
    <row r="727" ht="22.5" customHeight="1">
      <c r="A727" s="1128"/>
      <c r="B727" s="1128"/>
      <c r="C727" s="1128"/>
      <c r="D727" s="1128"/>
      <c r="E727" s="1128"/>
      <c r="F727" s="1128"/>
      <c r="G727" s="1128"/>
      <c r="H727" s="1128"/>
      <c r="I727" s="1128"/>
      <c r="J727" s="1128"/>
      <c r="K727" s="1128"/>
      <c r="L727" s="1128"/>
      <c r="M727" s="1128"/>
      <c r="N727" s="1128"/>
      <c r="O727" s="1128"/>
      <c r="P727" s="1128"/>
      <c r="Q727" s="1128"/>
      <c r="R727" s="1128"/>
      <c r="S727" s="1128"/>
      <c r="T727" s="1128"/>
      <c r="U727" s="1128"/>
      <c r="V727" s="1128"/>
      <c r="W727" s="1128"/>
      <c r="X727" s="1128"/>
      <c r="Y727" s="1128"/>
      <c r="Z727" s="1128"/>
    </row>
    <row r="728" ht="22.5" customHeight="1">
      <c r="A728" s="1128"/>
      <c r="B728" s="1128"/>
      <c r="C728" s="1128"/>
      <c r="D728" s="1128"/>
      <c r="E728" s="1128"/>
      <c r="F728" s="1128"/>
      <c r="G728" s="1128"/>
      <c r="H728" s="1128"/>
      <c r="I728" s="1128"/>
      <c r="J728" s="1128"/>
      <c r="K728" s="1128"/>
      <c r="L728" s="1128"/>
      <c r="M728" s="1128"/>
      <c r="N728" s="1128"/>
      <c r="O728" s="1128"/>
      <c r="P728" s="1128"/>
      <c r="Q728" s="1128"/>
      <c r="R728" s="1128"/>
      <c r="S728" s="1128"/>
      <c r="T728" s="1128"/>
      <c r="U728" s="1128"/>
      <c r="V728" s="1128"/>
      <c r="W728" s="1128"/>
      <c r="X728" s="1128"/>
      <c r="Y728" s="1128"/>
      <c r="Z728" s="1128"/>
    </row>
    <row r="729" ht="22.5" customHeight="1">
      <c r="A729" s="1128"/>
      <c r="B729" s="1128"/>
      <c r="C729" s="1128"/>
      <c r="D729" s="1128"/>
      <c r="E729" s="1128"/>
      <c r="F729" s="1128"/>
      <c r="G729" s="1128"/>
      <c r="H729" s="1128"/>
      <c r="I729" s="1128"/>
      <c r="J729" s="1128"/>
      <c r="K729" s="1128"/>
      <c r="L729" s="1128"/>
      <c r="M729" s="1128"/>
      <c r="N729" s="1128"/>
      <c r="O729" s="1128"/>
      <c r="P729" s="1128"/>
      <c r="Q729" s="1128"/>
      <c r="R729" s="1128"/>
      <c r="S729" s="1128"/>
      <c r="T729" s="1128"/>
      <c r="U729" s="1128"/>
      <c r="V729" s="1128"/>
      <c r="W729" s="1128"/>
      <c r="X729" s="1128"/>
      <c r="Y729" s="1128"/>
      <c r="Z729" s="1128"/>
    </row>
    <row r="730" ht="22.5" customHeight="1">
      <c r="A730" s="1128"/>
      <c r="B730" s="1128"/>
      <c r="C730" s="1128"/>
      <c r="D730" s="1128"/>
      <c r="E730" s="1128"/>
      <c r="F730" s="1128"/>
      <c r="G730" s="1128"/>
      <c r="H730" s="1128"/>
      <c r="I730" s="1128"/>
      <c r="J730" s="1128"/>
      <c r="K730" s="1128"/>
      <c r="L730" s="1128"/>
      <c r="M730" s="1128"/>
      <c r="N730" s="1128"/>
      <c r="O730" s="1128"/>
      <c r="P730" s="1128"/>
      <c r="Q730" s="1128"/>
      <c r="R730" s="1128"/>
      <c r="S730" s="1128"/>
      <c r="T730" s="1128"/>
      <c r="U730" s="1128"/>
      <c r="V730" s="1128"/>
      <c r="W730" s="1128"/>
      <c r="X730" s="1128"/>
      <c r="Y730" s="1128"/>
      <c r="Z730" s="1128"/>
    </row>
    <row r="731" ht="22.5" customHeight="1">
      <c r="A731" s="1128"/>
      <c r="B731" s="1128"/>
      <c r="C731" s="1128"/>
      <c r="D731" s="1128"/>
      <c r="E731" s="1128"/>
      <c r="F731" s="1128"/>
      <c r="G731" s="1128"/>
      <c r="H731" s="1128"/>
      <c r="I731" s="1128"/>
      <c r="J731" s="1128"/>
      <c r="K731" s="1128"/>
      <c r="L731" s="1128"/>
      <c r="M731" s="1128"/>
      <c r="N731" s="1128"/>
      <c r="O731" s="1128"/>
      <c r="P731" s="1128"/>
      <c r="Q731" s="1128"/>
      <c r="R731" s="1128"/>
      <c r="S731" s="1128"/>
      <c r="T731" s="1128"/>
      <c r="U731" s="1128"/>
      <c r="V731" s="1128"/>
      <c r="W731" s="1128"/>
      <c r="X731" s="1128"/>
      <c r="Y731" s="1128"/>
      <c r="Z731" s="1128"/>
    </row>
    <row r="732" ht="22.5" customHeight="1">
      <c r="A732" s="1128"/>
      <c r="B732" s="1128"/>
      <c r="C732" s="1128"/>
      <c r="D732" s="1128"/>
      <c r="E732" s="1128"/>
      <c r="F732" s="1128"/>
      <c r="G732" s="1128"/>
      <c r="H732" s="1128"/>
      <c r="I732" s="1128"/>
      <c r="J732" s="1128"/>
      <c r="K732" s="1128"/>
      <c r="L732" s="1128"/>
      <c r="M732" s="1128"/>
      <c r="N732" s="1128"/>
      <c r="O732" s="1128"/>
      <c r="P732" s="1128"/>
      <c r="Q732" s="1128"/>
      <c r="R732" s="1128"/>
      <c r="S732" s="1128"/>
      <c r="T732" s="1128"/>
      <c r="U732" s="1128"/>
      <c r="V732" s="1128"/>
      <c r="W732" s="1128"/>
      <c r="X732" s="1128"/>
      <c r="Y732" s="1128"/>
      <c r="Z732" s="1128"/>
    </row>
    <row r="733" ht="22.5" customHeight="1">
      <c r="A733" s="1128"/>
      <c r="B733" s="1128"/>
      <c r="C733" s="1128"/>
      <c r="D733" s="1128"/>
      <c r="E733" s="1128"/>
      <c r="F733" s="1128"/>
      <c r="G733" s="1128"/>
      <c r="H733" s="1128"/>
      <c r="I733" s="1128"/>
      <c r="J733" s="1128"/>
      <c r="K733" s="1128"/>
      <c r="L733" s="1128"/>
      <c r="M733" s="1128"/>
      <c r="N733" s="1128"/>
      <c r="O733" s="1128"/>
      <c r="P733" s="1128"/>
      <c r="Q733" s="1128"/>
      <c r="R733" s="1128"/>
      <c r="S733" s="1128"/>
      <c r="T733" s="1128"/>
      <c r="U733" s="1128"/>
      <c r="V733" s="1128"/>
      <c r="W733" s="1128"/>
      <c r="X733" s="1128"/>
      <c r="Y733" s="1128"/>
      <c r="Z733" s="1128"/>
    </row>
    <row r="734" ht="22.5" customHeight="1">
      <c r="A734" s="1128"/>
      <c r="B734" s="1128"/>
      <c r="C734" s="1128"/>
      <c r="D734" s="1128"/>
      <c r="E734" s="1128"/>
      <c r="F734" s="1128"/>
      <c r="G734" s="1128"/>
      <c r="H734" s="1128"/>
      <c r="I734" s="1128"/>
      <c r="J734" s="1128"/>
      <c r="K734" s="1128"/>
      <c r="L734" s="1128"/>
      <c r="M734" s="1128"/>
      <c r="N734" s="1128"/>
      <c r="O734" s="1128"/>
      <c r="P734" s="1128"/>
      <c r="Q734" s="1128"/>
      <c r="R734" s="1128"/>
      <c r="S734" s="1128"/>
      <c r="T734" s="1128"/>
      <c r="U734" s="1128"/>
      <c r="V734" s="1128"/>
      <c r="W734" s="1128"/>
      <c r="X734" s="1128"/>
      <c r="Y734" s="1128"/>
      <c r="Z734" s="1128"/>
    </row>
    <row r="735" ht="22.5" customHeight="1">
      <c r="A735" s="1128"/>
      <c r="B735" s="1128"/>
      <c r="C735" s="1128"/>
      <c r="D735" s="1128"/>
      <c r="E735" s="1128"/>
      <c r="F735" s="1128"/>
      <c r="G735" s="1128"/>
      <c r="H735" s="1128"/>
      <c r="I735" s="1128"/>
      <c r="J735" s="1128"/>
      <c r="K735" s="1128"/>
      <c r="L735" s="1128"/>
      <c r="M735" s="1128"/>
      <c r="N735" s="1128"/>
      <c r="O735" s="1128"/>
      <c r="P735" s="1128"/>
      <c r="Q735" s="1128"/>
      <c r="R735" s="1128"/>
      <c r="S735" s="1128"/>
      <c r="T735" s="1128"/>
      <c r="U735" s="1128"/>
      <c r="V735" s="1128"/>
      <c r="W735" s="1128"/>
      <c r="X735" s="1128"/>
      <c r="Y735" s="1128"/>
      <c r="Z735" s="1128"/>
    </row>
    <row r="736" ht="22.5" customHeight="1">
      <c r="A736" s="1128"/>
      <c r="B736" s="1128"/>
      <c r="C736" s="1128"/>
      <c r="D736" s="1128"/>
      <c r="E736" s="1128"/>
      <c r="F736" s="1128"/>
      <c r="G736" s="1128"/>
      <c r="H736" s="1128"/>
      <c r="I736" s="1128"/>
      <c r="J736" s="1128"/>
      <c r="K736" s="1128"/>
      <c r="L736" s="1128"/>
      <c r="M736" s="1128"/>
      <c r="N736" s="1128"/>
      <c r="O736" s="1128"/>
      <c r="P736" s="1128"/>
      <c r="Q736" s="1128"/>
      <c r="R736" s="1128"/>
      <c r="S736" s="1128"/>
      <c r="T736" s="1128"/>
      <c r="U736" s="1128"/>
      <c r="V736" s="1128"/>
      <c r="W736" s="1128"/>
      <c r="X736" s="1128"/>
      <c r="Y736" s="1128"/>
      <c r="Z736" s="1128"/>
    </row>
    <row r="737" ht="22.5" customHeight="1">
      <c r="A737" s="1128"/>
      <c r="B737" s="1128"/>
      <c r="C737" s="1128"/>
      <c r="D737" s="1128"/>
      <c r="E737" s="1128"/>
      <c r="F737" s="1128"/>
      <c r="G737" s="1128"/>
      <c r="H737" s="1128"/>
      <c r="I737" s="1128"/>
      <c r="J737" s="1128"/>
      <c r="K737" s="1128"/>
      <c r="L737" s="1128"/>
      <c r="M737" s="1128"/>
      <c r="N737" s="1128"/>
      <c r="O737" s="1128"/>
      <c r="P737" s="1128"/>
      <c r="Q737" s="1128"/>
      <c r="R737" s="1128"/>
      <c r="S737" s="1128"/>
      <c r="T737" s="1128"/>
      <c r="U737" s="1128"/>
      <c r="V737" s="1128"/>
      <c r="W737" s="1128"/>
      <c r="X737" s="1128"/>
      <c r="Y737" s="1128"/>
      <c r="Z737" s="1128"/>
    </row>
    <row r="738" ht="22.5" customHeight="1">
      <c r="A738" s="1128"/>
      <c r="B738" s="1128"/>
      <c r="C738" s="1128"/>
      <c r="D738" s="1128"/>
      <c r="E738" s="1128"/>
      <c r="F738" s="1128"/>
      <c r="G738" s="1128"/>
      <c r="H738" s="1128"/>
      <c r="I738" s="1128"/>
      <c r="J738" s="1128"/>
      <c r="K738" s="1128"/>
      <c r="L738" s="1128"/>
      <c r="M738" s="1128"/>
      <c r="N738" s="1128"/>
      <c r="O738" s="1128"/>
      <c r="P738" s="1128"/>
      <c r="Q738" s="1128"/>
      <c r="R738" s="1128"/>
      <c r="S738" s="1128"/>
      <c r="T738" s="1128"/>
      <c r="U738" s="1128"/>
      <c r="V738" s="1128"/>
      <c r="W738" s="1128"/>
      <c r="X738" s="1128"/>
      <c r="Y738" s="1128"/>
      <c r="Z738" s="1128"/>
    </row>
    <row r="739" ht="22.5" customHeight="1">
      <c r="A739" s="1128"/>
      <c r="B739" s="1128"/>
      <c r="C739" s="1128"/>
      <c r="D739" s="1128"/>
      <c r="E739" s="1128"/>
      <c r="F739" s="1128"/>
      <c r="G739" s="1128"/>
      <c r="H739" s="1128"/>
      <c r="I739" s="1128"/>
      <c r="J739" s="1128"/>
      <c r="K739" s="1128"/>
      <c r="L739" s="1128"/>
      <c r="M739" s="1128"/>
      <c r="N739" s="1128"/>
      <c r="O739" s="1128"/>
      <c r="P739" s="1128"/>
      <c r="Q739" s="1128"/>
      <c r="R739" s="1128"/>
      <c r="S739" s="1128"/>
      <c r="T739" s="1128"/>
      <c r="U739" s="1128"/>
      <c r="V739" s="1128"/>
      <c r="W739" s="1128"/>
      <c r="X739" s="1128"/>
      <c r="Y739" s="1128"/>
      <c r="Z739" s="1128"/>
    </row>
    <row r="740" ht="22.5" customHeight="1">
      <c r="A740" s="1128"/>
      <c r="B740" s="1128"/>
      <c r="C740" s="1128"/>
      <c r="D740" s="1128"/>
      <c r="E740" s="1128"/>
      <c r="F740" s="1128"/>
      <c r="G740" s="1128"/>
      <c r="H740" s="1128"/>
      <c r="I740" s="1128"/>
      <c r="J740" s="1128"/>
      <c r="K740" s="1128"/>
      <c r="L740" s="1128"/>
      <c r="M740" s="1128"/>
      <c r="N740" s="1128"/>
      <c r="O740" s="1128"/>
      <c r="P740" s="1128"/>
      <c r="Q740" s="1128"/>
      <c r="R740" s="1128"/>
      <c r="S740" s="1128"/>
      <c r="T740" s="1128"/>
      <c r="U740" s="1128"/>
      <c r="V740" s="1128"/>
      <c r="W740" s="1128"/>
      <c r="X740" s="1128"/>
      <c r="Y740" s="1128"/>
      <c r="Z740" s="1128"/>
    </row>
    <row r="741" ht="22.5" customHeight="1">
      <c r="A741" s="1128"/>
      <c r="B741" s="1128"/>
      <c r="C741" s="1128"/>
      <c r="D741" s="1128"/>
      <c r="E741" s="1128"/>
      <c r="F741" s="1128"/>
      <c r="G741" s="1128"/>
      <c r="H741" s="1128"/>
      <c r="I741" s="1128"/>
      <c r="J741" s="1128"/>
      <c r="K741" s="1128"/>
      <c r="L741" s="1128"/>
      <c r="M741" s="1128"/>
      <c r="N741" s="1128"/>
      <c r="O741" s="1128"/>
      <c r="P741" s="1128"/>
      <c r="Q741" s="1128"/>
      <c r="R741" s="1128"/>
      <c r="S741" s="1128"/>
      <c r="T741" s="1128"/>
      <c r="U741" s="1128"/>
      <c r="V741" s="1128"/>
      <c r="W741" s="1128"/>
      <c r="X741" s="1128"/>
      <c r="Y741" s="1128"/>
      <c r="Z741" s="1128"/>
    </row>
    <row r="742" ht="22.5" customHeight="1">
      <c r="A742" s="1128"/>
      <c r="B742" s="1128"/>
      <c r="C742" s="1128"/>
      <c r="D742" s="1128"/>
      <c r="E742" s="1128"/>
      <c r="F742" s="1128"/>
      <c r="G742" s="1128"/>
      <c r="H742" s="1128"/>
      <c r="I742" s="1128"/>
      <c r="J742" s="1128"/>
      <c r="K742" s="1128"/>
      <c r="L742" s="1128"/>
      <c r="M742" s="1128"/>
      <c r="N742" s="1128"/>
      <c r="O742" s="1128"/>
      <c r="P742" s="1128"/>
      <c r="Q742" s="1128"/>
      <c r="R742" s="1128"/>
      <c r="S742" s="1128"/>
      <c r="T742" s="1128"/>
      <c r="U742" s="1128"/>
      <c r="V742" s="1128"/>
      <c r="W742" s="1128"/>
      <c r="X742" s="1128"/>
      <c r="Y742" s="1128"/>
      <c r="Z742" s="1128"/>
    </row>
    <row r="743" ht="22.5" customHeight="1">
      <c r="A743" s="1128"/>
      <c r="B743" s="1128"/>
      <c r="C743" s="1128"/>
      <c r="D743" s="1128"/>
      <c r="E743" s="1128"/>
      <c r="F743" s="1128"/>
      <c r="G743" s="1128"/>
      <c r="H743" s="1128"/>
      <c r="I743" s="1128"/>
      <c r="J743" s="1128"/>
      <c r="K743" s="1128"/>
      <c r="L743" s="1128"/>
      <c r="M743" s="1128"/>
      <c r="N743" s="1128"/>
      <c r="O743" s="1128"/>
      <c r="P743" s="1128"/>
      <c r="Q743" s="1128"/>
      <c r="R743" s="1128"/>
      <c r="S743" s="1128"/>
      <c r="T743" s="1128"/>
      <c r="U743" s="1128"/>
      <c r="V743" s="1128"/>
      <c r="W743" s="1128"/>
      <c r="X743" s="1128"/>
      <c r="Y743" s="1128"/>
      <c r="Z743" s="1128"/>
    </row>
    <row r="744" ht="22.5" customHeight="1">
      <c r="A744" s="1128"/>
      <c r="B744" s="1128"/>
      <c r="C744" s="1128"/>
      <c r="D744" s="1128"/>
      <c r="E744" s="1128"/>
      <c r="F744" s="1128"/>
      <c r="G744" s="1128"/>
      <c r="H744" s="1128"/>
      <c r="I744" s="1128"/>
      <c r="J744" s="1128"/>
      <c r="K744" s="1128"/>
      <c r="L744" s="1128"/>
      <c r="M744" s="1128"/>
      <c r="N744" s="1128"/>
      <c r="O744" s="1128"/>
      <c r="P744" s="1128"/>
      <c r="Q744" s="1128"/>
      <c r="R744" s="1128"/>
      <c r="S744" s="1128"/>
      <c r="T744" s="1128"/>
      <c r="U744" s="1128"/>
      <c r="V744" s="1128"/>
      <c r="W744" s="1128"/>
      <c r="X744" s="1128"/>
      <c r="Y744" s="1128"/>
      <c r="Z744" s="1128"/>
    </row>
    <row r="745" ht="22.5" customHeight="1">
      <c r="A745" s="1128"/>
      <c r="B745" s="1128"/>
      <c r="C745" s="1128"/>
      <c r="D745" s="1128"/>
      <c r="E745" s="1128"/>
      <c r="F745" s="1128"/>
      <c r="G745" s="1128"/>
      <c r="H745" s="1128"/>
      <c r="I745" s="1128"/>
      <c r="J745" s="1128"/>
      <c r="K745" s="1128"/>
      <c r="L745" s="1128"/>
      <c r="M745" s="1128"/>
      <c r="N745" s="1128"/>
      <c r="O745" s="1128"/>
      <c r="P745" s="1128"/>
      <c r="Q745" s="1128"/>
      <c r="R745" s="1128"/>
      <c r="S745" s="1128"/>
      <c r="T745" s="1128"/>
      <c r="U745" s="1128"/>
      <c r="V745" s="1128"/>
      <c r="W745" s="1128"/>
      <c r="X745" s="1128"/>
      <c r="Y745" s="1128"/>
      <c r="Z745" s="1128"/>
    </row>
    <row r="746" ht="22.5" customHeight="1">
      <c r="A746" s="1128"/>
      <c r="B746" s="1128"/>
      <c r="C746" s="1128"/>
      <c r="D746" s="1128"/>
      <c r="E746" s="1128"/>
      <c r="F746" s="1128"/>
      <c r="G746" s="1128"/>
      <c r="H746" s="1128"/>
      <c r="I746" s="1128"/>
      <c r="J746" s="1128"/>
      <c r="K746" s="1128"/>
      <c r="L746" s="1128"/>
      <c r="M746" s="1128"/>
      <c r="N746" s="1128"/>
      <c r="O746" s="1128"/>
      <c r="P746" s="1128"/>
      <c r="Q746" s="1128"/>
      <c r="R746" s="1128"/>
      <c r="S746" s="1128"/>
      <c r="T746" s="1128"/>
      <c r="U746" s="1128"/>
      <c r="V746" s="1128"/>
      <c r="W746" s="1128"/>
      <c r="X746" s="1128"/>
      <c r="Y746" s="1128"/>
      <c r="Z746" s="1128"/>
    </row>
    <row r="747" ht="22.5" customHeight="1">
      <c r="A747" s="1128"/>
      <c r="B747" s="1128"/>
      <c r="C747" s="1128"/>
      <c r="D747" s="1128"/>
      <c r="E747" s="1128"/>
      <c r="F747" s="1128"/>
      <c r="G747" s="1128"/>
      <c r="H747" s="1128"/>
      <c r="I747" s="1128"/>
      <c r="J747" s="1128"/>
      <c r="K747" s="1128"/>
      <c r="L747" s="1128"/>
      <c r="M747" s="1128"/>
      <c r="N747" s="1128"/>
      <c r="O747" s="1128"/>
      <c r="P747" s="1128"/>
      <c r="Q747" s="1128"/>
      <c r="R747" s="1128"/>
      <c r="S747" s="1128"/>
      <c r="T747" s="1128"/>
      <c r="U747" s="1128"/>
      <c r="V747" s="1128"/>
      <c r="W747" s="1128"/>
      <c r="X747" s="1128"/>
      <c r="Y747" s="1128"/>
      <c r="Z747" s="1128"/>
    </row>
    <row r="748" ht="22.5" customHeight="1">
      <c r="A748" s="1128"/>
      <c r="B748" s="1128"/>
      <c r="C748" s="1128"/>
      <c r="D748" s="1128"/>
      <c r="E748" s="1128"/>
      <c r="F748" s="1128"/>
      <c r="G748" s="1128"/>
      <c r="H748" s="1128"/>
      <c r="I748" s="1128"/>
      <c r="J748" s="1128"/>
      <c r="K748" s="1128"/>
      <c r="L748" s="1128"/>
      <c r="M748" s="1128"/>
      <c r="N748" s="1128"/>
      <c r="O748" s="1128"/>
      <c r="P748" s="1128"/>
      <c r="Q748" s="1128"/>
      <c r="R748" s="1128"/>
      <c r="S748" s="1128"/>
      <c r="T748" s="1128"/>
      <c r="U748" s="1128"/>
      <c r="V748" s="1128"/>
      <c r="W748" s="1128"/>
      <c r="X748" s="1128"/>
      <c r="Y748" s="1128"/>
      <c r="Z748" s="1128"/>
    </row>
    <row r="749" ht="22.5" customHeight="1">
      <c r="A749" s="1128"/>
      <c r="B749" s="1128"/>
      <c r="C749" s="1128"/>
      <c r="D749" s="1128"/>
      <c r="E749" s="1128"/>
      <c r="F749" s="1128"/>
      <c r="G749" s="1128"/>
      <c r="H749" s="1128"/>
      <c r="I749" s="1128"/>
      <c r="J749" s="1128"/>
      <c r="K749" s="1128"/>
      <c r="L749" s="1128"/>
      <c r="M749" s="1128"/>
      <c r="N749" s="1128"/>
      <c r="O749" s="1128"/>
      <c r="P749" s="1128"/>
      <c r="Q749" s="1128"/>
      <c r="R749" s="1128"/>
      <c r="S749" s="1128"/>
      <c r="T749" s="1128"/>
      <c r="U749" s="1128"/>
      <c r="V749" s="1128"/>
      <c r="W749" s="1128"/>
      <c r="X749" s="1128"/>
      <c r="Y749" s="1128"/>
      <c r="Z749" s="1128"/>
    </row>
    <row r="750" ht="22.5" customHeight="1">
      <c r="A750" s="1128"/>
      <c r="B750" s="1128"/>
      <c r="C750" s="1128"/>
      <c r="D750" s="1128"/>
      <c r="E750" s="1128"/>
      <c r="F750" s="1128"/>
      <c r="G750" s="1128"/>
      <c r="H750" s="1128"/>
      <c r="I750" s="1128"/>
      <c r="J750" s="1128"/>
      <c r="K750" s="1128"/>
      <c r="L750" s="1128"/>
      <c r="M750" s="1128"/>
      <c r="N750" s="1128"/>
      <c r="O750" s="1128"/>
      <c r="P750" s="1128"/>
      <c r="Q750" s="1128"/>
      <c r="R750" s="1128"/>
      <c r="S750" s="1128"/>
      <c r="T750" s="1128"/>
      <c r="U750" s="1128"/>
      <c r="V750" s="1128"/>
      <c r="W750" s="1128"/>
      <c r="X750" s="1128"/>
      <c r="Y750" s="1128"/>
      <c r="Z750" s="1128"/>
    </row>
    <row r="751" ht="22.5" customHeight="1">
      <c r="A751" s="1128"/>
      <c r="B751" s="1128"/>
      <c r="C751" s="1128"/>
      <c r="D751" s="1128"/>
      <c r="E751" s="1128"/>
      <c r="F751" s="1128"/>
      <c r="G751" s="1128"/>
      <c r="H751" s="1128"/>
      <c r="I751" s="1128"/>
      <c r="J751" s="1128"/>
      <c r="K751" s="1128"/>
      <c r="L751" s="1128"/>
      <c r="M751" s="1128"/>
      <c r="N751" s="1128"/>
      <c r="O751" s="1128"/>
      <c r="P751" s="1128"/>
      <c r="Q751" s="1128"/>
      <c r="R751" s="1128"/>
      <c r="S751" s="1128"/>
      <c r="T751" s="1128"/>
      <c r="U751" s="1128"/>
      <c r="V751" s="1128"/>
      <c r="W751" s="1128"/>
      <c r="X751" s="1128"/>
      <c r="Y751" s="1128"/>
      <c r="Z751" s="1128"/>
    </row>
    <row r="752" ht="22.5" customHeight="1">
      <c r="A752" s="1128"/>
      <c r="B752" s="1128"/>
      <c r="C752" s="1128"/>
      <c r="D752" s="1128"/>
      <c r="E752" s="1128"/>
      <c r="F752" s="1128"/>
      <c r="G752" s="1128"/>
      <c r="H752" s="1128"/>
      <c r="I752" s="1128"/>
      <c r="J752" s="1128"/>
      <c r="K752" s="1128"/>
      <c r="L752" s="1128"/>
      <c r="M752" s="1128"/>
      <c r="N752" s="1128"/>
      <c r="O752" s="1128"/>
      <c r="P752" s="1128"/>
      <c r="Q752" s="1128"/>
      <c r="R752" s="1128"/>
      <c r="S752" s="1128"/>
      <c r="T752" s="1128"/>
      <c r="U752" s="1128"/>
      <c r="V752" s="1128"/>
      <c r="W752" s="1128"/>
      <c r="X752" s="1128"/>
      <c r="Y752" s="1128"/>
      <c r="Z752" s="1128"/>
    </row>
    <row r="753" ht="22.5" customHeight="1">
      <c r="A753" s="1128"/>
      <c r="B753" s="1128"/>
      <c r="C753" s="1128"/>
      <c r="D753" s="1128"/>
      <c r="E753" s="1128"/>
      <c r="F753" s="1128"/>
      <c r="G753" s="1128"/>
      <c r="H753" s="1128"/>
      <c r="I753" s="1128"/>
      <c r="J753" s="1128"/>
      <c r="K753" s="1128"/>
      <c r="L753" s="1128"/>
      <c r="M753" s="1128"/>
      <c r="N753" s="1128"/>
      <c r="O753" s="1128"/>
      <c r="P753" s="1128"/>
      <c r="Q753" s="1128"/>
      <c r="R753" s="1128"/>
      <c r="S753" s="1128"/>
      <c r="T753" s="1128"/>
      <c r="U753" s="1128"/>
      <c r="V753" s="1128"/>
      <c r="W753" s="1128"/>
      <c r="X753" s="1128"/>
      <c r="Y753" s="1128"/>
      <c r="Z753" s="1128"/>
    </row>
    <row r="754" ht="22.5" customHeight="1">
      <c r="A754" s="1128"/>
      <c r="B754" s="1128"/>
      <c r="C754" s="1128"/>
      <c r="D754" s="1128"/>
      <c r="E754" s="1128"/>
      <c r="F754" s="1128"/>
      <c r="G754" s="1128"/>
      <c r="H754" s="1128"/>
      <c r="I754" s="1128"/>
      <c r="J754" s="1128"/>
      <c r="K754" s="1128"/>
      <c r="L754" s="1128"/>
      <c r="M754" s="1128"/>
      <c r="N754" s="1128"/>
      <c r="O754" s="1128"/>
      <c r="P754" s="1128"/>
      <c r="Q754" s="1128"/>
      <c r="R754" s="1128"/>
      <c r="S754" s="1128"/>
      <c r="T754" s="1128"/>
      <c r="U754" s="1128"/>
      <c r="V754" s="1128"/>
      <c r="W754" s="1128"/>
      <c r="X754" s="1128"/>
      <c r="Y754" s="1128"/>
      <c r="Z754" s="1128"/>
    </row>
    <row r="755" ht="22.5" customHeight="1">
      <c r="A755" s="1128"/>
      <c r="B755" s="1128"/>
      <c r="C755" s="1128"/>
      <c r="D755" s="1128"/>
      <c r="E755" s="1128"/>
      <c r="F755" s="1128"/>
      <c r="G755" s="1128"/>
      <c r="H755" s="1128"/>
      <c r="I755" s="1128"/>
      <c r="J755" s="1128"/>
      <c r="K755" s="1128"/>
      <c r="L755" s="1128"/>
      <c r="M755" s="1128"/>
      <c r="N755" s="1128"/>
      <c r="O755" s="1128"/>
      <c r="P755" s="1128"/>
      <c r="Q755" s="1128"/>
      <c r="R755" s="1128"/>
      <c r="S755" s="1128"/>
      <c r="T755" s="1128"/>
      <c r="U755" s="1128"/>
      <c r="V755" s="1128"/>
      <c r="W755" s="1128"/>
      <c r="X755" s="1128"/>
      <c r="Y755" s="1128"/>
      <c r="Z755" s="1128"/>
    </row>
    <row r="756" ht="22.5" customHeight="1">
      <c r="A756" s="1128"/>
      <c r="B756" s="1128"/>
      <c r="C756" s="1128"/>
      <c r="D756" s="1128"/>
      <c r="E756" s="1128"/>
      <c r="F756" s="1128"/>
      <c r="G756" s="1128"/>
      <c r="H756" s="1128"/>
      <c r="I756" s="1128"/>
      <c r="J756" s="1128"/>
      <c r="K756" s="1128"/>
      <c r="L756" s="1128"/>
      <c r="M756" s="1128"/>
      <c r="N756" s="1128"/>
      <c r="O756" s="1128"/>
      <c r="P756" s="1128"/>
      <c r="Q756" s="1128"/>
      <c r="R756" s="1128"/>
      <c r="S756" s="1128"/>
      <c r="T756" s="1128"/>
      <c r="U756" s="1128"/>
      <c r="V756" s="1128"/>
      <c r="W756" s="1128"/>
      <c r="X756" s="1128"/>
      <c r="Y756" s="1128"/>
      <c r="Z756" s="1128"/>
    </row>
    <row r="757" ht="22.5" customHeight="1">
      <c r="A757" s="1128"/>
      <c r="B757" s="1128"/>
      <c r="C757" s="1128"/>
      <c r="D757" s="1128"/>
      <c r="E757" s="1128"/>
      <c r="F757" s="1128"/>
      <c r="G757" s="1128"/>
      <c r="H757" s="1128"/>
      <c r="I757" s="1128"/>
      <c r="J757" s="1128"/>
      <c r="K757" s="1128"/>
      <c r="L757" s="1128"/>
      <c r="M757" s="1128"/>
      <c r="N757" s="1128"/>
      <c r="O757" s="1128"/>
      <c r="P757" s="1128"/>
      <c r="Q757" s="1128"/>
      <c r="R757" s="1128"/>
      <c r="S757" s="1128"/>
      <c r="T757" s="1128"/>
      <c r="U757" s="1128"/>
      <c r="V757" s="1128"/>
      <c r="W757" s="1128"/>
      <c r="X757" s="1128"/>
      <c r="Y757" s="1128"/>
      <c r="Z757" s="1128"/>
    </row>
    <row r="758" ht="22.5" customHeight="1">
      <c r="A758" s="1128"/>
      <c r="B758" s="1128"/>
      <c r="C758" s="1128"/>
      <c r="D758" s="1128"/>
      <c r="E758" s="1128"/>
      <c r="F758" s="1128"/>
      <c r="G758" s="1128"/>
      <c r="H758" s="1128"/>
      <c r="I758" s="1128"/>
      <c r="J758" s="1128"/>
      <c r="K758" s="1128"/>
      <c r="L758" s="1128"/>
      <c r="M758" s="1128"/>
      <c r="N758" s="1128"/>
      <c r="O758" s="1128"/>
      <c r="P758" s="1128"/>
      <c r="Q758" s="1128"/>
      <c r="R758" s="1128"/>
      <c r="S758" s="1128"/>
      <c r="T758" s="1128"/>
      <c r="U758" s="1128"/>
      <c r="V758" s="1128"/>
      <c r="W758" s="1128"/>
      <c r="X758" s="1128"/>
      <c r="Y758" s="1128"/>
      <c r="Z758" s="1128"/>
    </row>
    <row r="759" ht="22.5" customHeight="1">
      <c r="A759" s="1128"/>
      <c r="B759" s="1128"/>
      <c r="C759" s="1128"/>
      <c r="D759" s="1128"/>
      <c r="E759" s="1128"/>
      <c r="F759" s="1128"/>
      <c r="G759" s="1128"/>
      <c r="H759" s="1128"/>
      <c r="I759" s="1128"/>
      <c r="J759" s="1128"/>
      <c r="K759" s="1128"/>
      <c r="L759" s="1128"/>
      <c r="M759" s="1128"/>
      <c r="N759" s="1128"/>
      <c r="O759" s="1128"/>
      <c r="P759" s="1128"/>
      <c r="Q759" s="1128"/>
      <c r="R759" s="1128"/>
      <c r="S759" s="1128"/>
      <c r="T759" s="1128"/>
      <c r="U759" s="1128"/>
      <c r="V759" s="1128"/>
      <c r="W759" s="1128"/>
      <c r="X759" s="1128"/>
      <c r="Y759" s="1128"/>
      <c r="Z759" s="1128"/>
    </row>
    <row r="760" ht="22.5" customHeight="1">
      <c r="A760" s="1128"/>
      <c r="B760" s="1128"/>
      <c r="C760" s="1128"/>
      <c r="D760" s="1128"/>
      <c r="E760" s="1128"/>
      <c r="F760" s="1128"/>
      <c r="G760" s="1128"/>
      <c r="H760" s="1128"/>
      <c r="I760" s="1128"/>
      <c r="J760" s="1128"/>
      <c r="K760" s="1128"/>
      <c r="L760" s="1128"/>
      <c r="M760" s="1128"/>
      <c r="N760" s="1128"/>
      <c r="O760" s="1128"/>
      <c r="P760" s="1128"/>
      <c r="Q760" s="1128"/>
      <c r="R760" s="1128"/>
      <c r="S760" s="1128"/>
      <c r="T760" s="1128"/>
      <c r="U760" s="1128"/>
      <c r="V760" s="1128"/>
      <c r="W760" s="1128"/>
      <c r="X760" s="1128"/>
      <c r="Y760" s="1128"/>
      <c r="Z760" s="1128"/>
    </row>
    <row r="761" ht="22.5" customHeight="1">
      <c r="A761" s="1128"/>
      <c r="B761" s="1128"/>
      <c r="C761" s="1128"/>
      <c r="D761" s="1128"/>
      <c r="E761" s="1128"/>
      <c r="F761" s="1128"/>
      <c r="G761" s="1128"/>
      <c r="H761" s="1128"/>
      <c r="I761" s="1128"/>
      <c r="J761" s="1128"/>
      <c r="K761" s="1128"/>
      <c r="L761" s="1128"/>
      <c r="M761" s="1128"/>
      <c r="N761" s="1128"/>
      <c r="O761" s="1128"/>
      <c r="P761" s="1128"/>
      <c r="Q761" s="1128"/>
      <c r="R761" s="1128"/>
      <c r="S761" s="1128"/>
      <c r="T761" s="1128"/>
      <c r="U761" s="1128"/>
      <c r="V761" s="1128"/>
      <c r="W761" s="1128"/>
      <c r="X761" s="1128"/>
      <c r="Y761" s="1128"/>
      <c r="Z761" s="1128"/>
    </row>
    <row r="762" ht="22.5" customHeight="1">
      <c r="A762" s="1128"/>
      <c r="B762" s="1128"/>
      <c r="C762" s="1128"/>
      <c r="D762" s="1128"/>
      <c r="E762" s="1128"/>
      <c r="F762" s="1128"/>
      <c r="G762" s="1128"/>
      <c r="H762" s="1128"/>
      <c r="I762" s="1128"/>
      <c r="J762" s="1128"/>
      <c r="K762" s="1128"/>
      <c r="L762" s="1128"/>
      <c r="M762" s="1128"/>
      <c r="N762" s="1128"/>
      <c r="O762" s="1128"/>
      <c r="P762" s="1128"/>
      <c r="Q762" s="1128"/>
      <c r="R762" s="1128"/>
      <c r="S762" s="1128"/>
      <c r="T762" s="1128"/>
      <c r="U762" s="1128"/>
      <c r="V762" s="1128"/>
      <c r="W762" s="1128"/>
      <c r="X762" s="1128"/>
      <c r="Y762" s="1128"/>
      <c r="Z762" s="1128"/>
    </row>
    <row r="763" ht="22.5" customHeight="1">
      <c r="A763" s="1128"/>
      <c r="B763" s="1128"/>
      <c r="C763" s="1128"/>
      <c r="D763" s="1128"/>
      <c r="E763" s="1128"/>
      <c r="F763" s="1128"/>
      <c r="G763" s="1128"/>
      <c r="H763" s="1128"/>
      <c r="I763" s="1128"/>
      <c r="J763" s="1128"/>
      <c r="K763" s="1128"/>
      <c r="L763" s="1128"/>
      <c r="M763" s="1128"/>
      <c r="N763" s="1128"/>
      <c r="O763" s="1128"/>
      <c r="P763" s="1128"/>
      <c r="Q763" s="1128"/>
      <c r="R763" s="1128"/>
      <c r="S763" s="1128"/>
      <c r="T763" s="1128"/>
      <c r="U763" s="1128"/>
      <c r="V763" s="1128"/>
      <c r="W763" s="1128"/>
      <c r="X763" s="1128"/>
      <c r="Y763" s="1128"/>
      <c r="Z763" s="1128"/>
    </row>
    <row r="764" ht="22.5" customHeight="1">
      <c r="A764" s="1128"/>
      <c r="B764" s="1128"/>
      <c r="C764" s="1128"/>
      <c r="D764" s="1128"/>
      <c r="E764" s="1128"/>
      <c r="F764" s="1128"/>
      <c r="G764" s="1128"/>
      <c r="H764" s="1128"/>
      <c r="I764" s="1128"/>
      <c r="J764" s="1128"/>
      <c r="K764" s="1128"/>
      <c r="L764" s="1128"/>
      <c r="M764" s="1128"/>
      <c r="N764" s="1128"/>
      <c r="O764" s="1128"/>
      <c r="P764" s="1128"/>
      <c r="Q764" s="1128"/>
      <c r="R764" s="1128"/>
      <c r="S764" s="1128"/>
      <c r="T764" s="1128"/>
      <c r="U764" s="1128"/>
      <c r="V764" s="1128"/>
      <c r="W764" s="1128"/>
      <c r="X764" s="1128"/>
      <c r="Y764" s="1128"/>
      <c r="Z764" s="1128"/>
    </row>
    <row r="765" ht="22.5" customHeight="1">
      <c r="A765" s="1128"/>
      <c r="B765" s="1128"/>
      <c r="C765" s="1128"/>
      <c r="D765" s="1128"/>
      <c r="E765" s="1128"/>
      <c r="F765" s="1128"/>
      <c r="G765" s="1128"/>
      <c r="H765" s="1128"/>
      <c r="I765" s="1128"/>
      <c r="J765" s="1128"/>
      <c r="K765" s="1128"/>
      <c r="L765" s="1128"/>
      <c r="M765" s="1128"/>
      <c r="N765" s="1128"/>
      <c r="O765" s="1128"/>
      <c r="P765" s="1128"/>
      <c r="Q765" s="1128"/>
      <c r="R765" s="1128"/>
      <c r="S765" s="1128"/>
      <c r="T765" s="1128"/>
      <c r="U765" s="1128"/>
      <c r="V765" s="1128"/>
      <c r="W765" s="1128"/>
      <c r="X765" s="1128"/>
      <c r="Y765" s="1128"/>
      <c r="Z765" s="1128"/>
    </row>
    <row r="766" ht="22.5" customHeight="1">
      <c r="A766" s="1128"/>
      <c r="B766" s="1128"/>
      <c r="C766" s="1128"/>
      <c r="D766" s="1128"/>
      <c r="E766" s="1128"/>
      <c r="F766" s="1128"/>
      <c r="G766" s="1128"/>
      <c r="H766" s="1128"/>
      <c r="I766" s="1128"/>
      <c r="J766" s="1128"/>
      <c r="K766" s="1128"/>
      <c r="L766" s="1128"/>
      <c r="M766" s="1128"/>
      <c r="N766" s="1128"/>
      <c r="O766" s="1128"/>
      <c r="P766" s="1128"/>
      <c r="Q766" s="1128"/>
      <c r="R766" s="1128"/>
      <c r="S766" s="1128"/>
      <c r="T766" s="1128"/>
      <c r="U766" s="1128"/>
      <c r="V766" s="1128"/>
      <c r="W766" s="1128"/>
      <c r="X766" s="1128"/>
      <c r="Y766" s="1128"/>
      <c r="Z766" s="1128"/>
    </row>
    <row r="767" ht="22.5" customHeight="1">
      <c r="A767" s="1128"/>
      <c r="B767" s="1128"/>
      <c r="C767" s="1128"/>
      <c r="D767" s="1128"/>
      <c r="E767" s="1128"/>
      <c r="F767" s="1128"/>
      <c r="G767" s="1128"/>
      <c r="H767" s="1128"/>
      <c r="I767" s="1128"/>
      <c r="J767" s="1128"/>
      <c r="K767" s="1128"/>
      <c r="L767" s="1128"/>
      <c r="M767" s="1128"/>
      <c r="N767" s="1128"/>
      <c r="O767" s="1128"/>
      <c r="P767" s="1128"/>
      <c r="Q767" s="1128"/>
      <c r="R767" s="1128"/>
      <c r="S767" s="1128"/>
      <c r="T767" s="1128"/>
      <c r="U767" s="1128"/>
      <c r="V767" s="1128"/>
      <c r="W767" s="1128"/>
      <c r="X767" s="1128"/>
      <c r="Y767" s="1128"/>
      <c r="Z767" s="1128"/>
    </row>
    <row r="768" ht="22.5" customHeight="1">
      <c r="A768" s="1128"/>
      <c r="B768" s="1128"/>
      <c r="C768" s="1128"/>
      <c r="D768" s="1128"/>
      <c r="E768" s="1128"/>
      <c r="F768" s="1128"/>
      <c r="G768" s="1128"/>
      <c r="H768" s="1128"/>
      <c r="I768" s="1128"/>
      <c r="J768" s="1128"/>
      <c r="K768" s="1128"/>
      <c r="L768" s="1128"/>
      <c r="M768" s="1128"/>
      <c r="N768" s="1128"/>
      <c r="O768" s="1128"/>
      <c r="P768" s="1128"/>
      <c r="Q768" s="1128"/>
      <c r="R768" s="1128"/>
      <c r="S768" s="1128"/>
      <c r="T768" s="1128"/>
      <c r="U768" s="1128"/>
      <c r="V768" s="1128"/>
      <c r="W768" s="1128"/>
      <c r="X768" s="1128"/>
      <c r="Y768" s="1128"/>
      <c r="Z768" s="1128"/>
    </row>
    <row r="769" ht="22.5" customHeight="1">
      <c r="A769" s="1128"/>
      <c r="B769" s="1128"/>
      <c r="C769" s="1128"/>
      <c r="D769" s="1128"/>
      <c r="E769" s="1128"/>
      <c r="F769" s="1128"/>
      <c r="G769" s="1128"/>
      <c r="H769" s="1128"/>
      <c r="I769" s="1128"/>
      <c r="J769" s="1128"/>
      <c r="K769" s="1128"/>
      <c r="L769" s="1128"/>
      <c r="M769" s="1128"/>
      <c r="N769" s="1128"/>
      <c r="O769" s="1128"/>
      <c r="P769" s="1128"/>
      <c r="Q769" s="1128"/>
      <c r="R769" s="1128"/>
      <c r="S769" s="1128"/>
      <c r="T769" s="1128"/>
      <c r="U769" s="1128"/>
      <c r="V769" s="1128"/>
      <c r="W769" s="1128"/>
      <c r="X769" s="1128"/>
      <c r="Y769" s="1128"/>
      <c r="Z769" s="1128"/>
    </row>
    <row r="770" ht="22.5" customHeight="1">
      <c r="A770" s="1128"/>
      <c r="B770" s="1128"/>
      <c r="C770" s="1128"/>
      <c r="D770" s="1128"/>
      <c r="E770" s="1128"/>
      <c r="F770" s="1128"/>
      <c r="G770" s="1128"/>
      <c r="H770" s="1128"/>
      <c r="I770" s="1128"/>
      <c r="J770" s="1128"/>
      <c r="K770" s="1128"/>
      <c r="L770" s="1128"/>
      <c r="M770" s="1128"/>
      <c r="N770" s="1128"/>
      <c r="O770" s="1128"/>
      <c r="P770" s="1128"/>
      <c r="Q770" s="1128"/>
      <c r="R770" s="1128"/>
      <c r="S770" s="1128"/>
      <c r="T770" s="1128"/>
      <c r="U770" s="1128"/>
      <c r="V770" s="1128"/>
      <c r="W770" s="1128"/>
      <c r="X770" s="1128"/>
      <c r="Y770" s="1128"/>
      <c r="Z770" s="1128"/>
    </row>
    <row r="771" ht="22.5" customHeight="1">
      <c r="A771" s="1128"/>
      <c r="B771" s="1128"/>
      <c r="C771" s="1128"/>
      <c r="D771" s="1128"/>
      <c r="E771" s="1128"/>
      <c r="F771" s="1128"/>
      <c r="G771" s="1128"/>
      <c r="H771" s="1128"/>
      <c r="I771" s="1128"/>
      <c r="J771" s="1128"/>
      <c r="K771" s="1128"/>
      <c r="L771" s="1128"/>
      <c r="M771" s="1128"/>
      <c r="N771" s="1128"/>
      <c r="O771" s="1128"/>
      <c r="P771" s="1128"/>
      <c r="Q771" s="1128"/>
      <c r="R771" s="1128"/>
      <c r="S771" s="1128"/>
      <c r="T771" s="1128"/>
      <c r="U771" s="1128"/>
      <c r="V771" s="1128"/>
      <c r="W771" s="1128"/>
      <c r="X771" s="1128"/>
      <c r="Y771" s="1128"/>
      <c r="Z771" s="1128"/>
    </row>
    <row r="772" ht="22.5" customHeight="1">
      <c r="A772" s="1128"/>
      <c r="B772" s="1128"/>
      <c r="C772" s="1128"/>
      <c r="D772" s="1128"/>
      <c r="E772" s="1128"/>
      <c r="F772" s="1128"/>
      <c r="G772" s="1128"/>
      <c r="H772" s="1128"/>
      <c r="I772" s="1128"/>
      <c r="J772" s="1128"/>
      <c r="K772" s="1128"/>
      <c r="L772" s="1128"/>
      <c r="M772" s="1128"/>
      <c r="N772" s="1128"/>
      <c r="O772" s="1128"/>
      <c r="P772" s="1128"/>
      <c r="Q772" s="1128"/>
      <c r="R772" s="1128"/>
      <c r="S772" s="1128"/>
      <c r="T772" s="1128"/>
      <c r="U772" s="1128"/>
      <c r="V772" s="1128"/>
      <c r="W772" s="1128"/>
      <c r="X772" s="1128"/>
      <c r="Y772" s="1128"/>
      <c r="Z772" s="1128"/>
    </row>
    <row r="773" ht="22.5" customHeight="1">
      <c r="A773" s="1128"/>
      <c r="B773" s="1128"/>
      <c r="C773" s="1128"/>
      <c r="D773" s="1128"/>
      <c r="E773" s="1128"/>
      <c r="F773" s="1128"/>
      <c r="G773" s="1128"/>
      <c r="H773" s="1128"/>
      <c r="I773" s="1128"/>
      <c r="J773" s="1128"/>
      <c r="K773" s="1128"/>
      <c r="L773" s="1128"/>
      <c r="M773" s="1128"/>
      <c r="N773" s="1128"/>
      <c r="O773" s="1128"/>
      <c r="P773" s="1128"/>
      <c r="Q773" s="1128"/>
      <c r="R773" s="1128"/>
      <c r="S773" s="1128"/>
      <c r="T773" s="1128"/>
      <c r="U773" s="1128"/>
      <c r="V773" s="1128"/>
      <c r="W773" s="1128"/>
      <c r="X773" s="1128"/>
      <c r="Y773" s="1128"/>
      <c r="Z773" s="1128"/>
    </row>
    <row r="774" ht="22.5" customHeight="1">
      <c r="A774" s="1128"/>
      <c r="B774" s="1128"/>
      <c r="C774" s="1128"/>
      <c r="D774" s="1128"/>
      <c r="E774" s="1128"/>
      <c r="F774" s="1128"/>
      <c r="G774" s="1128"/>
      <c r="H774" s="1128"/>
      <c r="I774" s="1128"/>
      <c r="J774" s="1128"/>
      <c r="K774" s="1128"/>
      <c r="L774" s="1128"/>
      <c r="M774" s="1128"/>
      <c r="N774" s="1128"/>
      <c r="O774" s="1128"/>
      <c r="P774" s="1128"/>
      <c r="Q774" s="1128"/>
      <c r="R774" s="1128"/>
      <c r="S774" s="1128"/>
      <c r="T774" s="1128"/>
      <c r="U774" s="1128"/>
      <c r="V774" s="1128"/>
      <c r="W774" s="1128"/>
      <c r="X774" s="1128"/>
      <c r="Y774" s="1128"/>
      <c r="Z774" s="1128"/>
    </row>
    <row r="775" ht="22.5" customHeight="1">
      <c r="A775" s="1128"/>
      <c r="B775" s="1128"/>
      <c r="C775" s="1128"/>
      <c r="D775" s="1128"/>
      <c r="E775" s="1128"/>
      <c r="F775" s="1128"/>
      <c r="G775" s="1128"/>
      <c r="H775" s="1128"/>
      <c r="I775" s="1128"/>
      <c r="J775" s="1128"/>
      <c r="K775" s="1128"/>
      <c r="L775" s="1128"/>
      <c r="M775" s="1128"/>
      <c r="N775" s="1128"/>
      <c r="O775" s="1128"/>
      <c r="P775" s="1128"/>
      <c r="Q775" s="1128"/>
      <c r="R775" s="1128"/>
      <c r="S775" s="1128"/>
      <c r="T775" s="1128"/>
      <c r="U775" s="1128"/>
      <c r="V775" s="1128"/>
      <c r="W775" s="1128"/>
      <c r="X775" s="1128"/>
      <c r="Y775" s="1128"/>
      <c r="Z775" s="1128"/>
    </row>
    <row r="776" ht="22.5" customHeight="1">
      <c r="A776" s="1128"/>
      <c r="B776" s="1128"/>
      <c r="C776" s="1128"/>
      <c r="D776" s="1128"/>
      <c r="E776" s="1128"/>
      <c r="F776" s="1128"/>
      <c r="G776" s="1128"/>
      <c r="H776" s="1128"/>
      <c r="I776" s="1128"/>
      <c r="J776" s="1128"/>
      <c r="K776" s="1128"/>
      <c r="L776" s="1128"/>
      <c r="M776" s="1128"/>
      <c r="N776" s="1128"/>
      <c r="O776" s="1128"/>
      <c r="P776" s="1128"/>
      <c r="Q776" s="1128"/>
      <c r="R776" s="1128"/>
      <c r="S776" s="1128"/>
      <c r="T776" s="1128"/>
      <c r="U776" s="1128"/>
      <c r="V776" s="1128"/>
      <c r="W776" s="1128"/>
      <c r="X776" s="1128"/>
      <c r="Y776" s="1128"/>
      <c r="Z776" s="1128"/>
    </row>
    <row r="777" ht="22.5" customHeight="1">
      <c r="A777" s="1128"/>
      <c r="B777" s="1128"/>
      <c r="C777" s="1128"/>
      <c r="D777" s="1128"/>
      <c r="E777" s="1128"/>
      <c r="F777" s="1128"/>
      <c r="G777" s="1128"/>
      <c r="H777" s="1128"/>
      <c r="I777" s="1128"/>
      <c r="J777" s="1128"/>
      <c r="K777" s="1128"/>
      <c r="L777" s="1128"/>
      <c r="M777" s="1128"/>
      <c r="N777" s="1128"/>
      <c r="O777" s="1128"/>
      <c r="P777" s="1128"/>
      <c r="Q777" s="1128"/>
      <c r="R777" s="1128"/>
      <c r="S777" s="1128"/>
      <c r="T777" s="1128"/>
      <c r="U777" s="1128"/>
      <c r="V777" s="1128"/>
      <c r="W777" s="1128"/>
      <c r="X777" s="1128"/>
      <c r="Y777" s="1128"/>
      <c r="Z777" s="1128"/>
    </row>
    <row r="778" ht="22.5" customHeight="1">
      <c r="A778" s="1128"/>
      <c r="B778" s="1128"/>
      <c r="C778" s="1128"/>
      <c r="D778" s="1128"/>
      <c r="E778" s="1128"/>
      <c r="F778" s="1128"/>
      <c r="G778" s="1128"/>
      <c r="H778" s="1128"/>
      <c r="I778" s="1128"/>
      <c r="J778" s="1128"/>
      <c r="K778" s="1128"/>
      <c r="L778" s="1128"/>
      <c r="M778" s="1128"/>
      <c r="N778" s="1128"/>
      <c r="O778" s="1128"/>
      <c r="P778" s="1128"/>
      <c r="Q778" s="1128"/>
      <c r="R778" s="1128"/>
      <c r="S778" s="1128"/>
      <c r="T778" s="1128"/>
      <c r="U778" s="1128"/>
      <c r="V778" s="1128"/>
      <c r="W778" s="1128"/>
      <c r="X778" s="1128"/>
      <c r="Y778" s="1128"/>
      <c r="Z778" s="1128"/>
    </row>
    <row r="779" ht="22.5" customHeight="1">
      <c r="A779" s="1128"/>
      <c r="B779" s="1128"/>
      <c r="C779" s="1128"/>
      <c r="D779" s="1128"/>
      <c r="E779" s="1128"/>
      <c r="F779" s="1128"/>
      <c r="G779" s="1128"/>
      <c r="H779" s="1128"/>
      <c r="I779" s="1128"/>
      <c r="J779" s="1128"/>
      <c r="K779" s="1128"/>
      <c r="L779" s="1128"/>
      <c r="M779" s="1128"/>
      <c r="N779" s="1128"/>
      <c r="O779" s="1128"/>
      <c r="P779" s="1128"/>
      <c r="Q779" s="1128"/>
      <c r="R779" s="1128"/>
      <c r="S779" s="1128"/>
      <c r="T779" s="1128"/>
      <c r="U779" s="1128"/>
      <c r="V779" s="1128"/>
      <c r="W779" s="1128"/>
      <c r="X779" s="1128"/>
      <c r="Y779" s="1128"/>
      <c r="Z779" s="1128"/>
    </row>
    <row r="780" ht="22.5" customHeight="1">
      <c r="A780" s="1128"/>
      <c r="B780" s="1128"/>
      <c r="C780" s="1128"/>
      <c r="D780" s="1128"/>
      <c r="E780" s="1128"/>
      <c r="F780" s="1128"/>
      <c r="G780" s="1128"/>
      <c r="H780" s="1128"/>
      <c r="I780" s="1128"/>
      <c r="J780" s="1128"/>
      <c r="K780" s="1128"/>
      <c r="L780" s="1128"/>
      <c r="M780" s="1128"/>
      <c r="N780" s="1128"/>
      <c r="O780" s="1128"/>
      <c r="P780" s="1128"/>
      <c r="Q780" s="1128"/>
      <c r="R780" s="1128"/>
      <c r="S780" s="1128"/>
      <c r="T780" s="1128"/>
      <c r="U780" s="1128"/>
      <c r="V780" s="1128"/>
      <c r="W780" s="1128"/>
      <c r="X780" s="1128"/>
      <c r="Y780" s="1128"/>
      <c r="Z780" s="1128"/>
    </row>
    <row r="781" ht="22.5" customHeight="1">
      <c r="A781" s="1128"/>
      <c r="B781" s="1128"/>
      <c r="C781" s="1128"/>
      <c r="D781" s="1128"/>
      <c r="E781" s="1128"/>
      <c r="F781" s="1128"/>
      <c r="G781" s="1128"/>
      <c r="H781" s="1128"/>
      <c r="I781" s="1128"/>
      <c r="J781" s="1128"/>
      <c r="K781" s="1128"/>
      <c r="L781" s="1128"/>
      <c r="M781" s="1128"/>
      <c r="N781" s="1128"/>
      <c r="O781" s="1128"/>
      <c r="P781" s="1128"/>
      <c r="Q781" s="1128"/>
      <c r="R781" s="1128"/>
      <c r="S781" s="1128"/>
      <c r="T781" s="1128"/>
      <c r="U781" s="1128"/>
      <c r="V781" s="1128"/>
      <c r="W781" s="1128"/>
      <c r="X781" s="1128"/>
      <c r="Y781" s="1128"/>
      <c r="Z781" s="1128"/>
    </row>
    <row r="782" ht="22.5" customHeight="1">
      <c r="A782" s="1128"/>
      <c r="B782" s="1128"/>
      <c r="C782" s="1128"/>
      <c r="D782" s="1128"/>
      <c r="E782" s="1128"/>
      <c r="F782" s="1128"/>
      <c r="G782" s="1128"/>
      <c r="H782" s="1128"/>
      <c r="I782" s="1128"/>
      <c r="J782" s="1128"/>
      <c r="K782" s="1128"/>
      <c r="L782" s="1128"/>
      <c r="M782" s="1128"/>
      <c r="N782" s="1128"/>
      <c r="O782" s="1128"/>
      <c r="P782" s="1128"/>
      <c r="Q782" s="1128"/>
      <c r="R782" s="1128"/>
      <c r="S782" s="1128"/>
      <c r="T782" s="1128"/>
      <c r="U782" s="1128"/>
      <c r="V782" s="1128"/>
      <c r="W782" s="1128"/>
      <c r="X782" s="1128"/>
      <c r="Y782" s="1128"/>
      <c r="Z782" s="1128"/>
    </row>
    <row r="783" ht="22.5" customHeight="1">
      <c r="A783" s="1128"/>
      <c r="B783" s="1128"/>
      <c r="C783" s="1128"/>
      <c r="D783" s="1128"/>
      <c r="E783" s="1128"/>
      <c r="F783" s="1128"/>
      <c r="G783" s="1128"/>
      <c r="H783" s="1128"/>
      <c r="I783" s="1128"/>
      <c r="J783" s="1128"/>
      <c r="K783" s="1128"/>
      <c r="L783" s="1128"/>
      <c r="M783" s="1128"/>
      <c r="N783" s="1128"/>
      <c r="O783" s="1128"/>
      <c r="P783" s="1128"/>
      <c r="Q783" s="1128"/>
      <c r="R783" s="1128"/>
      <c r="S783" s="1128"/>
      <c r="T783" s="1128"/>
      <c r="U783" s="1128"/>
      <c r="V783" s="1128"/>
      <c r="W783" s="1128"/>
      <c r="X783" s="1128"/>
      <c r="Y783" s="1128"/>
      <c r="Z783" s="1128"/>
    </row>
    <row r="784" ht="22.5" customHeight="1">
      <c r="A784" s="1128"/>
      <c r="B784" s="1128"/>
      <c r="C784" s="1128"/>
      <c r="D784" s="1128"/>
      <c r="E784" s="1128"/>
      <c r="F784" s="1128"/>
      <c r="G784" s="1128"/>
      <c r="H784" s="1128"/>
      <c r="I784" s="1128"/>
      <c r="J784" s="1128"/>
      <c r="K784" s="1128"/>
      <c r="L784" s="1128"/>
      <c r="M784" s="1128"/>
      <c r="N784" s="1128"/>
      <c r="O784" s="1128"/>
      <c r="P784" s="1128"/>
      <c r="Q784" s="1128"/>
      <c r="R784" s="1128"/>
      <c r="S784" s="1128"/>
      <c r="T784" s="1128"/>
      <c r="U784" s="1128"/>
      <c r="V784" s="1128"/>
      <c r="W784" s="1128"/>
      <c r="X784" s="1128"/>
      <c r="Y784" s="1128"/>
      <c r="Z784" s="1128"/>
    </row>
    <row r="785" ht="22.5" customHeight="1">
      <c r="A785" s="1128"/>
      <c r="B785" s="1128"/>
      <c r="C785" s="1128"/>
      <c r="D785" s="1128"/>
      <c r="E785" s="1128"/>
      <c r="F785" s="1128"/>
      <c r="G785" s="1128"/>
      <c r="H785" s="1128"/>
      <c r="I785" s="1128"/>
      <c r="J785" s="1128"/>
      <c r="K785" s="1128"/>
      <c r="L785" s="1128"/>
      <c r="M785" s="1128"/>
      <c r="N785" s="1128"/>
      <c r="O785" s="1128"/>
      <c r="P785" s="1128"/>
      <c r="Q785" s="1128"/>
      <c r="R785" s="1128"/>
      <c r="S785" s="1128"/>
      <c r="T785" s="1128"/>
      <c r="U785" s="1128"/>
      <c r="V785" s="1128"/>
      <c r="W785" s="1128"/>
      <c r="X785" s="1128"/>
      <c r="Y785" s="1128"/>
      <c r="Z785" s="1128"/>
    </row>
    <row r="786" ht="22.5" customHeight="1">
      <c r="A786" s="1128"/>
      <c r="B786" s="1128"/>
      <c r="C786" s="1128"/>
      <c r="D786" s="1128"/>
      <c r="E786" s="1128"/>
      <c r="F786" s="1128"/>
      <c r="G786" s="1128"/>
      <c r="H786" s="1128"/>
      <c r="I786" s="1128"/>
      <c r="J786" s="1128"/>
      <c r="K786" s="1128"/>
      <c r="L786" s="1128"/>
      <c r="M786" s="1128"/>
      <c r="N786" s="1128"/>
      <c r="O786" s="1128"/>
      <c r="P786" s="1128"/>
      <c r="Q786" s="1128"/>
      <c r="R786" s="1128"/>
      <c r="S786" s="1128"/>
      <c r="T786" s="1128"/>
      <c r="U786" s="1128"/>
      <c r="V786" s="1128"/>
      <c r="W786" s="1128"/>
      <c r="X786" s="1128"/>
      <c r="Y786" s="1128"/>
      <c r="Z786" s="1128"/>
    </row>
    <row r="787" ht="22.5" customHeight="1">
      <c r="A787" s="1128"/>
      <c r="B787" s="1128"/>
      <c r="C787" s="1128"/>
      <c r="D787" s="1128"/>
      <c r="E787" s="1128"/>
      <c r="F787" s="1128"/>
      <c r="G787" s="1128"/>
      <c r="H787" s="1128"/>
      <c r="I787" s="1128"/>
      <c r="J787" s="1128"/>
      <c r="K787" s="1128"/>
      <c r="L787" s="1128"/>
      <c r="M787" s="1128"/>
      <c r="N787" s="1128"/>
      <c r="O787" s="1128"/>
      <c r="P787" s="1128"/>
      <c r="Q787" s="1128"/>
      <c r="R787" s="1128"/>
      <c r="S787" s="1128"/>
      <c r="T787" s="1128"/>
      <c r="U787" s="1128"/>
      <c r="V787" s="1128"/>
      <c r="W787" s="1128"/>
      <c r="X787" s="1128"/>
      <c r="Y787" s="1128"/>
      <c r="Z787" s="1128"/>
    </row>
    <row r="788" ht="22.5" customHeight="1">
      <c r="A788" s="1128"/>
      <c r="B788" s="1128"/>
      <c r="C788" s="1128"/>
      <c r="D788" s="1128"/>
      <c r="E788" s="1128"/>
      <c r="F788" s="1128"/>
      <c r="G788" s="1128"/>
      <c r="H788" s="1128"/>
      <c r="I788" s="1128"/>
      <c r="J788" s="1128"/>
      <c r="K788" s="1128"/>
      <c r="L788" s="1128"/>
      <c r="M788" s="1128"/>
      <c r="N788" s="1128"/>
      <c r="O788" s="1128"/>
      <c r="P788" s="1128"/>
      <c r="Q788" s="1128"/>
      <c r="R788" s="1128"/>
      <c r="S788" s="1128"/>
      <c r="T788" s="1128"/>
      <c r="U788" s="1128"/>
      <c r="V788" s="1128"/>
      <c r="W788" s="1128"/>
      <c r="X788" s="1128"/>
      <c r="Y788" s="1128"/>
      <c r="Z788" s="1128"/>
    </row>
    <row r="789" ht="22.5" customHeight="1">
      <c r="A789" s="1128"/>
      <c r="B789" s="1128"/>
      <c r="C789" s="1128"/>
      <c r="D789" s="1128"/>
      <c r="E789" s="1128"/>
      <c r="F789" s="1128"/>
      <c r="G789" s="1128"/>
      <c r="H789" s="1128"/>
      <c r="I789" s="1128"/>
      <c r="J789" s="1128"/>
      <c r="K789" s="1128"/>
      <c r="L789" s="1128"/>
      <c r="M789" s="1128"/>
      <c r="N789" s="1128"/>
      <c r="O789" s="1128"/>
      <c r="P789" s="1128"/>
      <c r="Q789" s="1128"/>
      <c r="R789" s="1128"/>
      <c r="S789" s="1128"/>
      <c r="T789" s="1128"/>
      <c r="U789" s="1128"/>
      <c r="V789" s="1128"/>
      <c r="W789" s="1128"/>
      <c r="X789" s="1128"/>
      <c r="Y789" s="1128"/>
      <c r="Z789" s="1128"/>
    </row>
    <row r="790" ht="22.5" customHeight="1">
      <c r="A790" s="1128"/>
      <c r="B790" s="1128"/>
      <c r="C790" s="1128"/>
      <c r="D790" s="1128"/>
      <c r="E790" s="1128"/>
      <c r="F790" s="1128"/>
      <c r="G790" s="1128"/>
      <c r="H790" s="1128"/>
      <c r="I790" s="1128"/>
      <c r="J790" s="1128"/>
      <c r="K790" s="1128"/>
      <c r="L790" s="1128"/>
      <c r="M790" s="1128"/>
      <c r="N790" s="1128"/>
      <c r="O790" s="1128"/>
      <c r="P790" s="1128"/>
      <c r="Q790" s="1128"/>
      <c r="R790" s="1128"/>
      <c r="S790" s="1128"/>
      <c r="T790" s="1128"/>
      <c r="U790" s="1128"/>
      <c r="V790" s="1128"/>
      <c r="W790" s="1128"/>
      <c r="X790" s="1128"/>
      <c r="Y790" s="1128"/>
      <c r="Z790" s="1128"/>
    </row>
    <row r="791" ht="22.5" customHeight="1">
      <c r="A791" s="1128"/>
      <c r="B791" s="1128"/>
      <c r="C791" s="1128"/>
      <c r="D791" s="1128"/>
      <c r="E791" s="1128"/>
      <c r="F791" s="1128"/>
      <c r="G791" s="1128"/>
      <c r="H791" s="1128"/>
      <c r="I791" s="1128"/>
      <c r="J791" s="1128"/>
      <c r="K791" s="1128"/>
      <c r="L791" s="1128"/>
      <c r="M791" s="1128"/>
      <c r="N791" s="1128"/>
      <c r="O791" s="1128"/>
      <c r="P791" s="1128"/>
      <c r="Q791" s="1128"/>
      <c r="R791" s="1128"/>
      <c r="S791" s="1128"/>
      <c r="T791" s="1128"/>
      <c r="U791" s="1128"/>
      <c r="V791" s="1128"/>
      <c r="W791" s="1128"/>
      <c r="X791" s="1128"/>
      <c r="Y791" s="1128"/>
      <c r="Z791" s="1128"/>
    </row>
    <row r="792" ht="22.5" customHeight="1">
      <c r="A792" s="1128"/>
      <c r="B792" s="1128"/>
      <c r="C792" s="1128"/>
      <c r="D792" s="1128"/>
      <c r="E792" s="1128"/>
      <c r="F792" s="1128"/>
      <c r="G792" s="1128"/>
      <c r="H792" s="1128"/>
      <c r="I792" s="1128"/>
      <c r="J792" s="1128"/>
      <c r="K792" s="1128"/>
      <c r="L792" s="1128"/>
      <c r="M792" s="1128"/>
      <c r="N792" s="1128"/>
      <c r="O792" s="1128"/>
      <c r="P792" s="1128"/>
      <c r="Q792" s="1128"/>
      <c r="R792" s="1128"/>
      <c r="S792" s="1128"/>
      <c r="T792" s="1128"/>
      <c r="U792" s="1128"/>
      <c r="V792" s="1128"/>
      <c r="W792" s="1128"/>
      <c r="X792" s="1128"/>
      <c r="Y792" s="1128"/>
      <c r="Z792" s="1128"/>
    </row>
    <row r="793" ht="22.5" customHeight="1">
      <c r="A793" s="1128"/>
      <c r="B793" s="1128"/>
      <c r="C793" s="1128"/>
      <c r="D793" s="1128"/>
      <c r="E793" s="1128"/>
      <c r="F793" s="1128"/>
      <c r="G793" s="1128"/>
      <c r="H793" s="1128"/>
      <c r="I793" s="1128"/>
      <c r="J793" s="1128"/>
      <c r="K793" s="1128"/>
      <c r="L793" s="1128"/>
      <c r="M793" s="1128"/>
      <c r="N793" s="1128"/>
      <c r="O793" s="1128"/>
      <c r="P793" s="1128"/>
      <c r="Q793" s="1128"/>
      <c r="R793" s="1128"/>
      <c r="S793" s="1128"/>
      <c r="T793" s="1128"/>
      <c r="U793" s="1128"/>
      <c r="V793" s="1128"/>
      <c r="W793" s="1128"/>
      <c r="X793" s="1128"/>
      <c r="Y793" s="1128"/>
      <c r="Z793" s="1128"/>
    </row>
    <row r="794" ht="22.5" customHeight="1">
      <c r="A794" s="1128"/>
      <c r="B794" s="1128"/>
      <c r="C794" s="1128"/>
      <c r="D794" s="1128"/>
      <c r="E794" s="1128"/>
      <c r="F794" s="1128"/>
      <c r="G794" s="1128"/>
      <c r="H794" s="1128"/>
      <c r="I794" s="1128"/>
      <c r="J794" s="1128"/>
      <c r="K794" s="1128"/>
      <c r="L794" s="1128"/>
      <c r="M794" s="1128"/>
      <c r="N794" s="1128"/>
      <c r="O794" s="1128"/>
      <c r="P794" s="1128"/>
      <c r="Q794" s="1128"/>
      <c r="R794" s="1128"/>
      <c r="S794" s="1128"/>
      <c r="T794" s="1128"/>
      <c r="U794" s="1128"/>
      <c r="V794" s="1128"/>
      <c r="W794" s="1128"/>
      <c r="X794" s="1128"/>
      <c r="Y794" s="1128"/>
      <c r="Z794" s="1128"/>
    </row>
    <row r="795" ht="22.5" customHeight="1">
      <c r="A795" s="1128"/>
      <c r="B795" s="1128"/>
      <c r="C795" s="1128"/>
      <c r="D795" s="1128"/>
      <c r="E795" s="1128"/>
      <c r="F795" s="1128"/>
      <c r="G795" s="1128"/>
      <c r="H795" s="1128"/>
      <c r="I795" s="1128"/>
      <c r="J795" s="1128"/>
      <c r="K795" s="1128"/>
      <c r="L795" s="1128"/>
      <c r="M795" s="1128"/>
      <c r="N795" s="1128"/>
      <c r="O795" s="1128"/>
      <c r="P795" s="1128"/>
      <c r="Q795" s="1128"/>
      <c r="R795" s="1128"/>
      <c r="S795" s="1128"/>
      <c r="T795" s="1128"/>
      <c r="U795" s="1128"/>
      <c r="V795" s="1128"/>
      <c r="W795" s="1128"/>
      <c r="X795" s="1128"/>
      <c r="Y795" s="1128"/>
      <c r="Z795" s="1128"/>
    </row>
    <row r="796" ht="22.5" customHeight="1">
      <c r="A796" s="1128"/>
      <c r="B796" s="1128"/>
      <c r="C796" s="1128"/>
      <c r="D796" s="1128"/>
      <c r="E796" s="1128"/>
      <c r="F796" s="1128"/>
      <c r="G796" s="1128"/>
      <c r="H796" s="1128"/>
      <c r="I796" s="1128"/>
      <c r="J796" s="1128"/>
      <c r="K796" s="1128"/>
      <c r="L796" s="1128"/>
      <c r="M796" s="1128"/>
      <c r="N796" s="1128"/>
      <c r="O796" s="1128"/>
      <c r="P796" s="1128"/>
      <c r="Q796" s="1128"/>
      <c r="R796" s="1128"/>
      <c r="S796" s="1128"/>
      <c r="T796" s="1128"/>
      <c r="U796" s="1128"/>
      <c r="V796" s="1128"/>
      <c r="W796" s="1128"/>
      <c r="X796" s="1128"/>
      <c r="Y796" s="1128"/>
      <c r="Z796" s="1128"/>
    </row>
    <row r="797" ht="22.5" customHeight="1">
      <c r="A797" s="1128"/>
      <c r="B797" s="1128"/>
      <c r="C797" s="1128"/>
      <c r="D797" s="1128"/>
      <c r="E797" s="1128"/>
      <c r="F797" s="1128"/>
      <c r="G797" s="1128"/>
      <c r="H797" s="1128"/>
      <c r="I797" s="1128"/>
      <c r="J797" s="1128"/>
      <c r="K797" s="1128"/>
      <c r="L797" s="1128"/>
      <c r="M797" s="1128"/>
      <c r="N797" s="1128"/>
      <c r="O797" s="1128"/>
      <c r="P797" s="1128"/>
      <c r="Q797" s="1128"/>
      <c r="R797" s="1128"/>
      <c r="S797" s="1128"/>
      <c r="T797" s="1128"/>
      <c r="U797" s="1128"/>
      <c r="V797" s="1128"/>
      <c r="W797" s="1128"/>
      <c r="X797" s="1128"/>
      <c r="Y797" s="1128"/>
      <c r="Z797" s="1128"/>
    </row>
    <row r="798" ht="22.5" customHeight="1">
      <c r="A798" s="1128"/>
      <c r="B798" s="1128"/>
      <c r="C798" s="1128"/>
      <c r="D798" s="1128"/>
      <c r="E798" s="1128"/>
      <c r="F798" s="1128"/>
      <c r="G798" s="1128"/>
      <c r="H798" s="1128"/>
      <c r="I798" s="1128"/>
      <c r="J798" s="1128"/>
      <c r="K798" s="1128"/>
      <c r="L798" s="1128"/>
      <c r="M798" s="1128"/>
      <c r="N798" s="1128"/>
      <c r="O798" s="1128"/>
      <c r="P798" s="1128"/>
      <c r="Q798" s="1128"/>
      <c r="R798" s="1128"/>
      <c r="S798" s="1128"/>
      <c r="T798" s="1128"/>
      <c r="U798" s="1128"/>
      <c r="V798" s="1128"/>
      <c r="W798" s="1128"/>
      <c r="X798" s="1128"/>
      <c r="Y798" s="1128"/>
      <c r="Z798" s="1128"/>
    </row>
    <row r="799" ht="22.5" customHeight="1">
      <c r="A799" s="1128"/>
      <c r="B799" s="1128"/>
      <c r="C799" s="1128"/>
      <c r="D799" s="1128"/>
      <c r="E799" s="1128"/>
      <c r="F799" s="1128"/>
      <c r="G799" s="1128"/>
      <c r="H799" s="1128"/>
      <c r="I799" s="1128"/>
      <c r="J799" s="1128"/>
      <c r="K799" s="1128"/>
      <c r="L799" s="1128"/>
      <c r="M799" s="1128"/>
      <c r="N799" s="1128"/>
      <c r="O799" s="1128"/>
      <c r="P799" s="1128"/>
      <c r="Q799" s="1128"/>
      <c r="R799" s="1128"/>
      <c r="S799" s="1128"/>
      <c r="T799" s="1128"/>
      <c r="U799" s="1128"/>
      <c r="V799" s="1128"/>
      <c r="W799" s="1128"/>
      <c r="X799" s="1128"/>
      <c r="Y799" s="1128"/>
      <c r="Z799" s="1128"/>
    </row>
    <row r="800" ht="22.5" customHeight="1">
      <c r="A800" s="1128"/>
      <c r="B800" s="1128"/>
      <c r="C800" s="1128"/>
      <c r="D800" s="1128"/>
      <c r="E800" s="1128"/>
      <c r="F800" s="1128"/>
      <c r="G800" s="1128"/>
      <c r="H800" s="1128"/>
      <c r="I800" s="1128"/>
      <c r="J800" s="1128"/>
      <c r="K800" s="1128"/>
      <c r="L800" s="1128"/>
      <c r="M800" s="1128"/>
      <c r="N800" s="1128"/>
      <c r="O800" s="1128"/>
      <c r="P800" s="1128"/>
      <c r="Q800" s="1128"/>
      <c r="R800" s="1128"/>
      <c r="S800" s="1128"/>
      <c r="T800" s="1128"/>
      <c r="U800" s="1128"/>
      <c r="V800" s="1128"/>
      <c r="W800" s="1128"/>
      <c r="X800" s="1128"/>
      <c r="Y800" s="1128"/>
      <c r="Z800" s="1128"/>
    </row>
    <row r="801" ht="22.5" customHeight="1">
      <c r="A801" s="1128"/>
      <c r="B801" s="1128"/>
      <c r="C801" s="1128"/>
      <c r="D801" s="1128"/>
      <c r="E801" s="1128"/>
      <c r="F801" s="1128"/>
      <c r="G801" s="1128"/>
      <c r="H801" s="1128"/>
      <c r="I801" s="1128"/>
      <c r="J801" s="1128"/>
      <c r="K801" s="1128"/>
      <c r="L801" s="1128"/>
      <c r="M801" s="1128"/>
      <c r="N801" s="1128"/>
      <c r="O801" s="1128"/>
      <c r="P801" s="1128"/>
      <c r="Q801" s="1128"/>
      <c r="R801" s="1128"/>
      <c r="S801" s="1128"/>
      <c r="T801" s="1128"/>
      <c r="U801" s="1128"/>
      <c r="V801" s="1128"/>
      <c r="W801" s="1128"/>
      <c r="X801" s="1128"/>
      <c r="Y801" s="1128"/>
      <c r="Z801" s="1128"/>
    </row>
    <row r="802" ht="22.5" customHeight="1">
      <c r="A802" s="1128"/>
      <c r="B802" s="1128"/>
      <c r="C802" s="1128"/>
      <c r="D802" s="1128"/>
      <c r="E802" s="1128"/>
      <c r="F802" s="1128"/>
      <c r="G802" s="1128"/>
      <c r="H802" s="1128"/>
      <c r="I802" s="1128"/>
      <c r="J802" s="1128"/>
      <c r="K802" s="1128"/>
      <c r="L802" s="1128"/>
      <c r="M802" s="1128"/>
      <c r="N802" s="1128"/>
      <c r="O802" s="1128"/>
      <c r="P802" s="1128"/>
      <c r="Q802" s="1128"/>
      <c r="R802" s="1128"/>
      <c r="S802" s="1128"/>
      <c r="T802" s="1128"/>
      <c r="U802" s="1128"/>
      <c r="V802" s="1128"/>
      <c r="W802" s="1128"/>
      <c r="X802" s="1128"/>
      <c r="Y802" s="1128"/>
      <c r="Z802" s="1128"/>
    </row>
    <row r="803" ht="22.5" customHeight="1">
      <c r="A803" s="1128"/>
      <c r="B803" s="1128"/>
      <c r="C803" s="1128"/>
      <c r="D803" s="1128"/>
      <c r="E803" s="1128"/>
      <c r="F803" s="1128"/>
      <c r="G803" s="1128"/>
      <c r="H803" s="1128"/>
      <c r="I803" s="1128"/>
      <c r="J803" s="1128"/>
      <c r="K803" s="1128"/>
      <c r="L803" s="1128"/>
      <c r="M803" s="1128"/>
      <c r="N803" s="1128"/>
      <c r="O803" s="1128"/>
      <c r="P803" s="1128"/>
      <c r="Q803" s="1128"/>
      <c r="R803" s="1128"/>
      <c r="S803" s="1128"/>
      <c r="T803" s="1128"/>
      <c r="U803" s="1128"/>
      <c r="V803" s="1128"/>
      <c r="W803" s="1128"/>
      <c r="X803" s="1128"/>
      <c r="Y803" s="1128"/>
      <c r="Z803" s="1128"/>
    </row>
    <row r="804" ht="22.5" customHeight="1">
      <c r="A804" s="1128"/>
      <c r="B804" s="1128"/>
      <c r="C804" s="1128"/>
      <c r="D804" s="1128"/>
      <c r="E804" s="1128"/>
      <c r="F804" s="1128"/>
      <c r="G804" s="1128"/>
      <c r="H804" s="1128"/>
      <c r="I804" s="1128"/>
      <c r="J804" s="1128"/>
      <c r="K804" s="1128"/>
      <c r="L804" s="1128"/>
      <c r="M804" s="1128"/>
      <c r="N804" s="1128"/>
      <c r="O804" s="1128"/>
      <c r="P804" s="1128"/>
      <c r="Q804" s="1128"/>
      <c r="R804" s="1128"/>
      <c r="S804" s="1128"/>
      <c r="T804" s="1128"/>
      <c r="U804" s="1128"/>
      <c r="V804" s="1128"/>
      <c r="W804" s="1128"/>
      <c r="X804" s="1128"/>
      <c r="Y804" s="1128"/>
      <c r="Z804" s="1128"/>
    </row>
    <row r="805" ht="22.5" customHeight="1">
      <c r="A805" s="1128"/>
      <c r="B805" s="1128"/>
      <c r="C805" s="1128"/>
      <c r="D805" s="1128"/>
      <c r="E805" s="1128"/>
      <c r="F805" s="1128"/>
      <c r="G805" s="1128"/>
      <c r="H805" s="1128"/>
      <c r="I805" s="1128"/>
      <c r="J805" s="1128"/>
      <c r="K805" s="1128"/>
      <c r="L805" s="1128"/>
      <c r="M805" s="1128"/>
      <c r="N805" s="1128"/>
      <c r="O805" s="1128"/>
      <c r="P805" s="1128"/>
      <c r="Q805" s="1128"/>
      <c r="R805" s="1128"/>
      <c r="S805" s="1128"/>
      <c r="T805" s="1128"/>
      <c r="U805" s="1128"/>
      <c r="V805" s="1128"/>
      <c r="W805" s="1128"/>
      <c r="X805" s="1128"/>
      <c r="Y805" s="1128"/>
      <c r="Z805" s="1128"/>
    </row>
    <row r="806" ht="22.5" customHeight="1">
      <c r="A806" s="1128"/>
      <c r="B806" s="1128"/>
      <c r="C806" s="1128"/>
      <c r="D806" s="1128"/>
      <c r="E806" s="1128"/>
      <c r="F806" s="1128"/>
      <c r="G806" s="1128"/>
      <c r="H806" s="1128"/>
      <c r="I806" s="1128"/>
      <c r="J806" s="1128"/>
      <c r="K806" s="1128"/>
      <c r="L806" s="1128"/>
      <c r="M806" s="1128"/>
      <c r="N806" s="1128"/>
      <c r="O806" s="1128"/>
      <c r="P806" s="1128"/>
      <c r="Q806" s="1128"/>
      <c r="R806" s="1128"/>
      <c r="S806" s="1128"/>
      <c r="T806" s="1128"/>
      <c r="U806" s="1128"/>
      <c r="V806" s="1128"/>
      <c r="W806" s="1128"/>
      <c r="X806" s="1128"/>
      <c r="Y806" s="1128"/>
      <c r="Z806" s="1128"/>
    </row>
    <row r="807" ht="22.5" customHeight="1">
      <c r="A807" s="1128"/>
      <c r="B807" s="1128"/>
      <c r="C807" s="1128"/>
      <c r="D807" s="1128"/>
      <c r="E807" s="1128"/>
      <c r="F807" s="1128"/>
      <c r="G807" s="1128"/>
      <c r="H807" s="1128"/>
      <c r="I807" s="1128"/>
      <c r="J807" s="1128"/>
      <c r="K807" s="1128"/>
      <c r="L807" s="1128"/>
      <c r="M807" s="1128"/>
      <c r="N807" s="1128"/>
      <c r="O807" s="1128"/>
      <c r="P807" s="1128"/>
      <c r="Q807" s="1128"/>
      <c r="R807" s="1128"/>
      <c r="S807" s="1128"/>
      <c r="T807" s="1128"/>
      <c r="U807" s="1128"/>
      <c r="V807" s="1128"/>
      <c r="W807" s="1128"/>
      <c r="X807" s="1128"/>
      <c r="Y807" s="1128"/>
      <c r="Z807" s="1128"/>
    </row>
    <row r="808" ht="22.5" customHeight="1">
      <c r="A808" s="1128"/>
      <c r="B808" s="1128"/>
      <c r="C808" s="1128"/>
      <c r="D808" s="1128"/>
      <c r="E808" s="1128"/>
      <c r="F808" s="1128"/>
      <c r="G808" s="1128"/>
      <c r="H808" s="1128"/>
      <c r="I808" s="1128"/>
      <c r="J808" s="1128"/>
      <c r="K808" s="1128"/>
      <c r="L808" s="1128"/>
      <c r="M808" s="1128"/>
      <c r="N808" s="1128"/>
      <c r="O808" s="1128"/>
      <c r="P808" s="1128"/>
      <c r="Q808" s="1128"/>
      <c r="R808" s="1128"/>
      <c r="S808" s="1128"/>
      <c r="T808" s="1128"/>
      <c r="U808" s="1128"/>
      <c r="V808" s="1128"/>
      <c r="W808" s="1128"/>
      <c r="X808" s="1128"/>
      <c r="Y808" s="1128"/>
      <c r="Z808" s="1128"/>
    </row>
    <row r="809" ht="22.5" customHeight="1">
      <c r="A809" s="1128"/>
      <c r="B809" s="1128"/>
      <c r="C809" s="1128"/>
      <c r="D809" s="1128"/>
      <c r="E809" s="1128"/>
      <c r="F809" s="1128"/>
      <c r="G809" s="1128"/>
      <c r="H809" s="1128"/>
      <c r="I809" s="1128"/>
      <c r="J809" s="1128"/>
      <c r="K809" s="1128"/>
      <c r="L809" s="1128"/>
      <c r="M809" s="1128"/>
      <c r="N809" s="1128"/>
      <c r="O809" s="1128"/>
      <c r="P809" s="1128"/>
      <c r="Q809" s="1128"/>
      <c r="R809" s="1128"/>
      <c r="S809" s="1128"/>
      <c r="T809" s="1128"/>
      <c r="U809" s="1128"/>
      <c r="V809" s="1128"/>
      <c r="W809" s="1128"/>
      <c r="X809" s="1128"/>
      <c r="Y809" s="1128"/>
      <c r="Z809" s="1128"/>
    </row>
    <row r="810" ht="22.5" customHeight="1">
      <c r="A810" s="1128"/>
      <c r="B810" s="1128"/>
      <c r="C810" s="1128"/>
      <c r="D810" s="1128"/>
      <c r="E810" s="1128"/>
      <c r="F810" s="1128"/>
      <c r="G810" s="1128"/>
      <c r="H810" s="1128"/>
      <c r="I810" s="1128"/>
      <c r="J810" s="1128"/>
      <c r="K810" s="1128"/>
      <c r="L810" s="1128"/>
      <c r="M810" s="1128"/>
      <c r="N810" s="1128"/>
      <c r="O810" s="1128"/>
      <c r="P810" s="1128"/>
      <c r="Q810" s="1128"/>
      <c r="R810" s="1128"/>
      <c r="S810" s="1128"/>
      <c r="T810" s="1128"/>
      <c r="U810" s="1128"/>
      <c r="V810" s="1128"/>
      <c r="W810" s="1128"/>
      <c r="X810" s="1128"/>
      <c r="Y810" s="1128"/>
      <c r="Z810" s="1128"/>
    </row>
    <row r="811" ht="22.5" customHeight="1">
      <c r="A811" s="1128"/>
      <c r="B811" s="1128"/>
      <c r="C811" s="1128"/>
      <c r="D811" s="1128"/>
      <c r="E811" s="1128"/>
      <c r="F811" s="1128"/>
      <c r="G811" s="1128"/>
      <c r="H811" s="1128"/>
      <c r="I811" s="1128"/>
      <c r="J811" s="1128"/>
      <c r="K811" s="1128"/>
      <c r="L811" s="1128"/>
      <c r="M811" s="1128"/>
      <c r="N811" s="1128"/>
      <c r="O811" s="1128"/>
      <c r="P811" s="1128"/>
      <c r="Q811" s="1128"/>
      <c r="R811" s="1128"/>
      <c r="S811" s="1128"/>
      <c r="T811" s="1128"/>
      <c r="U811" s="1128"/>
      <c r="V811" s="1128"/>
      <c r="W811" s="1128"/>
      <c r="X811" s="1128"/>
      <c r="Y811" s="1128"/>
      <c r="Z811" s="1128"/>
    </row>
    <row r="812" ht="22.5" customHeight="1">
      <c r="A812" s="1128"/>
      <c r="B812" s="1128"/>
      <c r="C812" s="1128"/>
      <c r="D812" s="1128"/>
      <c r="E812" s="1128"/>
      <c r="F812" s="1128"/>
      <c r="G812" s="1128"/>
      <c r="H812" s="1128"/>
      <c r="I812" s="1128"/>
      <c r="J812" s="1128"/>
      <c r="K812" s="1128"/>
      <c r="L812" s="1128"/>
      <c r="M812" s="1128"/>
      <c r="N812" s="1128"/>
      <c r="O812" s="1128"/>
      <c r="P812" s="1128"/>
      <c r="Q812" s="1128"/>
      <c r="R812" s="1128"/>
      <c r="S812" s="1128"/>
      <c r="T812" s="1128"/>
      <c r="U812" s="1128"/>
      <c r="V812" s="1128"/>
      <c r="W812" s="1128"/>
      <c r="X812" s="1128"/>
      <c r="Y812" s="1128"/>
      <c r="Z812" s="1128"/>
    </row>
    <row r="813" ht="22.5" customHeight="1">
      <c r="A813" s="1128"/>
      <c r="B813" s="1128"/>
      <c r="C813" s="1128"/>
      <c r="D813" s="1128"/>
      <c r="E813" s="1128"/>
      <c r="F813" s="1128"/>
      <c r="G813" s="1128"/>
      <c r="H813" s="1128"/>
      <c r="I813" s="1128"/>
      <c r="J813" s="1128"/>
      <c r="K813" s="1128"/>
      <c r="L813" s="1128"/>
      <c r="M813" s="1128"/>
      <c r="N813" s="1128"/>
      <c r="O813" s="1128"/>
      <c r="P813" s="1128"/>
      <c r="Q813" s="1128"/>
      <c r="R813" s="1128"/>
      <c r="S813" s="1128"/>
      <c r="T813" s="1128"/>
      <c r="U813" s="1128"/>
      <c r="V813" s="1128"/>
      <c r="W813" s="1128"/>
      <c r="X813" s="1128"/>
      <c r="Y813" s="1128"/>
      <c r="Z813" s="1128"/>
    </row>
    <row r="814" ht="22.5" customHeight="1">
      <c r="A814" s="1128"/>
      <c r="B814" s="1128"/>
      <c r="C814" s="1128"/>
      <c r="D814" s="1128"/>
      <c r="E814" s="1128"/>
      <c r="F814" s="1128"/>
      <c r="G814" s="1128"/>
      <c r="H814" s="1128"/>
      <c r="I814" s="1128"/>
      <c r="J814" s="1128"/>
      <c r="K814" s="1128"/>
      <c r="L814" s="1128"/>
      <c r="M814" s="1128"/>
      <c r="N814" s="1128"/>
      <c r="O814" s="1128"/>
      <c r="P814" s="1128"/>
      <c r="Q814" s="1128"/>
      <c r="R814" s="1128"/>
      <c r="S814" s="1128"/>
      <c r="T814" s="1128"/>
      <c r="U814" s="1128"/>
      <c r="V814" s="1128"/>
      <c r="W814" s="1128"/>
      <c r="X814" s="1128"/>
      <c r="Y814" s="1128"/>
      <c r="Z814" s="1128"/>
    </row>
    <row r="815" ht="22.5" customHeight="1">
      <c r="A815" s="1128"/>
      <c r="B815" s="1128"/>
      <c r="C815" s="1128"/>
      <c r="D815" s="1128"/>
      <c r="E815" s="1128"/>
      <c r="F815" s="1128"/>
      <c r="G815" s="1128"/>
      <c r="H815" s="1128"/>
      <c r="I815" s="1128"/>
      <c r="J815" s="1128"/>
      <c r="K815" s="1128"/>
      <c r="L815" s="1128"/>
      <c r="M815" s="1128"/>
      <c r="N815" s="1128"/>
      <c r="O815" s="1128"/>
      <c r="P815" s="1128"/>
      <c r="Q815" s="1128"/>
      <c r="R815" s="1128"/>
      <c r="S815" s="1128"/>
      <c r="T815" s="1128"/>
      <c r="U815" s="1128"/>
      <c r="V815" s="1128"/>
      <c r="W815" s="1128"/>
      <c r="X815" s="1128"/>
      <c r="Y815" s="1128"/>
      <c r="Z815" s="1128"/>
    </row>
    <row r="816" ht="22.5" customHeight="1">
      <c r="A816" s="1128"/>
      <c r="B816" s="1128"/>
      <c r="C816" s="1128"/>
      <c r="D816" s="1128"/>
      <c r="E816" s="1128"/>
      <c r="F816" s="1128"/>
      <c r="G816" s="1128"/>
      <c r="H816" s="1128"/>
      <c r="I816" s="1128"/>
      <c r="J816" s="1128"/>
      <c r="K816" s="1128"/>
      <c r="L816" s="1128"/>
      <c r="M816" s="1128"/>
      <c r="N816" s="1128"/>
      <c r="O816" s="1128"/>
      <c r="P816" s="1128"/>
      <c r="Q816" s="1128"/>
      <c r="R816" s="1128"/>
      <c r="S816" s="1128"/>
      <c r="T816" s="1128"/>
      <c r="U816" s="1128"/>
      <c r="V816" s="1128"/>
      <c r="W816" s="1128"/>
      <c r="X816" s="1128"/>
      <c r="Y816" s="1128"/>
      <c r="Z816" s="1128"/>
    </row>
    <row r="817" ht="22.5" customHeight="1">
      <c r="A817" s="1128"/>
      <c r="B817" s="1128"/>
      <c r="C817" s="1128"/>
      <c r="D817" s="1128"/>
      <c r="E817" s="1128"/>
      <c r="F817" s="1128"/>
      <c r="G817" s="1128"/>
      <c r="H817" s="1128"/>
      <c r="I817" s="1128"/>
      <c r="J817" s="1128"/>
      <c r="K817" s="1128"/>
      <c r="L817" s="1128"/>
      <c r="M817" s="1128"/>
      <c r="N817" s="1128"/>
      <c r="O817" s="1128"/>
      <c r="P817" s="1128"/>
      <c r="Q817" s="1128"/>
      <c r="R817" s="1128"/>
      <c r="S817" s="1128"/>
      <c r="T817" s="1128"/>
      <c r="U817" s="1128"/>
      <c r="V817" s="1128"/>
      <c r="W817" s="1128"/>
      <c r="X817" s="1128"/>
      <c r="Y817" s="1128"/>
      <c r="Z817" s="1128"/>
    </row>
    <row r="818" ht="22.5" customHeight="1">
      <c r="A818" s="1128"/>
      <c r="B818" s="1128"/>
      <c r="C818" s="1128"/>
      <c r="D818" s="1128"/>
      <c r="E818" s="1128"/>
      <c r="F818" s="1128"/>
      <c r="G818" s="1128"/>
      <c r="H818" s="1128"/>
      <c r="I818" s="1128"/>
      <c r="J818" s="1128"/>
      <c r="K818" s="1128"/>
      <c r="L818" s="1128"/>
      <c r="M818" s="1128"/>
      <c r="N818" s="1128"/>
      <c r="O818" s="1128"/>
      <c r="P818" s="1128"/>
      <c r="Q818" s="1128"/>
      <c r="R818" s="1128"/>
      <c r="S818" s="1128"/>
      <c r="T818" s="1128"/>
      <c r="U818" s="1128"/>
      <c r="V818" s="1128"/>
      <c r="W818" s="1128"/>
      <c r="X818" s="1128"/>
      <c r="Y818" s="1128"/>
      <c r="Z818" s="1128"/>
    </row>
    <row r="819" ht="22.5" customHeight="1">
      <c r="A819" s="1128"/>
      <c r="B819" s="1128"/>
      <c r="C819" s="1128"/>
      <c r="D819" s="1128"/>
      <c r="E819" s="1128"/>
      <c r="F819" s="1128"/>
      <c r="G819" s="1128"/>
      <c r="H819" s="1128"/>
      <c r="I819" s="1128"/>
      <c r="J819" s="1128"/>
      <c r="K819" s="1128"/>
      <c r="L819" s="1128"/>
      <c r="M819" s="1128"/>
      <c r="N819" s="1128"/>
      <c r="O819" s="1128"/>
      <c r="P819" s="1128"/>
      <c r="Q819" s="1128"/>
      <c r="R819" s="1128"/>
      <c r="S819" s="1128"/>
      <c r="T819" s="1128"/>
      <c r="U819" s="1128"/>
      <c r="V819" s="1128"/>
      <c r="W819" s="1128"/>
      <c r="X819" s="1128"/>
      <c r="Y819" s="1128"/>
      <c r="Z819" s="1128"/>
    </row>
    <row r="820" ht="22.5" customHeight="1">
      <c r="A820" s="1128"/>
      <c r="B820" s="1128"/>
      <c r="C820" s="1128"/>
      <c r="D820" s="1128"/>
      <c r="E820" s="1128"/>
      <c r="F820" s="1128"/>
      <c r="G820" s="1128"/>
      <c r="H820" s="1128"/>
      <c r="I820" s="1128"/>
      <c r="J820" s="1128"/>
      <c r="K820" s="1128"/>
      <c r="L820" s="1128"/>
      <c r="M820" s="1128"/>
      <c r="N820" s="1128"/>
      <c r="O820" s="1128"/>
      <c r="P820" s="1128"/>
      <c r="Q820" s="1128"/>
      <c r="R820" s="1128"/>
      <c r="S820" s="1128"/>
      <c r="T820" s="1128"/>
      <c r="U820" s="1128"/>
      <c r="V820" s="1128"/>
      <c r="W820" s="1128"/>
      <c r="X820" s="1128"/>
      <c r="Y820" s="1128"/>
      <c r="Z820" s="1128"/>
    </row>
    <row r="821" ht="22.5" customHeight="1">
      <c r="A821" s="1128"/>
      <c r="B821" s="1128"/>
      <c r="C821" s="1128"/>
      <c r="D821" s="1128"/>
      <c r="E821" s="1128"/>
      <c r="F821" s="1128"/>
      <c r="G821" s="1128"/>
      <c r="H821" s="1128"/>
      <c r="I821" s="1128"/>
      <c r="J821" s="1128"/>
      <c r="K821" s="1128"/>
      <c r="L821" s="1128"/>
      <c r="M821" s="1128"/>
      <c r="N821" s="1128"/>
      <c r="O821" s="1128"/>
      <c r="P821" s="1128"/>
      <c r="Q821" s="1128"/>
      <c r="R821" s="1128"/>
      <c r="S821" s="1128"/>
      <c r="T821" s="1128"/>
      <c r="U821" s="1128"/>
      <c r="V821" s="1128"/>
      <c r="W821" s="1128"/>
      <c r="X821" s="1128"/>
      <c r="Y821" s="1128"/>
      <c r="Z821" s="1128"/>
    </row>
    <row r="822" ht="22.5" customHeight="1">
      <c r="A822" s="1128"/>
      <c r="B822" s="1128"/>
      <c r="C822" s="1128"/>
      <c r="D822" s="1128"/>
      <c r="E822" s="1128"/>
      <c r="F822" s="1128"/>
      <c r="G822" s="1128"/>
      <c r="H822" s="1128"/>
      <c r="I822" s="1128"/>
      <c r="J822" s="1128"/>
      <c r="K822" s="1128"/>
      <c r="L822" s="1128"/>
      <c r="M822" s="1128"/>
      <c r="N822" s="1128"/>
      <c r="O822" s="1128"/>
      <c r="P822" s="1128"/>
      <c r="Q822" s="1128"/>
      <c r="R822" s="1128"/>
      <c r="S822" s="1128"/>
      <c r="T822" s="1128"/>
      <c r="U822" s="1128"/>
      <c r="V822" s="1128"/>
      <c r="W822" s="1128"/>
      <c r="X822" s="1128"/>
      <c r="Y822" s="1128"/>
      <c r="Z822" s="1128"/>
    </row>
    <row r="823" ht="22.5" customHeight="1">
      <c r="A823" s="1128"/>
      <c r="B823" s="1128"/>
      <c r="C823" s="1128"/>
      <c r="D823" s="1128"/>
      <c r="E823" s="1128"/>
      <c r="F823" s="1128"/>
      <c r="G823" s="1128"/>
      <c r="H823" s="1128"/>
      <c r="I823" s="1128"/>
      <c r="J823" s="1128"/>
      <c r="K823" s="1128"/>
      <c r="L823" s="1128"/>
      <c r="M823" s="1128"/>
      <c r="N823" s="1128"/>
      <c r="O823" s="1128"/>
      <c r="P823" s="1128"/>
      <c r="Q823" s="1128"/>
      <c r="R823" s="1128"/>
      <c r="S823" s="1128"/>
      <c r="T823" s="1128"/>
      <c r="U823" s="1128"/>
      <c r="V823" s="1128"/>
      <c r="W823" s="1128"/>
      <c r="X823" s="1128"/>
      <c r="Y823" s="1128"/>
      <c r="Z823" s="1128"/>
    </row>
    <row r="824" ht="22.5" customHeight="1">
      <c r="A824" s="1128"/>
      <c r="B824" s="1128"/>
      <c r="C824" s="1128"/>
      <c r="D824" s="1128"/>
      <c r="E824" s="1128"/>
      <c r="F824" s="1128"/>
      <c r="G824" s="1128"/>
      <c r="H824" s="1128"/>
      <c r="I824" s="1128"/>
      <c r="J824" s="1128"/>
      <c r="K824" s="1128"/>
      <c r="L824" s="1128"/>
      <c r="M824" s="1128"/>
      <c r="N824" s="1128"/>
      <c r="O824" s="1128"/>
      <c r="P824" s="1128"/>
      <c r="Q824" s="1128"/>
      <c r="R824" s="1128"/>
      <c r="S824" s="1128"/>
      <c r="T824" s="1128"/>
      <c r="U824" s="1128"/>
      <c r="V824" s="1128"/>
      <c r="W824" s="1128"/>
      <c r="X824" s="1128"/>
      <c r="Y824" s="1128"/>
      <c r="Z824" s="1128"/>
    </row>
    <row r="825" ht="22.5" customHeight="1">
      <c r="A825" s="1128"/>
      <c r="B825" s="1128"/>
      <c r="C825" s="1128"/>
      <c r="D825" s="1128"/>
      <c r="E825" s="1128"/>
      <c r="F825" s="1128"/>
      <c r="G825" s="1128"/>
      <c r="H825" s="1128"/>
      <c r="I825" s="1128"/>
      <c r="J825" s="1128"/>
      <c r="K825" s="1128"/>
      <c r="L825" s="1128"/>
      <c r="M825" s="1128"/>
      <c r="N825" s="1128"/>
      <c r="O825" s="1128"/>
      <c r="P825" s="1128"/>
      <c r="Q825" s="1128"/>
      <c r="R825" s="1128"/>
      <c r="S825" s="1128"/>
      <c r="T825" s="1128"/>
      <c r="U825" s="1128"/>
      <c r="V825" s="1128"/>
      <c r="W825" s="1128"/>
      <c r="X825" s="1128"/>
      <c r="Y825" s="1128"/>
      <c r="Z825" s="1128"/>
    </row>
    <row r="826" ht="22.5" customHeight="1">
      <c r="A826" s="1128"/>
      <c r="B826" s="1128"/>
      <c r="C826" s="1128"/>
      <c r="D826" s="1128"/>
      <c r="E826" s="1128"/>
      <c r="F826" s="1128"/>
      <c r="G826" s="1128"/>
      <c r="H826" s="1128"/>
      <c r="I826" s="1128"/>
      <c r="J826" s="1128"/>
      <c r="K826" s="1128"/>
      <c r="L826" s="1128"/>
      <c r="M826" s="1128"/>
      <c r="N826" s="1128"/>
      <c r="O826" s="1128"/>
      <c r="P826" s="1128"/>
      <c r="Q826" s="1128"/>
      <c r="R826" s="1128"/>
      <c r="S826" s="1128"/>
      <c r="T826" s="1128"/>
      <c r="U826" s="1128"/>
      <c r="V826" s="1128"/>
      <c r="W826" s="1128"/>
      <c r="X826" s="1128"/>
      <c r="Y826" s="1128"/>
      <c r="Z826" s="1128"/>
    </row>
    <row r="827" ht="22.5" customHeight="1">
      <c r="A827" s="1128"/>
      <c r="B827" s="1128"/>
      <c r="C827" s="1128"/>
      <c r="D827" s="1128"/>
      <c r="E827" s="1128"/>
      <c r="F827" s="1128"/>
      <c r="G827" s="1128"/>
      <c r="H827" s="1128"/>
      <c r="I827" s="1128"/>
      <c r="J827" s="1128"/>
      <c r="K827" s="1128"/>
      <c r="L827" s="1128"/>
      <c r="M827" s="1128"/>
      <c r="N827" s="1128"/>
      <c r="O827" s="1128"/>
      <c r="P827" s="1128"/>
      <c r="Q827" s="1128"/>
      <c r="R827" s="1128"/>
      <c r="S827" s="1128"/>
      <c r="T827" s="1128"/>
      <c r="U827" s="1128"/>
      <c r="V827" s="1128"/>
      <c r="W827" s="1128"/>
      <c r="X827" s="1128"/>
      <c r="Y827" s="1128"/>
      <c r="Z827" s="1128"/>
    </row>
    <row r="828" ht="22.5" customHeight="1">
      <c r="A828" s="1128"/>
      <c r="B828" s="1128"/>
      <c r="C828" s="1128"/>
      <c r="D828" s="1128"/>
      <c r="E828" s="1128"/>
      <c r="F828" s="1128"/>
      <c r="G828" s="1128"/>
      <c r="H828" s="1128"/>
      <c r="I828" s="1128"/>
      <c r="J828" s="1128"/>
      <c r="K828" s="1128"/>
      <c r="L828" s="1128"/>
      <c r="M828" s="1128"/>
      <c r="N828" s="1128"/>
      <c r="O828" s="1128"/>
      <c r="P828" s="1128"/>
      <c r="Q828" s="1128"/>
      <c r="R828" s="1128"/>
      <c r="S828" s="1128"/>
      <c r="T828" s="1128"/>
      <c r="U828" s="1128"/>
      <c r="V828" s="1128"/>
      <c r="W828" s="1128"/>
      <c r="X828" s="1128"/>
      <c r="Y828" s="1128"/>
      <c r="Z828" s="1128"/>
    </row>
    <row r="829" ht="22.5" customHeight="1">
      <c r="A829" s="1128"/>
      <c r="B829" s="1128"/>
      <c r="C829" s="1128"/>
      <c r="D829" s="1128"/>
      <c r="E829" s="1128"/>
      <c r="F829" s="1128"/>
      <c r="G829" s="1128"/>
      <c r="H829" s="1128"/>
      <c r="I829" s="1128"/>
      <c r="J829" s="1128"/>
      <c r="K829" s="1128"/>
      <c r="L829" s="1128"/>
      <c r="M829" s="1128"/>
      <c r="N829" s="1128"/>
      <c r="O829" s="1128"/>
      <c r="P829" s="1128"/>
      <c r="Q829" s="1128"/>
      <c r="R829" s="1128"/>
      <c r="S829" s="1128"/>
      <c r="T829" s="1128"/>
      <c r="U829" s="1128"/>
      <c r="V829" s="1128"/>
      <c r="W829" s="1128"/>
      <c r="X829" s="1128"/>
      <c r="Y829" s="1128"/>
      <c r="Z829" s="1128"/>
    </row>
    <row r="830" ht="22.5" customHeight="1">
      <c r="A830" s="1128"/>
      <c r="B830" s="1128"/>
      <c r="C830" s="1128"/>
      <c r="D830" s="1128"/>
      <c r="E830" s="1128"/>
      <c r="F830" s="1128"/>
      <c r="G830" s="1128"/>
      <c r="H830" s="1128"/>
      <c r="I830" s="1128"/>
      <c r="J830" s="1128"/>
      <c r="K830" s="1128"/>
      <c r="L830" s="1128"/>
      <c r="M830" s="1128"/>
      <c r="N830" s="1128"/>
      <c r="O830" s="1128"/>
      <c r="P830" s="1128"/>
      <c r="Q830" s="1128"/>
      <c r="R830" s="1128"/>
      <c r="S830" s="1128"/>
      <c r="T830" s="1128"/>
      <c r="U830" s="1128"/>
      <c r="V830" s="1128"/>
      <c r="W830" s="1128"/>
      <c r="X830" s="1128"/>
      <c r="Y830" s="1128"/>
      <c r="Z830" s="1128"/>
    </row>
    <row r="831" ht="22.5" customHeight="1">
      <c r="A831" s="1128"/>
      <c r="B831" s="1128"/>
      <c r="C831" s="1128"/>
      <c r="D831" s="1128"/>
      <c r="E831" s="1128"/>
      <c r="F831" s="1128"/>
      <c r="G831" s="1128"/>
      <c r="H831" s="1128"/>
      <c r="I831" s="1128"/>
      <c r="J831" s="1128"/>
      <c r="K831" s="1128"/>
      <c r="L831" s="1128"/>
      <c r="M831" s="1128"/>
      <c r="N831" s="1128"/>
      <c r="O831" s="1128"/>
      <c r="P831" s="1128"/>
      <c r="Q831" s="1128"/>
      <c r="R831" s="1128"/>
      <c r="S831" s="1128"/>
      <c r="T831" s="1128"/>
      <c r="U831" s="1128"/>
      <c r="V831" s="1128"/>
      <c r="W831" s="1128"/>
      <c r="X831" s="1128"/>
      <c r="Y831" s="1128"/>
      <c r="Z831" s="1128"/>
    </row>
    <row r="832" ht="22.5" customHeight="1">
      <c r="A832" s="1128"/>
      <c r="B832" s="1128"/>
      <c r="C832" s="1128"/>
      <c r="D832" s="1128"/>
      <c r="E832" s="1128"/>
      <c r="F832" s="1128"/>
      <c r="G832" s="1128"/>
      <c r="H832" s="1128"/>
      <c r="I832" s="1128"/>
      <c r="J832" s="1128"/>
      <c r="K832" s="1128"/>
      <c r="L832" s="1128"/>
      <c r="M832" s="1128"/>
      <c r="N832" s="1128"/>
      <c r="O832" s="1128"/>
      <c r="P832" s="1128"/>
      <c r="Q832" s="1128"/>
      <c r="R832" s="1128"/>
      <c r="S832" s="1128"/>
      <c r="T832" s="1128"/>
      <c r="U832" s="1128"/>
      <c r="V832" s="1128"/>
      <c r="W832" s="1128"/>
      <c r="X832" s="1128"/>
      <c r="Y832" s="1128"/>
      <c r="Z832" s="1128"/>
    </row>
    <row r="833" ht="22.5" customHeight="1">
      <c r="A833" s="1128"/>
      <c r="B833" s="1128"/>
      <c r="C833" s="1128"/>
      <c r="D833" s="1128"/>
      <c r="E833" s="1128"/>
      <c r="F833" s="1128"/>
      <c r="G833" s="1128"/>
      <c r="H833" s="1128"/>
      <c r="I833" s="1128"/>
      <c r="J833" s="1128"/>
      <c r="K833" s="1128"/>
      <c r="L833" s="1128"/>
      <c r="M833" s="1128"/>
      <c r="N833" s="1128"/>
      <c r="O833" s="1128"/>
      <c r="P833" s="1128"/>
      <c r="Q833" s="1128"/>
      <c r="R833" s="1128"/>
      <c r="S833" s="1128"/>
      <c r="T833" s="1128"/>
      <c r="U833" s="1128"/>
      <c r="V833" s="1128"/>
      <c r="W833" s="1128"/>
      <c r="X833" s="1128"/>
      <c r="Y833" s="1128"/>
      <c r="Z833" s="1128"/>
    </row>
    <row r="834" ht="22.5" customHeight="1">
      <c r="A834" s="1128"/>
      <c r="B834" s="1128"/>
      <c r="C834" s="1128"/>
      <c r="D834" s="1128"/>
      <c r="E834" s="1128"/>
      <c r="F834" s="1128"/>
      <c r="G834" s="1128"/>
      <c r="H834" s="1128"/>
      <c r="I834" s="1128"/>
      <c r="J834" s="1128"/>
      <c r="K834" s="1128"/>
      <c r="L834" s="1128"/>
      <c r="M834" s="1128"/>
      <c r="N834" s="1128"/>
      <c r="O834" s="1128"/>
      <c r="P834" s="1128"/>
      <c r="Q834" s="1128"/>
      <c r="R834" s="1128"/>
      <c r="S834" s="1128"/>
      <c r="T834" s="1128"/>
      <c r="U834" s="1128"/>
      <c r="V834" s="1128"/>
      <c r="W834" s="1128"/>
      <c r="X834" s="1128"/>
      <c r="Y834" s="1128"/>
      <c r="Z834" s="1128"/>
    </row>
    <row r="835" ht="22.5" customHeight="1">
      <c r="A835" s="1128"/>
      <c r="B835" s="1128"/>
      <c r="C835" s="1128"/>
      <c r="D835" s="1128"/>
      <c r="E835" s="1128"/>
      <c r="F835" s="1128"/>
      <c r="G835" s="1128"/>
      <c r="H835" s="1128"/>
      <c r="I835" s="1128"/>
      <c r="J835" s="1128"/>
      <c r="K835" s="1128"/>
      <c r="L835" s="1128"/>
      <c r="M835" s="1128"/>
      <c r="N835" s="1128"/>
      <c r="O835" s="1128"/>
      <c r="P835" s="1128"/>
      <c r="Q835" s="1128"/>
      <c r="R835" s="1128"/>
      <c r="S835" s="1128"/>
      <c r="T835" s="1128"/>
      <c r="U835" s="1128"/>
      <c r="V835" s="1128"/>
      <c r="W835" s="1128"/>
      <c r="X835" s="1128"/>
      <c r="Y835" s="1128"/>
      <c r="Z835" s="1128"/>
    </row>
    <row r="836" ht="22.5" customHeight="1">
      <c r="A836" s="1128"/>
      <c r="B836" s="1128"/>
      <c r="C836" s="1128"/>
      <c r="D836" s="1128"/>
      <c r="E836" s="1128"/>
      <c r="F836" s="1128"/>
      <c r="G836" s="1128"/>
      <c r="H836" s="1128"/>
      <c r="I836" s="1128"/>
      <c r="J836" s="1128"/>
      <c r="K836" s="1128"/>
      <c r="L836" s="1128"/>
      <c r="M836" s="1128"/>
      <c r="N836" s="1128"/>
      <c r="O836" s="1128"/>
      <c r="P836" s="1128"/>
      <c r="Q836" s="1128"/>
      <c r="R836" s="1128"/>
      <c r="S836" s="1128"/>
      <c r="T836" s="1128"/>
      <c r="U836" s="1128"/>
      <c r="V836" s="1128"/>
      <c r="W836" s="1128"/>
      <c r="X836" s="1128"/>
      <c r="Y836" s="1128"/>
      <c r="Z836" s="1128"/>
    </row>
    <row r="837" ht="22.5" customHeight="1">
      <c r="A837" s="1128"/>
      <c r="B837" s="1128"/>
      <c r="C837" s="1128"/>
      <c r="D837" s="1128"/>
      <c r="E837" s="1128"/>
      <c r="F837" s="1128"/>
      <c r="G837" s="1128"/>
      <c r="H837" s="1128"/>
      <c r="I837" s="1128"/>
      <c r="J837" s="1128"/>
      <c r="K837" s="1128"/>
      <c r="L837" s="1128"/>
      <c r="M837" s="1128"/>
      <c r="N837" s="1128"/>
      <c r="O837" s="1128"/>
      <c r="P837" s="1128"/>
      <c r="Q837" s="1128"/>
      <c r="R837" s="1128"/>
      <c r="S837" s="1128"/>
      <c r="T837" s="1128"/>
      <c r="U837" s="1128"/>
      <c r="V837" s="1128"/>
      <c r="W837" s="1128"/>
      <c r="X837" s="1128"/>
      <c r="Y837" s="1128"/>
      <c r="Z837" s="1128"/>
    </row>
    <row r="838" ht="22.5" customHeight="1">
      <c r="A838" s="1128"/>
      <c r="B838" s="1128"/>
      <c r="C838" s="1128"/>
      <c r="D838" s="1128"/>
      <c r="E838" s="1128"/>
      <c r="F838" s="1128"/>
      <c r="G838" s="1128"/>
      <c r="H838" s="1128"/>
      <c r="I838" s="1128"/>
      <c r="J838" s="1128"/>
      <c r="K838" s="1128"/>
      <c r="L838" s="1128"/>
      <c r="M838" s="1128"/>
      <c r="N838" s="1128"/>
      <c r="O838" s="1128"/>
      <c r="P838" s="1128"/>
      <c r="Q838" s="1128"/>
      <c r="R838" s="1128"/>
      <c r="S838" s="1128"/>
      <c r="T838" s="1128"/>
      <c r="U838" s="1128"/>
      <c r="V838" s="1128"/>
      <c r="W838" s="1128"/>
      <c r="X838" s="1128"/>
      <c r="Y838" s="1128"/>
      <c r="Z838" s="1128"/>
    </row>
    <row r="839" ht="22.5" customHeight="1">
      <c r="A839" s="1128"/>
      <c r="B839" s="1128"/>
      <c r="C839" s="1128"/>
      <c r="D839" s="1128"/>
      <c r="E839" s="1128"/>
      <c r="F839" s="1128"/>
      <c r="G839" s="1128"/>
      <c r="H839" s="1128"/>
      <c r="I839" s="1128"/>
      <c r="J839" s="1128"/>
      <c r="K839" s="1128"/>
      <c r="L839" s="1128"/>
      <c r="M839" s="1128"/>
      <c r="N839" s="1128"/>
      <c r="O839" s="1128"/>
      <c r="P839" s="1128"/>
      <c r="Q839" s="1128"/>
      <c r="R839" s="1128"/>
      <c r="S839" s="1128"/>
      <c r="T839" s="1128"/>
      <c r="U839" s="1128"/>
      <c r="V839" s="1128"/>
      <c r="W839" s="1128"/>
      <c r="X839" s="1128"/>
      <c r="Y839" s="1128"/>
      <c r="Z839" s="1128"/>
    </row>
    <row r="840" ht="22.5" customHeight="1">
      <c r="A840" s="1128"/>
      <c r="B840" s="1128"/>
      <c r="C840" s="1128"/>
      <c r="D840" s="1128"/>
      <c r="E840" s="1128"/>
      <c r="F840" s="1128"/>
      <c r="G840" s="1128"/>
      <c r="H840" s="1128"/>
      <c r="I840" s="1128"/>
      <c r="J840" s="1128"/>
      <c r="K840" s="1128"/>
      <c r="L840" s="1128"/>
      <c r="M840" s="1128"/>
      <c r="N840" s="1128"/>
      <c r="O840" s="1128"/>
      <c r="P840" s="1128"/>
      <c r="Q840" s="1128"/>
      <c r="R840" s="1128"/>
      <c r="S840" s="1128"/>
      <c r="T840" s="1128"/>
      <c r="U840" s="1128"/>
      <c r="V840" s="1128"/>
      <c r="W840" s="1128"/>
      <c r="X840" s="1128"/>
      <c r="Y840" s="1128"/>
      <c r="Z840" s="1128"/>
    </row>
    <row r="841" ht="22.5" customHeight="1">
      <c r="A841" s="1128"/>
      <c r="B841" s="1128"/>
      <c r="C841" s="1128"/>
      <c r="D841" s="1128"/>
      <c r="E841" s="1128"/>
      <c r="F841" s="1128"/>
      <c r="G841" s="1128"/>
      <c r="H841" s="1128"/>
      <c r="I841" s="1128"/>
      <c r="J841" s="1128"/>
      <c r="K841" s="1128"/>
      <c r="L841" s="1128"/>
      <c r="M841" s="1128"/>
      <c r="N841" s="1128"/>
      <c r="O841" s="1128"/>
      <c r="P841" s="1128"/>
      <c r="Q841" s="1128"/>
      <c r="R841" s="1128"/>
      <c r="S841" s="1128"/>
      <c r="T841" s="1128"/>
      <c r="U841" s="1128"/>
      <c r="V841" s="1128"/>
      <c r="W841" s="1128"/>
      <c r="X841" s="1128"/>
      <c r="Y841" s="1128"/>
      <c r="Z841" s="1128"/>
    </row>
    <row r="842" ht="22.5" customHeight="1">
      <c r="A842" s="1128"/>
      <c r="B842" s="1128"/>
      <c r="C842" s="1128"/>
      <c r="D842" s="1128"/>
      <c r="E842" s="1128"/>
      <c r="F842" s="1128"/>
      <c r="G842" s="1128"/>
      <c r="H842" s="1128"/>
      <c r="I842" s="1128"/>
      <c r="J842" s="1128"/>
      <c r="K842" s="1128"/>
      <c r="L842" s="1128"/>
      <c r="M842" s="1128"/>
      <c r="N842" s="1128"/>
      <c r="O842" s="1128"/>
      <c r="P842" s="1128"/>
      <c r="Q842" s="1128"/>
      <c r="R842" s="1128"/>
      <c r="S842" s="1128"/>
      <c r="T842" s="1128"/>
      <c r="U842" s="1128"/>
      <c r="V842" s="1128"/>
      <c r="W842" s="1128"/>
      <c r="X842" s="1128"/>
      <c r="Y842" s="1128"/>
      <c r="Z842" s="1128"/>
    </row>
    <row r="843" ht="22.5" customHeight="1">
      <c r="A843" s="1128"/>
      <c r="B843" s="1128"/>
      <c r="C843" s="1128"/>
      <c r="D843" s="1128"/>
      <c r="E843" s="1128"/>
      <c r="F843" s="1128"/>
      <c r="G843" s="1128"/>
      <c r="H843" s="1128"/>
      <c r="I843" s="1128"/>
      <c r="J843" s="1128"/>
      <c r="K843" s="1128"/>
      <c r="L843" s="1128"/>
      <c r="M843" s="1128"/>
      <c r="N843" s="1128"/>
      <c r="O843" s="1128"/>
      <c r="P843" s="1128"/>
      <c r="Q843" s="1128"/>
      <c r="R843" s="1128"/>
      <c r="S843" s="1128"/>
      <c r="T843" s="1128"/>
      <c r="U843" s="1128"/>
      <c r="V843" s="1128"/>
      <c r="W843" s="1128"/>
      <c r="X843" s="1128"/>
      <c r="Y843" s="1128"/>
      <c r="Z843" s="1128"/>
    </row>
    <row r="844" ht="22.5" customHeight="1">
      <c r="A844" s="1128"/>
      <c r="B844" s="1128"/>
      <c r="C844" s="1128"/>
      <c r="D844" s="1128"/>
      <c r="E844" s="1128"/>
      <c r="F844" s="1128"/>
      <c r="G844" s="1128"/>
      <c r="H844" s="1128"/>
      <c r="I844" s="1128"/>
      <c r="J844" s="1128"/>
      <c r="K844" s="1128"/>
      <c r="L844" s="1128"/>
      <c r="M844" s="1128"/>
      <c r="N844" s="1128"/>
      <c r="O844" s="1128"/>
      <c r="P844" s="1128"/>
      <c r="Q844" s="1128"/>
      <c r="R844" s="1128"/>
      <c r="S844" s="1128"/>
      <c r="T844" s="1128"/>
      <c r="U844" s="1128"/>
      <c r="V844" s="1128"/>
      <c r="W844" s="1128"/>
      <c r="X844" s="1128"/>
      <c r="Y844" s="1128"/>
      <c r="Z844" s="1128"/>
    </row>
    <row r="845" ht="22.5" customHeight="1">
      <c r="A845" s="1128"/>
      <c r="B845" s="1128"/>
      <c r="C845" s="1128"/>
      <c r="D845" s="1128"/>
      <c r="E845" s="1128"/>
      <c r="F845" s="1128"/>
      <c r="G845" s="1128"/>
      <c r="H845" s="1128"/>
      <c r="I845" s="1128"/>
      <c r="J845" s="1128"/>
      <c r="K845" s="1128"/>
      <c r="L845" s="1128"/>
      <c r="M845" s="1128"/>
      <c r="N845" s="1128"/>
      <c r="O845" s="1128"/>
      <c r="P845" s="1128"/>
      <c r="Q845" s="1128"/>
      <c r="R845" s="1128"/>
      <c r="S845" s="1128"/>
      <c r="T845" s="1128"/>
      <c r="U845" s="1128"/>
      <c r="V845" s="1128"/>
      <c r="W845" s="1128"/>
      <c r="X845" s="1128"/>
      <c r="Y845" s="1128"/>
      <c r="Z845" s="1128"/>
    </row>
    <row r="846" ht="22.5" customHeight="1">
      <c r="A846" s="1128"/>
      <c r="B846" s="1128"/>
      <c r="C846" s="1128"/>
      <c r="D846" s="1128"/>
      <c r="E846" s="1128"/>
      <c r="F846" s="1128"/>
      <c r="G846" s="1128"/>
      <c r="H846" s="1128"/>
      <c r="I846" s="1128"/>
      <c r="J846" s="1128"/>
      <c r="K846" s="1128"/>
      <c r="L846" s="1128"/>
      <c r="M846" s="1128"/>
      <c r="N846" s="1128"/>
      <c r="O846" s="1128"/>
      <c r="P846" s="1128"/>
      <c r="Q846" s="1128"/>
      <c r="R846" s="1128"/>
      <c r="S846" s="1128"/>
      <c r="T846" s="1128"/>
      <c r="U846" s="1128"/>
      <c r="V846" s="1128"/>
      <c r="W846" s="1128"/>
      <c r="X846" s="1128"/>
      <c r="Y846" s="1128"/>
      <c r="Z846" s="1128"/>
    </row>
    <row r="847" ht="22.5" customHeight="1">
      <c r="A847" s="1128"/>
      <c r="B847" s="1128"/>
      <c r="C847" s="1128"/>
      <c r="D847" s="1128"/>
      <c r="E847" s="1128"/>
      <c r="F847" s="1128"/>
      <c r="G847" s="1128"/>
      <c r="H847" s="1128"/>
      <c r="I847" s="1128"/>
      <c r="J847" s="1128"/>
      <c r="K847" s="1128"/>
      <c r="L847" s="1128"/>
      <c r="M847" s="1128"/>
      <c r="N847" s="1128"/>
      <c r="O847" s="1128"/>
      <c r="P847" s="1128"/>
      <c r="Q847" s="1128"/>
      <c r="R847" s="1128"/>
      <c r="S847" s="1128"/>
      <c r="T847" s="1128"/>
      <c r="U847" s="1128"/>
      <c r="V847" s="1128"/>
      <c r="W847" s="1128"/>
      <c r="X847" s="1128"/>
      <c r="Y847" s="1128"/>
      <c r="Z847" s="1128"/>
    </row>
    <row r="848" ht="22.5" customHeight="1">
      <c r="A848" s="1128"/>
      <c r="B848" s="1128"/>
      <c r="C848" s="1128"/>
      <c r="D848" s="1128"/>
      <c r="E848" s="1128"/>
      <c r="F848" s="1128"/>
      <c r="G848" s="1128"/>
      <c r="H848" s="1128"/>
      <c r="I848" s="1128"/>
      <c r="J848" s="1128"/>
      <c r="K848" s="1128"/>
      <c r="L848" s="1128"/>
      <c r="M848" s="1128"/>
      <c r="N848" s="1128"/>
      <c r="O848" s="1128"/>
      <c r="P848" s="1128"/>
      <c r="Q848" s="1128"/>
      <c r="R848" s="1128"/>
      <c r="S848" s="1128"/>
      <c r="T848" s="1128"/>
      <c r="U848" s="1128"/>
      <c r="V848" s="1128"/>
      <c r="W848" s="1128"/>
      <c r="X848" s="1128"/>
      <c r="Y848" s="1128"/>
      <c r="Z848" s="1128"/>
    </row>
    <row r="849" ht="22.5" customHeight="1">
      <c r="A849" s="1128"/>
      <c r="B849" s="1128"/>
      <c r="C849" s="1128"/>
      <c r="D849" s="1128"/>
      <c r="E849" s="1128"/>
      <c r="F849" s="1128"/>
      <c r="G849" s="1128"/>
      <c r="H849" s="1128"/>
      <c r="I849" s="1128"/>
      <c r="J849" s="1128"/>
      <c r="K849" s="1128"/>
      <c r="L849" s="1128"/>
      <c r="M849" s="1128"/>
      <c r="N849" s="1128"/>
      <c r="O849" s="1128"/>
      <c r="P849" s="1128"/>
      <c r="Q849" s="1128"/>
      <c r="R849" s="1128"/>
      <c r="S849" s="1128"/>
      <c r="T849" s="1128"/>
      <c r="U849" s="1128"/>
      <c r="V849" s="1128"/>
      <c r="W849" s="1128"/>
      <c r="X849" s="1128"/>
      <c r="Y849" s="1128"/>
      <c r="Z849" s="1128"/>
    </row>
    <row r="850" ht="22.5" customHeight="1">
      <c r="A850" s="1128"/>
      <c r="B850" s="1128"/>
      <c r="C850" s="1128"/>
      <c r="D850" s="1128"/>
      <c r="E850" s="1128"/>
      <c r="F850" s="1128"/>
      <c r="G850" s="1128"/>
      <c r="H850" s="1128"/>
      <c r="I850" s="1128"/>
      <c r="J850" s="1128"/>
      <c r="K850" s="1128"/>
      <c r="L850" s="1128"/>
      <c r="M850" s="1128"/>
      <c r="N850" s="1128"/>
      <c r="O850" s="1128"/>
      <c r="P850" s="1128"/>
      <c r="Q850" s="1128"/>
      <c r="R850" s="1128"/>
      <c r="S850" s="1128"/>
      <c r="T850" s="1128"/>
      <c r="U850" s="1128"/>
      <c r="V850" s="1128"/>
      <c r="W850" s="1128"/>
      <c r="X850" s="1128"/>
      <c r="Y850" s="1128"/>
      <c r="Z850" s="1128"/>
    </row>
    <row r="851" ht="22.5" customHeight="1">
      <c r="A851" s="1128"/>
      <c r="B851" s="1128"/>
      <c r="C851" s="1128"/>
      <c r="D851" s="1128"/>
      <c r="E851" s="1128"/>
      <c r="F851" s="1128"/>
      <c r="G851" s="1128"/>
      <c r="H851" s="1128"/>
      <c r="I851" s="1128"/>
      <c r="J851" s="1128"/>
      <c r="K851" s="1128"/>
      <c r="L851" s="1128"/>
      <c r="M851" s="1128"/>
      <c r="N851" s="1128"/>
      <c r="O851" s="1128"/>
      <c r="P851" s="1128"/>
      <c r="Q851" s="1128"/>
      <c r="R851" s="1128"/>
      <c r="S851" s="1128"/>
      <c r="T851" s="1128"/>
      <c r="U851" s="1128"/>
      <c r="V851" s="1128"/>
      <c r="W851" s="1128"/>
      <c r="X851" s="1128"/>
      <c r="Y851" s="1128"/>
      <c r="Z851" s="1128"/>
    </row>
    <row r="852" ht="22.5" customHeight="1">
      <c r="A852" s="1128"/>
      <c r="B852" s="1128"/>
      <c r="C852" s="1128"/>
      <c r="D852" s="1128"/>
      <c r="E852" s="1128"/>
      <c r="F852" s="1128"/>
      <c r="G852" s="1128"/>
      <c r="H852" s="1128"/>
      <c r="I852" s="1128"/>
      <c r="J852" s="1128"/>
      <c r="K852" s="1128"/>
      <c r="L852" s="1128"/>
      <c r="M852" s="1128"/>
      <c r="N852" s="1128"/>
      <c r="O852" s="1128"/>
      <c r="P852" s="1128"/>
      <c r="Q852" s="1128"/>
      <c r="R852" s="1128"/>
      <c r="S852" s="1128"/>
      <c r="T852" s="1128"/>
      <c r="U852" s="1128"/>
      <c r="V852" s="1128"/>
      <c r="W852" s="1128"/>
      <c r="X852" s="1128"/>
      <c r="Y852" s="1128"/>
      <c r="Z852" s="1128"/>
    </row>
    <row r="853" ht="22.5" customHeight="1">
      <c r="A853" s="1128"/>
      <c r="B853" s="1128"/>
      <c r="C853" s="1128"/>
      <c r="D853" s="1128"/>
      <c r="E853" s="1128"/>
      <c r="F853" s="1128"/>
      <c r="G853" s="1128"/>
      <c r="H853" s="1128"/>
      <c r="I853" s="1128"/>
      <c r="J853" s="1128"/>
      <c r="K853" s="1128"/>
      <c r="L853" s="1128"/>
      <c r="M853" s="1128"/>
      <c r="N853" s="1128"/>
      <c r="O853" s="1128"/>
      <c r="P853" s="1128"/>
      <c r="Q853" s="1128"/>
      <c r="R853" s="1128"/>
      <c r="S853" s="1128"/>
      <c r="T853" s="1128"/>
      <c r="U853" s="1128"/>
      <c r="V853" s="1128"/>
      <c r="W853" s="1128"/>
      <c r="X853" s="1128"/>
      <c r="Y853" s="1128"/>
      <c r="Z853" s="1128"/>
    </row>
    <row r="854" ht="22.5" customHeight="1">
      <c r="A854" s="1128"/>
      <c r="B854" s="1128"/>
      <c r="C854" s="1128"/>
      <c r="D854" s="1128"/>
      <c r="E854" s="1128"/>
      <c r="F854" s="1128"/>
      <c r="G854" s="1128"/>
      <c r="H854" s="1128"/>
      <c r="I854" s="1128"/>
      <c r="J854" s="1128"/>
      <c r="K854" s="1128"/>
      <c r="L854" s="1128"/>
      <c r="M854" s="1128"/>
      <c r="N854" s="1128"/>
      <c r="O854" s="1128"/>
      <c r="P854" s="1128"/>
      <c r="Q854" s="1128"/>
      <c r="R854" s="1128"/>
      <c r="S854" s="1128"/>
      <c r="T854" s="1128"/>
      <c r="U854" s="1128"/>
      <c r="V854" s="1128"/>
      <c r="W854" s="1128"/>
      <c r="X854" s="1128"/>
      <c r="Y854" s="1128"/>
      <c r="Z854" s="1128"/>
    </row>
    <row r="855" ht="22.5" customHeight="1">
      <c r="A855" s="1128"/>
      <c r="B855" s="1128"/>
      <c r="C855" s="1128"/>
      <c r="D855" s="1128"/>
      <c r="E855" s="1128"/>
      <c r="F855" s="1128"/>
      <c r="G855" s="1128"/>
      <c r="H855" s="1128"/>
      <c r="I855" s="1128"/>
      <c r="J855" s="1128"/>
      <c r="K855" s="1128"/>
      <c r="L855" s="1128"/>
      <c r="M855" s="1128"/>
      <c r="N855" s="1128"/>
      <c r="O855" s="1128"/>
      <c r="P855" s="1128"/>
      <c r="Q855" s="1128"/>
      <c r="R855" s="1128"/>
      <c r="S855" s="1128"/>
      <c r="T855" s="1128"/>
      <c r="U855" s="1128"/>
      <c r="V855" s="1128"/>
      <c r="W855" s="1128"/>
      <c r="X855" s="1128"/>
      <c r="Y855" s="1128"/>
      <c r="Z855" s="1128"/>
    </row>
    <row r="856" ht="22.5" customHeight="1">
      <c r="A856" s="1128"/>
      <c r="B856" s="1128"/>
      <c r="C856" s="1128"/>
      <c r="D856" s="1128"/>
      <c r="E856" s="1128"/>
      <c r="F856" s="1128"/>
      <c r="G856" s="1128"/>
      <c r="H856" s="1128"/>
      <c r="I856" s="1128"/>
      <c r="J856" s="1128"/>
      <c r="K856" s="1128"/>
      <c r="L856" s="1128"/>
      <c r="M856" s="1128"/>
      <c r="N856" s="1128"/>
      <c r="O856" s="1128"/>
      <c r="P856" s="1128"/>
      <c r="Q856" s="1128"/>
      <c r="R856" s="1128"/>
      <c r="S856" s="1128"/>
      <c r="T856" s="1128"/>
      <c r="U856" s="1128"/>
      <c r="V856" s="1128"/>
      <c r="W856" s="1128"/>
      <c r="X856" s="1128"/>
      <c r="Y856" s="1128"/>
      <c r="Z856" s="1128"/>
    </row>
    <row r="857" ht="22.5" customHeight="1">
      <c r="A857" s="1128"/>
      <c r="B857" s="1128"/>
      <c r="C857" s="1128"/>
      <c r="D857" s="1128"/>
      <c r="E857" s="1128"/>
      <c r="F857" s="1128"/>
      <c r="G857" s="1128"/>
      <c r="H857" s="1128"/>
      <c r="I857" s="1128"/>
      <c r="J857" s="1128"/>
      <c r="K857" s="1128"/>
      <c r="L857" s="1128"/>
      <c r="M857" s="1128"/>
      <c r="N857" s="1128"/>
      <c r="O857" s="1128"/>
      <c r="P857" s="1128"/>
      <c r="Q857" s="1128"/>
      <c r="R857" s="1128"/>
      <c r="S857" s="1128"/>
      <c r="T857" s="1128"/>
      <c r="U857" s="1128"/>
      <c r="V857" s="1128"/>
      <c r="W857" s="1128"/>
      <c r="X857" s="1128"/>
      <c r="Y857" s="1128"/>
      <c r="Z857" s="1128"/>
    </row>
    <row r="858" ht="22.5" customHeight="1">
      <c r="A858" s="1128"/>
      <c r="B858" s="1128"/>
      <c r="C858" s="1128"/>
      <c r="D858" s="1128"/>
      <c r="E858" s="1128"/>
      <c r="F858" s="1128"/>
      <c r="G858" s="1128"/>
      <c r="H858" s="1128"/>
      <c r="I858" s="1128"/>
      <c r="J858" s="1128"/>
      <c r="K858" s="1128"/>
      <c r="L858" s="1128"/>
      <c r="M858" s="1128"/>
      <c r="N858" s="1128"/>
      <c r="O858" s="1128"/>
      <c r="P858" s="1128"/>
      <c r="Q858" s="1128"/>
      <c r="R858" s="1128"/>
      <c r="S858" s="1128"/>
      <c r="T858" s="1128"/>
      <c r="U858" s="1128"/>
      <c r="V858" s="1128"/>
      <c r="W858" s="1128"/>
      <c r="X858" s="1128"/>
      <c r="Y858" s="1128"/>
      <c r="Z858" s="1128"/>
    </row>
    <row r="859" ht="22.5" customHeight="1">
      <c r="A859" s="1128"/>
      <c r="B859" s="1128"/>
      <c r="C859" s="1128"/>
      <c r="D859" s="1128"/>
      <c r="E859" s="1128"/>
      <c r="F859" s="1128"/>
      <c r="G859" s="1128"/>
      <c r="H859" s="1128"/>
      <c r="I859" s="1128"/>
      <c r="J859" s="1128"/>
      <c r="K859" s="1128"/>
      <c r="L859" s="1128"/>
      <c r="M859" s="1128"/>
      <c r="N859" s="1128"/>
      <c r="O859" s="1128"/>
      <c r="P859" s="1128"/>
      <c r="Q859" s="1128"/>
      <c r="R859" s="1128"/>
      <c r="S859" s="1128"/>
      <c r="T859" s="1128"/>
      <c r="U859" s="1128"/>
      <c r="V859" s="1128"/>
      <c r="W859" s="1128"/>
      <c r="X859" s="1128"/>
      <c r="Y859" s="1128"/>
      <c r="Z859" s="1128"/>
    </row>
    <row r="860" ht="22.5" customHeight="1">
      <c r="A860" s="1128"/>
      <c r="B860" s="1128"/>
      <c r="C860" s="1128"/>
      <c r="D860" s="1128"/>
      <c r="E860" s="1128"/>
      <c r="F860" s="1128"/>
      <c r="G860" s="1128"/>
      <c r="H860" s="1128"/>
      <c r="I860" s="1128"/>
      <c r="J860" s="1128"/>
      <c r="K860" s="1128"/>
      <c r="L860" s="1128"/>
      <c r="M860" s="1128"/>
      <c r="N860" s="1128"/>
      <c r="O860" s="1128"/>
      <c r="P860" s="1128"/>
      <c r="Q860" s="1128"/>
      <c r="R860" s="1128"/>
      <c r="S860" s="1128"/>
      <c r="T860" s="1128"/>
      <c r="U860" s="1128"/>
      <c r="V860" s="1128"/>
      <c r="W860" s="1128"/>
      <c r="X860" s="1128"/>
      <c r="Y860" s="1128"/>
      <c r="Z860" s="1128"/>
    </row>
    <row r="861" ht="22.5" customHeight="1">
      <c r="A861" s="1128"/>
      <c r="B861" s="1128"/>
      <c r="C861" s="1128"/>
      <c r="D861" s="1128"/>
      <c r="E861" s="1128"/>
      <c r="F861" s="1128"/>
      <c r="G861" s="1128"/>
      <c r="H861" s="1128"/>
      <c r="I861" s="1128"/>
      <c r="J861" s="1128"/>
      <c r="K861" s="1128"/>
      <c r="L861" s="1128"/>
      <c r="M861" s="1128"/>
      <c r="N861" s="1128"/>
      <c r="O861" s="1128"/>
      <c r="P861" s="1128"/>
      <c r="Q861" s="1128"/>
      <c r="R861" s="1128"/>
      <c r="S861" s="1128"/>
      <c r="T861" s="1128"/>
      <c r="U861" s="1128"/>
      <c r="V861" s="1128"/>
      <c r="W861" s="1128"/>
      <c r="X861" s="1128"/>
      <c r="Y861" s="1128"/>
      <c r="Z861" s="1128"/>
    </row>
    <row r="862" ht="22.5" customHeight="1">
      <c r="A862" s="1128"/>
      <c r="B862" s="1128"/>
      <c r="C862" s="1128"/>
      <c r="D862" s="1128"/>
      <c r="E862" s="1128"/>
      <c r="F862" s="1128"/>
      <c r="G862" s="1128"/>
      <c r="H862" s="1128"/>
      <c r="I862" s="1128"/>
      <c r="J862" s="1128"/>
      <c r="K862" s="1128"/>
      <c r="L862" s="1128"/>
      <c r="M862" s="1128"/>
      <c r="N862" s="1128"/>
      <c r="O862" s="1128"/>
      <c r="P862" s="1128"/>
      <c r="Q862" s="1128"/>
      <c r="R862" s="1128"/>
      <c r="S862" s="1128"/>
      <c r="T862" s="1128"/>
      <c r="U862" s="1128"/>
      <c r="V862" s="1128"/>
      <c r="W862" s="1128"/>
      <c r="X862" s="1128"/>
      <c r="Y862" s="1128"/>
      <c r="Z862" s="1128"/>
    </row>
    <row r="863" ht="22.5" customHeight="1">
      <c r="A863" s="1128"/>
      <c r="B863" s="1128"/>
      <c r="C863" s="1128"/>
      <c r="D863" s="1128"/>
      <c r="E863" s="1128"/>
      <c r="F863" s="1128"/>
      <c r="G863" s="1128"/>
      <c r="H863" s="1128"/>
      <c r="I863" s="1128"/>
      <c r="J863" s="1128"/>
      <c r="K863" s="1128"/>
      <c r="L863" s="1128"/>
      <c r="M863" s="1128"/>
      <c r="N863" s="1128"/>
      <c r="O863" s="1128"/>
      <c r="P863" s="1128"/>
      <c r="Q863" s="1128"/>
      <c r="R863" s="1128"/>
      <c r="S863" s="1128"/>
      <c r="T863" s="1128"/>
      <c r="U863" s="1128"/>
      <c r="V863" s="1128"/>
      <c r="W863" s="1128"/>
      <c r="X863" s="1128"/>
      <c r="Y863" s="1128"/>
      <c r="Z863" s="1128"/>
    </row>
    <row r="864" ht="22.5" customHeight="1">
      <c r="A864" s="1128"/>
      <c r="B864" s="1128"/>
      <c r="C864" s="1128"/>
      <c r="D864" s="1128"/>
      <c r="E864" s="1128"/>
      <c r="F864" s="1128"/>
      <c r="G864" s="1128"/>
      <c r="H864" s="1128"/>
      <c r="I864" s="1128"/>
      <c r="J864" s="1128"/>
      <c r="K864" s="1128"/>
      <c r="L864" s="1128"/>
      <c r="M864" s="1128"/>
      <c r="N864" s="1128"/>
      <c r="O864" s="1128"/>
      <c r="P864" s="1128"/>
      <c r="Q864" s="1128"/>
      <c r="R864" s="1128"/>
      <c r="S864" s="1128"/>
      <c r="T864" s="1128"/>
      <c r="U864" s="1128"/>
      <c r="V864" s="1128"/>
      <c r="W864" s="1128"/>
      <c r="X864" s="1128"/>
      <c r="Y864" s="1128"/>
      <c r="Z864" s="1128"/>
    </row>
    <row r="865" ht="22.5" customHeight="1">
      <c r="A865" s="1128"/>
      <c r="B865" s="1128"/>
      <c r="C865" s="1128"/>
      <c r="D865" s="1128"/>
      <c r="E865" s="1128"/>
      <c r="F865" s="1128"/>
      <c r="G865" s="1128"/>
      <c r="H865" s="1128"/>
      <c r="I865" s="1128"/>
      <c r="J865" s="1128"/>
      <c r="K865" s="1128"/>
      <c r="L865" s="1128"/>
      <c r="M865" s="1128"/>
      <c r="N865" s="1128"/>
      <c r="O865" s="1128"/>
      <c r="P865" s="1128"/>
      <c r="Q865" s="1128"/>
      <c r="R865" s="1128"/>
      <c r="S865" s="1128"/>
      <c r="T865" s="1128"/>
      <c r="U865" s="1128"/>
      <c r="V865" s="1128"/>
      <c r="W865" s="1128"/>
      <c r="X865" s="1128"/>
      <c r="Y865" s="1128"/>
      <c r="Z865" s="1128"/>
    </row>
    <row r="866" ht="22.5" customHeight="1">
      <c r="A866" s="1128"/>
      <c r="B866" s="1128"/>
      <c r="C866" s="1128"/>
      <c r="D866" s="1128"/>
      <c r="E866" s="1128"/>
      <c r="F866" s="1128"/>
      <c r="G866" s="1128"/>
      <c r="H866" s="1128"/>
      <c r="I866" s="1128"/>
      <c r="J866" s="1128"/>
      <c r="K866" s="1128"/>
      <c r="L866" s="1128"/>
      <c r="M866" s="1128"/>
      <c r="N866" s="1128"/>
      <c r="O866" s="1128"/>
      <c r="P866" s="1128"/>
      <c r="Q866" s="1128"/>
      <c r="R866" s="1128"/>
      <c r="S866" s="1128"/>
      <c r="T866" s="1128"/>
      <c r="U866" s="1128"/>
      <c r="V866" s="1128"/>
      <c r="W866" s="1128"/>
      <c r="X866" s="1128"/>
      <c r="Y866" s="1128"/>
      <c r="Z866" s="1128"/>
    </row>
    <row r="867" ht="22.5" customHeight="1">
      <c r="A867" s="1128"/>
      <c r="B867" s="1128"/>
      <c r="C867" s="1128"/>
      <c r="D867" s="1128"/>
      <c r="E867" s="1128"/>
      <c r="F867" s="1128"/>
      <c r="G867" s="1128"/>
      <c r="H867" s="1128"/>
      <c r="I867" s="1128"/>
      <c r="J867" s="1128"/>
      <c r="K867" s="1128"/>
      <c r="L867" s="1128"/>
      <c r="M867" s="1128"/>
      <c r="N867" s="1128"/>
      <c r="O867" s="1128"/>
      <c r="P867" s="1128"/>
      <c r="Q867" s="1128"/>
      <c r="R867" s="1128"/>
      <c r="S867" s="1128"/>
      <c r="T867" s="1128"/>
      <c r="U867" s="1128"/>
      <c r="V867" s="1128"/>
      <c r="W867" s="1128"/>
      <c r="X867" s="1128"/>
      <c r="Y867" s="1128"/>
      <c r="Z867" s="1128"/>
    </row>
    <row r="868" ht="22.5" customHeight="1">
      <c r="A868" s="1128"/>
      <c r="B868" s="1128"/>
      <c r="C868" s="1128"/>
      <c r="D868" s="1128"/>
      <c r="E868" s="1128"/>
      <c r="F868" s="1128"/>
      <c r="G868" s="1128"/>
      <c r="H868" s="1128"/>
      <c r="I868" s="1128"/>
      <c r="J868" s="1128"/>
      <c r="K868" s="1128"/>
      <c r="L868" s="1128"/>
      <c r="M868" s="1128"/>
      <c r="N868" s="1128"/>
      <c r="O868" s="1128"/>
      <c r="P868" s="1128"/>
      <c r="Q868" s="1128"/>
      <c r="R868" s="1128"/>
      <c r="S868" s="1128"/>
      <c r="T868" s="1128"/>
      <c r="U868" s="1128"/>
      <c r="V868" s="1128"/>
      <c r="W868" s="1128"/>
      <c r="X868" s="1128"/>
      <c r="Y868" s="1128"/>
      <c r="Z868" s="1128"/>
    </row>
    <row r="869" ht="22.5" customHeight="1">
      <c r="A869" s="1128"/>
      <c r="B869" s="1128"/>
      <c r="C869" s="1128"/>
      <c r="D869" s="1128"/>
      <c r="E869" s="1128"/>
      <c r="F869" s="1128"/>
      <c r="G869" s="1128"/>
      <c r="H869" s="1128"/>
      <c r="I869" s="1128"/>
      <c r="J869" s="1128"/>
      <c r="K869" s="1128"/>
      <c r="L869" s="1128"/>
      <c r="M869" s="1128"/>
      <c r="N869" s="1128"/>
      <c r="O869" s="1128"/>
      <c r="P869" s="1128"/>
      <c r="Q869" s="1128"/>
      <c r="R869" s="1128"/>
      <c r="S869" s="1128"/>
      <c r="T869" s="1128"/>
      <c r="U869" s="1128"/>
      <c r="V869" s="1128"/>
      <c r="W869" s="1128"/>
      <c r="X869" s="1128"/>
      <c r="Y869" s="1128"/>
      <c r="Z869" s="1128"/>
    </row>
    <row r="870" ht="22.5" customHeight="1">
      <c r="A870" s="1128"/>
      <c r="B870" s="1128"/>
      <c r="C870" s="1128"/>
      <c r="D870" s="1128"/>
      <c r="E870" s="1128"/>
      <c r="F870" s="1128"/>
      <c r="G870" s="1128"/>
      <c r="H870" s="1128"/>
      <c r="I870" s="1128"/>
      <c r="J870" s="1128"/>
      <c r="K870" s="1128"/>
      <c r="L870" s="1128"/>
      <c r="M870" s="1128"/>
      <c r="N870" s="1128"/>
      <c r="O870" s="1128"/>
      <c r="P870" s="1128"/>
      <c r="Q870" s="1128"/>
      <c r="R870" s="1128"/>
      <c r="S870" s="1128"/>
      <c r="T870" s="1128"/>
      <c r="U870" s="1128"/>
      <c r="V870" s="1128"/>
      <c r="W870" s="1128"/>
      <c r="X870" s="1128"/>
      <c r="Y870" s="1128"/>
      <c r="Z870" s="1128"/>
    </row>
    <row r="871" ht="22.5" customHeight="1">
      <c r="A871" s="1128"/>
      <c r="B871" s="1128"/>
      <c r="C871" s="1128"/>
      <c r="D871" s="1128"/>
      <c r="E871" s="1128"/>
      <c r="F871" s="1128"/>
      <c r="G871" s="1128"/>
      <c r="H871" s="1128"/>
      <c r="I871" s="1128"/>
      <c r="J871" s="1128"/>
      <c r="K871" s="1128"/>
      <c r="L871" s="1128"/>
      <c r="M871" s="1128"/>
      <c r="N871" s="1128"/>
      <c r="O871" s="1128"/>
      <c r="P871" s="1128"/>
      <c r="Q871" s="1128"/>
      <c r="R871" s="1128"/>
      <c r="S871" s="1128"/>
      <c r="T871" s="1128"/>
      <c r="U871" s="1128"/>
      <c r="V871" s="1128"/>
      <c r="W871" s="1128"/>
      <c r="X871" s="1128"/>
      <c r="Y871" s="1128"/>
      <c r="Z871" s="1128"/>
    </row>
    <row r="872" ht="22.5" customHeight="1">
      <c r="A872" s="1128"/>
      <c r="B872" s="1128"/>
      <c r="C872" s="1128"/>
      <c r="D872" s="1128"/>
      <c r="E872" s="1128"/>
      <c r="F872" s="1128"/>
      <c r="G872" s="1128"/>
      <c r="H872" s="1128"/>
      <c r="I872" s="1128"/>
      <c r="J872" s="1128"/>
      <c r="K872" s="1128"/>
      <c r="L872" s="1128"/>
      <c r="M872" s="1128"/>
      <c r="N872" s="1128"/>
      <c r="O872" s="1128"/>
      <c r="P872" s="1128"/>
      <c r="Q872" s="1128"/>
      <c r="R872" s="1128"/>
      <c r="S872" s="1128"/>
      <c r="T872" s="1128"/>
      <c r="U872" s="1128"/>
      <c r="V872" s="1128"/>
      <c r="W872" s="1128"/>
      <c r="X872" s="1128"/>
      <c r="Y872" s="1128"/>
      <c r="Z872" s="1128"/>
    </row>
    <row r="873" ht="22.5" customHeight="1">
      <c r="A873" s="1128"/>
      <c r="B873" s="1128"/>
      <c r="C873" s="1128"/>
      <c r="D873" s="1128"/>
      <c r="E873" s="1128"/>
      <c r="F873" s="1128"/>
      <c r="G873" s="1128"/>
      <c r="H873" s="1128"/>
      <c r="I873" s="1128"/>
      <c r="J873" s="1128"/>
      <c r="K873" s="1128"/>
      <c r="L873" s="1128"/>
      <c r="M873" s="1128"/>
      <c r="N873" s="1128"/>
      <c r="O873" s="1128"/>
      <c r="P873" s="1128"/>
      <c r="Q873" s="1128"/>
      <c r="R873" s="1128"/>
      <c r="S873" s="1128"/>
      <c r="T873" s="1128"/>
      <c r="U873" s="1128"/>
      <c r="V873" s="1128"/>
      <c r="W873" s="1128"/>
      <c r="X873" s="1128"/>
      <c r="Y873" s="1128"/>
      <c r="Z873" s="1128"/>
    </row>
    <row r="874" ht="22.5" customHeight="1">
      <c r="A874" s="1128"/>
      <c r="B874" s="1128"/>
      <c r="C874" s="1128"/>
      <c r="D874" s="1128"/>
      <c r="E874" s="1128"/>
      <c r="F874" s="1128"/>
      <c r="G874" s="1128"/>
      <c r="H874" s="1128"/>
      <c r="I874" s="1128"/>
      <c r="J874" s="1128"/>
      <c r="K874" s="1128"/>
      <c r="L874" s="1128"/>
      <c r="M874" s="1128"/>
      <c r="N874" s="1128"/>
      <c r="O874" s="1128"/>
      <c r="P874" s="1128"/>
      <c r="Q874" s="1128"/>
      <c r="R874" s="1128"/>
      <c r="S874" s="1128"/>
      <c r="T874" s="1128"/>
      <c r="U874" s="1128"/>
      <c r="V874" s="1128"/>
      <c r="W874" s="1128"/>
      <c r="X874" s="1128"/>
      <c r="Y874" s="1128"/>
      <c r="Z874" s="1128"/>
    </row>
    <row r="875" ht="22.5" customHeight="1">
      <c r="A875" s="1128"/>
      <c r="B875" s="1128"/>
      <c r="C875" s="1128"/>
      <c r="D875" s="1128"/>
      <c r="E875" s="1128"/>
      <c r="F875" s="1128"/>
      <c r="G875" s="1128"/>
      <c r="H875" s="1128"/>
      <c r="I875" s="1128"/>
      <c r="J875" s="1128"/>
      <c r="K875" s="1128"/>
      <c r="L875" s="1128"/>
      <c r="M875" s="1128"/>
      <c r="N875" s="1128"/>
      <c r="O875" s="1128"/>
      <c r="P875" s="1128"/>
      <c r="Q875" s="1128"/>
      <c r="R875" s="1128"/>
      <c r="S875" s="1128"/>
      <c r="T875" s="1128"/>
      <c r="U875" s="1128"/>
      <c r="V875" s="1128"/>
      <c r="W875" s="1128"/>
      <c r="X875" s="1128"/>
      <c r="Y875" s="1128"/>
      <c r="Z875" s="1128"/>
    </row>
    <row r="876" ht="22.5" customHeight="1">
      <c r="A876" s="1128"/>
      <c r="B876" s="1128"/>
      <c r="C876" s="1128"/>
      <c r="D876" s="1128"/>
      <c r="E876" s="1128"/>
      <c r="F876" s="1128"/>
      <c r="G876" s="1128"/>
      <c r="H876" s="1128"/>
      <c r="I876" s="1128"/>
      <c r="J876" s="1128"/>
      <c r="K876" s="1128"/>
      <c r="L876" s="1128"/>
      <c r="M876" s="1128"/>
      <c r="N876" s="1128"/>
      <c r="O876" s="1128"/>
      <c r="P876" s="1128"/>
      <c r="Q876" s="1128"/>
      <c r="R876" s="1128"/>
      <c r="S876" s="1128"/>
      <c r="T876" s="1128"/>
      <c r="U876" s="1128"/>
      <c r="V876" s="1128"/>
      <c r="W876" s="1128"/>
      <c r="X876" s="1128"/>
      <c r="Y876" s="1128"/>
      <c r="Z876" s="1128"/>
    </row>
    <row r="877" ht="22.5" customHeight="1">
      <c r="A877" s="1128"/>
      <c r="B877" s="1128"/>
      <c r="C877" s="1128"/>
      <c r="D877" s="1128"/>
      <c r="E877" s="1128"/>
      <c r="F877" s="1128"/>
      <c r="G877" s="1128"/>
      <c r="H877" s="1128"/>
      <c r="I877" s="1128"/>
      <c r="J877" s="1128"/>
      <c r="K877" s="1128"/>
      <c r="L877" s="1128"/>
      <c r="M877" s="1128"/>
      <c r="N877" s="1128"/>
      <c r="O877" s="1128"/>
      <c r="P877" s="1128"/>
      <c r="Q877" s="1128"/>
      <c r="R877" s="1128"/>
      <c r="S877" s="1128"/>
      <c r="T877" s="1128"/>
      <c r="U877" s="1128"/>
      <c r="V877" s="1128"/>
      <c r="W877" s="1128"/>
      <c r="X877" s="1128"/>
      <c r="Y877" s="1128"/>
      <c r="Z877" s="1128"/>
    </row>
    <row r="878" ht="22.5" customHeight="1">
      <c r="A878" s="1128"/>
      <c r="B878" s="1128"/>
      <c r="C878" s="1128"/>
      <c r="D878" s="1128"/>
      <c r="E878" s="1128"/>
      <c r="F878" s="1128"/>
      <c r="G878" s="1128"/>
      <c r="H878" s="1128"/>
      <c r="I878" s="1128"/>
      <c r="J878" s="1128"/>
      <c r="K878" s="1128"/>
      <c r="L878" s="1128"/>
      <c r="M878" s="1128"/>
      <c r="N878" s="1128"/>
      <c r="O878" s="1128"/>
      <c r="P878" s="1128"/>
      <c r="Q878" s="1128"/>
      <c r="R878" s="1128"/>
      <c r="S878" s="1128"/>
      <c r="T878" s="1128"/>
      <c r="U878" s="1128"/>
      <c r="V878" s="1128"/>
      <c r="W878" s="1128"/>
      <c r="X878" s="1128"/>
      <c r="Y878" s="1128"/>
      <c r="Z878" s="1128"/>
    </row>
    <row r="879" ht="22.5" customHeight="1">
      <c r="A879" s="1128"/>
      <c r="B879" s="1128"/>
      <c r="C879" s="1128"/>
      <c r="D879" s="1128"/>
      <c r="E879" s="1128"/>
      <c r="F879" s="1128"/>
      <c r="G879" s="1128"/>
      <c r="H879" s="1128"/>
      <c r="I879" s="1128"/>
      <c r="J879" s="1128"/>
      <c r="K879" s="1128"/>
      <c r="L879" s="1128"/>
      <c r="M879" s="1128"/>
      <c r="N879" s="1128"/>
      <c r="O879" s="1128"/>
      <c r="P879" s="1128"/>
      <c r="Q879" s="1128"/>
      <c r="R879" s="1128"/>
      <c r="S879" s="1128"/>
      <c r="T879" s="1128"/>
      <c r="U879" s="1128"/>
      <c r="V879" s="1128"/>
      <c r="W879" s="1128"/>
      <c r="X879" s="1128"/>
      <c r="Y879" s="1128"/>
      <c r="Z879" s="1128"/>
    </row>
    <row r="880" ht="22.5" customHeight="1">
      <c r="A880" s="1128"/>
      <c r="B880" s="1128"/>
      <c r="C880" s="1128"/>
      <c r="D880" s="1128"/>
      <c r="E880" s="1128"/>
      <c r="F880" s="1128"/>
      <c r="G880" s="1128"/>
      <c r="H880" s="1128"/>
      <c r="I880" s="1128"/>
      <c r="J880" s="1128"/>
      <c r="K880" s="1128"/>
      <c r="L880" s="1128"/>
      <c r="M880" s="1128"/>
      <c r="N880" s="1128"/>
      <c r="O880" s="1128"/>
      <c r="P880" s="1128"/>
      <c r="Q880" s="1128"/>
      <c r="R880" s="1128"/>
      <c r="S880" s="1128"/>
      <c r="T880" s="1128"/>
      <c r="U880" s="1128"/>
      <c r="V880" s="1128"/>
      <c r="W880" s="1128"/>
      <c r="X880" s="1128"/>
      <c r="Y880" s="1128"/>
      <c r="Z880" s="1128"/>
    </row>
    <row r="881" ht="22.5" customHeight="1">
      <c r="A881" s="1128"/>
      <c r="B881" s="1128"/>
      <c r="C881" s="1128"/>
      <c r="D881" s="1128"/>
      <c r="E881" s="1128"/>
      <c r="F881" s="1128"/>
      <c r="G881" s="1128"/>
      <c r="H881" s="1128"/>
      <c r="I881" s="1128"/>
      <c r="J881" s="1128"/>
      <c r="K881" s="1128"/>
      <c r="L881" s="1128"/>
      <c r="M881" s="1128"/>
      <c r="N881" s="1128"/>
      <c r="O881" s="1128"/>
      <c r="P881" s="1128"/>
      <c r="Q881" s="1128"/>
      <c r="R881" s="1128"/>
      <c r="S881" s="1128"/>
      <c r="T881" s="1128"/>
      <c r="U881" s="1128"/>
      <c r="V881" s="1128"/>
      <c r="W881" s="1128"/>
      <c r="X881" s="1128"/>
      <c r="Y881" s="1128"/>
      <c r="Z881" s="1128"/>
    </row>
    <row r="882" ht="22.5" customHeight="1">
      <c r="A882" s="1128"/>
      <c r="B882" s="1128"/>
      <c r="C882" s="1128"/>
      <c r="D882" s="1128"/>
      <c r="E882" s="1128"/>
      <c r="F882" s="1128"/>
      <c r="G882" s="1128"/>
      <c r="H882" s="1128"/>
      <c r="I882" s="1128"/>
      <c r="J882" s="1128"/>
      <c r="K882" s="1128"/>
      <c r="L882" s="1128"/>
      <c r="M882" s="1128"/>
      <c r="N882" s="1128"/>
      <c r="O882" s="1128"/>
      <c r="P882" s="1128"/>
      <c r="Q882" s="1128"/>
      <c r="R882" s="1128"/>
      <c r="S882" s="1128"/>
      <c r="T882" s="1128"/>
      <c r="U882" s="1128"/>
      <c r="V882" s="1128"/>
      <c r="W882" s="1128"/>
      <c r="X882" s="1128"/>
      <c r="Y882" s="1128"/>
      <c r="Z882" s="1128"/>
    </row>
    <row r="883" ht="22.5" customHeight="1">
      <c r="A883" s="1128"/>
      <c r="B883" s="1128"/>
      <c r="C883" s="1128"/>
      <c r="D883" s="1128"/>
      <c r="E883" s="1128"/>
      <c r="F883" s="1128"/>
      <c r="G883" s="1128"/>
      <c r="H883" s="1128"/>
      <c r="I883" s="1128"/>
      <c r="J883" s="1128"/>
      <c r="K883" s="1128"/>
      <c r="L883" s="1128"/>
      <c r="M883" s="1128"/>
      <c r="N883" s="1128"/>
      <c r="O883" s="1128"/>
      <c r="P883" s="1128"/>
      <c r="Q883" s="1128"/>
      <c r="R883" s="1128"/>
      <c r="S883" s="1128"/>
      <c r="T883" s="1128"/>
      <c r="U883" s="1128"/>
      <c r="V883" s="1128"/>
      <c r="W883" s="1128"/>
      <c r="X883" s="1128"/>
      <c r="Y883" s="1128"/>
      <c r="Z883" s="1128"/>
    </row>
    <row r="884" ht="22.5" customHeight="1">
      <c r="A884" s="1128"/>
      <c r="B884" s="1128"/>
      <c r="C884" s="1128"/>
      <c r="D884" s="1128"/>
      <c r="E884" s="1128"/>
      <c r="F884" s="1128"/>
      <c r="G884" s="1128"/>
      <c r="H884" s="1128"/>
      <c r="I884" s="1128"/>
      <c r="J884" s="1128"/>
      <c r="K884" s="1128"/>
      <c r="L884" s="1128"/>
      <c r="M884" s="1128"/>
      <c r="N884" s="1128"/>
      <c r="O884" s="1128"/>
      <c r="P884" s="1128"/>
      <c r="Q884" s="1128"/>
      <c r="R884" s="1128"/>
      <c r="S884" s="1128"/>
      <c r="T884" s="1128"/>
      <c r="U884" s="1128"/>
      <c r="V884" s="1128"/>
      <c r="W884" s="1128"/>
      <c r="X884" s="1128"/>
      <c r="Y884" s="1128"/>
      <c r="Z884" s="1128"/>
    </row>
    <row r="885" ht="22.5" customHeight="1">
      <c r="A885" s="1128"/>
      <c r="B885" s="1128"/>
      <c r="C885" s="1128"/>
      <c r="D885" s="1128"/>
      <c r="E885" s="1128"/>
      <c r="F885" s="1128"/>
      <c r="G885" s="1128"/>
      <c r="H885" s="1128"/>
      <c r="I885" s="1128"/>
      <c r="J885" s="1128"/>
      <c r="K885" s="1128"/>
      <c r="L885" s="1128"/>
      <c r="M885" s="1128"/>
      <c r="N885" s="1128"/>
      <c r="O885" s="1128"/>
      <c r="P885" s="1128"/>
      <c r="Q885" s="1128"/>
      <c r="R885" s="1128"/>
      <c r="S885" s="1128"/>
      <c r="T885" s="1128"/>
      <c r="U885" s="1128"/>
      <c r="V885" s="1128"/>
      <c r="W885" s="1128"/>
      <c r="X885" s="1128"/>
      <c r="Y885" s="1128"/>
      <c r="Z885" s="1128"/>
    </row>
    <row r="886" ht="22.5" customHeight="1">
      <c r="A886" s="1128"/>
      <c r="B886" s="1128"/>
      <c r="C886" s="1128"/>
      <c r="D886" s="1128"/>
      <c r="E886" s="1128"/>
      <c r="F886" s="1128"/>
      <c r="G886" s="1128"/>
      <c r="H886" s="1128"/>
      <c r="I886" s="1128"/>
      <c r="J886" s="1128"/>
      <c r="K886" s="1128"/>
      <c r="L886" s="1128"/>
      <c r="M886" s="1128"/>
      <c r="N886" s="1128"/>
      <c r="O886" s="1128"/>
      <c r="P886" s="1128"/>
      <c r="Q886" s="1128"/>
      <c r="R886" s="1128"/>
      <c r="S886" s="1128"/>
      <c r="T886" s="1128"/>
      <c r="U886" s="1128"/>
      <c r="V886" s="1128"/>
      <c r="W886" s="1128"/>
      <c r="X886" s="1128"/>
      <c r="Y886" s="1128"/>
      <c r="Z886" s="1128"/>
    </row>
    <row r="887" ht="22.5" customHeight="1">
      <c r="A887" s="1128"/>
      <c r="B887" s="1128"/>
      <c r="C887" s="1128"/>
      <c r="D887" s="1128"/>
      <c r="E887" s="1128"/>
      <c r="F887" s="1128"/>
      <c r="G887" s="1128"/>
      <c r="H887" s="1128"/>
      <c r="I887" s="1128"/>
      <c r="J887" s="1128"/>
      <c r="K887" s="1128"/>
      <c r="L887" s="1128"/>
      <c r="M887" s="1128"/>
      <c r="N887" s="1128"/>
      <c r="O887" s="1128"/>
      <c r="P887" s="1128"/>
      <c r="Q887" s="1128"/>
      <c r="R887" s="1128"/>
      <c r="S887" s="1128"/>
      <c r="T887" s="1128"/>
      <c r="U887" s="1128"/>
      <c r="V887" s="1128"/>
      <c r="W887" s="1128"/>
      <c r="X887" s="1128"/>
      <c r="Y887" s="1128"/>
      <c r="Z887" s="1128"/>
    </row>
    <row r="888" ht="22.5" customHeight="1">
      <c r="A888" s="1128"/>
      <c r="B888" s="1128"/>
      <c r="C888" s="1128"/>
      <c r="D888" s="1128"/>
      <c r="E888" s="1128"/>
      <c r="F888" s="1128"/>
      <c r="G888" s="1128"/>
      <c r="H888" s="1128"/>
      <c r="I888" s="1128"/>
      <c r="J888" s="1128"/>
      <c r="K888" s="1128"/>
      <c r="L888" s="1128"/>
      <c r="M888" s="1128"/>
      <c r="N888" s="1128"/>
      <c r="O888" s="1128"/>
      <c r="P888" s="1128"/>
      <c r="Q888" s="1128"/>
      <c r="R888" s="1128"/>
      <c r="S888" s="1128"/>
      <c r="T888" s="1128"/>
      <c r="U888" s="1128"/>
      <c r="V888" s="1128"/>
      <c r="W888" s="1128"/>
      <c r="X888" s="1128"/>
      <c r="Y888" s="1128"/>
      <c r="Z888" s="1128"/>
    </row>
    <row r="889" ht="22.5" customHeight="1">
      <c r="A889" s="1128"/>
      <c r="B889" s="1128"/>
      <c r="C889" s="1128"/>
      <c r="D889" s="1128"/>
      <c r="E889" s="1128"/>
      <c r="F889" s="1128"/>
      <c r="G889" s="1128"/>
      <c r="H889" s="1128"/>
      <c r="I889" s="1128"/>
      <c r="J889" s="1128"/>
      <c r="K889" s="1128"/>
      <c r="L889" s="1128"/>
      <c r="M889" s="1128"/>
      <c r="N889" s="1128"/>
      <c r="O889" s="1128"/>
      <c r="P889" s="1128"/>
      <c r="Q889" s="1128"/>
      <c r="R889" s="1128"/>
      <c r="S889" s="1128"/>
      <c r="T889" s="1128"/>
      <c r="U889" s="1128"/>
      <c r="V889" s="1128"/>
      <c r="W889" s="1128"/>
      <c r="X889" s="1128"/>
      <c r="Y889" s="1128"/>
      <c r="Z889" s="1128"/>
    </row>
    <row r="890" ht="22.5" customHeight="1">
      <c r="A890" s="1128"/>
      <c r="B890" s="1128"/>
      <c r="C890" s="1128"/>
      <c r="D890" s="1128"/>
      <c r="E890" s="1128"/>
      <c r="F890" s="1128"/>
      <c r="G890" s="1128"/>
      <c r="H890" s="1128"/>
      <c r="I890" s="1128"/>
      <c r="J890" s="1128"/>
      <c r="K890" s="1128"/>
      <c r="L890" s="1128"/>
      <c r="M890" s="1128"/>
      <c r="N890" s="1128"/>
      <c r="O890" s="1128"/>
      <c r="P890" s="1128"/>
      <c r="Q890" s="1128"/>
      <c r="R890" s="1128"/>
      <c r="S890" s="1128"/>
      <c r="T890" s="1128"/>
      <c r="U890" s="1128"/>
      <c r="V890" s="1128"/>
      <c r="W890" s="1128"/>
      <c r="X890" s="1128"/>
      <c r="Y890" s="1128"/>
      <c r="Z890" s="1128"/>
    </row>
    <row r="891" ht="22.5" customHeight="1">
      <c r="A891" s="1128"/>
      <c r="B891" s="1128"/>
      <c r="C891" s="1128"/>
      <c r="D891" s="1128"/>
      <c r="E891" s="1128"/>
      <c r="F891" s="1128"/>
      <c r="G891" s="1128"/>
      <c r="H891" s="1128"/>
      <c r="I891" s="1128"/>
      <c r="J891" s="1128"/>
      <c r="K891" s="1128"/>
      <c r="L891" s="1128"/>
      <c r="M891" s="1128"/>
      <c r="N891" s="1128"/>
      <c r="O891" s="1128"/>
      <c r="P891" s="1128"/>
      <c r="Q891" s="1128"/>
      <c r="R891" s="1128"/>
      <c r="S891" s="1128"/>
      <c r="T891" s="1128"/>
      <c r="U891" s="1128"/>
      <c r="V891" s="1128"/>
      <c r="W891" s="1128"/>
      <c r="X891" s="1128"/>
      <c r="Y891" s="1128"/>
      <c r="Z891" s="1128"/>
    </row>
    <row r="892" ht="22.5" customHeight="1">
      <c r="A892" s="1128"/>
      <c r="B892" s="1128"/>
      <c r="C892" s="1128"/>
      <c r="D892" s="1128"/>
      <c r="E892" s="1128"/>
      <c r="F892" s="1128"/>
      <c r="G892" s="1128"/>
      <c r="H892" s="1128"/>
      <c r="I892" s="1128"/>
      <c r="J892" s="1128"/>
      <c r="K892" s="1128"/>
      <c r="L892" s="1128"/>
      <c r="M892" s="1128"/>
      <c r="N892" s="1128"/>
      <c r="O892" s="1128"/>
      <c r="P892" s="1128"/>
      <c r="Q892" s="1128"/>
      <c r="R892" s="1128"/>
      <c r="S892" s="1128"/>
      <c r="T892" s="1128"/>
      <c r="U892" s="1128"/>
      <c r="V892" s="1128"/>
      <c r="W892" s="1128"/>
      <c r="X892" s="1128"/>
      <c r="Y892" s="1128"/>
      <c r="Z892" s="1128"/>
    </row>
    <row r="893" ht="22.5" customHeight="1">
      <c r="A893" s="1128"/>
      <c r="B893" s="1128"/>
      <c r="C893" s="1128"/>
      <c r="D893" s="1128"/>
      <c r="E893" s="1128"/>
      <c r="F893" s="1128"/>
      <c r="G893" s="1128"/>
      <c r="H893" s="1128"/>
      <c r="I893" s="1128"/>
      <c r="J893" s="1128"/>
      <c r="K893" s="1128"/>
      <c r="L893" s="1128"/>
      <c r="M893" s="1128"/>
      <c r="N893" s="1128"/>
      <c r="O893" s="1128"/>
      <c r="P893" s="1128"/>
      <c r="Q893" s="1128"/>
      <c r="R893" s="1128"/>
      <c r="S893" s="1128"/>
      <c r="T893" s="1128"/>
      <c r="U893" s="1128"/>
      <c r="V893" s="1128"/>
      <c r="W893" s="1128"/>
      <c r="X893" s="1128"/>
      <c r="Y893" s="1128"/>
      <c r="Z893" s="1128"/>
    </row>
    <row r="894" ht="22.5" customHeight="1">
      <c r="A894" s="1128"/>
      <c r="B894" s="1128"/>
      <c r="C894" s="1128"/>
      <c r="D894" s="1128"/>
      <c r="E894" s="1128"/>
      <c r="F894" s="1128"/>
      <c r="G894" s="1128"/>
      <c r="H894" s="1128"/>
      <c r="I894" s="1128"/>
      <c r="J894" s="1128"/>
      <c r="K894" s="1128"/>
      <c r="L894" s="1128"/>
      <c r="M894" s="1128"/>
      <c r="N894" s="1128"/>
      <c r="O894" s="1128"/>
      <c r="P894" s="1128"/>
      <c r="Q894" s="1128"/>
      <c r="R894" s="1128"/>
      <c r="S894" s="1128"/>
      <c r="T894" s="1128"/>
      <c r="U894" s="1128"/>
      <c r="V894" s="1128"/>
      <c r="W894" s="1128"/>
      <c r="X894" s="1128"/>
      <c r="Y894" s="1128"/>
      <c r="Z894" s="1128"/>
    </row>
    <row r="895" ht="22.5" customHeight="1">
      <c r="A895" s="1128"/>
      <c r="B895" s="1128"/>
      <c r="C895" s="1128"/>
      <c r="D895" s="1128"/>
      <c r="E895" s="1128"/>
      <c r="F895" s="1128"/>
      <c r="G895" s="1128"/>
      <c r="H895" s="1128"/>
      <c r="I895" s="1128"/>
      <c r="J895" s="1128"/>
      <c r="K895" s="1128"/>
      <c r="L895" s="1128"/>
      <c r="M895" s="1128"/>
      <c r="N895" s="1128"/>
      <c r="O895" s="1128"/>
      <c r="P895" s="1128"/>
      <c r="Q895" s="1128"/>
      <c r="R895" s="1128"/>
      <c r="S895" s="1128"/>
      <c r="T895" s="1128"/>
      <c r="U895" s="1128"/>
      <c r="V895" s="1128"/>
      <c r="W895" s="1128"/>
      <c r="X895" s="1128"/>
      <c r="Y895" s="1128"/>
      <c r="Z895" s="1128"/>
    </row>
    <row r="896" ht="22.5" customHeight="1">
      <c r="A896" s="1128"/>
      <c r="B896" s="1128"/>
      <c r="C896" s="1128"/>
      <c r="D896" s="1128"/>
      <c r="E896" s="1128"/>
      <c r="F896" s="1128"/>
      <c r="G896" s="1128"/>
      <c r="H896" s="1128"/>
      <c r="I896" s="1128"/>
      <c r="J896" s="1128"/>
      <c r="K896" s="1128"/>
      <c r="L896" s="1128"/>
      <c r="M896" s="1128"/>
      <c r="N896" s="1128"/>
      <c r="O896" s="1128"/>
      <c r="P896" s="1128"/>
      <c r="Q896" s="1128"/>
      <c r="R896" s="1128"/>
      <c r="S896" s="1128"/>
      <c r="T896" s="1128"/>
      <c r="U896" s="1128"/>
      <c r="V896" s="1128"/>
      <c r="W896" s="1128"/>
      <c r="X896" s="1128"/>
      <c r="Y896" s="1128"/>
      <c r="Z896" s="1128"/>
    </row>
    <row r="897" ht="22.5" customHeight="1">
      <c r="A897" s="1128"/>
      <c r="B897" s="1128"/>
      <c r="C897" s="1128"/>
      <c r="D897" s="1128"/>
      <c r="E897" s="1128"/>
      <c r="F897" s="1128"/>
      <c r="G897" s="1128"/>
      <c r="H897" s="1128"/>
      <c r="I897" s="1128"/>
      <c r="J897" s="1128"/>
      <c r="K897" s="1128"/>
      <c r="L897" s="1128"/>
      <c r="M897" s="1128"/>
      <c r="N897" s="1128"/>
      <c r="O897" s="1128"/>
      <c r="P897" s="1128"/>
      <c r="Q897" s="1128"/>
      <c r="R897" s="1128"/>
      <c r="S897" s="1128"/>
      <c r="T897" s="1128"/>
      <c r="U897" s="1128"/>
      <c r="V897" s="1128"/>
      <c r="W897" s="1128"/>
      <c r="X897" s="1128"/>
      <c r="Y897" s="1128"/>
      <c r="Z897" s="1128"/>
    </row>
    <row r="898" ht="22.5" customHeight="1">
      <c r="A898" s="1128"/>
      <c r="B898" s="1128"/>
      <c r="C898" s="1128"/>
      <c r="D898" s="1128"/>
      <c r="E898" s="1128"/>
      <c r="F898" s="1128"/>
      <c r="G898" s="1128"/>
      <c r="H898" s="1128"/>
      <c r="I898" s="1128"/>
      <c r="J898" s="1128"/>
      <c r="K898" s="1128"/>
      <c r="L898" s="1128"/>
      <c r="M898" s="1128"/>
      <c r="N898" s="1128"/>
      <c r="O898" s="1128"/>
      <c r="P898" s="1128"/>
      <c r="Q898" s="1128"/>
      <c r="R898" s="1128"/>
      <c r="S898" s="1128"/>
      <c r="T898" s="1128"/>
      <c r="U898" s="1128"/>
      <c r="V898" s="1128"/>
      <c r="W898" s="1128"/>
      <c r="X898" s="1128"/>
      <c r="Y898" s="1128"/>
      <c r="Z898" s="1128"/>
    </row>
    <row r="899" ht="22.5" customHeight="1">
      <c r="A899" s="1128"/>
      <c r="B899" s="1128"/>
      <c r="C899" s="1128"/>
      <c r="D899" s="1128"/>
      <c r="E899" s="1128"/>
      <c r="F899" s="1128"/>
      <c r="G899" s="1128"/>
      <c r="H899" s="1128"/>
      <c r="I899" s="1128"/>
      <c r="J899" s="1128"/>
      <c r="K899" s="1128"/>
      <c r="L899" s="1128"/>
      <c r="M899" s="1128"/>
      <c r="N899" s="1128"/>
      <c r="O899" s="1128"/>
      <c r="P899" s="1128"/>
      <c r="Q899" s="1128"/>
      <c r="R899" s="1128"/>
      <c r="S899" s="1128"/>
      <c r="T899" s="1128"/>
      <c r="U899" s="1128"/>
      <c r="V899" s="1128"/>
      <c r="W899" s="1128"/>
      <c r="X899" s="1128"/>
      <c r="Y899" s="1128"/>
      <c r="Z899" s="1128"/>
    </row>
    <row r="900" ht="22.5" customHeight="1">
      <c r="A900" s="1128"/>
      <c r="B900" s="1128"/>
      <c r="C900" s="1128"/>
      <c r="D900" s="1128"/>
      <c r="E900" s="1128"/>
      <c r="F900" s="1128"/>
      <c r="G900" s="1128"/>
      <c r="H900" s="1128"/>
      <c r="I900" s="1128"/>
      <c r="J900" s="1128"/>
      <c r="K900" s="1128"/>
      <c r="L900" s="1128"/>
      <c r="M900" s="1128"/>
      <c r="N900" s="1128"/>
      <c r="O900" s="1128"/>
      <c r="P900" s="1128"/>
      <c r="Q900" s="1128"/>
      <c r="R900" s="1128"/>
      <c r="S900" s="1128"/>
      <c r="T900" s="1128"/>
      <c r="U900" s="1128"/>
      <c r="V900" s="1128"/>
      <c r="W900" s="1128"/>
      <c r="X900" s="1128"/>
      <c r="Y900" s="1128"/>
      <c r="Z900" s="1128"/>
    </row>
    <row r="901" ht="22.5" customHeight="1">
      <c r="A901" s="1128"/>
      <c r="B901" s="1128"/>
      <c r="C901" s="1128"/>
      <c r="D901" s="1128"/>
      <c r="E901" s="1128"/>
      <c r="F901" s="1128"/>
      <c r="G901" s="1128"/>
      <c r="H901" s="1128"/>
      <c r="I901" s="1128"/>
      <c r="J901" s="1128"/>
      <c r="K901" s="1128"/>
      <c r="L901" s="1128"/>
      <c r="M901" s="1128"/>
      <c r="N901" s="1128"/>
      <c r="O901" s="1128"/>
      <c r="P901" s="1128"/>
      <c r="Q901" s="1128"/>
      <c r="R901" s="1128"/>
      <c r="S901" s="1128"/>
      <c r="T901" s="1128"/>
      <c r="U901" s="1128"/>
      <c r="V901" s="1128"/>
      <c r="W901" s="1128"/>
      <c r="X901" s="1128"/>
      <c r="Y901" s="1128"/>
      <c r="Z901" s="1128"/>
    </row>
    <row r="902" ht="22.5" customHeight="1">
      <c r="A902" s="1128"/>
      <c r="B902" s="1128"/>
      <c r="C902" s="1128"/>
      <c r="D902" s="1128"/>
      <c r="E902" s="1128"/>
      <c r="F902" s="1128"/>
      <c r="G902" s="1128"/>
      <c r="H902" s="1128"/>
      <c r="I902" s="1128"/>
      <c r="J902" s="1128"/>
      <c r="K902" s="1128"/>
      <c r="L902" s="1128"/>
      <c r="M902" s="1128"/>
      <c r="N902" s="1128"/>
      <c r="O902" s="1128"/>
      <c r="P902" s="1128"/>
      <c r="Q902" s="1128"/>
      <c r="R902" s="1128"/>
      <c r="S902" s="1128"/>
      <c r="T902" s="1128"/>
      <c r="U902" s="1128"/>
      <c r="V902" s="1128"/>
      <c r="W902" s="1128"/>
      <c r="X902" s="1128"/>
      <c r="Y902" s="1128"/>
      <c r="Z902" s="1128"/>
    </row>
    <row r="903" ht="22.5" customHeight="1">
      <c r="A903" s="1128"/>
      <c r="B903" s="1128"/>
      <c r="C903" s="1128"/>
      <c r="D903" s="1128"/>
      <c r="E903" s="1128"/>
      <c r="F903" s="1128"/>
      <c r="G903" s="1128"/>
      <c r="H903" s="1128"/>
      <c r="I903" s="1128"/>
      <c r="J903" s="1128"/>
      <c r="K903" s="1128"/>
      <c r="L903" s="1128"/>
      <c r="M903" s="1128"/>
      <c r="N903" s="1128"/>
      <c r="O903" s="1128"/>
      <c r="P903" s="1128"/>
      <c r="Q903" s="1128"/>
      <c r="R903" s="1128"/>
      <c r="S903" s="1128"/>
      <c r="T903" s="1128"/>
      <c r="U903" s="1128"/>
      <c r="V903" s="1128"/>
      <c r="W903" s="1128"/>
      <c r="X903" s="1128"/>
      <c r="Y903" s="1128"/>
      <c r="Z903" s="1128"/>
    </row>
    <row r="904" ht="22.5" customHeight="1">
      <c r="A904" s="1128"/>
      <c r="B904" s="1128"/>
      <c r="C904" s="1128"/>
      <c r="D904" s="1128"/>
      <c r="E904" s="1128"/>
      <c r="F904" s="1128"/>
      <c r="G904" s="1128"/>
      <c r="H904" s="1128"/>
      <c r="I904" s="1128"/>
      <c r="J904" s="1128"/>
      <c r="K904" s="1128"/>
      <c r="L904" s="1128"/>
      <c r="M904" s="1128"/>
      <c r="N904" s="1128"/>
      <c r="O904" s="1128"/>
      <c r="P904" s="1128"/>
      <c r="Q904" s="1128"/>
      <c r="R904" s="1128"/>
      <c r="S904" s="1128"/>
      <c r="T904" s="1128"/>
      <c r="U904" s="1128"/>
      <c r="V904" s="1128"/>
      <c r="W904" s="1128"/>
      <c r="X904" s="1128"/>
      <c r="Y904" s="1128"/>
      <c r="Z904" s="1128"/>
    </row>
    <row r="905" ht="22.5" customHeight="1">
      <c r="A905" s="1128"/>
      <c r="B905" s="1128"/>
      <c r="C905" s="1128"/>
      <c r="D905" s="1128"/>
      <c r="E905" s="1128"/>
      <c r="F905" s="1128"/>
      <c r="G905" s="1128"/>
      <c r="H905" s="1128"/>
      <c r="I905" s="1128"/>
      <c r="J905" s="1128"/>
      <c r="K905" s="1128"/>
      <c r="L905" s="1128"/>
      <c r="M905" s="1128"/>
      <c r="N905" s="1128"/>
      <c r="O905" s="1128"/>
      <c r="P905" s="1128"/>
      <c r="Q905" s="1128"/>
      <c r="R905" s="1128"/>
      <c r="S905" s="1128"/>
      <c r="T905" s="1128"/>
      <c r="U905" s="1128"/>
      <c r="V905" s="1128"/>
      <c r="W905" s="1128"/>
      <c r="X905" s="1128"/>
      <c r="Y905" s="1128"/>
      <c r="Z905" s="1128"/>
    </row>
    <row r="906" ht="22.5" customHeight="1">
      <c r="A906" s="1128"/>
      <c r="B906" s="1128"/>
      <c r="C906" s="1128"/>
      <c r="D906" s="1128"/>
      <c r="E906" s="1128"/>
      <c r="F906" s="1128"/>
      <c r="G906" s="1128"/>
      <c r="H906" s="1128"/>
      <c r="I906" s="1128"/>
      <c r="J906" s="1128"/>
      <c r="K906" s="1128"/>
      <c r="L906" s="1128"/>
      <c r="M906" s="1128"/>
      <c r="N906" s="1128"/>
      <c r="O906" s="1128"/>
      <c r="P906" s="1128"/>
      <c r="Q906" s="1128"/>
      <c r="R906" s="1128"/>
      <c r="S906" s="1128"/>
      <c r="T906" s="1128"/>
      <c r="U906" s="1128"/>
      <c r="V906" s="1128"/>
      <c r="W906" s="1128"/>
      <c r="X906" s="1128"/>
      <c r="Y906" s="1128"/>
      <c r="Z906" s="1128"/>
    </row>
    <row r="907" ht="22.5" customHeight="1">
      <c r="A907" s="1128"/>
      <c r="B907" s="1128"/>
      <c r="C907" s="1128"/>
      <c r="D907" s="1128"/>
      <c r="E907" s="1128"/>
      <c r="F907" s="1128"/>
      <c r="G907" s="1128"/>
      <c r="H907" s="1128"/>
      <c r="I907" s="1128"/>
      <c r="J907" s="1128"/>
      <c r="K907" s="1128"/>
      <c r="L907" s="1128"/>
      <c r="M907" s="1128"/>
      <c r="N907" s="1128"/>
      <c r="O907" s="1128"/>
      <c r="P907" s="1128"/>
      <c r="Q907" s="1128"/>
      <c r="R907" s="1128"/>
      <c r="S907" s="1128"/>
      <c r="T907" s="1128"/>
      <c r="U907" s="1128"/>
      <c r="V907" s="1128"/>
      <c r="W907" s="1128"/>
      <c r="X907" s="1128"/>
      <c r="Y907" s="1128"/>
      <c r="Z907" s="1128"/>
    </row>
    <row r="908" ht="22.5" customHeight="1">
      <c r="A908" s="1128"/>
      <c r="B908" s="1128"/>
      <c r="C908" s="1128"/>
      <c r="D908" s="1128"/>
      <c r="E908" s="1128"/>
      <c r="F908" s="1128"/>
      <c r="G908" s="1128"/>
      <c r="H908" s="1128"/>
      <c r="I908" s="1128"/>
      <c r="J908" s="1128"/>
      <c r="K908" s="1128"/>
      <c r="L908" s="1128"/>
      <c r="M908" s="1128"/>
      <c r="N908" s="1128"/>
      <c r="O908" s="1128"/>
      <c r="P908" s="1128"/>
      <c r="Q908" s="1128"/>
      <c r="R908" s="1128"/>
      <c r="S908" s="1128"/>
      <c r="T908" s="1128"/>
      <c r="U908" s="1128"/>
      <c r="V908" s="1128"/>
      <c r="W908" s="1128"/>
      <c r="X908" s="1128"/>
      <c r="Y908" s="1128"/>
      <c r="Z908" s="1128"/>
    </row>
    <row r="909" ht="22.5" customHeight="1">
      <c r="A909" s="1128"/>
      <c r="B909" s="1128"/>
      <c r="C909" s="1128"/>
      <c r="D909" s="1128"/>
      <c r="E909" s="1128"/>
      <c r="F909" s="1128"/>
      <c r="G909" s="1128"/>
      <c r="H909" s="1128"/>
      <c r="I909" s="1128"/>
      <c r="J909" s="1128"/>
      <c r="K909" s="1128"/>
      <c r="L909" s="1128"/>
      <c r="M909" s="1128"/>
      <c r="N909" s="1128"/>
      <c r="O909" s="1128"/>
      <c r="P909" s="1128"/>
      <c r="Q909" s="1128"/>
      <c r="R909" s="1128"/>
      <c r="S909" s="1128"/>
      <c r="T909" s="1128"/>
      <c r="U909" s="1128"/>
      <c r="V909" s="1128"/>
      <c r="W909" s="1128"/>
      <c r="X909" s="1128"/>
      <c r="Y909" s="1128"/>
      <c r="Z909" s="1128"/>
    </row>
    <row r="910" ht="22.5" customHeight="1">
      <c r="A910" s="1128"/>
      <c r="B910" s="1128"/>
      <c r="C910" s="1128"/>
      <c r="D910" s="1128"/>
      <c r="E910" s="1128"/>
      <c r="F910" s="1128"/>
      <c r="G910" s="1128"/>
      <c r="H910" s="1128"/>
      <c r="I910" s="1128"/>
      <c r="J910" s="1128"/>
      <c r="K910" s="1128"/>
      <c r="L910" s="1128"/>
      <c r="M910" s="1128"/>
      <c r="N910" s="1128"/>
      <c r="O910" s="1128"/>
      <c r="P910" s="1128"/>
      <c r="Q910" s="1128"/>
      <c r="R910" s="1128"/>
      <c r="S910" s="1128"/>
      <c r="T910" s="1128"/>
      <c r="U910" s="1128"/>
      <c r="V910" s="1128"/>
      <c r="W910" s="1128"/>
      <c r="X910" s="1128"/>
      <c r="Y910" s="1128"/>
      <c r="Z910" s="1128"/>
    </row>
    <row r="911" ht="22.5" customHeight="1">
      <c r="A911" s="1128"/>
      <c r="B911" s="1128"/>
      <c r="C911" s="1128"/>
      <c r="D911" s="1128"/>
      <c r="E911" s="1128"/>
      <c r="F911" s="1128"/>
      <c r="G911" s="1128"/>
      <c r="H911" s="1128"/>
      <c r="I911" s="1128"/>
      <c r="J911" s="1128"/>
      <c r="K911" s="1128"/>
      <c r="L911" s="1128"/>
      <c r="M911" s="1128"/>
      <c r="N911" s="1128"/>
      <c r="O911" s="1128"/>
      <c r="P911" s="1128"/>
      <c r="Q911" s="1128"/>
      <c r="R911" s="1128"/>
      <c r="S911" s="1128"/>
      <c r="T911" s="1128"/>
      <c r="U911" s="1128"/>
      <c r="V911" s="1128"/>
      <c r="W911" s="1128"/>
      <c r="X911" s="1128"/>
      <c r="Y911" s="1128"/>
      <c r="Z911" s="1128"/>
    </row>
    <row r="912" ht="22.5" customHeight="1">
      <c r="A912" s="1128"/>
      <c r="B912" s="1128"/>
      <c r="C912" s="1128"/>
      <c r="D912" s="1128"/>
      <c r="E912" s="1128"/>
      <c r="F912" s="1128"/>
      <c r="G912" s="1128"/>
      <c r="H912" s="1128"/>
      <c r="I912" s="1128"/>
      <c r="J912" s="1128"/>
      <c r="K912" s="1128"/>
      <c r="L912" s="1128"/>
      <c r="M912" s="1128"/>
      <c r="N912" s="1128"/>
      <c r="O912" s="1128"/>
      <c r="P912" s="1128"/>
      <c r="Q912" s="1128"/>
      <c r="R912" s="1128"/>
      <c r="S912" s="1128"/>
      <c r="T912" s="1128"/>
      <c r="U912" s="1128"/>
      <c r="V912" s="1128"/>
      <c r="W912" s="1128"/>
      <c r="X912" s="1128"/>
      <c r="Y912" s="1128"/>
      <c r="Z912" s="1128"/>
    </row>
    <row r="913" ht="22.5" customHeight="1">
      <c r="A913" s="1128"/>
      <c r="B913" s="1128"/>
      <c r="C913" s="1128"/>
      <c r="D913" s="1128"/>
      <c r="E913" s="1128"/>
      <c r="F913" s="1128"/>
      <c r="G913" s="1128"/>
      <c r="H913" s="1128"/>
      <c r="I913" s="1128"/>
      <c r="J913" s="1128"/>
      <c r="K913" s="1128"/>
      <c r="L913" s="1128"/>
      <c r="M913" s="1128"/>
      <c r="N913" s="1128"/>
      <c r="O913" s="1128"/>
      <c r="P913" s="1128"/>
      <c r="Q913" s="1128"/>
      <c r="R913" s="1128"/>
      <c r="S913" s="1128"/>
      <c r="T913" s="1128"/>
      <c r="U913" s="1128"/>
      <c r="V913" s="1128"/>
      <c r="W913" s="1128"/>
      <c r="X913" s="1128"/>
      <c r="Y913" s="1128"/>
      <c r="Z913" s="1128"/>
    </row>
    <row r="914" ht="22.5" customHeight="1">
      <c r="A914" s="1128"/>
      <c r="B914" s="1128"/>
      <c r="C914" s="1128"/>
      <c r="D914" s="1128"/>
      <c r="E914" s="1128"/>
      <c r="F914" s="1128"/>
      <c r="G914" s="1128"/>
      <c r="H914" s="1128"/>
      <c r="I914" s="1128"/>
      <c r="J914" s="1128"/>
      <c r="K914" s="1128"/>
      <c r="L914" s="1128"/>
      <c r="M914" s="1128"/>
      <c r="N914" s="1128"/>
      <c r="O914" s="1128"/>
      <c r="P914" s="1128"/>
      <c r="Q914" s="1128"/>
      <c r="R914" s="1128"/>
      <c r="S914" s="1128"/>
      <c r="T914" s="1128"/>
      <c r="U914" s="1128"/>
      <c r="V914" s="1128"/>
      <c r="W914" s="1128"/>
      <c r="X914" s="1128"/>
      <c r="Y914" s="1128"/>
      <c r="Z914" s="1128"/>
    </row>
    <row r="915" ht="22.5" customHeight="1">
      <c r="A915" s="1128"/>
      <c r="B915" s="1128"/>
      <c r="C915" s="1128"/>
      <c r="D915" s="1128"/>
      <c r="E915" s="1128"/>
      <c r="F915" s="1128"/>
      <c r="G915" s="1128"/>
      <c r="H915" s="1128"/>
      <c r="I915" s="1128"/>
      <c r="J915" s="1128"/>
      <c r="K915" s="1128"/>
      <c r="L915" s="1128"/>
      <c r="M915" s="1128"/>
      <c r="N915" s="1128"/>
      <c r="O915" s="1128"/>
      <c r="P915" s="1128"/>
      <c r="Q915" s="1128"/>
      <c r="R915" s="1128"/>
      <c r="S915" s="1128"/>
      <c r="T915" s="1128"/>
      <c r="U915" s="1128"/>
      <c r="V915" s="1128"/>
      <c r="W915" s="1128"/>
      <c r="X915" s="1128"/>
      <c r="Y915" s="1128"/>
      <c r="Z915" s="1128"/>
    </row>
    <row r="916" ht="22.5" customHeight="1">
      <c r="A916" s="1128"/>
      <c r="B916" s="1128"/>
      <c r="C916" s="1128"/>
      <c r="D916" s="1128"/>
      <c r="E916" s="1128"/>
      <c r="F916" s="1128"/>
      <c r="G916" s="1128"/>
      <c r="H916" s="1128"/>
      <c r="I916" s="1128"/>
      <c r="J916" s="1128"/>
      <c r="K916" s="1128"/>
      <c r="L916" s="1128"/>
      <c r="M916" s="1128"/>
      <c r="N916" s="1128"/>
      <c r="O916" s="1128"/>
      <c r="P916" s="1128"/>
      <c r="Q916" s="1128"/>
      <c r="R916" s="1128"/>
      <c r="S916" s="1128"/>
      <c r="T916" s="1128"/>
      <c r="U916" s="1128"/>
      <c r="V916" s="1128"/>
      <c r="W916" s="1128"/>
      <c r="X916" s="1128"/>
      <c r="Y916" s="1128"/>
      <c r="Z916" s="1128"/>
    </row>
    <row r="917" ht="22.5" customHeight="1">
      <c r="A917" s="1128"/>
      <c r="B917" s="1128"/>
      <c r="C917" s="1128"/>
      <c r="D917" s="1128"/>
      <c r="E917" s="1128"/>
      <c r="F917" s="1128"/>
      <c r="G917" s="1128"/>
      <c r="H917" s="1128"/>
      <c r="I917" s="1128"/>
      <c r="J917" s="1128"/>
      <c r="K917" s="1128"/>
      <c r="L917" s="1128"/>
      <c r="M917" s="1128"/>
      <c r="N917" s="1128"/>
      <c r="O917" s="1128"/>
      <c r="P917" s="1128"/>
      <c r="Q917" s="1128"/>
      <c r="R917" s="1128"/>
      <c r="S917" s="1128"/>
      <c r="T917" s="1128"/>
      <c r="U917" s="1128"/>
      <c r="V917" s="1128"/>
      <c r="W917" s="1128"/>
      <c r="X917" s="1128"/>
      <c r="Y917" s="1128"/>
      <c r="Z917" s="1128"/>
    </row>
    <row r="918" ht="22.5" customHeight="1">
      <c r="A918" s="1128"/>
      <c r="B918" s="1128"/>
      <c r="C918" s="1128"/>
      <c r="D918" s="1128"/>
      <c r="E918" s="1128"/>
      <c r="F918" s="1128"/>
      <c r="G918" s="1128"/>
      <c r="H918" s="1128"/>
      <c r="I918" s="1128"/>
      <c r="J918" s="1128"/>
      <c r="K918" s="1128"/>
      <c r="L918" s="1128"/>
      <c r="M918" s="1128"/>
      <c r="N918" s="1128"/>
      <c r="O918" s="1128"/>
      <c r="P918" s="1128"/>
      <c r="Q918" s="1128"/>
      <c r="R918" s="1128"/>
      <c r="S918" s="1128"/>
      <c r="T918" s="1128"/>
      <c r="U918" s="1128"/>
      <c r="V918" s="1128"/>
      <c r="W918" s="1128"/>
      <c r="X918" s="1128"/>
      <c r="Y918" s="1128"/>
      <c r="Z918" s="1128"/>
    </row>
    <row r="919" ht="22.5" customHeight="1">
      <c r="A919" s="1128"/>
      <c r="B919" s="1128"/>
      <c r="C919" s="1128"/>
      <c r="D919" s="1128"/>
      <c r="E919" s="1128"/>
      <c r="F919" s="1128"/>
      <c r="G919" s="1128"/>
      <c r="H919" s="1128"/>
      <c r="I919" s="1128"/>
      <c r="J919" s="1128"/>
      <c r="K919" s="1128"/>
      <c r="L919" s="1128"/>
      <c r="M919" s="1128"/>
      <c r="N919" s="1128"/>
      <c r="O919" s="1128"/>
      <c r="P919" s="1128"/>
      <c r="Q919" s="1128"/>
      <c r="R919" s="1128"/>
      <c r="S919" s="1128"/>
      <c r="T919" s="1128"/>
      <c r="U919" s="1128"/>
      <c r="V919" s="1128"/>
      <c r="W919" s="1128"/>
      <c r="X919" s="1128"/>
      <c r="Y919" s="1128"/>
      <c r="Z919" s="1128"/>
    </row>
    <row r="920" ht="22.5" customHeight="1">
      <c r="A920" s="1128"/>
      <c r="B920" s="1128"/>
      <c r="C920" s="1128"/>
      <c r="D920" s="1128"/>
      <c r="E920" s="1128"/>
      <c r="F920" s="1128"/>
      <c r="G920" s="1128"/>
      <c r="H920" s="1128"/>
      <c r="I920" s="1128"/>
      <c r="J920" s="1128"/>
      <c r="K920" s="1128"/>
      <c r="L920" s="1128"/>
      <c r="M920" s="1128"/>
      <c r="N920" s="1128"/>
      <c r="O920" s="1128"/>
      <c r="P920" s="1128"/>
      <c r="Q920" s="1128"/>
      <c r="R920" s="1128"/>
      <c r="S920" s="1128"/>
      <c r="T920" s="1128"/>
      <c r="U920" s="1128"/>
      <c r="V920" s="1128"/>
      <c r="W920" s="1128"/>
      <c r="X920" s="1128"/>
      <c r="Y920" s="1128"/>
      <c r="Z920" s="1128"/>
    </row>
    <row r="921" ht="22.5" customHeight="1">
      <c r="A921" s="1128"/>
      <c r="B921" s="1128"/>
      <c r="C921" s="1128"/>
      <c r="D921" s="1128"/>
      <c r="E921" s="1128"/>
      <c r="F921" s="1128"/>
      <c r="G921" s="1128"/>
      <c r="H921" s="1128"/>
      <c r="I921" s="1128"/>
      <c r="J921" s="1128"/>
      <c r="K921" s="1128"/>
      <c r="L921" s="1128"/>
      <c r="M921" s="1128"/>
      <c r="N921" s="1128"/>
      <c r="O921" s="1128"/>
      <c r="P921" s="1128"/>
      <c r="Q921" s="1128"/>
      <c r="R921" s="1128"/>
      <c r="S921" s="1128"/>
      <c r="T921" s="1128"/>
      <c r="U921" s="1128"/>
      <c r="V921" s="1128"/>
      <c r="W921" s="1128"/>
      <c r="X921" s="1128"/>
      <c r="Y921" s="1128"/>
      <c r="Z921" s="1128"/>
    </row>
    <row r="922" ht="22.5" customHeight="1">
      <c r="A922" s="1128"/>
      <c r="B922" s="1128"/>
      <c r="C922" s="1128"/>
      <c r="D922" s="1128"/>
      <c r="E922" s="1128"/>
      <c r="F922" s="1128"/>
      <c r="G922" s="1128"/>
      <c r="H922" s="1128"/>
      <c r="I922" s="1128"/>
      <c r="J922" s="1128"/>
      <c r="K922" s="1128"/>
      <c r="L922" s="1128"/>
      <c r="M922" s="1128"/>
      <c r="N922" s="1128"/>
      <c r="O922" s="1128"/>
      <c r="P922" s="1128"/>
      <c r="Q922" s="1128"/>
      <c r="R922" s="1128"/>
      <c r="S922" s="1128"/>
      <c r="T922" s="1128"/>
      <c r="U922" s="1128"/>
      <c r="V922" s="1128"/>
      <c r="W922" s="1128"/>
      <c r="X922" s="1128"/>
      <c r="Y922" s="1128"/>
      <c r="Z922" s="1128"/>
    </row>
    <row r="923" ht="22.5" customHeight="1">
      <c r="A923" s="1128"/>
      <c r="B923" s="1128"/>
      <c r="C923" s="1128"/>
      <c r="D923" s="1128"/>
      <c r="E923" s="1128"/>
      <c r="F923" s="1128"/>
      <c r="G923" s="1128"/>
      <c r="H923" s="1128"/>
      <c r="I923" s="1128"/>
      <c r="J923" s="1128"/>
      <c r="K923" s="1128"/>
      <c r="L923" s="1128"/>
      <c r="M923" s="1128"/>
      <c r="N923" s="1128"/>
      <c r="O923" s="1128"/>
      <c r="P923" s="1128"/>
      <c r="Q923" s="1128"/>
      <c r="R923" s="1128"/>
      <c r="S923" s="1128"/>
      <c r="T923" s="1128"/>
      <c r="U923" s="1128"/>
      <c r="V923" s="1128"/>
      <c r="W923" s="1128"/>
      <c r="X923" s="1128"/>
      <c r="Y923" s="1128"/>
      <c r="Z923" s="1128"/>
    </row>
    <row r="924" ht="22.5" customHeight="1">
      <c r="A924" s="1128"/>
      <c r="B924" s="1128"/>
      <c r="C924" s="1128"/>
      <c r="D924" s="1128"/>
      <c r="E924" s="1128"/>
      <c r="F924" s="1128"/>
      <c r="G924" s="1128"/>
      <c r="H924" s="1128"/>
      <c r="I924" s="1128"/>
      <c r="J924" s="1128"/>
      <c r="K924" s="1128"/>
      <c r="L924" s="1128"/>
      <c r="M924" s="1128"/>
      <c r="N924" s="1128"/>
      <c r="O924" s="1128"/>
      <c r="P924" s="1128"/>
      <c r="Q924" s="1128"/>
      <c r="R924" s="1128"/>
      <c r="S924" s="1128"/>
      <c r="T924" s="1128"/>
      <c r="U924" s="1128"/>
      <c r="V924" s="1128"/>
      <c r="W924" s="1128"/>
      <c r="X924" s="1128"/>
      <c r="Y924" s="1128"/>
      <c r="Z924" s="1128"/>
    </row>
    <row r="925" ht="22.5" customHeight="1">
      <c r="A925" s="1128"/>
      <c r="B925" s="1128"/>
      <c r="C925" s="1128"/>
      <c r="D925" s="1128"/>
      <c r="E925" s="1128"/>
      <c r="F925" s="1128"/>
      <c r="G925" s="1128"/>
      <c r="H925" s="1128"/>
      <c r="I925" s="1128"/>
      <c r="J925" s="1128"/>
      <c r="K925" s="1128"/>
      <c r="L925" s="1128"/>
      <c r="M925" s="1128"/>
      <c r="N925" s="1128"/>
      <c r="O925" s="1128"/>
      <c r="P925" s="1128"/>
      <c r="Q925" s="1128"/>
      <c r="R925" s="1128"/>
      <c r="S925" s="1128"/>
      <c r="T925" s="1128"/>
      <c r="U925" s="1128"/>
      <c r="V925" s="1128"/>
      <c r="W925" s="1128"/>
      <c r="X925" s="1128"/>
      <c r="Y925" s="1128"/>
      <c r="Z925" s="1128"/>
    </row>
    <row r="926" ht="22.5" customHeight="1">
      <c r="A926" s="1128"/>
      <c r="B926" s="1128"/>
      <c r="C926" s="1128"/>
      <c r="D926" s="1128"/>
      <c r="E926" s="1128"/>
      <c r="F926" s="1128"/>
      <c r="G926" s="1128"/>
      <c r="H926" s="1128"/>
      <c r="I926" s="1128"/>
      <c r="J926" s="1128"/>
      <c r="K926" s="1128"/>
      <c r="L926" s="1128"/>
      <c r="M926" s="1128"/>
      <c r="N926" s="1128"/>
      <c r="O926" s="1128"/>
      <c r="P926" s="1128"/>
      <c r="Q926" s="1128"/>
      <c r="R926" s="1128"/>
      <c r="S926" s="1128"/>
      <c r="T926" s="1128"/>
      <c r="U926" s="1128"/>
      <c r="V926" s="1128"/>
      <c r="W926" s="1128"/>
      <c r="X926" s="1128"/>
      <c r="Y926" s="1128"/>
      <c r="Z926" s="1128"/>
    </row>
    <row r="927" ht="22.5" customHeight="1">
      <c r="A927" s="1128"/>
      <c r="B927" s="1128"/>
      <c r="C927" s="1128"/>
      <c r="D927" s="1128"/>
      <c r="E927" s="1128"/>
      <c r="F927" s="1128"/>
      <c r="G927" s="1128"/>
      <c r="H927" s="1128"/>
      <c r="I927" s="1128"/>
      <c r="J927" s="1128"/>
      <c r="K927" s="1128"/>
      <c r="L927" s="1128"/>
      <c r="M927" s="1128"/>
      <c r="N927" s="1128"/>
      <c r="O927" s="1128"/>
      <c r="P927" s="1128"/>
      <c r="Q927" s="1128"/>
      <c r="R927" s="1128"/>
      <c r="S927" s="1128"/>
      <c r="T927" s="1128"/>
      <c r="U927" s="1128"/>
      <c r="V927" s="1128"/>
      <c r="W927" s="1128"/>
      <c r="X927" s="1128"/>
      <c r="Y927" s="1128"/>
      <c r="Z927" s="1128"/>
    </row>
    <row r="928" ht="22.5" customHeight="1">
      <c r="A928" s="1128"/>
      <c r="B928" s="1128"/>
      <c r="C928" s="1128"/>
      <c r="D928" s="1128"/>
      <c r="E928" s="1128"/>
      <c r="F928" s="1128"/>
      <c r="G928" s="1128"/>
      <c r="H928" s="1128"/>
      <c r="I928" s="1128"/>
      <c r="J928" s="1128"/>
      <c r="K928" s="1128"/>
      <c r="L928" s="1128"/>
      <c r="M928" s="1128"/>
      <c r="N928" s="1128"/>
      <c r="O928" s="1128"/>
      <c r="P928" s="1128"/>
      <c r="Q928" s="1128"/>
      <c r="R928" s="1128"/>
      <c r="S928" s="1128"/>
      <c r="T928" s="1128"/>
      <c r="U928" s="1128"/>
      <c r="V928" s="1128"/>
      <c r="W928" s="1128"/>
      <c r="X928" s="1128"/>
      <c r="Y928" s="1128"/>
      <c r="Z928" s="1128"/>
    </row>
    <row r="929" ht="22.5" customHeight="1">
      <c r="A929" s="1128"/>
      <c r="B929" s="1128"/>
      <c r="C929" s="1128"/>
      <c r="D929" s="1128"/>
      <c r="E929" s="1128"/>
      <c r="F929" s="1128"/>
      <c r="G929" s="1128"/>
      <c r="H929" s="1128"/>
      <c r="I929" s="1128"/>
      <c r="J929" s="1128"/>
      <c r="K929" s="1128"/>
      <c r="L929" s="1128"/>
      <c r="M929" s="1128"/>
      <c r="N929" s="1128"/>
      <c r="O929" s="1128"/>
      <c r="P929" s="1128"/>
      <c r="Q929" s="1128"/>
      <c r="R929" s="1128"/>
      <c r="S929" s="1128"/>
      <c r="T929" s="1128"/>
      <c r="U929" s="1128"/>
      <c r="V929" s="1128"/>
      <c r="W929" s="1128"/>
      <c r="X929" s="1128"/>
      <c r="Y929" s="1128"/>
      <c r="Z929" s="1128"/>
    </row>
    <row r="930" ht="22.5" customHeight="1">
      <c r="A930" s="1128"/>
      <c r="B930" s="1128"/>
      <c r="C930" s="1128"/>
      <c r="D930" s="1128"/>
      <c r="E930" s="1128"/>
      <c r="F930" s="1128"/>
      <c r="G930" s="1128"/>
      <c r="H930" s="1128"/>
      <c r="I930" s="1128"/>
      <c r="J930" s="1128"/>
      <c r="K930" s="1128"/>
      <c r="L930" s="1128"/>
      <c r="M930" s="1128"/>
      <c r="N930" s="1128"/>
      <c r="O930" s="1128"/>
      <c r="P930" s="1128"/>
      <c r="Q930" s="1128"/>
      <c r="R930" s="1128"/>
      <c r="S930" s="1128"/>
      <c r="T930" s="1128"/>
      <c r="U930" s="1128"/>
      <c r="V930" s="1128"/>
      <c r="W930" s="1128"/>
      <c r="X930" s="1128"/>
      <c r="Y930" s="1128"/>
      <c r="Z930" s="1128"/>
    </row>
    <row r="931" ht="22.5" customHeight="1">
      <c r="A931" s="1128"/>
      <c r="B931" s="1128"/>
      <c r="C931" s="1128"/>
      <c r="D931" s="1128"/>
      <c r="E931" s="1128"/>
      <c r="F931" s="1128"/>
      <c r="G931" s="1128"/>
      <c r="H931" s="1128"/>
      <c r="I931" s="1128"/>
      <c r="J931" s="1128"/>
      <c r="K931" s="1128"/>
      <c r="L931" s="1128"/>
      <c r="M931" s="1128"/>
      <c r="N931" s="1128"/>
      <c r="O931" s="1128"/>
      <c r="P931" s="1128"/>
      <c r="Q931" s="1128"/>
      <c r="R931" s="1128"/>
      <c r="S931" s="1128"/>
      <c r="T931" s="1128"/>
      <c r="U931" s="1128"/>
      <c r="V931" s="1128"/>
      <c r="W931" s="1128"/>
      <c r="X931" s="1128"/>
      <c r="Y931" s="1128"/>
      <c r="Z931" s="1128"/>
    </row>
    <row r="932" ht="22.5" customHeight="1">
      <c r="A932" s="1128"/>
      <c r="B932" s="1128"/>
      <c r="C932" s="1128"/>
      <c r="D932" s="1128"/>
      <c r="E932" s="1128"/>
      <c r="F932" s="1128"/>
      <c r="G932" s="1128"/>
      <c r="H932" s="1128"/>
      <c r="I932" s="1128"/>
      <c r="J932" s="1128"/>
      <c r="K932" s="1128"/>
      <c r="L932" s="1128"/>
      <c r="M932" s="1128"/>
      <c r="N932" s="1128"/>
      <c r="O932" s="1128"/>
      <c r="P932" s="1128"/>
      <c r="Q932" s="1128"/>
      <c r="R932" s="1128"/>
      <c r="S932" s="1128"/>
      <c r="T932" s="1128"/>
      <c r="U932" s="1128"/>
      <c r="V932" s="1128"/>
      <c r="W932" s="1128"/>
      <c r="X932" s="1128"/>
      <c r="Y932" s="1128"/>
      <c r="Z932" s="1128"/>
    </row>
    <row r="933" ht="22.5" customHeight="1">
      <c r="A933" s="1128"/>
      <c r="B933" s="1128"/>
      <c r="C933" s="1128"/>
      <c r="D933" s="1128"/>
      <c r="E933" s="1128"/>
      <c r="F933" s="1128"/>
      <c r="G933" s="1128"/>
      <c r="H933" s="1128"/>
      <c r="I933" s="1128"/>
      <c r="J933" s="1128"/>
      <c r="K933" s="1128"/>
      <c r="L933" s="1128"/>
      <c r="M933" s="1128"/>
      <c r="N933" s="1128"/>
      <c r="O933" s="1128"/>
      <c r="P933" s="1128"/>
      <c r="Q933" s="1128"/>
      <c r="R933" s="1128"/>
      <c r="S933" s="1128"/>
      <c r="T933" s="1128"/>
      <c r="U933" s="1128"/>
      <c r="V933" s="1128"/>
      <c r="W933" s="1128"/>
      <c r="X933" s="1128"/>
      <c r="Y933" s="1128"/>
      <c r="Z933" s="1128"/>
    </row>
    <row r="934" ht="22.5" customHeight="1">
      <c r="A934" s="1128"/>
      <c r="B934" s="1128"/>
      <c r="C934" s="1128"/>
      <c r="D934" s="1128"/>
      <c r="E934" s="1128"/>
      <c r="F934" s="1128"/>
      <c r="G934" s="1128"/>
      <c r="H934" s="1128"/>
      <c r="I934" s="1128"/>
      <c r="J934" s="1128"/>
      <c r="K934" s="1128"/>
      <c r="L934" s="1128"/>
      <c r="M934" s="1128"/>
      <c r="N934" s="1128"/>
      <c r="O934" s="1128"/>
      <c r="P934" s="1128"/>
      <c r="Q934" s="1128"/>
      <c r="R934" s="1128"/>
      <c r="S934" s="1128"/>
      <c r="T934" s="1128"/>
      <c r="U934" s="1128"/>
      <c r="V934" s="1128"/>
      <c r="W934" s="1128"/>
      <c r="X934" s="1128"/>
      <c r="Y934" s="1128"/>
      <c r="Z934" s="1128"/>
    </row>
    <row r="935" ht="22.5" customHeight="1">
      <c r="A935" s="1128"/>
      <c r="B935" s="1128"/>
      <c r="C935" s="1128"/>
      <c r="D935" s="1128"/>
      <c r="E935" s="1128"/>
      <c r="F935" s="1128"/>
      <c r="G935" s="1128"/>
      <c r="H935" s="1128"/>
      <c r="I935" s="1128"/>
      <c r="J935" s="1128"/>
      <c r="K935" s="1128"/>
      <c r="L935" s="1128"/>
      <c r="M935" s="1128"/>
      <c r="N935" s="1128"/>
      <c r="O935" s="1128"/>
      <c r="P935" s="1128"/>
      <c r="Q935" s="1128"/>
      <c r="R935" s="1128"/>
      <c r="S935" s="1128"/>
      <c r="T935" s="1128"/>
      <c r="U935" s="1128"/>
      <c r="V935" s="1128"/>
      <c r="W935" s="1128"/>
      <c r="X935" s="1128"/>
      <c r="Y935" s="1128"/>
      <c r="Z935" s="1128"/>
    </row>
    <row r="936" ht="22.5" customHeight="1">
      <c r="A936" s="1128"/>
      <c r="B936" s="1128"/>
      <c r="C936" s="1128"/>
      <c r="D936" s="1128"/>
      <c r="E936" s="1128"/>
      <c r="F936" s="1128"/>
      <c r="G936" s="1128"/>
      <c r="H936" s="1128"/>
      <c r="I936" s="1128"/>
      <c r="J936" s="1128"/>
      <c r="K936" s="1128"/>
      <c r="L936" s="1128"/>
      <c r="M936" s="1128"/>
      <c r="N936" s="1128"/>
      <c r="O936" s="1128"/>
      <c r="P936" s="1128"/>
      <c r="Q936" s="1128"/>
      <c r="R936" s="1128"/>
      <c r="S936" s="1128"/>
      <c r="T936" s="1128"/>
      <c r="U936" s="1128"/>
      <c r="V936" s="1128"/>
      <c r="W936" s="1128"/>
      <c r="X936" s="1128"/>
      <c r="Y936" s="1128"/>
      <c r="Z936" s="1128"/>
    </row>
    <row r="937" ht="22.5" customHeight="1">
      <c r="A937" s="1128"/>
      <c r="B937" s="1128"/>
      <c r="C937" s="1128"/>
      <c r="D937" s="1128"/>
      <c r="E937" s="1128"/>
      <c r="F937" s="1128"/>
      <c r="G937" s="1128"/>
      <c r="H937" s="1128"/>
      <c r="I937" s="1128"/>
      <c r="J937" s="1128"/>
      <c r="K937" s="1128"/>
      <c r="L937" s="1128"/>
      <c r="M937" s="1128"/>
      <c r="N937" s="1128"/>
      <c r="O937" s="1128"/>
      <c r="P937" s="1128"/>
      <c r="Q937" s="1128"/>
      <c r="R937" s="1128"/>
      <c r="S937" s="1128"/>
      <c r="T937" s="1128"/>
      <c r="U937" s="1128"/>
      <c r="V937" s="1128"/>
      <c r="W937" s="1128"/>
      <c r="X937" s="1128"/>
      <c r="Y937" s="1128"/>
      <c r="Z937" s="1128"/>
    </row>
    <row r="938" ht="22.5" customHeight="1">
      <c r="A938" s="1128"/>
      <c r="B938" s="1128"/>
      <c r="C938" s="1128"/>
      <c r="D938" s="1128"/>
      <c r="E938" s="1128"/>
      <c r="F938" s="1128"/>
      <c r="G938" s="1128"/>
      <c r="H938" s="1128"/>
      <c r="I938" s="1128"/>
      <c r="J938" s="1128"/>
      <c r="K938" s="1128"/>
      <c r="L938" s="1128"/>
      <c r="M938" s="1128"/>
      <c r="N938" s="1128"/>
      <c r="O938" s="1128"/>
      <c r="P938" s="1128"/>
      <c r="Q938" s="1128"/>
      <c r="R938" s="1128"/>
      <c r="S938" s="1128"/>
      <c r="T938" s="1128"/>
      <c r="U938" s="1128"/>
      <c r="V938" s="1128"/>
      <c r="W938" s="1128"/>
      <c r="X938" s="1128"/>
      <c r="Y938" s="1128"/>
      <c r="Z938" s="1128"/>
    </row>
    <row r="939" ht="22.5" customHeight="1">
      <c r="A939" s="1128"/>
      <c r="B939" s="1128"/>
      <c r="C939" s="1128"/>
      <c r="D939" s="1128"/>
      <c r="E939" s="1128"/>
      <c r="F939" s="1128"/>
      <c r="G939" s="1128"/>
      <c r="H939" s="1128"/>
      <c r="I939" s="1128"/>
      <c r="J939" s="1128"/>
      <c r="K939" s="1128"/>
      <c r="L939" s="1128"/>
      <c r="M939" s="1128"/>
      <c r="N939" s="1128"/>
      <c r="O939" s="1128"/>
      <c r="P939" s="1128"/>
      <c r="Q939" s="1128"/>
      <c r="R939" s="1128"/>
      <c r="S939" s="1128"/>
      <c r="T939" s="1128"/>
      <c r="U939" s="1128"/>
      <c r="V939" s="1128"/>
      <c r="W939" s="1128"/>
      <c r="X939" s="1128"/>
      <c r="Y939" s="1128"/>
      <c r="Z939" s="1128"/>
    </row>
    <row r="940" ht="22.5" customHeight="1">
      <c r="A940" s="1128"/>
      <c r="B940" s="1128"/>
      <c r="C940" s="1128"/>
      <c r="D940" s="1128"/>
      <c r="E940" s="1128"/>
      <c r="F940" s="1128"/>
      <c r="G940" s="1128"/>
      <c r="H940" s="1128"/>
      <c r="I940" s="1128"/>
      <c r="J940" s="1128"/>
      <c r="K940" s="1128"/>
      <c r="L940" s="1128"/>
      <c r="M940" s="1128"/>
      <c r="N940" s="1128"/>
      <c r="O940" s="1128"/>
      <c r="P940" s="1128"/>
      <c r="Q940" s="1128"/>
      <c r="R940" s="1128"/>
      <c r="S940" s="1128"/>
      <c r="T940" s="1128"/>
      <c r="U940" s="1128"/>
      <c r="V940" s="1128"/>
      <c r="W940" s="1128"/>
      <c r="X940" s="1128"/>
      <c r="Y940" s="1128"/>
      <c r="Z940" s="1128"/>
    </row>
    <row r="941" ht="22.5" customHeight="1">
      <c r="A941" s="1128"/>
      <c r="B941" s="1128"/>
      <c r="C941" s="1128"/>
      <c r="D941" s="1128"/>
      <c r="E941" s="1128"/>
      <c r="F941" s="1128"/>
      <c r="G941" s="1128"/>
      <c r="H941" s="1128"/>
      <c r="I941" s="1128"/>
      <c r="J941" s="1128"/>
      <c r="K941" s="1128"/>
      <c r="L941" s="1128"/>
      <c r="M941" s="1128"/>
      <c r="N941" s="1128"/>
      <c r="O941" s="1128"/>
      <c r="P941" s="1128"/>
      <c r="Q941" s="1128"/>
      <c r="R941" s="1128"/>
      <c r="S941" s="1128"/>
      <c r="T941" s="1128"/>
      <c r="U941" s="1128"/>
      <c r="V941" s="1128"/>
      <c r="W941" s="1128"/>
      <c r="X941" s="1128"/>
      <c r="Y941" s="1128"/>
      <c r="Z941" s="1128"/>
    </row>
    <row r="942" ht="22.5" customHeight="1">
      <c r="A942" s="1128"/>
      <c r="B942" s="1128"/>
      <c r="C942" s="1128"/>
      <c r="D942" s="1128"/>
      <c r="E942" s="1128"/>
      <c r="F942" s="1128"/>
      <c r="G942" s="1128"/>
      <c r="H942" s="1128"/>
      <c r="I942" s="1128"/>
      <c r="J942" s="1128"/>
      <c r="K942" s="1128"/>
      <c r="L942" s="1128"/>
      <c r="M942" s="1128"/>
      <c r="N942" s="1128"/>
      <c r="O942" s="1128"/>
      <c r="P942" s="1128"/>
      <c r="Q942" s="1128"/>
      <c r="R942" s="1128"/>
      <c r="S942" s="1128"/>
      <c r="T942" s="1128"/>
      <c r="U942" s="1128"/>
      <c r="V942" s="1128"/>
      <c r="W942" s="1128"/>
      <c r="X942" s="1128"/>
      <c r="Y942" s="1128"/>
      <c r="Z942" s="1128"/>
    </row>
    <row r="943" ht="22.5" customHeight="1">
      <c r="A943" s="1128"/>
      <c r="B943" s="1128"/>
      <c r="C943" s="1128"/>
      <c r="D943" s="1128"/>
      <c r="E943" s="1128"/>
      <c r="F943" s="1128"/>
      <c r="G943" s="1128"/>
      <c r="H943" s="1128"/>
      <c r="I943" s="1128"/>
      <c r="J943" s="1128"/>
      <c r="K943" s="1128"/>
      <c r="L943" s="1128"/>
      <c r="M943" s="1128"/>
      <c r="N943" s="1128"/>
      <c r="O943" s="1128"/>
      <c r="P943" s="1128"/>
      <c r="Q943" s="1128"/>
      <c r="R943" s="1128"/>
      <c r="S943" s="1128"/>
      <c r="T943" s="1128"/>
      <c r="U943" s="1128"/>
      <c r="V943" s="1128"/>
      <c r="W943" s="1128"/>
      <c r="X943" s="1128"/>
      <c r="Y943" s="1128"/>
      <c r="Z943" s="1128"/>
    </row>
    <row r="944" ht="22.5" customHeight="1">
      <c r="A944" s="1128"/>
      <c r="B944" s="1128"/>
      <c r="C944" s="1128"/>
      <c r="D944" s="1128"/>
      <c r="E944" s="1128"/>
      <c r="F944" s="1128"/>
      <c r="G944" s="1128"/>
      <c r="H944" s="1128"/>
      <c r="I944" s="1128"/>
      <c r="J944" s="1128"/>
      <c r="K944" s="1128"/>
      <c r="L944" s="1128"/>
      <c r="M944" s="1128"/>
      <c r="N944" s="1128"/>
      <c r="O944" s="1128"/>
      <c r="P944" s="1128"/>
      <c r="Q944" s="1128"/>
      <c r="R944" s="1128"/>
      <c r="S944" s="1128"/>
      <c r="T944" s="1128"/>
      <c r="U944" s="1128"/>
      <c r="V944" s="1128"/>
      <c r="W944" s="1128"/>
      <c r="X944" s="1128"/>
      <c r="Y944" s="1128"/>
      <c r="Z944" s="1128"/>
    </row>
    <row r="945" ht="22.5" customHeight="1">
      <c r="A945" s="1128"/>
      <c r="B945" s="1128"/>
      <c r="C945" s="1128"/>
      <c r="D945" s="1128"/>
      <c r="E945" s="1128"/>
      <c r="F945" s="1128"/>
      <c r="G945" s="1128"/>
      <c r="H945" s="1128"/>
      <c r="I945" s="1128"/>
      <c r="J945" s="1128"/>
      <c r="K945" s="1128"/>
      <c r="L945" s="1128"/>
      <c r="M945" s="1128"/>
      <c r="N945" s="1128"/>
      <c r="O945" s="1128"/>
      <c r="P945" s="1128"/>
      <c r="Q945" s="1128"/>
      <c r="R945" s="1128"/>
      <c r="S945" s="1128"/>
      <c r="T945" s="1128"/>
      <c r="U945" s="1128"/>
      <c r="V945" s="1128"/>
      <c r="W945" s="1128"/>
      <c r="X945" s="1128"/>
      <c r="Y945" s="1128"/>
      <c r="Z945" s="1128"/>
    </row>
    <row r="946" ht="22.5" customHeight="1">
      <c r="A946" s="1128"/>
      <c r="B946" s="1128"/>
      <c r="C946" s="1128"/>
      <c r="D946" s="1128"/>
      <c r="E946" s="1128"/>
      <c r="F946" s="1128"/>
      <c r="G946" s="1128"/>
      <c r="H946" s="1128"/>
      <c r="I946" s="1128"/>
      <c r="J946" s="1128"/>
      <c r="K946" s="1128"/>
      <c r="L946" s="1128"/>
      <c r="M946" s="1128"/>
      <c r="N946" s="1128"/>
      <c r="O946" s="1128"/>
      <c r="P946" s="1128"/>
      <c r="Q946" s="1128"/>
      <c r="R946" s="1128"/>
      <c r="S946" s="1128"/>
      <c r="T946" s="1128"/>
      <c r="U946" s="1128"/>
      <c r="V946" s="1128"/>
      <c r="W946" s="1128"/>
      <c r="X946" s="1128"/>
      <c r="Y946" s="1128"/>
      <c r="Z946" s="1128"/>
    </row>
    <row r="947" ht="22.5" customHeight="1">
      <c r="A947" s="1128"/>
      <c r="B947" s="1128"/>
      <c r="C947" s="1128"/>
      <c r="D947" s="1128"/>
      <c r="E947" s="1128"/>
      <c r="F947" s="1128"/>
      <c r="G947" s="1128"/>
      <c r="H947" s="1128"/>
      <c r="I947" s="1128"/>
      <c r="J947" s="1128"/>
      <c r="K947" s="1128"/>
      <c r="L947" s="1128"/>
      <c r="M947" s="1128"/>
      <c r="N947" s="1128"/>
      <c r="O947" s="1128"/>
      <c r="P947" s="1128"/>
      <c r="Q947" s="1128"/>
      <c r="R947" s="1128"/>
      <c r="S947" s="1128"/>
      <c r="T947" s="1128"/>
      <c r="U947" s="1128"/>
      <c r="V947" s="1128"/>
      <c r="W947" s="1128"/>
      <c r="X947" s="1128"/>
      <c r="Y947" s="1128"/>
      <c r="Z947" s="1128"/>
    </row>
    <row r="948" ht="22.5" customHeight="1">
      <c r="A948" s="1128"/>
      <c r="B948" s="1128"/>
      <c r="C948" s="1128"/>
      <c r="D948" s="1128"/>
      <c r="E948" s="1128"/>
      <c r="F948" s="1128"/>
      <c r="G948" s="1128"/>
      <c r="H948" s="1128"/>
      <c r="I948" s="1128"/>
      <c r="J948" s="1128"/>
      <c r="K948" s="1128"/>
      <c r="L948" s="1128"/>
      <c r="M948" s="1128"/>
      <c r="N948" s="1128"/>
      <c r="O948" s="1128"/>
      <c r="P948" s="1128"/>
      <c r="Q948" s="1128"/>
      <c r="R948" s="1128"/>
      <c r="S948" s="1128"/>
      <c r="T948" s="1128"/>
      <c r="U948" s="1128"/>
      <c r="V948" s="1128"/>
      <c r="W948" s="1128"/>
      <c r="X948" s="1128"/>
      <c r="Y948" s="1128"/>
      <c r="Z948" s="1128"/>
    </row>
    <row r="949" ht="22.5" customHeight="1">
      <c r="A949" s="1128"/>
      <c r="B949" s="1128"/>
      <c r="C949" s="1128"/>
      <c r="D949" s="1128"/>
      <c r="E949" s="1128"/>
      <c r="F949" s="1128"/>
      <c r="G949" s="1128"/>
      <c r="H949" s="1128"/>
      <c r="I949" s="1128"/>
      <c r="J949" s="1128"/>
      <c r="K949" s="1128"/>
      <c r="L949" s="1128"/>
      <c r="M949" s="1128"/>
      <c r="N949" s="1128"/>
      <c r="O949" s="1128"/>
      <c r="P949" s="1128"/>
      <c r="Q949" s="1128"/>
      <c r="R949" s="1128"/>
      <c r="S949" s="1128"/>
      <c r="T949" s="1128"/>
      <c r="U949" s="1128"/>
      <c r="V949" s="1128"/>
      <c r="W949" s="1128"/>
      <c r="X949" s="1128"/>
      <c r="Y949" s="1128"/>
      <c r="Z949" s="1128"/>
    </row>
    <row r="950" ht="22.5" customHeight="1">
      <c r="A950" s="1128"/>
      <c r="B950" s="1128"/>
      <c r="C950" s="1128"/>
      <c r="D950" s="1128"/>
      <c r="E950" s="1128"/>
      <c r="F950" s="1128"/>
      <c r="G950" s="1128"/>
      <c r="H950" s="1128"/>
      <c r="I950" s="1128"/>
      <c r="J950" s="1128"/>
      <c r="K950" s="1128"/>
      <c r="L950" s="1128"/>
      <c r="M950" s="1128"/>
      <c r="N950" s="1128"/>
      <c r="O950" s="1128"/>
      <c r="P950" s="1128"/>
      <c r="Q950" s="1128"/>
      <c r="R950" s="1128"/>
      <c r="S950" s="1128"/>
      <c r="T950" s="1128"/>
      <c r="U950" s="1128"/>
      <c r="V950" s="1128"/>
      <c r="W950" s="1128"/>
      <c r="X950" s="1128"/>
      <c r="Y950" s="1128"/>
      <c r="Z950" s="1128"/>
    </row>
    <row r="951" ht="22.5" customHeight="1">
      <c r="A951" s="1128"/>
      <c r="B951" s="1128"/>
      <c r="C951" s="1128"/>
      <c r="D951" s="1128"/>
      <c r="E951" s="1128"/>
      <c r="F951" s="1128"/>
      <c r="G951" s="1128"/>
      <c r="H951" s="1128"/>
      <c r="I951" s="1128"/>
      <c r="J951" s="1128"/>
      <c r="K951" s="1128"/>
      <c r="L951" s="1128"/>
      <c r="M951" s="1128"/>
      <c r="N951" s="1128"/>
      <c r="O951" s="1128"/>
      <c r="P951" s="1128"/>
      <c r="Q951" s="1128"/>
      <c r="R951" s="1128"/>
      <c r="S951" s="1128"/>
      <c r="T951" s="1128"/>
      <c r="U951" s="1128"/>
      <c r="V951" s="1128"/>
      <c r="W951" s="1128"/>
      <c r="X951" s="1128"/>
      <c r="Y951" s="1128"/>
      <c r="Z951" s="1128"/>
    </row>
    <row r="952" ht="22.5" customHeight="1">
      <c r="A952" s="1128"/>
      <c r="B952" s="1128"/>
      <c r="C952" s="1128"/>
      <c r="D952" s="1128"/>
      <c r="E952" s="1128"/>
      <c r="F952" s="1128"/>
      <c r="G952" s="1128"/>
      <c r="H952" s="1128"/>
      <c r="I952" s="1128"/>
      <c r="J952" s="1128"/>
      <c r="K952" s="1128"/>
      <c r="L952" s="1128"/>
      <c r="M952" s="1128"/>
      <c r="N952" s="1128"/>
      <c r="O952" s="1128"/>
      <c r="P952" s="1128"/>
      <c r="Q952" s="1128"/>
      <c r="R952" s="1128"/>
      <c r="S952" s="1128"/>
      <c r="T952" s="1128"/>
      <c r="U952" s="1128"/>
      <c r="V952" s="1128"/>
      <c r="W952" s="1128"/>
      <c r="X952" s="1128"/>
      <c r="Y952" s="1128"/>
      <c r="Z952" s="1128"/>
    </row>
    <row r="953" ht="22.5" customHeight="1">
      <c r="A953" s="1128"/>
      <c r="B953" s="1128"/>
      <c r="C953" s="1128"/>
      <c r="D953" s="1128"/>
      <c r="E953" s="1128"/>
      <c r="F953" s="1128"/>
      <c r="G953" s="1128"/>
      <c r="H953" s="1128"/>
      <c r="I953" s="1128"/>
      <c r="J953" s="1128"/>
      <c r="K953" s="1128"/>
      <c r="L953" s="1128"/>
      <c r="M953" s="1128"/>
      <c r="N953" s="1128"/>
      <c r="O953" s="1128"/>
      <c r="P953" s="1128"/>
      <c r="Q953" s="1128"/>
      <c r="R953" s="1128"/>
      <c r="S953" s="1128"/>
      <c r="T953" s="1128"/>
      <c r="U953" s="1128"/>
      <c r="V953" s="1128"/>
      <c r="W953" s="1128"/>
      <c r="X953" s="1128"/>
      <c r="Y953" s="1128"/>
      <c r="Z953" s="1128"/>
    </row>
    <row r="954" ht="22.5" customHeight="1">
      <c r="A954" s="1128"/>
      <c r="B954" s="1128"/>
      <c r="C954" s="1128"/>
      <c r="D954" s="1128"/>
      <c r="E954" s="1128"/>
      <c r="F954" s="1128"/>
      <c r="G954" s="1128"/>
      <c r="H954" s="1128"/>
      <c r="I954" s="1128"/>
      <c r="J954" s="1128"/>
      <c r="K954" s="1128"/>
      <c r="L954" s="1128"/>
      <c r="M954" s="1128"/>
      <c r="N954" s="1128"/>
      <c r="O954" s="1128"/>
      <c r="P954" s="1128"/>
      <c r="Q954" s="1128"/>
      <c r="R954" s="1128"/>
      <c r="S954" s="1128"/>
      <c r="T954" s="1128"/>
      <c r="U954" s="1128"/>
      <c r="V954" s="1128"/>
      <c r="W954" s="1128"/>
      <c r="X954" s="1128"/>
      <c r="Y954" s="1128"/>
      <c r="Z954" s="1128"/>
    </row>
    <row r="955" ht="22.5" customHeight="1">
      <c r="A955" s="1128"/>
      <c r="B955" s="1128"/>
      <c r="C955" s="1128"/>
      <c r="D955" s="1128"/>
      <c r="E955" s="1128"/>
      <c r="F955" s="1128"/>
      <c r="G955" s="1128"/>
      <c r="H955" s="1128"/>
      <c r="I955" s="1128"/>
      <c r="J955" s="1128"/>
      <c r="K955" s="1128"/>
      <c r="L955" s="1128"/>
      <c r="M955" s="1128"/>
      <c r="N955" s="1128"/>
      <c r="O955" s="1128"/>
      <c r="P955" s="1128"/>
      <c r="Q955" s="1128"/>
      <c r="R955" s="1128"/>
      <c r="S955" s="1128"/>
      <c r="T955" s="1128"/>
      <c r="U955" s="1128"/>
      <c r="V955" s="1128"/>
      <c r="W955" s="1128"/>
      <c r="X955" s="1128"/>
      <c r="Y955" s="1128"/>
      <c r="Z955" s="1128"/>
    </row>
    <row r="956" ht="22.5" customHeight="1">
      <c r="A956" s="1128"/>
      <c r="B956" s="1128"/>
      <c r="C956" s="1128"/>
      <c r="D956" s="1128"/>
      <c r="E956" s="1128"/>
      <c r="F956" s="1128"/>
      <c r="G956" s="1128"/>
      <c r="H956" s="1128"/>
      <c r="I956" s="1128"/>
      <c r="J956" s="1128"/>
      <c r="K956" s="1128"/>
      <c r="L956" s="1128"/>
      <c r="M956" s="1128"/>
      <c r="N956" s="1128"/>
      <c r="O956" s="1128"/>
      <c r="P956" s="1128"/>
      <c r="Q956" s="1128"/>
      <c r="R956" s="1128"/>
      <c r="S956" s="1128"/>
      <c r="T956" s="1128"/>
      <c r="U956" s="1128"/>
      <c r="V956" s="1128"/>
      <c r="W956" s="1128"/>
      <c r="X956" s="1128"/>
      <c r="Y956" s="1128"/>
      <c r="Z956" s="1128"/>
    </row>
    <row r="957" ht="22.5" customHeight="1">
      <c r="A957" s="1128"/>
      <c r="B957" s="1128"/>
      <c r="C957" s="1128"/>
      <c r="D957" s="1128"/>
      <c r="E957" s="1128"/>
      <c r="F957" s="1128"/>
      <c r="G957" s="1128"/>
      <c r="H957" s="1128"/>
      <c r="I957" s="1128"/>
      <c r="J957" s="1128"/>
      <c r="K957" s="1128"/>
      <c r="L957" s="1128"/>
      <c r="M957" s="1128"/>
      <c r="N957" s="1128"/>
      <c r="O957" s="1128"/>
      <c r="P957" s="1128"/>
      <c r="Q957" s="1128"/>
      <c r="R957" s="1128"/>
      <c r="S957" s="1128"/>
      <c r="T957" s="1128"/>
      <c r="U957" s="1128"/>
      <c r="V957" s="1128"/>
      <c r="W957" s="1128"/>
      <c r="X957" s="1128"/>
      <c r="Y957" s="1128"/>
      <c r="Z957" s="1128"/>
    </row>
    <row r="958" ht="22.5" customHeight="1">
      <c r="A958" s="1128"/>
      <c r="B958" s="1128"/>
      <c r="C958" s="1128"/>
      <c r="D958" s="1128"/>
      <c r="E958" s="1128"/>
      <c r="F958" s="1128"/>
      <c r="G958" s="1128"/>
      <c r="H958" s="1128"/>
      <c r="I958" s="1128"/>
      <c r="J958" s="1128"/>
      <c r="K958" s="1128"/>
      <c r="L958" s="1128"/>
      <c r="M958" s="1128"/>
      <c r="N958" s="1128"/>
      <c r="O958" s="1128"/>
      <c r="P958" s="1128"/>
      <c r="Q958" s="1128"/>
      <c r="R958" s="1128"/>
      <c r="S958" s="1128"/>
      <c r="T958" s="1128"/>
      <c r="U958" s="1128"/>
      <c r="V958" s="1128"/>
      <c r="W958" s="1128"/>
      <c r="X958" s="1128"/>
      <c r="Y958" s="1128"/>
      <c r="Z958" s="1128"/>
    </row>
    <row r="959" ht="22.5" customHeight="1">
      <c r="A959" s="1128"/>
      <c r="B959" s="1128"/>
      <c r="C959" s="1128"/>
      <c r="D959" s="1128"/>
      <c r="E959" s="1128"/>
      <c r="F959" s="1128"/>
      <c r="G959" s="1128"/>
      <c r="H959" s="1128"/>
      <c r="I959" s="1128"/>
      <c r="J959" s="1128"/>
      <c r="K959" s="1128"/>
      <c r="L959" s="1128"/>
      <c r="M959" s="1128"/>
      <c r="N959" s="1128"/>
      <c r="O959" s="1128"/>
      <c r="P959" s="1128"/>
      <c r="Q959" s="1128"/>
      <c r="R959" s="1128"/>
      <c r="S959" s="1128"/>
      <c r="T959" s="1128"/>
      <c r="U959" s="1128"/>
      <c r="V959" s="1128"/>
      <c r="W959" s="1128"/>
      <c r="X959" s="1128"/>
      <c r="Y959" s="1128"/>
      <c r="Z959" s="1128"/>
    </row>
    <row r="960" ht="22.5" customHeight="1">
      <c r="A960" s="1128"/>
      <c r="B960" s="1128"/>
      <c r="C960" s="1128"/>
      <c r="D960" s="1128"/>
      <c r="E960" s="1128"/>
      <c r="F960" s="1128"/>
      <c r="G960" s="1128"/>
      <c r="H960" s="1128"/>
      <c r="I960" s="1128"/>
      <c r="J960" s="1128"/>
      <c r="K960" s="1128"/>
      <c r="L960" s="1128"/>
      <c r="M960" s="1128"/>
      <c r="N960" s="1128"/>
      <c r="O960" s="1128"/>
      <c r="P960" s="1128"/>
      <c r="Q960" s="1128"/>
      <c r="R960" s="1128"/>
      <c r="S960" s="1128"/>
      <c r="T960" s="1128"/>
      <c r="U960" s="1128"/>
      <c r="V960" s="1128"/>
      <c r="W960" s="1128"/>
      <c r="X960" s="1128"/>
      <c r="Y960" s="1128"/>
      <c r="Z960" s="1128"/>
    </row>
    <row r="961" ht="22.5" customHeight="1">
      <c r="A961" s="1128"/>
      <c r="B961" s="1128"/>
      <c r="C961" s="1128"/>
      <c r="D961" s="1128"/>
      <c r="E961" s="1128"/>
      <c r="F961" s="1128"/>
      <c r="G961" s="1128"/>
      <c r="H961" s="1128"/>
      <c r="I961" s="1128"/>
      <c r="J961" s="1128"/>
      <c r="K961" s="1128"/>
      <c r="L961" s="1128"/>
      <c r="M961" s="1128"/>
      <c r="N961" s="1128"/>
      <c r="O961" s="1128"/>
      <c r="P961" s="1128"/>
      <c r="Q961" s="1128"/>
      <c r="R961" s="1128"/>
      <c r="S961" s="1128"/>
      <c r="T961" s="1128"/>
      <c r="U961" s="1128"/>
      <c r="V961" s="1128"/>
      <c r="W961" s="1128"/>
      <c r="X961" s="1128"/>
      <c r="Y961" s="1128"/>
      <c r="Z961" s="1128"/>
    </row>
    <row r="962" ht="22.5" customHeight="1">
      <c r="A962" s="1128"/>
      <c r="B962" s="1128"/>
      <c r="C962" s="1128"/>
      <c r="D962" s="1128"/>
      <c r="E962" s="1128"/>
      <c r="F962" s="1128"/>
      <c r="G962" s="1128"/>
      <c r="H962" s="1128"/>
      <c r="I962" s="1128"/>
      <c r="J962" s="1128"/>
      <c r="K962" s="1128"/>
      <c r="L962" s="1128"/>
      <c r="M962" s="1128"/>
      <c r="N962" s="1128"/>
      <c r="O962" s="1128"/>
      <c r="P962" s="1128"/>
      <c r="Q962" s="1128"/>
      <c r="R962" s="1128"/>
      <c r="S962" s="1128"/>
      <c r="T962" s="1128"/>
      <c r="U962" s="1128"/>
      <c r="V962" s="1128"/>
      <c r="W962" s="1128"/>
      <c r="X962" s="1128"/>
      <c r="Y962" s="1128"/>
      <c r="Z962" s="1128"/>
    </row>
    <row r="963" ht="22.5" customHeight="1">
      <c r="A963" s="1128"/>
      <c r="B963" s="1128"/>
      <c r="C963" s="1128"/>
      <c r="D963" s="1128"/>
      <c r="E963" s="1128"/>
      <c r="F963" s="1128"/>
      <c r="G963" s="1128"/>
      <c r="H963" s="1128"/>
      <c r="I963" s="1128"/>
      <c r="J963" s="1128"/>
      <c r="K963" s="1128"/>
      <c r="L963" s="1128"/>
      <c r="M963" s="1128"/>
      <c r="N963" s="1128"/>
      <c r="O963" s="1128"/>
      <c r="P963" s="1128"/>
      <c r="Q963" s="1128"/>
      <c r="R963" s="1128"/>
      <c r="S963" s="1128"/>
      <c r="T963" s="1128"/>
      <c r="U963" s="1128"/>
      <c r="V963" s="1128"/>
      <c r="W963" s="1128"/>
      <c r="X963" s="1128"/>
      <c r="Y963" s="1128"/>
      <c r="Z963" s="1128"/>
    </row>
    <row r="964" ht="22.5" customHeight="1">
      <c r="A964" s="1128"/>
      <c r="B964" s="1128"/>
      <c r="C964" s="1128"/>
      <c r="D964" s="1128"/>
      <c r="E964" s="1128"/>
      <c r="F964" s="1128"/>
      <c r="G964" s="1128"/>
      <c r="H964" s="1128"/>
      <c r="I964" s="1128"/>
      <c r="J964" s="1128"/>
      <c r="K964" s="1128"/>
      <c r="L964" s="1128"/>
      <c r="M964" s="1128"/>
      <c r="N964" s="1128"/>
      <c r="O964" s="1128"/>
      <c r="P964" s="1128"/>
      <c r="Q964" s="1128"/>
      <c r="R964" s="1128"/>
      <c r="S964" s="1128"/>
      <c r="T964" s="1128"/>
      <c r="U964" s="1128"/>
      <c r="V964" s="1128"/>
      <c r="W964" s="1128"/>
      <c r="X964" s="1128"/>
      <c r="Y964" s="1128"/>
      <c r="Z964" s="1128"/>
    </row>
    <row r="965" ht="22.5" customHeight="1">
      <c r="A965" s="1128"/>
      <c r="B965" s="1128"/>
      <c r="C965" s="1128"/>
      <c r="D965" s="1128"/>
      <c r="E965" s="1128"/>
      <c r="F965" s="1128"/>
      <c r="G965" s="1128"/>
      <c r="H965" s="1128"/>
      <c r="I965" s="1128"/>
      <c r="J965" s="1128"/>
      <c r="K965" s="1128"/>
      <c r="L965" s="1128"/>
      <c r="M965" s="1128"/>
      <c r="N965" s="1128"/>
      <c r="O965" s="1128"/>
      <c r="P965" s="1128"/>
      <c r="Q965" s="1128"/>
      <c r="R965" s="1128"/>
      <c r="S965" s="1128"/>
      <c r="T965" s="1128"/>
      <c r="U965" s="1128"/>
      <c r="V965" s="1128"/>
      <c r="W965" s="1128"/>
      <c r="X965" s="1128"/>
      <c r="Y965" s="1128"/>
      <c r="Z965" s="1128"/>
    </row>
    <row r="966" ht="22.5" customHeight="1">
      <c r="A966" s="1128"/>
      <c r="B966" s="1128"/>
      <c r="C966" s="1128"/>
      <c r="D966" s="1128"/>
      <c r="E966" s="1128"/>
      <c r="F966" s="1128"/>
      <c r="G966" s="1128"/>
      <c r="H966" s="1128"/>
      <c r="I966" s="1128"/>
      <c r="J966" s="1128"/>
      <c r="K966" s="1128"/>
      <c r="L966" s="1128"/>
      <c r="M966" s="1128"/>
      <c r="N966" s="1128"/>
      <c r="O966" s="1128"/>
      <c r="P966" s="1128"/>
      <c r="Q966" s="1128"/>
      <c r="R966" s="1128"/>
      <c r="S966" s="1128"/>
      <c r="T966" s="1128"/>
      <c r="U966" s="1128"/>
      <c r="V966" s="1128"/>
      <c r="W966" s="1128"/>
      <c r="X966" s="1128"/>
      <c r="Y966" s="1128"/>
      <c r="Z966" s="1128"/>
    </row>
    <row r="967" ht="22.5" customHeight="1">
      <c r="A967" s="1128"/>
      <c r="B967" s="1128"/>
      <c r="C967" s="1128"/>
      <c r="D967" s="1128"/>
      <c r="E967" s="1128"/>
      <c r="F967" s="1128"/>
      <c r="G967" s="1128"/>
      <c r="H967" s="1128"/>
      <c r="I967" s="1128"/>
      <c r="J967" s="1128"/>
      <c r="K967" s="1128"/>
      <c r="L967" s="1128"/>
      <c r="M967" s="1128"/>
      <c r="N967" s="1128"/>
      <c r="O967" s="1128"/>
      <c r="P967" s="1128"/>
      <c r="Q967" s="1128"/>
      <c r="R967" s="1128"/>
      <c r="S967" s="1128"/>
      <c r="T967" s="1128"/>
      <c r="U967" s="1128"/>
      <c r="V967" s="1128"/>
      <c r="W967" s="1128"/>
      <c r="X967" s="1128"/>
      <c r="Y967" s="1128"/>
      <c r="Z967" s="1128"/>
    </row>
    <row r="968" ht="22.5" customHeight="1">
      <c r="A968" s="1128"/>
      <c r="B968" s="1128"/>
      <c r="C968" s="1128"/>
      <c r="D968" s="1128"/>
      <c r="E968" s="1128"/>
      <c r="F968" s="1128"/>
      <c r="G968" s="1128"/>
      <c r="H968" s="1128"/>
      <c r="I968" s="1128"/>
      <c r="J968" s="1128"/>
      <c r="K968" s="1128"/>
      <c r="L968" s="1128"/>
      <c r="M968" s="1128"/>
      <c r="N968" s="1128"/>
      <c r="O968" s="1128"/>
      <c r="P968" s="1128"/>
      <c r="Q968" s="1128"/>
      <c r="R968" s="1128"/>
      <c r="S968" s="1128"/>
      <c r="T968" s="1128"/>
      <c r="U968" s="1128"/>
      <c r="V968" s="1128"/>
      <c r="W968" s="1128"/>
      <c r="X968" s="1128"/>
      <c r="Y968" s="1128"/>
      <c r="Z968" s="1128"/>
    </row>
    <row r="969" ht="22.5" customHeight="1">
      <c r="A969" s="1128"/>
      <c r="B969" s="1128"/>
      <c r="C969" s="1128"/>
      <c r="D969" s="1128"/>
      <c r="E969" s="1128"/>
      <c r="F969" s="1128"/>
      <c r="G969" s="1128"/>
      <c r="H969" s="1128"/>
      <c r="I969" s="1128"/>
      <c r="J969" s="1128"/>
      <c r="K969" s="1128"/>
      <c r="L969" s="1128"/>
      <c r="M969" s="1128"/>
      <c r="N969" s="1128"/>
      <c r="O969" s="1128"/>
      <c r="P969" s="1128"/>
      <c r="Q969" s="1128"/>
      <c r="R969" s="1128"/>
      <c r="S969" s="1128"/>
      <c r="T969" s="1128"/>
      <c r="U969" s="1128"/>
      <c r="V969" s="1128"/>
      <c r="W969" s="1128"/>
      <c r="X969" s="1128"/>
      <c r="Y969" s="1128"/>
      <c r="Z969" s="1128"/>
    </row>
    <row r="970" ht="22.5" customHeight="1">
      <c r="A970" s="1128"/>
      <c r="B970" s="1128"/>
      <c r="C970" s="1128"/>
      <c r="D970" s="1128"/>
      <c r="E970" s="1128"/>
      <c r="F970" s="1128"/>
      <c r="G970" s="1128"/>
      <c r="H970" s="1128"/>
      <c r="I970" s="1128"/>
      <c r="J970" s="1128"/>
      <c r="K970" s="1128"/>
      <c r="L970" s="1128"/>
      <c r="M970" s="1128"/>
      <c r="N970" s="1128"/>
      <c r="O970" s="1128"/>
      <c r="P970" s="1128"/>
      <c r="Q970" s="1128"/>
      <c r="R970" s="1128"/>
      <c r="S970" s="1128"/>
      <c r="T970" s="1128"/>
      <c r="U970" s="1128"/>
      <c r="V970" s="1128"/>
      <c r="W970" s="1128"/>
      <c r="X970" s="1128"/>
      <c r="Y970" s="1128"/>
      <c r="Z970" s="1128"/>
    </row>
    <row r="971" ht="22.5" customHeight="1">
      <c r="A971" s="1128"/>
      <c r="B971" s="1128"/>
      <c r="C971" s="1128"/>
      <c r="D971" s="1128"/>
      <c r="E971" s="1128"/>
      <c r="F971" s="1128"/>
      <c r="G971" s="1128"/>
      <c r="H971" s="1128"/>
      <c r="I971" s="1128"/>
      <c r="J971" s="1128"/>
      <c r="K971" s="1128"/>
      <c r="L971" s="1128"/>
      <c r="M971" s="1128"/>
      <c r="N971" s="1128"/>
      <c r="O971" s="1128"/>
      <c r="P971" s="1128"/>
      <c r="Q971" s="1128"/>
      <c r="R971" s="1128"/>
      <c r="S971" s="1128"/>
      <c r="T971" s="1128"/>
      <c r="U971" s="1128"/>
      <c r="V971" s="1128"/>
      <c r="W971" s="1128"/>
      <c r="X971" s="1128"/>
      <c r="Y971" s="1128"/>
      <c r="Z971" s="1128"/>
    </row>
    <row r="972" ht="22.5" customHeight="1">
      <c r="A972" s="1128"/>
      <c r="B972" s="1128"/>
      <c r="C972" s="1128"/>
      <c r="D972" s="1128"/>
      <c r="E972" s="1128"/>
      <c r="F972" s="1128"/>
      <c r="G972" s="1128"/>
      <c r="H972" s="1128"/>
      <c r="I972" s="1128"/>
      <c r="J972" s="1128"/>
      <c r="K972" s="1128"/>
      <c r="L972" s="1128"/>
      <c r="M972" s="1128"/>
      <c r="N972" s="1128"/>
      <c r="O972" s="1128"/>
      <c r="P972" s="1128"/>
      <c r="Q972" s="1128"/>
      <c r="R972" s="1128"/>
      <c r="S972" s="1128"/>
      <c r="T972" s="1128"/>
      <c r="U972" s="1128"/>
      <c r="V972" s="1128"/>
      <c r="W972" s="1128"/>
      <c r="X972" s="1128"/>
      <c r="Y972" s="1128"/>
      <c r="Z972" s="1128"/>
    </row>
    <row r="973" ht="22.5" customHeight="1">
      <c r="A973" s="1128"/>
      <c r="B973" s="1128"/>
      <c r="C973" s="1128"/>
      <c r="D973" s="1128"/>
      <c r="E973" s="1128"/>
      <c r="F973" s="1128"/>
      <c r="G973" s="1128"/>
      <c r="H973" s="1128"/>
      <c r="I973" s="1128"/>
      <c r="J973" s="1128"/>
      <c r="K973" s="1128"/>
      <c r="L973" s="1128"/>
      <c r="M973" s="1128"/>
      <c r="N973" s="1128"/>
      <c r="O973" s="1128"/>
      <c r="P973" s="1128"/>
      <c r="Q973" s="1128"/>
      <c r="R973" s="1128"/>
      <c r="S973" s="1128"/>
      <c r="T973" s="1128"/>
      <c r="U973" s="1128"/>
      <c r="V973" s="1128"/>
      <c r="W973" s="1128"/>
      <c r="X973" s="1128"/>
      <c r="Y973" s="1128"/>
      <c r="Z973" s="1128"/>
    </row>
    <row r="974" ht="22.5" customHeight="1">
      <c r="A974" s="1128"/>
      <c r="B974" s="1128"/>
      <c r="C974" s="1128"/>
      <c r="D974" s="1128"/>
      <c r="E974" s="1128"/>
      <c r="F974" s="1128"/>
      <c r="G974" s="1128"/>
      <c r="H974" s="1128"/>
      <c r="I974" s="1128"/>
      <c r="J974" s="1128"/>
      <c r="K974" s="1128"/>
      <c r="L974" s="1128"/>
      <c r="M974" s="1128"/>
      <c r="N974" s="1128"/>
      <c r="O974" s="1128"/>
      <c r="P974" s="1128"/>
      <c r="Q974" s="1128"/>
      <c r="R974" s="1128"/>
      <c r="S974" s="1128"/>
      <c r="T974" s="1128"/>
      <c r="U974" s="1128"/>
      <c r="V974" s="1128"/>
      <c r="W974" s="1128"/>
      <c r="X974" s="1128"/>
      <c r="Y974" s="1128"/>
      <c r="Z974" s="1128"/>
    </row>
    <row r="975" ht="22.5" customHeight="1">
      <c r="A975" s="1128"/>
      <c r="B975" s="1128"/>
      <c r="C975" s="1128"/>
      <c r="D975" s="1128"/>
      <c r="E975" s="1128"/>
      <c r="F975" s="1128"/>
      <c r="G975" s="1128"/>
      <c r="H975" s="1128"/>
      <c r="I975" s="1128"/>
      <c r="J975" s="1128"/>
      <c r="K975" s="1128"/>
      <c r="L975" s="1128"/>
      <c r="M975" s="1128"/>
      <c r="N975" s="1128"/>
      <c r="O975" s="1128"/>
      <c r="P975" s="1128"/>
      <c r="Q975" s="1128"/>
      <c r="R975" s="1128"/>
      <c r="S975" s="1128"/>
      <c r="T975" s="1128"/>
      <c r="U975" s="1128"/>
      <c r="V975" s="1128"/>
      <c r="W975" s="1128"/>
      <c r="X975" s="1128"/>
      <c r="Y975" s="1128"/>
      <c r="Z975" s="1128"/>
    </row>
    <row r="976" ht="22.5" customHeight="1">
      <c r="A976" s="1128"/>
      <c r="B976" s="1128"/>
      <c r="C976" s="1128"/>
      <c r="D976" s="1128"/>
      <c r="E976" s="1128"/>
      <c r="F976" s="1128"/>
      <c r="G976" s="1128"/>
      <c r="H976" s="1128"/>
      <c r="I976" s="1128"/>
      <c r="J976" s="1128"/>
      <c r="K976" s="1128"/>
      <c r="L976" s="1128"/>
      <c r="M976" s="1128"/>
      <c r="N976" s="1128"/>
      <c r="O976" s="1128"/>
      <c r="P976" s="1128"/>
      <c r="Q976" s="1128"/>
      <c r="R976" s="1128"/>
      <c r="S976" s="1128"/>
      <c r="T976" s="1128"/>
      <c r="U976" s="1128"/>
      <c r="V976" s="1128"/>
      <c r="W976" s="1128"/>
      <c r="X976" s="1128"/>
      <c r="Y976" s="1128"/>
      <c r="Z976" s="1128"/>
    </row>
    <row r="977" ht="22.5" customHeight="1">
      <c r="A977" s="1128"/>
      <c r="B977" s="1128"/>
      <c r="C977" s="1128"/>
      <c r="D977" s="1128"/>
      <c r="E977" s="1128"/>
      <c r="F977" s="1128"/>
      <c r="G977" s="1128"/>
      <c r="H977" s="1128"/>
      <c r="I977" s="1128"/>
      <c r="J977" s="1128"/>
      <c r="K977" s="1128"/>
      <c r="L977" s="1128"/>
      <c r="M977" s="1128"/>
      <c r="N977" s="1128"/>
      <c r="O977" s="1128"/>
      <c r="P977" s="1128"/>
      <c r="Q977" s="1128"/>
      <c r="R977" s="1128"/>
      <c r="S977" s="1128"/>
      <c r="T977" s="1128"/>
      <c r="U977" s="1128"/>
      <c r="V977" s="1128"/>
      <c r="W977" s="1128"/>
      <c r="X977" s="1128"/>
      <c r="Y977" s="1128"/>
      <c r="Z977" s="1128"/>
    </row>
    <row r="978" ht="22.5" customHeight="1">
      <c r="A978" s="1128"/>
      <c r="B978" s="1128"/>
      <c r="C978" s="1128"/>
      <c r="D978" s="1128"/>
      <c r="E978" s="1128"/>
      <c r="F978" s="1128"/>
      <c r="G978" s="1128"/>
      <c r="H978" s="1128"/>
      <c r="I978" s="1128"/>
      <c r="J978" s="1128"/>
      <c r="K978" s="1128"/>
      <c r="L978" s="1128"/>
      <c r="M978" s="1128"/>
      <c r="N978" s="1128"/>
      <c r="O978" s="1128"/>
      <c r="P978" s="1128"/>
      <c r="Q978" s="1128"/>
      <c r="R978" s="1128"/>
      <c r="S978" s="1128"/>
      <c r="T978" s="1128"/>
      <c r="U978" s="1128"/>
      <c r="V978" s="1128"/>
      <c r="W978" s="1128"/>
      <c r="X978" s="1128"/>
      <c r="Y978" s="1128"/>
      <c r="Z978" s="1128"/>
    </row>
    <row r="979" ht="22.5" customHeight="1">
      <c r="A979" s="1128"/>
      <c r="B979" s="1128"/>
      <c r="C979" s="1128"/>
      <c r="D979" s="1128"/>
      <c r="E979" s="1128"/>
      <c r="F979" s="1128"/>
      <c r="G979" s="1128"/>
      <c r="H979" s="1128"/>
      <c r="I979" s="1128"/>
      <c r="J979" s="1128"/>
      <c r="K979" s="1128"/>
      <c r="L979" s="1128"/>
      <c r="M979" s="1128"/>
      <c r="N979" s="1128"/>
      <c r="O979" s="1128"/>
      <c r="P979" s="1128"/>
      <c r="Q979" s="1128"/>
      <c r="R979" s="1128"/>
      <c r="S979" s="1128"/>
      <c r="T979" s="1128"/>
      <c r="U979" s="1128"/>
      <c r="V979" s="1128"/>
      <c r="W979" s="1128"/>
      <c r="X979" s="1128"/>
      <c r="Y979" s="1128"/>
      <c r="Z979" s="1128"/>
    </row>
    <row r="980" ht="22.5" customHeight="1">
      <c r="A980" s="1128"/>
      <c r="B980" s="1128"/>
      <c r="C980" s="1128"/>
      <c r="D980" s="1128"/>
      <c r="E980" s="1128"/>
      <c r="F980" s="1128"/>
      <c r="G980" s="1128"/>
      <c r="H980" s="1128"/>
      <c r="I980" s="1128"/>
      <c r="J980" s="1128"/>
      <c r="K980" s="1128"/>
      <c r="L980" s="1128"/>
      <c r="M980" s="1128"/>
      <c r="N980" s="1128"/>
      <c r="O980" s="1128"/>
      <c r="P980" s="1128"/>
      <c r="Q980" s="1128"/>
      <c r="R980" s="1128"/>
      <c r="S980" s="1128"/>
      <c r="T980" s="1128"/>
      <c r="U980" s="1128"/>
      <c r="V980" s="1128"/>
      <c r="W980" s="1128"/>
      <c r="X980" s="1128"/>
      <c r="Y980" s="1128"/>
      <c r="Z980" s="1128"/>
    </row>
    <row r="981" ht="22.5" customHeight="1">
      <c r="A981" s="1128"/>
      <c r="B981" s="1128"/>
      <c r="C981" s="1128"/>
      <c r="D981" s="1128"/>
      <c r="E981" s="1128"/>
      <c r="F981" s="1128"/>
      <c r="G981" s="1128"/>
      <c r="H981" s="1128"/>
      <c r="I981" s="1128"/>
      <c r="J981" s="1128"/>
      <c r="K981" s="1128"/>
      <c r="L981" s="1128"/>
      <c r="M981" s="1128"/>
      <c r="N981" s="1128"/>
      <c r="O981" s="1128"/>
      <c r="P981" s="1128"/>
      <c r="Q981" s="1128"/>
      <c r="R981" s="1128"/>
      <c r="S981" s="1128"/>
      <c r="T981" s="1128"/>
      <c r="U981" s="1128"/>
      <c r="V981" s="1128"/>
      <c r="W981" s="1128"/>
      <c r="X981" s="1128"/>
      <c r="Y981" s="1128"/>
      <c r="Z981" s="1128"/>
    </row>
    <row r="982" ht="22.5" customHeight="1">
      <c r="A982" s="1128"/>
      <c r="B982" s="1128"/>
      <c r="C982" s="1128"/>
      <c r="D982" s="1128"/>
      <c r="E982" s="1128"/>
      <c r="F982" s="1128"/>
      <c r="G982" s="1128"/>
      <c r="H982" s="1128"/>
      <c r="I982" s="1128"/>
      <c r="J982" s="1128"/>
      <c r="K982" s="1128"/>
      <c r="L982" s="1128"/>
      <c r="M982" s="1128"/>
      <c r="N982" s="1128"/>
      <c r="O982" s="1128"/>
      <c r="P982" s="1128"/>
      <c r="Q982" s="1128"/>
      <c r="R982" s="1128"/>
      <c r="S982" s="1128"/>
      <c r="T982" s="1128"/>
      <c r="U982" s="1128"/>
      <c r="V982" s="1128"/>
      <c r="W982" s="1128"/>
      <c r="X982" s="1128"/>
      <c r="Y982" s="1128"/>
      <c r="Z982" s="1128"/>
    </row>
    <row r="983" ht="22.5" customHeight="1">
      <c r="A983" s="1128"/>
      <c r="B983" s="1128"/>
      <c r="C983" s="1128"/>
      <c r="D983" s="1128"/>
      <c r="E983" s="1128"/>
      <c r="F983" s="1128"/>
      <c r="G983" s="1128"/>
      <c r="H983" s="1128"/>
      <c r="I983" s="1128"/>
      <c r="J983" s="1128"/>
      <c r="K983" s="1128"/>
      <c r="L983" s="1128"/>
      <c r="M983" s="1128"/>
      <c r="N983" s="1128"/>
      <c r="O983" s="1128"/>
      <c r="P983" s="1128"/>
      <c r="Q983" s="1128"/>
      <c r="R983" s="1128"/>
      <c r="S983" s="1128"/>
      <c r="T983" s="1128"/>
      <c r="U983" s="1128"/>
      <c r="V983" s="1128"/>
      <c r="W983" s="1128"/>
      <c r="X983" s="1128"/>
      <c r="Y983" s="1128"/>
      <c r="Z983" s="1128"/>
    </row>
    <row r="984" ht="22.5" customHeight="1">
      <c r="A984" s="1128"/>
      <c r="B984" s="1128"/>
      <c r="C984" s="1128"/>
      <c r="D984" s="1128"/>
      <c r="E984" s="1128"/>
      <c r="F984" s="1128"/>
      <c r="G984" s="1128"/>
      <c r="H984" s="1128"/>
      <c r="I984" s="1128"/>
      <c r="J984" s="1128"/>
      <c r="K984" s="1128"/>
      <c r="L984" s="1128"/>
      <c r="M984" s="1128"/>
      <c r="N984" s="1128"/>
      <c r="O984" s="1128"/>
      <c r="P984" s="1128"/>
      <c r="Q984" s="1128"/>
      <c r="R984" s="1128"/>
      <c r="S984" s="1128"/>
      <c r="T984" s="1128"/>
      <c r="U984" s="1128"/>
      <c r="V984" s="1128"/>
      <c r="W984" s="1128"/>
      <c r="X984" s="1128"/>
      <c r="Y984" s="1128"/>
      <c r="Z984" s="1128"/>
    </row>
    <row r="985" ht="22.5" customHeight="1">
      <c r="A985" s="1128"/>
      <c r="B985" s="1128"/>
      <c r="C985" s="1128"/>
      <c r="D985" s="1128"/>
      <c r="E985" s="1128"/>
      <c r="F985" s="1128"/>
      <c r="G985" s="1128"/>
      <c r="H985" s="1128"/>
      <c r="I985" s="1128"/>
      <c r="J985" s="1128"/>
      <c r="K985" s="1128"/>
      <c r="L985" s="1128"/>
      <c r="M985" s="1128"/>
      <c r="N985" s="1128"/>
      <c r="O985" s="1128"/>
      <c r="P985" s="1128"/>
      <c r="Q985" s="1128"/>
      <c r="R985" s="1128"/>
      <c r="S985" s="1128"/>
      <c r="T985" s="1128"/>
      <c r="U985" s="1128"/>
      <c r="V985" s="1128"/>
      <c r="W985" s="1128"/>
      <c r="X985" s="1128"/>
      <c r="Y985" s="1128"/>
      <c r="Z985" s="1128"/>
    </row>
    <row r="986" ht="22.5" customHeight="1">
      <c r="A986" s="1128"/>
      <c r="B986" s="1128"/>
      <c r="C986" s="1128"/>
      <c r="D986" s="1128"/>
      <c r="E986" s="1128"/>
      <c r="F986" s="1128"/>
      <c r="G986" s="1128"/>
      <c r="H986" s="1128"/>
      <c r="I986" s="1128"/>
      <c r="J986" s="1128"/>
      <c r="K986" s="1128"/>
      <c r="L986" s="1128"/>
      <c r="M986" s="1128"/>
      <c r="N986" s="1128"/>
      <c r="O986" s="1128"/>
      <c r="P986" s="1128"/>
      <c r="Q986" s="1128"/>
      <c r="R986" s="1128"/>
      <c r="S986" s="1128"/>
      <c r="T986" s="1128"/>
      <c r="U986" s="1128"/>
      <c r="V986" s="1128"/>
      <c r="W986" s="1128"/>
      <c r="X986" s="1128"/>
      <c r="Y986" s="1128"/>
      <c r="Z986" s="1128"/>
    </row>
    <row r="987" ht="22.5" customHeight="1">
      <c r="A987" s="1128"/>
      <c r="B987" s="1128"/>
      <c r="C987" s="1128"/>
      <c r="D987" s="1128"/>
      <c r="E987" s="1128"/>
      <c r="F987" s="1128"/>
      <c r="G987" s="1128"/>
      <c r="H987" s="1128"/>
      <c r="I987" s="1128"/>
      <c r="J987" s="1128"/>
      <c r="K987" s="1128"/>
      <c r="L987" s="1128"/>
      <c r="M987" s="1128"/>
      <c r="N987" s="1128"/>
      <c r="O987" s="1128"/>
      <c r="P987" s="1128"/>
      <c r="Q987" s="1128"/>
      <c r="R987" s="1128"/>
      <c r="S987" s="1128"/>
      <c r="T987" s="1128"/>
      <c r="U987" s="1128"/>
      <c r="V987" s="1128"/>
      <c r="W987" s="1128"/>
      <c r="X987" s="1128"/>
      <c r="Y987" s="1128"/>
      <c r="Z987" s="1128"/>
    </row>
    <row r="988" ht="22.5" customHeight="1">
      <c r="A988" s="1128"/>
      <c r="B988" s="1128"/>
      <c r="C988" s="1128"/>
      <c r="D988" s="1128"/>
      <c r="E988" s="1128"/>
      <c r="F988" s="1128"/>
      <c r="G988" s="1128"/>
      <c r="H988" s="1128"/>
      <c r="I988" s="1128"/>
      <c r="J988" s="1128"/>
      <c r="K988" s="1128"/>
      <c r="L988" s="1128"/>
      <c r="M988" s="1128"/>
      <c r="N988" s="1128"/>
      <c r="O988" s="1128"/>
      <c r="P988" s="1128"/>
      <c r="Q988" s="1128"/>
      <c r="R988" s="1128"/>
      <c r="S988" s="1128"/>
      <c r="T988" s="1128"/>
      <c r="U988" s="1128"/>
      <c r="V988" s="1128"/>
      <c r="W988" s="1128"/>
      <c r="X988" s="1128"/>
      <c r="Y988" s="1128"/>
      <c r="Z988" s="1128"/>
    </row>
    <row r="989" ht="22.5" customHeight="1">
      <c r="A989" s="1128"/>
      <c r="B989" s="1128"/>
      <c r="C989" s="1128"/>
      <c r="D989" s="1128"/>
      <c r="E989" s="1128"/>
      <c r="F989" s="1128"/>
      <c r="G989" s="1128"/>
      <c r="H989" s="1128"/>
      <c r="I989" s="1128"/>
      <c r="J989" s="1128"/>
      <c r="K989" s="1128"/>
      <c r="L989" s="1128"/>
      <c r="M989" s="1128"/>
      <c r="N989" s="1128"/>
      <c r="O989" s="1128"/>
      <c r="P989" s="1128"/>
      <c r="Q989" s="1128"/>
      <c r="R989" s="1128"/>
      <c r="S989" s="1128"/>
      <c r="T989" s="1128"/>
      <c r="U989" s="1128"/>
      <c r="V989" s="1128"/>
      <c r="W989" s="1128"/>
      <c r="X989" s="1128"/>
      <c r="Y989" s="1128"/>
      <c r="Z989" s="1128"/>
    </row>
    <row r="990" ht="22.5" customHeight="1">
      <c r="A990" s="1128"/>
      <c r="B990" s="1128"/>
      <c r="C990" s="1128"/>
      <c r="D990" s="1128"/>
      <c r="E990" s="1128"/>
      <c r="F990" s="1128"/>
      <c r="G990" s="1128"/>
      <c r="H990" s="1128"/>
      <c r="I990" s="1128"/>
      <c r="J990" s="1128"/>
      <c r="K990" s="1128"/>
      <c r="L990" s="1128"/>
      <c r="M990" s="1128"/>
      <c r="N990" s="1128"/>
      <c r="O990" s="1128"/>
      <c r="P990" s="1128"/>
      <c r="Q990" s="1128"/>
      <c r="R990" s="1128"/>
      <c r="S990" s="1128"/>
      <c r="T990" s="1128"/>
      <c r="U990" s="1128"/>
      <c r="V990" s="1128"/>
      <c r="W990" s="1128"/>
      <c r="X990" s="1128"/>
      <c r="Y990" s="1128"/>
      <c r="Z990" s="1128"/>
    </row>
    <row r="991" ht="22.5" customHeight="1">
      <c r="A991" s="1128"/>
      <c r="B991" s="1128"/>
      <c r="C991" s="1128"/>
      <c r="D991" s="1128"/>
      <c r="E991" s="1128"/>
      <c r="F991" s="1128"/>
      <c r="G991" s="1128"/>
      <c r="H991" s="1128"/>
      <c r="I991" s="1128"/>
      <c r="J991" s="1128"/>
      <c r="K991" s="1128"/>
      <c r="L991" s="1128"/>
      <c r="M991" s="1128"/>
      <c r="N991" s="1128"/>
      <c r="O991" s="1128"/>
      <c r="P991" s="1128"/>
      <c r="Q991" s="1128"/>
      <c r="R991" s="1128"/>
      <c r="S991" s="1128"/>
      <c r="T991" s="1128"/>
      <c r="U991" s="1128"/>
      <c r="V991" s="1128"/>
      <c r="W991" s="1128"/>
      <c r="X991" s="1128"/>
      <c r="Y991" s="1128"/>
      <c r="Z991" s="1128"/>
    </row>
    <row r="992" ht="22.5" customHeight="1">
      <c r="A992" s="1128"/>
      <c r="B992" s="1128"/>
      <c r="C992" s="1128"/>
      <c r="D992" s="1128"/>
      <c r="E992" s="1128"/>
      <c r="F992" s="1128"/>
      <c r="G992" s="1128"/>
      <c r="H992" s="1128"/>
      <c r="I992" s="1128"/>
      <c r="J992" s="1128"/>
      <c r="K992" s="1128"/>
      <c r="L992" s="1128"/>
      <c r="M992" s="1128"/>
      <c r="N992" s="1128"/>
      <c r="O992" s="1128"/>
      <c r="P992" s="1128"/>
      <c r="Q992" s="1128"/>
      <c r="R992" s="1128"/>
      <c r="S992" s="1128"/>
      <c r="T992" s="1128"/>
      <c r="U992" s="1128"/>
      <c r="V992" s="1128"/>
      <c r="W992" s="1128"/>
      <c r="X992" s="1128"/>
      <c r="Y992" s="1128"/>
      <c r="Z992" s="1128"/>
    </row>
    <row r="993" ht="22.5" customHeight="1">
      <c r="A993" s="1128"/>
      <c r="B993" s="1128"/>
      <c r="C993" s="1128"/>
      <c r="D993" s="1128"/>
      <c r="E993" s="1128"/>
      <c r="F993" s="1128"/>
      <c r="G993" s="1128"/>
      <c r="H993" s="1128"/>
      <c r="I993" s="1128"/>
      <c r="J993" s="1128"/>
      <c r="K993" s="1128"/>
      <c r="L993" s="1128"/>
      <c r="M993" s="1128"/>
      <c r="N993" s="1128"/>
      <c r="O993" s="1128"/>
      <c r="P993" s="1128"/>
      <c r="Q993" s="1128"/>
      <c r="R993" s="1128"/>
      <c r="S993" s="1128"/>
      <c r="T993" s="1128"/>
      <c r="U993" s="1128"/>
      <c r="V993" s="1128"/>
      <c r="W993" s="1128"/>
      <c r="X993" s="1128"/>
      <c r="Y993" s="1128"/>
      <c r="Z993" s="1128"/>
    </row>
    <row r="994" ht="22.5" customHeight="1">
      <c r="A994" s="1128"/>
      <c r="B994" s="1128"/>
      <c r="C994" s="1128"/>
      <c r="D994" s="1128"/>
      <c r="E994" s="1128"/>
      <c r="F994" s="1128"/>
      <c r="G994" s="1128"/>
      <c r="H994" s="1128"/>
      <c r="I994" s="1128"/>
      <c r="J994" s="1128"/>
      <c r="K994" s="1128"/>
      <c r="L994" s="1128"/>
      <c r="M994" s="1128"/>
      <c r="N994" s="1128"/>
      <c r="O994" s="1128"/>
      <c r="P994" s="1128"/>
      <c r="Q994" s="1128"/>
      <c r="R994" s="1128"/>
      <c r="S994" s="1128"/>
      <c r="T994" s="1128"/>
      <c r="U994" s="1128"/>
      <c r="V994" s="1128"/>
      <c r="W994" s="1128"/>
      <c r="X994" s="1128"/>
      <c r="Y994" s="1128"/>
      <c r="Z994" s="1128"/>
    </row>
    <row r="995" ht="22.5" customHeight="1">
      <c r="A995" s="1128"/>
      <c r="B995" s="1128"/>
      <c r="C995" s="1128"/>
      <c r="D995" s="1128"/>
      <c r="E995" s="1128"/>
      <c r="F995" s="1128"/>
      <c r="G995" s="1128"/>
      <c r="H995" s="1128"/>
      <c r="I995" s="1128"/>
      <c r="J995" s="1128"/>
      <c r="K995" s="1128"/>
      <c r="L995" s="1128"/>
      <c r="M995" s="1128"/>
      <c r="N995" s="1128"/>
      <c r="O995" s="1128"/>
      <c r="P995" s="1128"/>
      <c r="Q995" s="1128"/>
      <c r="R995" s="1128"/>
      <c r="S995" s="1128"/>
      <c r="T995" s="1128"/>
      <c r="U995" s="1128"/>
      <c r="V995" s="1128"/>
      <c r="W995" s="1128"/>
      <c r="X995" s="1128"/>
      <c r="Y995" s="1128"/>
      <c r="Z995" s="1128"/>
    </row>
    <row r="996" ht="22.5" customHeight="1">
      <c r="A996" s="1128"/>
      <c r="B996" s="1128"/>
      <c r="C996" s="1128"/>
      <c r="D996" s="1128"/>
      <c r="E996" s="1128"/>
      <c r="F996" s="1128"/>
      <c r="G996" s="1128"/>
      <c r="H996" s="1128"/>
      <c r="I996" s="1128"/>
      <c r="J996" s="1128"/>
      <c r="K996" s="1128"/>
      <c r="L996" s="1128"/>
      <c r="M996" s="1128"/>
      <c r="N996" s="1128"/>
      <c r="O996" s="1128"/>
      <c r="P996" s="1128"/>
      <c r="Q996" s="1128"/>
      <c r="R996" s="1128"/>
      <c r="S996" s="1128"/>
      <c r="T996" s="1128"/>
      <c r="U996" s="1128"/>
      <c r="V996" s="1128"/>
      <c r="W996" s="1128"/>
      <c r="X996" s="1128"/>
      <c r="Y996" s="1128"/>
      <c r="Z996" s="1128"/>
    </row>
    <row r="997" ht="22.5" customHeight="1">
      <c r="A997" s="1128"/>
      <c r="B997" s="1128"/>
      <c r="C997" s="1128"/>
      <c r="D997" s="1128"/>
      <c r="E997" s="1128"/>
      <c r="F997" s="1128"/>
      <c r="G997" s="1128"/>
      <c r="H997" s="1128"/>
      <c r="I997" s="1128"/>
      <c r="J997" s="1128"/>
      <c r="K997" s="1128"/>
      <c r="L997" s="1128"/>
      <c r="M997" s="1128"/>
      <c r="N997" s="1128"/>
      <c r="O997" s="1128"/>
      <c r="P997" s="1128"/>
      <c r="Q997" s="1128"/>
      <c r="R997" s="1128"/>
      <c r="S997" s="1128"/>
      <c r="T997" s="1128"/>
      <c r="U997" s="1128"/>
      <c r="V997" s="1128"/>
      <c r="W997" s="1128"/>
      <c r="X997" s="1128"/>
      <c r="Y997" s="1128"/>
      <c r="Z997" s="1128"/>
    </row>
    <row r="998" ht="22.5" customHeight="1">
      <c r="A998" s="1128"/>
      <c r="B998" s="1128"/>
      <c r="C998" s="1128"/>
      <c r="D998" s="1128"/>
      <c r="E998" s="1128"/>
      <c r="F998" s="1128"/>
      <c r="G998" s="1128"/>
      <c r="H998" s="1128"/>
      <c r="I998" s="1128"/>
      <c r="J998" s="1128"/>
      <c r="K998" s="1128"/>
      <c r="L998" s="1128"/>
      <c r="M998" s="1128"/>
      <c r="N998" s="1128"/>
      <c r="O998" s="1128"/>
      <c r="P998" s="1128"/>
      <c r="Q998" s="1128"/>
      <c r="R998" s="1128"/>
      <c r="S998" s="1128"/>
      <c r="T998" s="1128"/>
      <c r="U998" s="1128"/>
      <c r="V998" s="1128"/>
      <c r="W998" s="1128"/>
      <c r="X998" s="1128"/>
      <c r="Y998" s="1128"/>
      <c r="Z998" s="1128"/>
    </row>
    <row r="999" ht="22.5" customHeight="1">
      <c r="A999" s="1128"/>
      <c r="B999" s="1128"/>
      <c r="C999" s="1128"/>
      <c r="D999" s="1128"/>
      <c r="E999" s="1128"/>
      <c r="F999" s="1128"/>
      <c r="G999" s="1128"/>
      <c r="H999" s="1128"/>
      <c r="I999" s="1128"/>
      <c r="J999" s="1128"/>
      <c r="K999" s="1128"/>
      <c r="L999" s="1128"/>
      <c r="M999" s="1128"/>
      <c r="N999" s="1128"/>
      <c r="O999" s="1128"/>
      <c r="P999" s="1128"/>
      <c r="Q999" s="1128"/>
      <c r="R999" s="1128"/>
      <c r="S999" s="1128"/>
      <c r="T999" s="1128"/>
      <c r="U999" s="1128"/>
      <c r="V999" s="1128"/>
      <c r="W999" s="1128"/>
      <c r="X999" s="1128"/>
      <c r="Y999" s="1128"/>
      <c r="Z999" s="1128"/>
    </row>
    <row r="1000" ht="22.5" customHeight="1">
      <c r="A1000" s="1128"/>
      <c r="B1000" s="1128"/>
      <c r="C1000" s="1128"/>
      <c r="D1000" s="1128"/>
      <c r="E1000" s="1128"/>
      <c r="F1000" s="1128"/>
      <c r="G1000" s="1128"/>
      <c r="H1000" s="1128"/>
      <c r="I1000" s="1128"/>
      <c r="J1000" s="1128"/>
      <c r="K1000" s="1128"/>
      <c r="L1000" s="1128"/>
      <c r="M1000" s="1128"/>
      <c r="N1000" s="1128"/>
      <c r="O1000" s="1128"/>
      <c r="P1000" s="1128"/>
      <c r="Q1000" s="1128"/>
      <c r="R1000" s="1128"/>
      <c r="S1000" s="1128"/>
      <c r="T1000" s="1128"/>
      <c r="U1000" s="1128"/>
      <c r="V1000" s="1128"/>
      <c r="W1000" s="1128"/>
      <c r="X1000" s="1128"/>
      <c r="Y1000" s="1128"/>
      <c r="Z1000" s="1128"/>
    </row>
    <row r="1001" ht="22.5" customHeight="1">
      <c r="A1001" s="1128"/>
      <c r="B1001" s="1128"/>
      <c r="C1001" s="1128"/>
      <c r="D1001" s="1128"/>
      <c r="E1001" s="1128"/>
      <c r="F1001" s="1128"/>
      <c r="G1001" s="1128"/>
      <c r="H1001" s="1128"/>
      <c r="I1001" s="1128"/>
      <c r="J1001" s="1128"/>
      <c r="K1001" s="1128"/>
      <c r="L1001" s="1128"/>
      <c r="M1001" s="1128"/>
      <c r="N1001" s="1128"/>
      <c r="O1001" s="1128"/>
      <c r="P1001" s="1128"/>
      <c r="Q1001" s="1128"/>
      <c r="R1001" s="1128"/>
      <c r="S1001" s="1128"/>
      <c r="T1001" s="1128"/>
      <c r="U1001" s="1128"/>
      <c r="V1001" s="1128"/>
      <c r="W1001" s="1128"/>
      <c r="X1001" s="1128"/>
      <c r="Y1001" s="1128"/>
      <c r="Z1001" s="1128"/>
    </row>
    <row r="1002" ht="22.5" customHeight="1">
      <c r="A1002" s="1128"/>
      <c r="B1002" s="1128"/>
      <c r="C1002" s="1128"/>
      <c r="D1002" s="1128"/>
      <c r="E1002" s="1128"/>
      <c r="F1002" s="1128"/>
      <c r="G1002" s="1128"/>
      <c r="H1002" s="1128"/>
      <c r="I1002" s="1128"/>
      <c r="J1002" s="1128"/>
      <c r="K1002" s="1128"/>
      <c r="L1002" s="1128"/>
      <c r="M1002" s="1128"/>
      <c r="N1002" s="1128"/>
      <c r="O1002" s="1128"/>
      <c r="P1002" s="1128"/>
      <c r="Q1002" s="1128"/>
      <c r="R1002" s="1128"/>
      <c r="S1002" s="1128"/>
      <c r="T1002" s="1128"/>
      <c r="U1002" s="1128"/>
      <c r="V1002" s="1128"/>
      <c r="W1002" s="1128"/>
      <c r="X1002" s="1128"/>
      <c r="Y1002" s="1128"/>
      <c r="Z1002" s="1128"/>
    </row>
    <row r="1003" ht="22.5" customHeight="1">
      <c r="A1003" s="1128"/>
      <c r="B1003" s="1128"/>
      <c r="C1003" s="1128"/>
      <c r="D1003" s="1128"/>
      <c r="E1003" s="1128"/>
      <c r="F1003" s="1128"/>
      <c r="G1003" s="1128"/>
      <c r="H1003" s="1128"/>
      <c r="I1003" s="1128"/>
      <c r="J1003" s="1128"/>
      <c r="K1003" s="1128"/>
      <c r="L1003" s="1128"/>
      <c r="M1003" s="1128"/>
      <c r="N1003" s="1128"/>
      <c r="O1003" s="1128"/>
      <c r="P1003" s="1128"/>
      <c r="Q1003" s="1128"/>
      <c r="R1003" s="1128"/>
      <c r="S1003" s="1128"/>
      <c r="T1003" s="1128"/>
      <c r="U1003" s="1128"/>
      <c r="V1003" s="1128"/>
      <c r="W1003" s="1128"/>
      <c r="X1003" s="1128"/>
      <c r="Y1003" s="1128"/>
      <c r="Z1003" s="1128"/>
    </row>
    <row r="1004" ht="22.5" customHeight="1">
      <c r="A1004" s="1128"/>
      <c r="B1004" s="1128"/>
      <c r="C1004" s="1128"/>
      <c r="D1004" s="1128"/>
      <c r="E1004" s="1128"/>
      <c r="F1004" s="1128"/>
      <c r="G1004" s="1128"/>
      <c r="H1004" s="1128"/>
      <c r="I1004" s="1128"/>
      <c r="J1004" s="1128"/>
      <c r="K1004" s="1128"/>
      <c r="L1004" s="1128"/>
      <c r="M1004" s="1128"/>
      <c r="N1004" s="1128"/>
      <c r="O1004" s="1128"/>
      <c r="P1004" s="1128"/>
      <c r="Q1004" s="1128"/>
      <c r="R1004" s="1128"/>
      <c r="S1004" s="1128"/>
      <c r="T1004" s="1128"/>
      <c r="U1004" s="1128"/>
      <c r="V1004" s="1128"/>
      <c r="W1004" s="1128"/>
      <c r="X1004" s="1128"/>
      <c r="Y1004" s="1128"/>
      <c r="Z1004" s="1128"/>
    </row>
    <row r="1005" ht="22.5" customHeight="1">
      <c r="A1005" s="1128"/>
      <c r="B1005" s="1128"/>
      <c r="C1005" s="1128"/>
      <c r="D1005" s="1128"/>
      <c r="E1005" s="1128"/>
      <c r="F1005" s="1128"/>
      <c r="G1005" s="1128"/>
      <c r="H1005" s="1128"/>
      <c r="I1005" s="1128"/>
      <c r="J1005" s="1128"/>
      <c r="K1005" s="1128"/>
      <c r="L1005" s="1128"/>
      <c r="M1005" s="1128"/>
      <c r="N1005" s="1128"/>
      <c r="O1005" s="1128"/>
      <c r="P1005" s="1128"/>
      <c r="Q1005" s="1128"/>
      <c r="R1005" s="1128"/>
      <c r="S1005" s="1128"/>
      <c r="T1005" s="1128"/>
      <c r="U1005" s="1128"/>
      <c r="V1005" s="1128"/>
      <c r="W1005" s="1128"/>
      <c r="X1005" s="1128"/>
      <c r="Y1005" s="1128"/>
      <c r="Z1005" s="1128"/>
    </row>
    <row r="1006" ht="22.5" customHeight="1">
      <c r="A1006" s="1128"/>
      <c r="B1006" s="1128"/>
      <c r="C1006" s="1128"/>
      <c r="D1006" s="1128"/>
      <c r="E1006" s="1128"/>
      <c r="F1006" s="1128"/>
      <c r="G1006" s="1128"/>
      <c r="H1006" s="1128"/>
      <c r="I1006" s="1128"/>
      <c r="J1006" s="1128"/>
      <c r="K1006" s="1128"/>
      <c r="L1006" s="1128"/>
      <c r="M1006" s="1128"/>
      <c r="N1006" s="1128"/>
      <c r="O1006" s="1128"/>
      <c r="P1006" s="1128"/>
      <c r="Q1006" s="1128"/>
      <c r="R1006" s="1128"/>
      <c r="S1006" s="1128"/>
      <c r="T1006" s="1128"/>
      <c r="U1006" s="1128"/>
      <c r="V1006" s="1128"/>
      <c r="W1006" s="1128"/>
      <c r="X1006" s="1128"/>
      <c r="Y1006" s="1128"/>
      <c r="Z1006" s="1128"/>
    </row>
  </sheetData>
  <hyperlinks>
    <hyperlink r:id="rId2" ref="G5"/>
    <hyperlink r:id="rId3" ref="G6"/>
    <hyperlink r:id="rId4" ref="G8"/>
    <hyperlink r:id="rId5" ref="G9"/>
    <hyperlink r:id="rId6" ref="G11"/>
    <hyperlink r:id="rId7" ref="G15"/>
    <hyperlink r:id="rId8" ref="G16"/>
    <hyperlink r:id="rId9" ref="G17"/>
    <hyperlink r:id="rId10" ref="G25"/>
    <hyperlink r:id="rId11" ref="F27"/>
    <hyperlink r:id="rId12" ref="G32"/>
    <hyperlink r:id="rId13" ref="G34"/>
    <hyperlink r:id="rId14" ref="G35"/>
    <hyperlink r:id="rId15" ref="G36"/>
    <hyperlink r:id="rId16" ref="G37"/>
    <hyperlink r:id="rId17" ref="G39"/>
    <hyperlink r:id="rId18" ref="G40"/>
    <hyperlink r:id="rId19" ref="G44"/>
  </hyperlinks>
  <printOptions gridLines="1" horizontalCentered="1"/>
  <pageMargins bottom="0.75" footer="0.0" header="0.0" left="0.7" right="0.7" top="0.75"/>
  <pageSetup fitToHeight="0" paperSize="9" cellComments="atEnd" orientation="portrait" pageOrder="overThenDown"/>
  <drawing r:id="rId20"/>
  <legacyDrawing r:id="rId2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0"/>
    <col customWidth="1" min="2" max="2" width="20.75"/>
    <col customWidth="1" min="3" max="3" width="8.25"/>
    <col customWidth="1" min="4" max="4" width="17.0"/>
    <col customWidth="1" min="5" max="6" width="10.13"/>
    <col customWidth="1" min="7" max="7" width="18.63"/>
    <col customWidth="1" min="8" max="8" width="19.75"/>
    <col customWidth="1" min="9" max="9" width="24.0"/>
    <col customWidth="1" min="10" max="10" width="35.63"/>
  </cols>
  <sheetData>
    <row r="1">
      <c r="A1" s="1129" t="s">
        <v>12586</v>
      </c>
      <c r="B1" s="1130" t="s">
        <v>12587</v>
      </c>
      <c r="C1" s="1130" t="s">
        <v>12588</v>
      </c>
      <c r="D1" s="1131" t="s">
        <v>12589</v>
      </c>
      <c r="E1" s="1132" t="s">
        <v>12590</v>
      </c>
      <c r="F1" s="1132" t="s">
        <v>12591</v>
      </c>
      <c r="G1" s="1132" t="s">
        <v>12592</v>
      </c>
      <c r="H1" s="1133" t="s">
        <v>12593</v>
      </c>
      <c r="I1" s="1130" t="s">
        <v>12594</v>
      </c>
      <c r="J1" s="1132" t="s">
        <v>12595</v>
      </c>
      <c r="K1" s="1132" t="s">
        <v>12596</v>
      </c>
      <c r="L1" s="646"/>
      <c r="M1" s="646"/>
      <c r="N1" s="646"/>
      <c r="O1" s="646"/>
      <c r="P1" s="646"/>
      <c r="Q1" s="646"/>
      <c r="R1" s="646"/>
      <c r="S1" s="646"/>
      <c r="T1" s="646"/>
      <c r="U1" s="646"/>
      <c r="V1" s="646"/>
      <c r="W1" s="646"/>
      <c r="X1" s="646"/>
      <c r="Y1" s="646"/>
      <c r="Z1" s="646"/>
      <c r="AA1" s="646"/>
    </row>
    <row r="2">
      <c r="A2" s="1134" t="s">
        <v>12597</v>
      </c>
      <c r="B2" s="1135"/>
      <c r="C2" s="1136"/>
      <c r="D2" s="1137"/>
      <c r="E2" s="1135"/>
      <c r="F2" s="1135"/>
      <c r="G2" s="1135"/>
      <c r="H2" s="1135"/>
      <c r="I2" s="1135"/>
      <c r="J2" s="1135"/>
      <c r="K2" s="1135"/>
      <c r="L2" s="1135"/>
      <c r="M2" s="1135"/>
      <c r="N2" s="1135"/>
      <c r="O2" s="1135"/>
      <c r="P2" s="1135"/>
      <c r="Q2" s="1135"/>
      <c r="R2" s="1135"/>
      <c r="S2" s="1135"/>
      <c r="T2" s="1135"/>
      <c r="U2" s="1135"/>
      <c r="V2" s="1135"/>
      <c r="W2" s="1135"/>
      <c r="X2" s="1135"/>
      <c r="Y2" s="1135"/>
      <c r="Z2" s="1135"/>
      <c r="AA2" s="1135"/>
    </row>
    <row r="3">
      <c r="A3" s="1138" t="s">
        <v>12598</v>
      </c>
      <c r="B3" s="1139" t="s">
        <v>12599</v>
      </c>
      <c r="C3" s="1140" t="s">
        <v>12600</v>
      </c>
      <c r="D3" s="953" t="s">
        <v>12601</v>
      </c>
      <c r="E3" s="1139" t="s">
        <v>12602</v>
      </c>
      <c r="F3" s="1139" t="s">
        <v>12603</v>
      </c>
      <c r="G3" s="1139" t="s">
        <v>12392</v>
      </c>
      <c r="H3" s="1139" t="s">
        <v>12604</v>
      </c>
      <c r="I3" s="1139" t="s">
        <v>12605</v>
      </c>
      <c r="J3" s="1141"/>
      <c r="K3" s="1142"/>
      <c r="L3" s="1142"/>
      <c r="M3" s="1142"/>
      <c r="N3" s="1142"/>
      <c r="O3" s="1142"/>
      <c r="P3" s="1142"/>
      <c r="Q3" s="1142"/>
      <c r="R3" s="1142"/>
      <c r="S3" s="1142"/>
      <c r="T3" s="1142"/>
      <c r="U3" s="1142"/>
      <c r="V3" s="1142"/>
      <c r="W3" s="1142"/>
      <c r="X3" s="1142"/>
      <c r="Y3" s="1142"/>
      <c r="Z3" s="1142"/>
      <c r="AA3" s="1142"/>
    </row>
    <row r="4">
      <c r="A4" s="1143">
        <v>45017.0</v>
      </c>
      <c r="B4" s="1139" t="s">
        <v>12606</v>
      </c>
      <c r="C4" s="1140" t="s">
        <v>12607</v>
      </c>
      <c r="D4" s="1139" t="s">
        <v>12608</v>
      </c>
      <c r="E4" s="1139" t="s">
        <v>12609</v>
      </c>
      <c r="F4" s="1139" t="s">
        <v>12610</v>
      </c>
      <c r="G4" s="1139" t="s">
        <v>504</v>
      </c>
      <c r="H4" s="1139" t="s">
        <v>12611</v>
      </c>
      <c r="I4" s="1139" t="s">
        <v>12612</v>
      </c>
      <c r="J4" s="1144" t="s">
        <v>12613</v>
      </c>
      <c r="K4" s="1142"/>
      <c r="L4" s="1142"/>
      <c r="M4" s="1142"/>
      <c r="N4" s="1142"/>
      <c r="O4" s="1142"/>
      <c r="P4" s="1142"/>
      <c r="Q4" s="1142"/>
      <c r="R4" s="1142"/>
      <c r="S4" s="1142"/>
      <c r="T4" s="1142"/>
      <c r="U4" s="1142"/>
      <c r="V4" s="1142"/>
      <c r="W4" s="1142"/>
      <c r="X4" s="1142"/>
      <c r="Y4" s="1142"/>
      <c r="Z4" s="1142"/>
      <c r="AA4" s="1142"/>
    </row>
    <row r="5">
      <c r="A5" s="1143"/>
      <c r="B5" s="1139" t="s">
        <v>12614</v>
      </c>
      <c r="C5" s="1140">
        <v>10.0</v>
      </c>
      <c r="D5" s="1139" t="s">
        <v>12615</v>
      </c>
      <c r="E5" s="1139" t="s">
        <v>12609</v>
      </c>
      <c r="F5" s="1139" t="s">
        <v>12610</v>
      </c>
      <c r="G5" s="1139" t="s">
        <v>12402</v>
      </c>
      <c r="H5" s="1139" t="s">
        <v>12616</v>
      </c>
      <c r="I5" s="1139" t="s">
        <v>12617</v>
      </c>
      <c r="J5" s="1144" t="s">
        <v>12618</v>
      </c>
      <c r="K5" s="1142"/>
      <c r="L5" s="1142"/>
      <c r="M5" s="1142"/>
      <c r="N5" s="1142"/>
      <c r="O5" s="1142"/>
      <c r="P5" s="1142"/>
      <c r="Q5" s="1142"/>
      <c r="R5" s="1142"/>
      <c r="S5" s="1142"/>
      <c r="T5" s="1142"/>
      <c r="U5" s="1142"/>
      <c r="V5" s="1142"/>
      <c r="W5" s="1142"/>
      <c r="X5" s="1142"/>
      <c r="Y5" s="1142"/>
      <c r="Z5" s="1142"/>
      <c r="AA5" s="1142"/>
    </row>
    <row r="6">
      <c r="A6" s="1143">
        <v>45017.0</v>
      </c>
      <c r="B6" s="1139" t="s">
        <v>12619</v>
      </c>
      <c r="C6" s="1140">
        <v>10.0</v>
      </c>
      <c r="D6" s="1139" t="s">
        <v>12615</v>
      </c>
      <c r="E6" s="1139" t="s">
        <v>12609</v>
      </c>
      <c r="F6" s="1139" t="s">
        <v>12610</v>
      </c>
      <c r="G6" s="1139" t="s">
        <v>12402</v>
      </c>
      <c r="H6" s="1139" t="s">
        <v>12616</v>
      </c>
      <c r="I6" s="1139" t="s">
        <v>12620</v>
      </c>
      <c r="J6" s="1144" t="s">
        <v>12621</v>
      </c>
      <c r="K6" s="1142"/>
      <c r="L6" s="1142"/>
      <c r="M6" s="1142"/>
      <c r="N6" s="1142"/>
      <c r="O6" s="1142"/>
      <c r="P6" s="1142"/>
      <c r="Q6" s="1142"/>
      <c r="R6" s="1142"/>
      <c r="S6" s="1142"/>
      <c r="T6" s="1142"/>
      <c r="U6" s="1142"/>
      <c r="V6" s="1142"/>
      <c r="W6" s="1142"/>
      <c r="X6" s="1142"/>
      <c r="Y6" s="1142"/>
      <c r="Z6" s="1142"/>
      <c r="AA6" s="1142"/>
    </row>
    <row r="7">
      <c r="A7" s="1143">
        <v>45017.0</v>
      </c>
      <c r="B7" s="1139" t="s">
        <v>12622</v>
      </c>
      <c r="C7" s="1140">
        <v>10.0</v>
      </c>
      <c r="D7" s="1139" t="s">
        <v>12615</v>
      </c>
      <c r="E7" s="1139" t="s">
        <v>12609</v>
      </c>
      <c r="F7" s="1139" t="s">
        <v>12610</v>
      </c>
      <c r="G7" s="1139" t="s">
        <v>12402</v>
      </c>
      <c r="H7" s="1139" t="s">
        <v>12616</v>
      </c>
      <c r="I7" s="1139" t="s">
        <v>12623</v>
      </c>
      <c r="J7" s="1144" t="s">
        <v>12624</v>
      </c>
      <c r="K7" s="1142"/>
      <c r="L7" s="1142"/>
      <c r="M7" s="1142"/>
      <c r="N7" s="1142"/>
      <c r="O7" s="1142"/>
      <c r="P7" s="1142"/>
      <c r="Q7" s="1142"/>
      <c r="R7" s="1142"/>
      <c r="S7" s="1142"/>
      <c r="T7" s="1142"/>
      <c r="U7" s="1142"/>
      <c r="V7" s="1142"/>
      <c r="W7" s="1142"/>
      <c r="X7" s="1142"/>
      <c r="Y7" s="1142"/>
      <c r="Z7" s="1142"/>
      <c r="AA7" s="1142"/>
    </row>
    <row r="8">
      <c r="A8" s="1138" t="s">
        <v>12625</v>
      </c>
      <c r="B8" s="1139" t="s">
        <v>12626</v>
      </c>
      <c r="C8" s="1140">
        <v>10.0</v>
      </c>
      <c r="D8" s="1139" t="s">
        <v>12615</v>
      </c>
      <c r="E8" s="1139" t="s">
        <v>12609</v>
      </c>
      <c r="F8" s="1139" t="s">
        <v>12610</v>
      </c>
      <c r="G8" s="1139" t="s">
        <v>12402</v>
      </c>
      <c r="H8" s="1139" t="s">
        <v>12616</v>
      </c>
      <c r="I8" s="1139" t="s">
        <v>12623</v>
      </c>
      <c r="J8" s="1144" t="s">
        <v>12627</v>
      </c>
      <c r="K8" s="1142"/>
      <c r="L8" s="1142"/>
      <c r="M8" s="1142"/>
      <c r="N8" s="1142"/>
      <c r="O8" s="1142"/>
      <c r="P8" s="1142"/>
      <c r="Q8" s="1142"/>
      <c r="R8" s="1142"/>
      <c r="S8" s="1142"/>
      <c r="T8" s="1142"/>
      <c r="U8" s="1142"/>
      <c r="V8" s="1142"/>
      <c r="W8" s="1142"/>
      <c r="X8" s="1142"/>
      <c r="Y8" s="1142"/>
      <c r="Z8" s="1142"/>
      <c r="AA8" s="1142"/>
    </row>
    <row r="9">
      <c r="A9" s="1143">
        <v>45017.0</v>
      </c>
      <c r="B9" s="1139" t="s">
        <v>12628</v>
      </c>
      <c r="C9" s="1140">
        <v>10.0</v>
      </c>
      <c r="D9" s="1139" t="s">
        <v>12615</v>
      </c>
      <c r="E9" s="1139" t="s">
        <v>12609</v>
      </c>
      <c r="F9" s="1139" t="s">
        <v>12610</v>
      </c>
      <c r="G9" s="1139" t="s">
        <v>12402</v>
      </c>
      <c r="H9" s="1139" t="s">
        <v>12616</v>
      </c>
      <c r="I9" s="1139" t="s">
        <v>12629</v>
      </c>
      <c r="J9" s="1144" t="s">
        <v>12627</v>
      </c>
      <c r="K9" s="1142"/>
      <c r="L9" s="1142"/>
      <c r="M9" s="1142"/>
      <c r="N9" s="1142"/>
      <c r="O9" s="1142"/>
      <c r="P9" s="1142"/>
      <c r="Q9" s="1142"/>
      <c r="R9" s="1142"/>
      <c r="S9" s="1142"/>
      <c r="T9" s="1142"/>
      <c r="U9" s="1142"/>
      <c r="V9" s="1142"/>
      <c r="W9" s="1142"/>
      <c r="X9" s="1142"/>
      <c r="Y9" s="1142"/>
      <c r="Z9" s="1142"/>
      <c r="AA9" s="1142"/>
    </row>
    <row r="10">
      <c r="A10" s="1143">
        <v>45017.0</v>
      </c>
      <c r="B10" s="1139" t="s">
        <v>12630</v>
      </c>
      <c r="C10" s="1140">
        <v>10.0</v>
      </c>
      <c r="D10" s="1139" t="s">
        <v>12615</v>
      </c>
      <c r="E10" s="1139" t="s">
        <v>12609</v>
      </c>
      <c r="F10" s="1139" t="s">
        <v>12610</v>
      </c>
      <c r="G10" s="1139" t="s">
        <v>12402</v>
      </c>
      <c r="H10" s="1139" t="s">
        <v>12616</v>
      </c>
      <c r="I10" s="1139" t="s">
        <v>12631</v>
      </c>
      <c r="J10" s="1144" t="s">
        <v>12627</v>
      </c>
      <c r="K10" s="1142"/>
      <c r="L10" s="1142"/>
      <c r="M10" s="1142"/>
      <c r="N10" s="1142"/>
      <c r="O10" s="1142"/>
      <c r="P10" s="1142"/>
      <c r="Q10" s="1142"/>
      <c r="R10" s="1142"/>
      <c r="S10" s="1142"/>
      <c r="T10" s="1142"/>
      <c r="U10" s="1142"/>
      <c r="V10" s="1142"/>
      <c r="W10" s="1142"/>
      <c r="X10" s="1142"/>
      <c r="Y10" s="1142"/>
      <c r="Z10" s="1142"/>
      <c r="AA10" s="1142"/>
    </row>
    <row r="11">
      <c r="A11" s="1143">
        <v>45017.0</v>
      </c>
      <c r="B11" s="1139" t="s">
        <v>12630</v>
      </c>
      <c r="C11" s="1140">
        <v>7.0</v>
      </c>
      <c r="D11" s="1139" t="s">
        <v>12632</v>
      </c>
      <c r="E11" s="1139" t="s">
        <v>12609</v>
      </c>
      <c r="F11" s="1139" t="s">
        <v>12610</v>
      </c>
      <c r="G11" s="1139" t="s">
        <v>12633</v>
      </c>
      <c r="H11" s="1139" t="s">
        <v>12634</v>
      </c>
      <c r="I11" s="1139" t="s">
        <v>12623</v>
      </c>
      <c r="J11" s="1144" t="s">
        <v>12635</v>
      </c>
      <c r="K11" s="1142"/>
      <c r="L11" s="1142"/>
      <c r="M11" s="1142"/>
      <c r="N11" s="1142"/>
      <c r="O11" s="1142"/>
      <c r="P11" s="1142"/>
      <c r="Q11" s="1142"/>
      <c r="R11" s="1142"/>
      <c r="S11" s="1142"/>
      <c r="T11" s="1142"/>
      <c r="U11" s="1142"/>
      <c r="V11" s="1142"/>
      <c r="W11" s="1142"/>
      <c r="X11" s="1142"/>
      <c r="Y11" s="1142"/>
      <c r="Z11" s="1142"/>
      <c r="AA11" s="1142"/>
    </row>
    <row r="12">
      <c r="A12" s="1143">
        <v>45017.0</v>
      </c>
      <c r="B12" s="1139" t="s">
        <v>12636</v>
      </c>
      <c r="C12" s="1140" t="s">
        <v>12637</v>
      </c>
      <c r="D12" s="1139" t="s">
        <v>12608</v>
      </c>
      <c r="E12" s="1139" t="s">
        <v>12602</v>
      </c>
      <c r="F12" s="1139" t="s">
        <v>12638</v>
      </c>
      <c r="G12" s="1139" t="s">
        <v>504</v>
      </c>
      <c r="H12" s="1139" t="s">
        <v>12639</v>
      </c>
      <c r="I12" s="1139" t="s">
        <v>12617</v>
      </c>
      <c r="J12" s="1144" t="s">
        <v>12640</v>
      </c>
      <c r="K12" s="1142"/>
      <c r="L12" s="1142"/>
      <c r="M12" s="1142"/>
      <c r="N12" s="1142"/>
      <c r="O12" s="1142"/>
      <c r="P12" s="1142"/>
      <c r="Q12" s="1142"/>
      <c r="R12" s="1142"/>
      <c r="S12" s="1142"/>
      <c r="T12" s="1142"/>
      <c r="U12" s="1142"/>
      <c r="V12" s="1142"/>
      <c r="W12" s="1142"/>
      <c r="X12" s="1142"/>
      <c r="Y12" s="1142"/>
      <c r="Z12" s="1142"/>
      <c r="AA12" s="1142"/>
    </row>
    <row r="13">
      <c r="A13" s="1138" t="s">
        <v>12641</v>
      </c>
      <c r="B13" s="1139" t="s">
        <v>12642</v>
      </c>
      <c r="C13" s="1140">
        <v>10.0</v>
      </c>
      <c r="D13" s="1139"/>
      <c r="E13" s="1139" t="s">
        <v>12602</v>
      </c>
      <c r="F13" s="1139" t="s">
        <v>12643</v>
      </c>
      <c r="G13" s="1139" t="s">
        <v>12644</v>
      </c>
      <c r="H13" s="1139" t="s">
        <v>12645</v>
      </c>
      <c r="I13" s="1139" t="s">
        <v>12617</v>
      </c>
      <c r="J13" s="1144" t="s">
        <v>12646</v>
      </c>
      <c r="K13" s="1142"/>
      <c r="L13" s="1142"/>
      <c r="M13" s="1142"/>
      <c r="N13" s="1142"/>
      <c r="O13" s="1142"/>
      <c r="P13" s="1142"/>
      <c r="Q13" s="1142"/>
      <c r="R13" s="1142"/>
      <c r="S13" s="1142"/>
      <c r="T13" s="1142"/>
      <c r="U13" s="1142"/>
      <c r="V13" s="1142"/>
      <c r="W13" s="1142"/>
      <c r="X13" s="1142"/>
      <c r="Y13" s="1142"/>
      <c r="Z13" s="1142"/>
      <c r="AA13" s="1142"/>
    </row>
    <row r="14">
      <c r="A14" s="1138" t="s">
        <v>12641</v>
      </c>
      <c r="B14" s="1139" t="s">
        <v>12647</v>
      </c>
      <c r="C14" s="1140" t="s">
        <v>12648</v>
      </c>
      <c r="D14" s="1139" t="s">
        <v>12649</v>
      </c>
      <c r="E14" s="1139" t="s">
        <v>12610</v>
      </c>
      <c r="F14" s="1139" t="s">
        <v>12610</v>
      </c>
      <c r="G14" s="1139" t="s">
        <v>12554</v>
      </c>
      <c r="H14" s="1139" t="s">
        <v>12650</v>
      </c>
      <c r="I14" s="1139" t="s">
        <v>12651</v>
      </c>
      <c r="J14" s="1144" t="s">
        <v>12652</v>
      </c>
      <c r="K14" s="1142"/>
      <c r="L14" s="1142"/>
      <c r="M14" s="1142"/>
      <c r="N14" s="1142"/>
      <c r="O14" s="1142"/>
      <c r="P14" s="1142"/>
      <c r="Q14" s="1142"/>
      <c r="R14" s="1142"/>
      <c r="S14" s="1142"/>
      <c r="T14" s="1142"/>
      <c r="U14" s="1142"/>
      <c r="V14" s="1142"/>
      <c r="W14" s="1142"/>
      <c r="X14" s="1142"/>
      <c r="Y14" s="1142"/>
      <c r="Z14" s="1142"/>
      <c r="AA14" s="1142"/>
    </row>
    <row r="15">
      <c r="A15" s="1138" t="s">
        <v>12641</v>
      </c>
      <c r="B15" s="1139" t="s">
        <v>12653</v>
      </c>
      <c r="C15" s="1140">
        <v>10.0</v>
      </c>
      <c r="D15" s="1139" t="s">
        <v>12608</v>
      </c>
      <c r="E15" s="1139" t="s">
        <v>12609</v>
      </c>
      <c r="F15" s="1139" t="s">
        <v>12654</v>
      </c>
      <c r="G15" s="1139" t="s">
        <v>504</v>
      </c>
      <c r="H15" s="1139" t="s">
        <v>12655</v>
      </c>
      <c r="I15" s="1139" t="s">
        <v>12656</v>
      </c>
      <c r="J15" s="1144" t="s">
        <v>12657</v>
      </c>
      <c r="K15" s="1142"/>
      <c r="L15" s="1142"/>
      <c r="M15" s="1142"/>
      <c r="N15" s="1142"/>
      <c r="O15" s="1142"/>
      <c r="P15" s="1142"/>
      <c r="Q15" s="1142"/>
      <c r="R15" s="1142"/>
      <c r="S15" s="1142"/>
      <c r="T15" s="1142"/>
      <c r="U15" s="1142"/>
      <c r="V15" s="1142"/>
      <c r="W15" s="1142"/>
      <c r="X15" s="1142"/>
      <c r="Y15" s="1142"/>
      <c r="Z15" s="1142"/>
      <c r="AA15" s="1142"/>
    </row>
    <row r="16">
      <c r="A16" s="1138" t="s">
        <v>12625</v>
      </c>
      <c r="B16" s="1139" t="s">
        <v>12658</v>
      </c>
      <c r="C16" s="1145">
        <v>38906.0</v>
      </c>
      <c r="D16" s="1139" t="s">
        <v>12608</v>
      </c>
      <c r="E16" s="1139" t="s">
        <v>12610</v>
      </c>
      <c r="F16" s="1139" t="s">
        <v>12610</v>
      </c>
      <c r="G16" s="1139" t="s">
        <v>504</v>
      </c>
      <c r="H16" s="1139" t="s">
        <v>12659</v>
      </c>
      <c r="I16" s="1139" t="s">
        <v>12660</v>
      </c>
      <c r="J16" s="1144" t="s">
        <v>12661</v>
      </c>
      <c r="K16" s="1142"/>
      <c r="L16" s="1142"/>
      <c r="M16" s="1142"/>
      <c r="N16" s="1142"/>
      <c r="O16" s="1142"/>
      <c r="P16" s="1142"/>
      <c r="Q16" s="1142"/>
      <c r="R16" s="1142"/>
      <c r="S16" s="1142"/>
      <c r="T16" s="1142"/>
      <c r="U16" s="1142"/>
      <c r="V16" s="1142"/>
      <c r="W16" s="1142"/>
      <c r="X16" s="1142"/>
      <c r="Y16" s="1142"/>
      <c r="Z16" s="1142"/>
      <c r="AA16" s="1142"/>
    </row>
    <row r="17">
      <c r="A17" s="1143">
        <v>44958.0</v>
      </c>
      <c r="B17" s="1139" t="s">
        <v>12662</v>
      </c>
      <c r="C17" s="1140" t="s">
        <v>12663</v>
      </c>
      <c r="D17" s="1139" t="s">
        <v>12664</v>
      </c>
      <c r="E17" s="1139" t="s">
        <v>12610</v>
      </c>
      <c r="F17" s="1139" t="s">
        <v>12610</v>
      </c>
      <c r="G17" s="1139" t="s">
        <v>12392</v>
      </c>
      <c r="H17" s="1139" t="s">
        <v>12665</v>
      </c>
      <c r="I17" s="1139" t="s">
        <v>12666</v>
      </c>
      <c r="J17" s="1144" t="s">
        <v>12667</v>
      </c>
      <c r="K17" s="1142"/>
      <c r="L17" s="1142"/>
      <c r="M17" s="1142"/>
      <c r="N17" s="1142"/>
      <c r="O17" s="1142"/>
      <c r="P17" s="1142"/>
      <c r="Q17" s="1142"/>
      <c r="R17" s="1142"/>
      <c r="S17" s="1142"/>
      <c r="T17" s="1142"/>
      <c r="U17" s="1142"/>
      <c r="V17" s="1142"/>
      <c r="W17" s="1142"/>
      <c r="X17" s="1142"/>
      <c r="Y17" s="1142"/>
      <c r="Z17" s="1142"/>
      <c r="AA17" s="1142"/>
    </row>
    <row r="18">
      <c r="A18" s="1143">
        <v>44958.0</v>
      </c>
      <c r="B18" s="1139" t="s">
        <v>12668</v>
      </c>
      <c r="C18" s="1140">
        <v>8.0</v>
      </c>
      <c r="D18" s="1146" t="s">
        <v>12608</v>
      </c>
      <c r="E18" s="1139" t="s">
        <v>12610</v>
      </c>
      <c r="F18" s="1139" t="s">
        <v>12610</v>
      </c>
      <c r="G18" s="1139" t="s">
        <v>504</v>
      </c>
      <c r="H18" s="1139" t="s">
        <v>12669</v>
      </c>
      <c r="I18" s="1139" t="s">
        <v>12670</v>
      </c>
      <c r="J18" s="1141"/>
      <c r="K18" s="1142"/>
      <c r="L18" s="1142"/>
      <c r="M18" s="1142"/>
      <c r="N18" s="1142"/>
      <c r="O18" s="1142"/>
      <c r="P18" s="1142"/>
      <c r="Q18" s="1142"/>
      <c r="R18" s="1142"/>
      <c r="S18" s="1142"/>
      <c r="T18" s="1142"/>
      <c r="U18" s="1142"/>
      <c r="V18" s="1142"/>
      <c r="W18" s="1142"/>
      <c r="X18" s="1142"/>
      <c r="Y18" s="1142"/>
      <c r="Z18" s="1142"/>
      <c r="AA18" s="1142"/>
    </row>
    <row r="19">
      <c r="A19" s="1143">
        <v>44958.0</v>
      </c>
      <c r="B19" s="1139" t="s">
        <v>12671</v>
      </c>
      <c r="C19" s="1140">
        <v>8.0</v>
      </c>
      <c r="D19" s="1146" t="s">
        <v>12608</v>
      </c>
      <c r="E19" s="1139" t="s">
        <v>12610</v>
      </c>
      <c r="F19" s="1139" t="s">
        <v>12610</v>
      </c>
      <c r="G19" s="1139" t="s">
        <v>504</v>
      </c>
      <c r="H19" s="1139" t="s">
        <v>12669</v>
      </c>
      <c r="I19" s="1139" t="s">
        <v>12670</v>
      </c>
      <c r="J19" s="1141"/>
      <c r="K19" s="1142"/>
      <c r="L19" s="1142"/>
      <c r="M19" s="1142"/>
      <c r="N19" s="1142"/>
      <c r="O19" s="1142"/>
      <c r="P19" s="1142"/>
      <c r="Q19" s="1142"/>
      <c r="R19" s="1142"/>
      <c r="S19" s="1142"/>
      <c r="T19" s="1142"/>
      <c r="U19" s="1142"/>
      <c r="V19" s="1142"/>
      <c r="W19" s="1142"/>
      <c r="X19" s="1142"/>
      <c r="Y19" s="1142"/>
      <c r="Z19" s="1142"/>
      <c r="AA19" s="1142"/>
    </row>
    <row r="20">
      <c r="A20" s="1143">
        <v>44958.0</v>
      </c>
      <c r="B20" s="1139" t="s">
        <v>12672</v>
      </c>
      <c r="C20" s="1140">
        <v>10.0</v>
      </c>
      <c r="D20" s="1146" t="s">
        <v>12615</v>
      </c>
      <c r="E20" s="1139" t="s">
        <v>12609</v>
      </c>
      <c r="F20" s="1139" t="s">
        <v>12610</v>
      </c>
      <c r="G20" s="1139" t="s">
        <v>12402</v>
      </c>
      <c r="H20" s="1139" t="s">
        <v>12616</v>
      </c>
      <c r="I20" s="1139" t="s">
        <v>12617</v>
      </c>
      <c r="J20" s="1141"/>
      <c r="K20" s="1142"/>
      <c r="L20" s="1142"/>
      <c r="M20" s="1142"/>
      <c r="N20" s="1142"/>
      <c r="O20" s="1142"/>
      <c r="P20" s="1142"/>
      <c r="Q20" s="1142"/>
      <c r="R20" s="1142"/>
      <c r="S20" s="1142"/>
      <c r="T20" s="1142"/>
      <c r="U20" s="1142"/>
      <c r="V20" s="1142"/>
      <c r="W20" s="1142"/>
      <c r="X20" s="1142"/>
      <c r="Y20" s="1142"/>
      <c r="Z20" s="1142"/>
      <c r="AA20" s="1142"/>
    </row>
    <row r="21">
      <c r="A21" s="1143">
        <v>44958.0</v>
      </c>
      <c r="B21" s="1139" t="s">
        <v>12672</v>
      </c>
      <c r="C21" s="1140">
        <v>8.0</v>
      </c>
      <c r="D21" s="1146" t="s">
        <v>12673</v>
      </c>
      <c r="E21" s="1139" t="s">
        <v>12609</v>
      </c>
      <c r="F21" s="1139" t="s">
        <v>12610</v>
      </c>
      <c r="G21" s="1139" t="s">
        <v>12392</v>
      </c>
      <c r="H21" s="1139" t="s">
        <v>12674</v>
      </c>
      <c r="I21" s="1139" t="s">
        <v>12631</v>
      </c>
      <c r="J21" s="1144" t="s">
        <v>12675</v>
      </c>
      <c r="K21" s="1142"/>
      <c r="L21" s="1142"/>
      <c r="M21" s="1142"/>
      <c r="N21" s="1142"/>
      <c r="O21" s="1142"/>
      <c r="P21" s="1142"/>
      <c r="Q21" s="1142"/>
      <c r="R21" s="1142"/>
      <c r="S21" s="1142"/>
      <c r="T21" s="1142"/>
      <c r="U21" s="1142"/>
      <c r="V21" s="1142"/>
      <c r="W21" s="1142"/>
      <c r="X21" s="1142"/>
      <c r="Y21" s="1142"/>
      <c r="Z21" s="1142"/>
      <c r="AA21" s="1142"/>
    </row>
    <row r="22">
      <c r="A22" s="1143">
        <v>44958.0</v>
      </c>
      <c r="B22" s="1139" t="s">
        <v>12672</v>
      </c>
      <c r="C22" s="1140">
        <v>8.0</v>
      </c>
      <c r="D22" s="1146" t="s">
        <v>12608</v>
      </c>
      <c r="E22" s="1139" t="s">
        <v>12609</v>
      </c>
      <c r="F22" s="1139" t="s">
        <v>12610</v>
      </c>
      <c r="G22" s="1139" t="s">
        <v>504</v>
      </c>
      <c r="H22" s="1139" t="s">
        <v>12676</v>
      </c>
      <c r="I22" s="1139" t="s">
        <v>12677</v>
      </c>
      <c r="J22" s="1144" t="s">
        <v>12675</v>
      </c>
      <c r="K22" s="1142"/>
      <c r="L22" s="1142"/>
      <c r="M22" s="1142"/>
      <c r="N22" s="1142"/>
      <c r="O22" s="1142"/>
      <c r="P22" s="1142"/>
      <c r="Q22" s="1142"/>
      <c r="R22" s="1142"/>
      <c r="S22" s="1142"/>
      <c r="T22" s="1142"/>
      <c r="U22" s="1142"/>
      <c r="V22" s="1142"/>
      <c r="W22" s="1142"/>
      <c r="X22" s="1142"/>
      <c r="Y22" s="1142"/>
      <c r="Z22" s="1142"/>
      <c r="AA22" s="1142"/>
    </row>
    <row r="23">
      <c r="A23" s="1143">
        <v>44958.0</v>
      </c>
      <c r="B23" s="1139" t="s">
        <v>12672</v>
      </c>
      <c r="C23" s="1140">
        <v>11.0</v>
      </c>
      <c r="D23" s="1146" t="s">
        <v>12678</v>
      </c>
      <c r="E23" s="1139" t="s">
        <v>12609</v>
      </c>
      <c r="F23" s="1139" t="s">
        <v>12610</v>
      </c>
      <c r="G23" s="1139" t="s">
        <v>12679</v>
      </c>
      <c r="H23" s="1139" t="s">
        <v>12680</v>
      </c>
      <c r="I23" s="1139" t="s">
        <v>12631</v>
      </c>
      <c r="J23" s="1144" t="s">
        <v>12675</v>
      </c>
      <c r="K23" s="1142"/>
      <c r="L23" s="1142"/>
      <c r="M23" s="1142"/>
      <c r="N23" s="1142"/>
      <c r="O23" s="1142"/>
      <c r="P23" s="1142"/>
      <c r="Q23" s="1142"/>
      <c r="R23" s="1142"/>
      <c r="S23" s="1142"/>
      <c r="T23" s="1142"/>
      <c r="U23" s="1142"/>
      <c r="V23" s="1142"/>
      <c r="W23" s="1142"/>
      <c r="X23" s="1142"/>
      <c r="Y23" s="1142"/>
      <c r="Z23" s="1142"/>
      <c r="AA23" s="1142"/>
    </row>
    <row r="24">
      <c r="A24" s="1143">
        <v>44958.0</v>
      </c>
      <c r="B24" s="1139" t="s">
        <v>12681</v>
      </c>
      <c r="C24" s="1140" t="s">
        <v>12682</v>
      </c>
      <c r="D24" s="1139" t="s">
        <v>12683</v>
      </c>
      <c r="E24" s="1139" t="s">
        <v>12609</v>
      </c>
      <c r="F24" s="1139" t="s">
        <v>12610</v>
      </c>
      <c r="G24" s="1139" t="s">
        <v>12684</v>
      </c>
      <c r="H24" s="1139" t="s">
        <v>12685</v>
      </c>
      <c r="I24" s="1139" t="s">
        <v>12686</v>
      </c>
      <c r="J24" s="1144" t="s">
        <v>12687</v>
      </c>
      <c r="K24" s="1142"/>
      <c r="L24" s="1142"/>
      <c r="M24" s="1142"/>
      <c r="N24" s="1142"/>
      <c r="O24" s="1142"/>
      <c r="P24" s="1142"/>
      <c r="Q24" s="1142"/>
      <c r="R24" s="1142"/>
      <c r="S24" s="1142"/>
      <c r="T24" s="1142"/>
      <c r="U24" s="1142"/>
      <c r="V24" s="1142"/>
      <c r="W24" s="1142"/>
      <c r="X24" s="1142"/>
      <c r="Y24" s="1142"/>
      <c r="Z24" s="1142"/>
      <c r="AA24" s="1142"/>
    </row>
    <row r="25">
      <c r="A25" s="1143">
        <v>44958.0</v>
      </c>
      <c r="B25" s="1139" t="s">
        <v>12681</v>
      </c>
      <c r="C25" s="1140">
        <v>9.0</v>
      </c>
      <c r="D25" s="1146"/>
      <c r="E25" s="1139" t="s">
        <v>12609</v>
      </c>
      <c r="F25" s="1139" t="s">
        <v>12610</v>
      </c>
      <c r="G25" s="1139" t="s">
        <v>12396</v>
      </c>
      <c r="H25" s="1139" t="s">
        <v>12674</v>
      </c>
      <c r="I25" s="1139" t="s">
        <v>12617</v>
      </c>
      <c r="J25" s="1144" t="s">
        <v>12687</v>
      </c>
      <c r="K25" s="1142"/>
      <c r="L25" s="1142"/>
      <c r="M25" s="1142"/>
      <c r="N25" s="1142"/>
      <c r="O25" s="1142"/>
      <c r="P25" s="1142"/>
      <c r="Q25" s="1142"/>
      <c r="R25" s="1142"/>
      <c r="S25" s="1142"/>
      <c r="T25" s="1142"/>
      <c r="U25" s="1142"/>
      <c r="V25" s="1142"/>
      <c r="W25" s="1142"/>
      <c r="X25" s="1142"/>
      <c r="Y25" s="1142"/>
      <c r="Z25" s="1142"/>
      <c r="AA25" s="1142"/>
    </row>
    <row r="26">
      <c r="A26" s="1143">
        <v>44896.0</v>
      </c>
      <c r="B26" s="1139" t="s">
        <v>12688</v>
      </c>
      <c r="C26" s="1140">
        <v>10.0</v>
      </c>
      <c r="D26" s="1139" t="s">
        <v>12689</v>
      </c>
      <c r="E26" s="1139" t="s">
        <v>12609</v>
      </c>
      <c r="F26" s="1139" t="s">
        <v>12610</v>
      </c>
      <c r="G26" s="1139" t="s">
        <v>12396</v>
      </c>
      <c r="H26" s="1139" t="s">
        <v>12690</v>
      </c>
      <c r="I26" s="1139" t="s">
        <v>12623</v>
      </c>
      <c r="J26" s="1144" t="s">
        <v>12691</v>
      </c>
      <c r="K26" s="1142"/>
      <c r="L26" s="1142"/>
      <c r="M26" s="1142"/>
      <c r="N26" s="1142"/>
      <c r="O26" s="1142"/>
      <c r="P26" s="1142"/>
      <c r="Q26" s="1142"/>
      <c r="R26" s="1142"/>
      <c r="S26" s="1142"/>
      <c r="T26" s="1142"/>
      <c r="U26" s="1142"/>
      <c r="V26" s="1142"/>
      <c r="W26" s="1142"/>
      <c r="X26" s="1142"/>
      <c r="Y26" s="1142"/>
      <c r="Z26" s="1142"/>
      <c r="AA26" s="1142"/>
    </row>
    <row r="27">
      <c r="A27" s="1143">
        <v>44896.0</v>
      </c>
      <c r="B27" s="1139" t="s">
        <v>12692</v>
      </c>
      <c r="C27" s="1140">
        <v>6.0</v>
      </c>
      <c r="D27" s="1146" t="s">
        <v>12693</v>
      </c>
      <c r="E27" s="1139" t="s">
        <v>12610</v>
      </c>
      <c r="F27" s="1139" t="s">
        <v>12610</v>
      </c>
      <c r="G27" s="1139" t="s">
        <v>12633</v>
      </c>
      <c r="H27" s="1139" t="s">
        <v>12694</v>
      </c>
      <c r="I27" s="1139" t="s">
        <v>12631</v>
      </c>
      <c r="J27" s="1144" t="s">
        <v>12695</v>
      </c>
      <c r="K27" s="1142"/>
      <c r="L27" s="1142"/>
      <c r="M27" s="1142"/>
      <c r="N27" s="1142"/>
      <c r="O27" s="1142"/>
      <c r="P27" s="1142"/>
      <c r="Q27" s="1142"/>
      <c r="R27" s="1142"/>
      <c r="S27" s="1142"/>
      <c r="T27" s="1142"/>
      <c r="U27" s="1142"/>
      <c r="V27" s="1142"/>
      <c r="W27" s="1142"/>
      <c r="X27" s="1142"/>
      <c r="Y27" s="1142"/>
      <c r="Z27" s="1142"/>
      <c r="AA27" s="1142"/>
    </row>
    <row r="28">
      <c r="A28" s="1143">
        <v>44866.0</v>
      </c>
      <c r="B28" s="1139" t="s">
        <v>12692</v>
      </c>
      <c r="C28" s="1140">
        <v>10.0</v>
      </c>
      <c r="D28" s="1139" t="s">
        <v>12615</v>
      </c>
      <c r="E28" s="1139" t="s">
        <v>12610</v>
      </c>
      <c r="F28" s="1139" t="s">
        <v>12610</v>
      </c>
      <c r="G28" s="1139" t="s">
        <v>12402</v>
      </c>
      <c r="H28" s="1139" t="s">
        <v>12696</v>
      </c>
      <c r="I28" s="1139" t="s">
        <v>12617</v>
      </c>
      <c r="J28" s="1144" t="s">
        <v>12697</v>
      </c>
      <c r="K28" s="1142"/>
      <c r="L28" s="1142"/>
      <c r="M28" s="1142"/>
      <c r="N28" s="1142"/>
      <c r="O28" s="1142"/>
      <c r="P28" s="1142"/>
      <c r="Q28" s="1142"/>
      <c r="R28" s="1142"/>
      <c r="S28" s="1142"/>
      <c r="T28" s="1142"/>
      <c r="U28" s="1142"/>
      <c r="V28" s="1142"/>
      <c r="W28" s="1142"/>
      <c r="X28" s="1142"/>
      <c r="Y28" s="1142"/>
      <c r="Z28" s="1142"/>
      <c r="AA28" s="1142"/>
    </row>
    <row r="29">
      <c r="A29" s="1143">
        <v>44866.0</v>
      </c>
      <c r="B29" s="1139" t="s">
        <v>12692</v>
      </c>
      <c r="C29" s="1147" t="s">
        <v>12698</v>
      </c>
      <c r="D29" s="1139" t="s">
        <v>12683</v>
      </c>
      <c r="E29" s="1139" t="s">
        <v>12610</v>
      </c>
      <c r="F29" s="1139" t="s">
        <v>12610</v>
      </c>
      <c r="G29" s="1139" t="s">
        <v>12699</v>
      </c>
      <c r="H29" s="1139" t="s">
        <v>12700</v>
      </c>
      <c r="I29" s="1139" t="s">
        <v>12701</v>
      </c>
      <c r="J29" s="1144" t="s">
        <v>12695</v>
      </c>
      <c r="K29" s="1142"/>
      <c r="L29" s="1142"/>
      <c r="M29" s="1142"/>
      <c r="N29" s="1142"/>
      <c r="O29" s="1142"/>
      <c r="P29" s="1142"/>
      <c r="Q29" s="1142"/>
      <c r="R29" s="1142"/>
      <c r="S29" s="1142"/>
      <c r="T29" s="1142"/>
      <c r="U29" s="1142"/>
      <c r="V29" s="1142"/>
      <c r="W29" s="1142"/>
      <c r="X29" s="1142"/>
      <c r="Y29" s="1142"/>
      <c r="Z29" s="1142"/>
      <c r="AA29" s="1142"/>
    </row>
    <row r="30">
      <c r="A30" s="1143">
        <v>44866.0</v>
      </c>
      <c r="B30" s="1139" t="s">
        <v>12692</v>
      </c>
      <c r="C30" s="1140">
        <v>7.0</v>
      </c>
      <c r="D30" s="1139"/>
      <c r="E30" s="1139" t="s">
        <v>12610</v>
      </c>
      <c r="F30" s="1139" t="s">
        <v>12610</v>
      </c>
      <c r="G30" s="1139" t="s">
        <v>12702</v>
      </c>
      <c r="H30" s="1139" t="s">
        <v>12703</v>
      </c>
      <c r="I30" s="1139" t="s">
        <v>12631</v>
      </c>
      <c r="J30" s="1144" t="s">
        <v>12695</v>
      </c>
      <c r="K30" s="1142"/>
      <c r="L30" s="1142"/>
      <c r="M30" s="1142"/>
      <c r="N30" s="1142"/>
      <c r="O30" s="1142"/>
      <c r="P30" s="1142"/>
      <c r="Q30" s="1142"/>
      <c r="R30" s="1142"/>
      <c r="S30" s="1142"/>
      <c r="T30" s="1142"/>
      <c r="U30" s="1142"/>
      <c r="V30" s="1142"/>
      <c r="W30" s="1142"/>
      <c r="X30" s="1142"/>
      <c r="Y30" s="1142"/>
      <c r="Z30" s="1142"/>
      <c r="AA30" s="1142"/>
    </row>
    <row r="31">
      <c r="A31" s="1143">
        <v>44866.0</v>
      </c>
      <c r="B31" s="1139" t="s">
        <v>12692</v>
      </c>
      <c r="C31" s="1140" t="s">
        <v>12704</v>
      </c>
      <c r="D31" s="1139" t="s">
        <v>12705</v>
      </c>
      <c r="E31" s="1139" t="s">
        <v>12610</v>
      </c>
      <c r="F31" s="1139" t="s">
        <v>12610</v>
      </c>
      <c r="G31" s="1139" t="s">
        <v>12392</v>
      </c>
      <c r="H31" s="1139" t="s">
        <v>12706</v>
      </c>
      <c r="I31" s="1139" t="s">
        <v>12707</v>
      </c>
      <c r="J31" s="1144" t="s">
        <v>12695</v>
      </c>
      <c r="K31" s="1142"/>
      <c r="L31" s="1142"/>
      <c r="M31" s="1142"/>
      <c r="N31" s="1142"/>
      <c r="O31" s="1142"/>
      <c r="P31" s="1142"/>
      <c r="Q31" s="1142"/>
      <c r="R31" s="1142"/>
      <c r="S31" s="1142"/>
      <c r="T31" s="1142"/>
      <c r="U31" s="1142"/>
      <c r="V31" s="1142"/>
      <c r="W31" s="1142"/>
      <c r="X31" s="1142"/>
      <c r="Y31" s="1142"/>
      <c r="Z31" s="1142"/>
      <c r="AA31" s="1142"/>
    </row>
    <row r="32">
      <c r="A32" s="1143">
        <v>44866.0</v>
      </c>
      <c r="B32" s="1139" t="s">
        <v>12692</v>
      </c>
      <c r="C32" s="1140" t="s">
        <v>12708</v>
      </c>
      <c r="D32" s="1139" t="s">
        <v>12608</v>
      </c>
      <c r="E32" s="1139" t="s">
        <v>12610</v>
      </c>
      <c r="F32" s="1139" t="s">
        <v>12610</v>
      </c>
      <c r="G32" s="1139" t="s">
        <v>504</v>
      </c>
      <c r="H32" s="1139" t="s">
        <v>12709</v>
      </c>
      <c r="I32" s="1139" t="s">
        <v>12631</v>
      </c>
      <c r="J32" s="1144" t="s">
        <v>12695</v>
      </c>
      <c r="K32" s="1142"/>
      <c r="L32" s="1142"/>
      <c r="M32" s="1142"/>
      <c r="N32" s="1142"/>
      <c r="O32" s="1142"/>
      <c r="P32" s="1142"/>
      <c r="Q32" s="1142"/>
      <c r="R32" s="1142"/>
      <c r="S32" s="1142"/>
      <c r="T32" s="1142"/>
      <c r="U32" s="1142"/>
      <c r="V32" s="1142"/>
      <c r="W32" s="1142"/>
      <c r="X32" s="1142"/>
      <c r="Y32" s="1142"/>
      <c r="Z32" s="1142"/>
      <c r="AA32" s="1142"/>
    </row>
    <row r="33">
      <c r="A33" s="1143">
        <v>44866.0</v>
      </c>
      <c r="B33" s="1139" t="s">
        <v>12692</v>
      </c>
      <c r="C33" s="1148">
        <v>45235.0</v>
      </c>
      <c r="D33" s="1139" t="s">
        <v>12710</v>
      </c>
      <c r="E33" s="1139" t="s">
        <v>12610</v>
      </c>
      <c r="F33" s="1139" t="s">
        <v>12610</v>
      </c>
      <c r="G33" s="1139" t="s">
        <v>12396</v>
      </c>
      <c r="H33" s="1139" t="s">
        <v>12711</v>
      </c>
      <c r="I33" s="1139" t="s">
        <v>12631</v>
      </c>
      <c r="J33" s="1144" t="s">
        <v>12695</v>
      </c>
      <c r="K33" s="1142"/>
      <c r="L33" s="1142"/>
      <c r="M33" s="1142"/>
      <c r="N33" s="1142"/>
      <c r="O33" s="1142"/>
      <c r="P33" s="1142"/>
      <c r="Q33" s="1142"/>
      <c r="R33" s="1142"/>
      <c r="S33" s="1142"/>
      <c r="T33" s="1142"/>
      <c r="U33" s="1142"/>
      <c r="V33" s="1142"/>
      <c r="W33" s="1142"/>
      <c r="X33" s="1142"/>
      <c r="Y33" s="1142"/>
      <c r="Z33" s="1142"/>
      <c r="AA33" s="1142"/>
    </row>
    <row r="34">
      <c r="A34" s="1143">
        <v>44835.0</v>
      </c>
      <c r="B34" s="1139" t="s">
        <v>12712</v>
      </c>
      <c r="C34" s="1140">
        <v>11.0</v>
      </c>
      <c r="D34" s="1146" t="s">
        <v>12713</v>
      </c>
      <c r="E34" s="1139" t="s">
        <v>12610</v>
      </c>
      <c r="F34" s="1139" t="s">
        <v>12610</v>
      </c>
      <c r="G34" s="1139" t="s">
        <v>12714</v>
      </c>
      <c r="H34" s="1139" t="s">
        <v>12715</v>
      </c>
      <c r="I34" s="1139" t="s">
        <v>12716</v>
      </c>
      <c r="J34" s="1144" t="s">
        <v>12717</v>
      </c>
      <c r="K34" s="1142"/>
      <c r="L34" s="1142"/>
      <c r="M34" s="1142"/>
      <c r="N34" s="1142"/>
      <c r="O34" s="1142"/>
      <c r="P34" s="1142"/>
      <c r="Q34" s="1142"/>
      <c r="R34" s="1142"/>
      <c r="S34" s="1142"/>
      <c r="T34" s="1142"/>
      <c r="U34" s="1142"/>
      <c r="V34" s="1142"/>
      <c r="W34" s="1142"/>
      <c r="X34" s="1142"/>
      <c r="Y34" s="1142"/>
      <c r="Z34" s="1142"/>
      <c r="AA34" s="1142"/>
    </row>
    <row r="35">
      <c r="A35" s="1143">
        <v>44835.0</v>
      </c>
      <c r="B35" s="1139" t="s">
        <v>12712</v>
      </c>
      <c r="C35" s="1140">
        <v>10.0</v>
      </c>
      <c r="D35" s="1146" t="s">
        <v>12713</v>
      </c>
      <c r="E35" s="1139" t="s">
        <v>12610</v>
      </c>
      <c r="F35" s="1139" t="s">
        <v>12610</v>
      </c>
      <c r="G35" s="1139" t="s">
        <v>12718</v>
      </c>
      <c r="H35" s="1139" t="s">
        <v>12616</v>
      </c>
      <c r="I35" s="1139" t="s">
        <v>12716</v>
      </c>
      <c r="J35" s="1144" t="s">
        <v>12719</v>
      </c>
      <c r="K35" s="1142"/>
      <c r="L35" s="1142"/>
      <c r="M35" s="1142"/>
      <c r="N35" s="1142"/>
      <c r="O35" s="1142"/>
      <c r="P35" s="1142"/>
      <c r="Q35" s="1142"/>
      <c r="R35" s="1142"/>
      <c r="S35" s="1142"/>
      <c r="T35" s="1142"/>
      <c r="U35" s="1142"/>
      <c r="V35" s="1142"/>
      <c r="W35" s="1142"/>
      <c r="X35" s="1142"/>
      <c r="Y35" s="1142"/>
      <c r="Z35" s="1142"/>
      <c r="AA35" s="1142"/>
    </row>
    <row r="36">
      <c r="A36" s="1143">
        <v>44835.0</v>
      </c>
      <c r="B36" s="1139" t="s">
        <v>12712</v>
      </c>
      <c r="C36" s="1140">
        <v>9.0</v>
      </c>
      <c r="D36" s="1146" t="s">
        <v>12720</v>
      </c>
      <c r="E36" s="1139" t="s">
        <v>12610</v>
      </c>
      <c r="F36" s="1139" t="s">
        <v>12610</v>
      </c>
      <c r="G36" s="1139" t="s">
        <v>12392</v>
      </c>
      <c r="H36" s="1139" t="s">
        <v>12721</v>
      </c>
      <c r="I36" s="1139" t="s">
        <v>12716</v>
      </c>
      <c r="J36" s="1144" t="s">
        <v>12722</v>
      </c>
      <c r="K36" s="1142"/>
      <c r="L36" s="1142"/>
      <c r="M36" s="1142"/>
      <c r="N36" s="1142"/>
      <c r="O36" s="1142"/>
      <c r="P36" s="1142"/>
      <c r="Q36" s="1142"/>
      <c r="R36" s="1142"/>
      <c r="S36" s="1142"/>
      <c r="T36" s="1142"/>
      <c r="U36" s="1142"/>
      <c r="V36" s="1142"/>
      <c r="W36" s="1142"/>
      <c r="X36" s="1142"/>
      <c r="Y36" s="1142"/>
      <c r="Z36" s="1142"/>
      <c r="AA36" s="1142"/>
    </row>
    <row r="37">
      <c r="A37" s="1143">
        <v>44835.0</v>
      </c>
      <c r="B37" s="1139" t="s">
        <v>12712</v>
      </c>
      <c r="C37" s="1140">
        <v>8.0</v>
      </c>
      <c r="D37" s="1146" t="s">
        <v>12713</v>
      </c>
      <c r="E37" s="1139" t="s">
        <v>12610</v>
      </c>
      <c r="F37" s="1139" t="s">
        <v>12610</v>
      </c>
      <c r="G37" s="1139" t="s">
        <v>12723</v>
      </c>
      <c r="H37" s="1139" t="s">
        <v>12724</v>
      </c>
      <c r="I37" s="1139" t="s">
        <v>12716</v>
      </c>
      <c r="J37" s="1144" t="s">
        <v>12725</v>
      </c>
      <c r="K37" s="1142"/>
      <c r="L37" s="1142"/>
      <c r="M37" s="1142"/>
      <c r="N37" s="1142"/>
      <c r="O37" s="1142"/>
      <c r="P37" s="1142"/>
      <c r="Q37" s="1142"/>
      <c r="R37" s="1142"/>
      <c r="S37" s="1142"/>
      <c r="T37" s="1142"/>
      <c r="U37" s="1142"/>
      <c r="V37" s="1142"/>
      <c r="W37" s="1142"/>
      <c r="X37" s="1142"/>
      <c r="Y37" s="1142"/>
      <c r="Z37" s="1142"/>
      <c r="AA37" s="1142"/>
    </row>
    <row r="38">
      <c r="A38" s="1143">
        <v>44835.0</v>
      </c>
      <c r="B38" s="1139" t="s">
        <v>12712</v>
      </c>
      <c r="C38" s="1140">
        <v>7.0</v>
      </c>
      <c r="D38" s="1146" t="s">
        <v>12713</v>
      </c>
      <c r="E38" s="1139" t="s">
        <v>12610</v>
      </c>
      <c r="F38" s="1139" t="s">
        <v>12610</v>
      </c>
      <c r="G38" s="1139" t="s">
        <v>12726</v>
      </c>
      <c r="H38" s="1139" t="s">
        <v>12727</v>
      </c>
      <c r="I38" s="1139" t="s">
        <v>12716</v>
      </c>
      <c r="J38" s="1144" t="s">
        <v>12728</v>
      </c>
      <c r="K38" s="1142"/>
      <c r="L38" s="1142"/>
      <c r="M38" s="1142"/>
      <c r="N38" s="1142"/>
      <c r="O38" s="1142"/>
      <c r="P38" s="1142"/>
      <c r="Q38" s="1142"/>
      <c r="R38" s="1142"/>
      <c r="S38" s="1142"/>
      <c r="T38" s="1142"/>
      <c r="U38" s="1142"/>
      <c r="V38" s="1142"/>
      <c r="W38" s="1142"/>
      <c r="X38" s="1142"/>
      <c r="Y38" s="1142"/>
      <c r="Z38" s="1142"/>
      <c r="AA38" s="1142"/>
    </row>
    <row r="39">
      <c r="A39" s="1143">
        <v>44835.0</v>
      </c>
      <c r="B39" s="1139" t="s">
        <v>12712</v>
      </c>
      <c r="C39" s="1140">
        <v>7.0</v>
      </c>
      <c r="D39" s="1146" t="s">
        <v>12713</v>
      </c>
      <c r="E39" s="1139" t="s">
        <v>12610</v>
      </c>
      <c r="F39" s="1139" t="s">
        <v>12610</v>
      </c>
      <c r="G39" s="1139" t="s">
        <v>12729</v>
      </c>
      <c r="H39" s="1139" t="s">
        <v>12703</v>
      </c>
      <c r="I39" s="1139" t="s">
        <v>12716</v>
      </c>
      <c r="J39" s="1144" t="s">
        <v>12717</v>
      </c>
      <c r="K39" s="1142"/>
      <c r="L39" s="1142"/>
      <c r="M39" s="1142"/>
      <c r="N39" s="1142"/>
      <c r="O39" s="1142"/>
      <c r="P39" s="1142"/>
      <c r="Q39" s="1142"/>
      <c r="R39" s="1142"/>
      <c r="S39" s="1142"/>
      <c r="T39" s="1142"/>
      <c r="U39" s="1142"/>
      <c r="V39" s="1142"/>
      <c r="W39" s="1142"/>
      <c r="X39" s="1142"/>
      <c r="Y39" s="1142"/>
      <c r="Z39" s="1142"/>
      <c r="AA39" s="1142"/>
    </row>
    <row r="40">
      <c r="A40" s="1143">
        <v>44835.0</v>
      </c>
      <c r="B40" s="1139" t="s">
        <v>12712</v>
      </c>
      <c r="C40" s="1140">
        <v>6.0</v>
      </c>
      <c r="D40" s="1146" t="s">
        <v>12713</v>
      </c>
      <c r="E40" s="1139" t="s">
        <v>12610</v>
      </c>
      <c r="F40" s="1139" t="s">
        <v>12610</v>
      </c>
      <c r="G40" s="1139" t="s">
        <v>12730</v>
      </c>
      <c r="H40" s="1139" t="s">
        <v>12731</v>
      </c>
      <c r="I40" s="1139" t="s">
        <v>12716</v>
      </c>
      <c r="J40" s="1144" t="s">
        <v>12732</v>
      </c>
      <c r="K40" s="1142"/>
      <c r="L40" s="1142"/>
      <c r="M40" s="1142"/>
      <c r="N40" s="1142"/>
      <c r="O40" s="1142"/>
      <c r="P40" s="1142"/>
      <c r="Q40" s="1142"/>
      <c r="R40" s="1142"/>
      <c r="S40" s="1142"/>
      <c r="T40" s="1142"/>
      <c r="U40" s="1142"/>
      <c r="V40" s="1142"/>
      <c r="W40" s="1142"/>
      <c r="X40" s="1142"/>
      <c r="Y40" s="1142"/>
      <c r="Z40" s="1142"/>
      <c r="AA40" s="1142"/>
    </row>
    <row r="41">
      <c r="A41" s="1143">
        <v>44835.0</v>
      </c>
      <c r="B41" s="1139" t="s">
        <v>12712</v>
      </c>
      <c r="C41" s="1140">
        <v>5.0</v>
      </c>
      <c r="D41" s="1146" t="s">
        <v>12713</v>
      </c>
      <c r="E41" s="1139" t="s">
        <v>12610</v>
      </c>
      <c r="F41" s="1139" t="s">
        <v>12610</v>
      </c>
      <c r="G41" s="1139" t="s">
        <v>12733</v>
      </c>
      <c r="H41" s="1139" t="s">
        <v>12734</v>
      </c>
      <c r="I41" s="1139" t="s">
        <v>12716</v>
      </c>
      <c r="J41" s="1144" t="s">
        <v>12735</v>
      </c>
      <c r="K41" s="1142"/>
      <c r="L41" s="1142"/>
      <c r="M41" s="1142"/>
      <c r="N41" s="1142"/>
      <c r="O41" s="1142"/>
      <c r="P41" s="1142"/>
      <c r="Q41" s="1142"/>
      <c r="R41" s="1142"/>
      <c r="S41" s="1142"/>
      <c r="T41" s="1142"/>
      <c r="U41" s="1142"/>
      <c r="V41" s="1142"/>
      <c r="W41" s="1142"/>
      <c r="X41" s="1142"/>
      <c r="Y41" s="1142"/>
      <c r="Z41" s="1142"/>
      <c r="AA41" s="1142"/>
    </row>
    <row r="42">
      <c r="A42" s="1138" t="s">
        <v>12736</v>
      </c>
      <c r="B42" s="1139" t="s">
        <v>12737</v>
      </c>
      <c r="C42" s="1140">
        <v>11.0</v>
      </c>
      <c r="D42" s="1146"/>
      <c r="E42" s="1139" t="s">
        <v>12609</v>
      </c>
      <c r="F42" s="1139" t="s">
        <v>12738</v>
      </c>
      <c r="G42" s="1139" t="s">
        <v>12392</v>
      </c>
      <c r="H42" s="1139" t="s">
        <v>12739</v>
      </c>
      <c r="I42" s="1139" t="s">
        <v>12740</v>
      </c>
      <c r="J42" s="1144" t="s">
        <v>12741</v>
      </c>
      <c r="K42" s="1142"/>
      <c r="L42" s="1142"/>
      <c r="M42" s="1142"/>
      <c r="N42" s="1142"/>
      <c r="O42" s="1142"/>
      <c r="P42" s="1142"/>
      <c r="Q42" s="1142"/>
      <c r="R42" s="1142"/>
      <c r="S42" s="1142"/>
      <c r="T42" s="1142"/>
      <c r="U42" s="1142"/>
      <c r="V42" s="1142"/>
      <c r="W42" s="1142"/>
      <c r="X42" s="1142"/>
      <c r="Y42" s="1142"/>
      <c r="Z42" s="1142"/>
      <c r="AA42" s="1142"/>
    </row>
    <row r="43">
      <c r="A43" s="1138" t="s">
        <v>12742</v>
      </c>
      <c r="B43" s="1139" t="s">
        <v>12743</v>
      </c>
      <c r="C43" s="1140">
        <v>8.0</v>
      </c>
      <c r="D43" s="1139" t="s">
        <v>12744</v>
      </c>
      <c r="E43" s="1139" t="s">
        <v>12602</v>
      </c>
      <c r="F43" s="1139" t="s">
        <v>12745</v>
      </c>
      <c r="G43" s="1139" t="s">
        <v>12396</v>
      </c>
      <c r="H43" s="1139" t="s">
        <v>12711</v>
      </c>
      <c r="I43" s="1139" t="s">
        <v>12629</v>
      </c>
      <c r="J43" s="1144" t="s">
        <v>12746</v>
      </c>
      <c r="K43" s="1142"/>
      <c r="L43" s="1142"/>
      <c r="M43" s="1142"/>
      <c r="N43" s="1142"/>
      <c r="O43" s="1142"/>
      <c r="P43" s="1142"/>
      <c r="Q43" s="1142"/>
      <c r="R43" s="1142"/>
      <c r="S43" s="1142"/>
      <c r="T43" s="1142"/>
      <c r="U43" s="1142"/>
      <c r="V43" s="1142"/>
      <c r="W43" s="1142"/>
      <c r="X43" s="1142"/>
      <c r="Y43" s="1142"/>
      <c r="Z43" s="1142"/>
      <c r="AA43" s="1142"/>
    </row>
    <row r="44">
      <c r="A44" s="1138" t="s">
        <v>12742</v>
      </c>
      <c r="B44" s="1139" t="s">
        <v>12747</v>
      </c>
      <c r="C44" s="1140">
        <v>11.0</v>
      </c>
      <c r="D44" s="1139"/>
      <c r="E44" s="1139" t="s">
        <v>12609</v>
      </c>
      <c r="F44" s="1139" t="s">
        <v>12610</v>
      </c>
      <c r="G44" s="1139" t="s">
        <v>12396</v>
      </c>
      <c r="H44" s="1139" t="s">
        <v>12748</v>
      </c>
      <c r="I44" s="1139" t="s">
        <v>12623</v>
      </c>
      <c r="J44" s="1141"/>
      <c r="K44" s="1142"/>
      <c r="L44" s="1142"/>
      <c r="M44" s="1142"/>
      <c r="N44" s="1142"/>
      <c r="O44" s="1142"/>
      <c r="P44" s="1142"/>
      <c r="Q44" s="1142"/>
      <c r="R44" s="1142"/>
      <c r="S44" s="1142"/>
      <c r="T44" s="1142"/>
      <c r="U44" s="1142"/>
      <c r="V44" s="1142"/>
      <c r="W44" s="1142"/>
      <c r="X44" s="1142"/>
      <c r="Y44" s="1142"/>
      <c r="Z44" s="1142"/>
      <c r="AA44" s="1142"/>
    </row>
    <row r="45">
      <c r="A45" s="1134" t="s">
        <v>12749</v>
      </c>
      <c r="B45" s="1135"/>
      <c r="C45" s="1136"/>
      <c r="D45" s="1137"/>
      <c r="E45" s="1135"/>
      <c r="F45" s="1135"/>
      <c r="G45" s="1135"/>
      <c r="H45" s="1135"/>
      <c r="I45" s="1135"/>
      <c r="J45" s="1135"/>
      <c r="K45" s="1135"/>
      <c r="L45" s="1135"/>
      <c r="M45" s="646"/>
      <c r="N45" s="646"/>
      <c r="O45" s="646"/>
      <c r="P45" s="646"/>
      <c r="Q45" s="646"/>
      <c r="R45" s="646"/>
      <c r="S45" s="646"/>
      <c r="T45" s="646"/>
      <c r="U45" s="646"/>
      <c r="V45" s="646"/>
      <c r="W45" s="646"/>
      <c r="X45" s="646"/>
      <c r="Y45" s="646"/>
      <c r="Z45" s="646"/>
      <c r="AA45" s="646"/>
    </row>
    <row r="46">
      <c r="A46" s="1149">
        <v>45017.0</v>
      </c>
      <c r="B46" s="953" t="s">
        <v>12750</v>
      </c>
      <c r="H46" s="953" t="s">
        <v>12751</v>
      </c>
    </row>
    <row r="47">
      <c r="A47" s="1149">
        <v>45017.0</v>
      </c>
      <c r="B47" s="953" t="s">
        <v>12752</v>
      </c>
      <c r="C47" s="1150" t="s">
        <v>12753</v>
      </c>
      <c r="D47" s="953" t="s">
        <v>12754</v>
      </c>
      <c r="E47" s="953" t="s">
        <v>12609</v>
      </c>
      <c r="F47" s="953" t="s">
        <v>12610</v>
      </c>
      <c r="G47" s="953" t="s">
        <v>12755</v>
      </c>
      <c r="H47" s="953" t="s">
        <v>12756</v>
      </c>
      <c r="J47" s="1151" t="s">
        <v>12757</v>
      </c>
    </row>
    <row r="48">
      <c r="A48" s="953" t="s">
        <v>12625</v>
      </c>
      <c r="B48" s="932" t="s">
        <v>12758</v>
      </c>
      <c r="C48" s="1152">
        <v>10.0</v>
      </c>
      <c r="D48" s="953" t="s">
        <v>12759</v>
      </c>
      <c r="E48" s="1139" t="s">
        <v>12610</v>
      </c>
      <c r="F48" s="1139" t="s">
        <v>12610</v>
      </c>
      <c r="G48" s="953" t="s">
        <v>12760</v>
      </c>
      <c r="H48" s="953" t="s">
        <v>12761</v>
      </c>
      <c r="J48" s="1153" t="s">
        <v>12762</v>
      </c>
    </row>
    <row r="49">
      <c r="A49" s="1143">
        <v>44958.0</v>
      </c>
      <c r="B49" s="1139" t="s">
        <v>12763</v>
      </c>
      <c r="C49" s="1140">
        <v>11.0</v>
      </c>
      <c r="D49" s="1139" t="s">
        <v>12764</v>
      </c>
      <c r="E49" s="1139" t="s">
        <v>12610</v>
      </c>
      <c r="F49" s="1139" t="s">
        <v>12610</v>
      </c>
      <c r="G49" s="1139" t="s">
        <v>12765</v>
      </c>
      <c r="H49" s="1139" t="s">
        <v>12766</v>
      </c>
      <c r="I49" s="1139" t="s">
        <v>12767</v>
      </c>
      <c r="J49" s="1144" t="s">
        <v>12768</v>
      </c>
      <c r="K49" s="1142"/>
      <c r="L49" s="1142"/>
      <c r="M49" s="1142"/>
      <c r="N49" s="1142"/>
      <c r="O49" s="1142"/>
      <c r="P49" s="1142"/>
      <c r="Q49" s="1142"/>
      <c r="R49" s="1142"/>
      <c r="S49" s="1142"/>
      <c r="T49" s="1142"/>
      <c r="U49" s="1142"/>
      <c r="V49" s="1142"/>
      <c r="W49" s="1142"/>
      <c r="X49" s="1142"/>
      <c r="Y49" s="1142"/>
      <c r="Z49" s="1142"/>
      <c r="AA49" s="1142"/>
    </row>
    <row r="50">
      <c r="A50" s="1143">
        <v>44958.0</v>
      </c>
      <c r="B50" s="1139" t="s">
        <v>12763</v>
      </c>
      <c r="C50" s="1140" t="s">
        <v>12682</v>
      </c>
      <c r="D50" s="1139" t="s">
        <v>12769</v>
      </c>
      <c r="E50" s="1139" t="s">
        <v>12610</v>
      </c>
      <c r="F50" s="1139" t="s">
        <v>12610</v>
      </c>
      <c r="G50" s="1139" t="s">
        <v>12610</v>
      </c>
      <c r="H50" s="1139" t="s">
        <v>12770</v>
      </c>
      <c r="I50" s="1139" t="s">
        <v>12771</v>
      </c>
      <c r="J50" s="1144" t="s">
        <v>12768</v>
      </c>
      <c r="K50" s="1142"/>
      <c r="L50" s="1142"/>
      <c r="M50" s="1142"/>
      <c r="N50" s="1142"/>
      <c r="O50" s="1142"/>
      <c r="P50" s="1142"/>
      <c r="Q50" s="1142"/>
      <c r="R50" s="1142"/>
      <c r="S50" s="1142"/>
      <c r="T50" s="1142"/>
      <c r="U50" s="1142"/>
      <c r="V50" s="1142"/>
      <c r="W50" s="1142"/>
      <c r="X50" s="1142"/>
      <c r="Y50" s="1142"/>
      <c r="Z50" s="1142"/>
      <c r="AA50" s="1142"/>
    </row>
    <row r="51">
      <c r="A51" s="1154" t="s">
        <v>12772</v>
      </c>
      <c r="B51" s="1155"/>
      <c r="C51" s="1155"/>
      <c r="D51" s="1155"/>
      <c r="E51" s="1155"/>
      <c r="F51" s="1155"/>
      <c r="G51" s="1155"/>
      <c r="H51" s="1155"/>
      <c r="I51" s="1155"/>
      <c r="J51" s="1155"/>
      <c r="K51" s="1155"/>
      <c r="L51" s="1155"/>
      <c r="M51" s="1155"/>
      <c r="N51" s="1155"/>
      <c r="O51" s="1155"/>
      <c r="P51" s="1155"/>
      <c r="Q51" s="1155"/>
      <c r="R51" s="1155"/>
      <c r="S51" s="1155"/>
      <c r="T51" s="1155"/>
      <c r="U51" s="1155"/>
      <c r="V51" s="1155"/>
      <c r="W51" s="1155"/>
      <c r="X51" s="1155"/>
      <c r="Y51" s="1155"/>
      <c r="Z51" s="1155"/>
      <c r="AA51" s="1155"/>
    </row>
    <row r="52">
      <c r="A52" s="1156" t="s">
        <v>12773</v>
      </c>
      <c r="B52" s="918" t="s">
        <v>12774</v>
      </c>
      <c r="C52" s="919">
        <v>5.0</v>
      </c>
      <c r="D52" s="1156" t="s">
        <v>12775</v>
      </c>
      <c r="E52" s="920" t="s">
        <v>12609</v>
      </c>
      <c r="F52" s="920" t="s">
        <v>12776</v>
      </c>
      <c r="G52" s="920" t="s">
        <v>12554</v>
      </c>
      <c r="H52" s="920" t="s">
        <v>12777</v>
      </c>
      <c r="I52" s="918" t="s">
        <v>12778</v>
      </c>
      <c r="J52" s="1157" t="s">
        <v>12779</v>
      </c>
      <c r="K52" s="920"/>
      <c r="L52" s="1158"/>
      <c r="M52" s="1158"/>
      <c r="N52" s="1158"/>
      <c r="O52" s="1158"/>
      <c r="P52" s="1158"/>
      <c r="Q52" s="1158"/>
      <c r="R52" s="1158"/>
      <c r="S52" s="1158"/>
      <c r="T52" s="1158"/>
      <c r="U52" s="1158"/>
      <c r="V52" s="1158"/>
      <c r="W52" s="1158"/>
      <c r="X52" s="1158"/>
      <c r="Y52" s="1158"/>
      <c r="Z52" s="1158"/>
      <c r="AA52" s="1158"/>
    </row>
    <row r="53">
      <c r="A53" s="1159" t="s">
        <v>12598</v>
      </c>
      <c r="B53" s="918" t="s">
        <v>12780</v>
      </c>
      <c r="C53" s="1160" t="s">
        <v>12781</v>
      </c>
      <c r="D53" s="920" t="s">
        <v>12782</v>
      </c>
      <c r="E53" s="920" t="s">
        <v>12609</v>
      </c>
      <c r="F53" s="918" t="s">
        <v>12783</v>
      </c>
      <c r="G53" s="918" t="s">
        <v>12392</v>
      </c>
      <c r="H53" s="918" t="s">
        <v>12784</v>
      </c>
      <c r="I53" s="918" t="s">
        <v>12785</v>
      </c>
      <c r="J53" s="1161" t="s">
        <v>12786</v>
      </c>
      <c r="K53" s="920"/>
      <c r="L53" s="1158"/>
      <c r="M53" s="1158"/>
      <c r="N53" s="1158"/>
      <c r="O53" s="1158"/>
      <c r="P53" s="1158"/>
      <c r="Q53" s="1158"/>
      <c r="R53" s="1158"/>
      <c r="S53" s="1158"/>
      <c r="T53" s="1158"/>
      <c r="U53" s="1158"/>
      <c r="V53" s="1158"/>
      <c r="W53" s="1158"/>
      <c r="X53" s="1158"/>
      <c r="Y53" s="1158"/>
      <c r="Z53" s="1158"/>
      <c r="AA53" s="1158"/>
    </row>
    <row r="54">
      <c r="A54" s="1162" t="s">
        <v>12598</v>
      </c>
      <c r="B54" s="920" t="s">
        <v>12787</v>
      </c>
      <c r="C54" s="919">
        <v>5.0</v>
      </c>
      <c r="D54" s="1156" t="s">
        <v>12775</v>
      </c>
      <c r="E54" s="920" t="s">
        <v>12610</v>
      </c>
      <c r="F54" s="920" t="s">
        <v>12610</v>
      </c>
      <c r="G54" s="920" t="s">
        <v>12554</v>
      </c>
      <c r="H54" s="920" t="s">
        <v>12777</v>
      </c>
      <c r="I54" s="920" t="s">
        <v>12767</v>
      </c>
      <c r="J54" s="1157" t="s">
        <v>12788</v>
      </c>
      <c r="K54" s="920"/>
      <c r="L54" s="1158"/>
      <c r="M54" s="1158"/>
      <c r="N54" s="1158"/>
      <c r="O54" s="1158"/>
      <c r="P54" s="1158"/>
      <c r="Q54" s="1158"/>
      <c r="R54" s="1158"/>
      <c r="S54" s="1158"/>
      <c r="T54" s="1158"/>
      <c r="U54" s="1158"/>
      <c r="V54" s="1158"/>
      <c r="W54" s="1158"/>
      <c r="X54" s="1158"/>
      <c r="Y54" s="1158"/>
      <c r="Z54" s="1158"/>
      <c r="AA54" s="1158"/>
    </row>
    <row r="55">
      <c r="A55" s="1162">
        <v>44927.0</v>
      </c>
      <c r="B55" s="920" t="s">
        <v>12789</v>
      </c>
      <c r="C55" s="919">
        <v>6.0</v>
      </c>
      <c r="D55" s="1156"/>
      <c r="E55" s="920" t="s">
        <v>12609</v>
      </c>
      <c r="F55" s="920" t="s">
        <v>12790</v>
      </c>
      <c r="G55" s="920" t="s">
        <v>12791</v>
      </c>
      <c r="H55" s="920" t="s">
        <v>12792</v>
      </c>
      <c r="I55" s="920" t="s">
        <v>12767</v>
      </c>
      <c r="J55" s="1157" t="s">
        <v>12793</v>
      </c>
      <c r="K55" s="920"/>
      <c r="L55" s="1158"/>
      <c r="M55" s="1158"/>
      <c r="N55" s="1158"/>
      <c r="O55" s="1158"/>
      <c r="P55" s="1158"/>
      <c r="Q55" s="1158"/>
      <c r="R55" s="1158"/>
      <c r="S55" s="1158"/>
      <c r="T55" s="1158"/>
      <c r="U55" s="1158"/>
      <c r="V55" s="1158"/>
      <c r="W55" s="1158"/>
      <c r="X55" s="1158"/>
      <c r="Y55" s="1158"/>
      <c r="Z55" s="1158"/>
      <c r="AA55" s="1158"/>
    </row>
    <row r="56">
      <c r="A56" s="1162">
        <v>44866.0</v>
      </c>
      <c r="B56" s="920" t="s">
        <v>12794</v>
      </c>
      <c r="C56" s="1160" t="s">
        <v>12781</v>
      </c>
      <c r="D56" s="920" t="s">
        <v>12782</v>
      </c>
      <c r="E56" s="920" t="s">
        <v>12609</v>
      </c>
      <c r="F56" s="920" t="s">
        <v>12795</v>
      </c>
      <c r="G56" s="920" t="s">
        <v>12392</v>
      </c>
      <c r="H56" s="920" t="s">
        <v>12796</v>
      </c>
      <c r="I56" s="920" t="s">
        <v>12797</v>
      </c>
      <c r="J56" s="1157" t="s">
        <v>12798</v>
      </c>
      <c r="K56" s="920"/>
      <c r="L56" s="1158"/>
      <c r="M56" s="1158"/>
      <c r="N56" s="1158"/>
      <c r="O56" s="1158"/>
      <c r="P56" s="1158"/>
      <c r="Q56" s="1158"/>
      <c r="R56" s="1158"/>
      <c r="S56" s="1158"/>
      <c r="T56" s="1158"/>
      <c r="U56" s="1158"/>
      <c r="V56" s="1158"/>
      <c r="W56" s="1158"/>
      <c r="X56" s="1158"/>
      <c r="Y56" s="1158"/>
      <c r="Z56" s="1158"/>
      <c r="AA56" s="1158"/>
    </row>
    <row r="57">
      <c r="A57" s="1162">
        <v>44835.0</v>
      </c>
      <c r="B57" s="1156" t="s">
        <v>12799</v>
      </c>
      <c r="C57" s="919">
        <v>11.0</v>
      </c>
      <c r="D57" s="1156" t="s">
        <v>12800</v>
      </c>
      <c r="E57" s="920" t="s">
        <v>12609</v>
      </c>
      <c r="F57" s="920" t="s">
        <v>12610</v>
      </c>
      <c r="G57" s="920" t="s">
        <v>12765</v>
      </c>
      <c r="H57" s="920" t="s">
        <v>12801</v>
      </c>
      <c r="I57" s="920" t="s">
        <v>12802</v>
      </c>
      <c r="J57" s="1157" t="s">
        <v>12803</v>
      </c>
      <c r="K57" s="920" t="s">
        <v>12804</v>
      </c>
      <c r="L57" s="1158"/>
      <c r="M57" s="1158"/>
      <c r="N57" s="1158"/>
      <c r="O57" s="1158"/>
      <c r="P57" s="1158"/>
      <c r="Q57" s="1158"/>
      <c r="R57" s="1158"/>
      <c r="S57" s="1158"/>
      <c r="T57" s="1158"/>
      <c r="U57" s="1158"/>
      <c r="V57" s="1158"/>
      <c r="W57" s="1158"/>
      <c r="X57" s="1158"/>
      <c r="Y57" s="1158"/>
      <c r="Z57" s="1158"/>
      <c r="AA57" s="1158"/>
    </row>
    <row r="58">
      <c r="A58" s="1162">
        <v>44835.0</v>
      </c>
      <c r="B58" s="1156" t="s">
        <v>12799</v>
      </c>
      <c r="C58" s="919">
        <v>10.11</v>
      </c>
      <c r="D58" s="1156" t="s">
        <v>12805</v>
      </c>
      <c r="E58" s="920" t="s">
        <v>12609</v>
      </c>
      <c r="F58" s="920" t="s">
        <v>12610</v>
      </c>
      <c r="G58" s="920" t="s">
        <v>12806</v>
      </c>
      <c r="H58" s="920" t="s">
        <v>12807</v>
      </c>
      <c r="I58" s="920" t="s">
        <v>12808</v>
      </c>
      <c r="J58" s="1157" t="s">
        <v>12803</v>
      </c>
      <c r="K58" s="1163" t="s">
        <v>12809</v>
      </c>
      <c r="L58" s="1158"/>
      <c r="M58" s="1158"/>
      <c r="N58" s="1158"/>
      <c r="O58" s="1158"/>
      <c r="P58" s="1158"/>
      <c r="Q58" s="1158"/>
      <c r="R58" s="1158"/>
      <c r="S58" s="1158"/>
      <c r="T58" s="1158"/>
      <c r="U58" s="1158"/>
      <c r="V58" s="1158"/>
      <c r="W58" s="1158"/>
      <c r="X58" s="1158"/>
      <c r="Y58" s="1158"/>
      <c r="Z58" s="1158"/>
      <c r="AA58" s="1158"/>
    </row>
    <row r="59">
      <c r="A59" s="1156" t="s">
        <v>12736</v>
      </c>
      <c r="B59" s="1156" t="s">
        <v>12810</v>
      </c>
      <c r="C59" s="919">
        <v>8.0</v>
      </c>
      <c r="D59" s="1156" t="s">
        <v>12811</v>
      </c>
      <c r="E59" s="1164" t="s">
        <v>12609</v>
      </c>
      <c r="F59" s="920" t="s">
        <v>12812</v>
      </c>
      <c r="G59" s="920" t="s">
        <v>12765</v>
      </c>
      <c r="H59" s="920" t="s">
        <v>12813</v>
      </c>
      <c r="I59" s="920" t="s">
        <v>12814</v>
      </c>
      <c r="J59" s="1165" t="s">
        <v>12815</v>
      </c>
      <c r="K59" s="1158"/>
      <c r="L59" s="1158"/>
      <c r="M59" s="1158"/>
      <c r="N59" s="1158"/>
      <c r="O59" s="1158"/>
      <c r="P59" s="1158"/>
      <c r="Q59" s="1158"/>
      <c r="R59" s="1158"/>
      <c r="S59" s="1158"/>
      <c r="T59" s="1158"/>
      <c r="U59" s="1158"/>
      <c r="V59" s="1158"/>
      <c r="W59" s="1158"/>
      <c r="X59" s="1158"/>
      <c r="Y59" s="1158"/>
      <c r="Z59" s="1158"/>
      <c r="AA59" s="1158"/>
    </row>
    <row r="60">
      <c r="A60" s="1156" t="s">
        <v>12816</v>
      </c>
      <c r="B60" s="920" t="s">
        <v>12817</v>
      </c>
      <c r="C60" s="919">
        <v>11.0</v>
      </c>
      <c r="D60" s="1156" t="s">
        <v>12678</v>
      </c>
      <c r="E60" s="1158" t="s">
        <v>12609</v>
      </c>
      <c r="F60" s="920" t="s">
        <v>12795</v>
      </c>
      <c r="G60" s="920" t="s">
        <v>12554</v>
      </c>
      <c r="H60" s="920" t="s">
        <v>12680</v>
      </c>
      <c r="I60" s="920" t="s">
        <v>12818</v>
      </c>
      <c r="J60" s="1165" t="s">
        <v>12746</v>
      </c>
      <c r="K60" s="1158"/>
      <c r="L60" s="1158"/>
      <c r="M60" s="1158"/>
      <c r="N60" s="1158"/>
      <c r="O60" s="1158"/>
      <c r="P60" s="1158"/>
      <c r="Q60" s="1158"/>
      <c r="R60" s="1158"/>
      <c r="S60" s="1158"/>
      <c r="T60" s="1158"/>
      <c r="U60" s="1158"/>
      <c r="V60" s="1158"/>
      <c r="W60" s="1158"/>
      <c r="X60" s="1158"/>
      <c r="Y60" s="1158"/>
      <c r="Z60" s="1158"/>
      <c r="AA60" s="1158"/>
    </row>
    <row r="61">
      <c r="A61" s="1156" t="s">
        <v>12816</v>
      </c>
      <c r="B61" s="920" t="s">
        <v>12817</v>
      </c>
      <c r="C61" s="919">
        <v>11.0</v>
      </c>
      <c r="D61" s="1156" t="s">
        <v>12678</v>
      </c>
      <c r="E61" s="1158" t="s">
        <v>12609</v>
      </c>
      <c r="F61" s="920" t="s">
        <v>12795</v>
      </c>
      <c r="G61" s="920" t="s">
        <v>12554</v>
      </c>
      <c r="H61" s="920" t="s">
        <v>12819</v>
      </c>
      <c r="I61" s="920" t="s">
        <v>12818</v>
      </c>
      <c r="J61" s="1165" t="s">
        <v>12746</v>
      </c>
      <c r="K61" s="1158"/>
      <c r="L61" s="1158"/>
      <c r="M61" s="1158"/>
      <c r="N61" s="1158"/>
      <c r="O61" s="1158"/>
      <c r="P61" s="1158"/>
      <c r="Q61" s="1158"/>
      <c r="R61" s="1158"/>
      <c r="S61" s="1158"/>
      <c r="T61" s="1158"/>
      <c r="U61" s="1158"/>
      <c r="V61" s="1158"/>
      <c r="W61" s="1158"/>
      <c r="X61" s="1158"/>
      <c r="Y61" s="1158"/>
      <c r="Z61" s="1158"/>
      <c r="AA61" s="1158"/>
    </row>
    <row r="62">
      <c r="A62" s="1156" t="s">
        <v>12816</v>
      </c>
      <c r="B62" s="920" t="s">
        <v>12817</v>
      </c>
      <c r="C62" s="919">
        <v>11.0</v>
      </c>
      <c r="D62" s="1156" t="s">
        <v>12678</v>
      </c>
      <c r="E62" s="1158" t="s">
        <v>12609</v>
      </c>
      <c r="F62" s="920" t="s">
        <v>12795</v>
      </c>
      <c r="G62" s="920" t="s">
        <v>12554</v>
      </c>
      <c r="H62" s="920" t="s">
        <v>12820</v>
      </c>
      <c r="I62" s="920" t="s">
        <v>12821</v>
      </c>
      <c r="J62" s="1165" t="s">
        <v>12746</v>
      </c>
      <c r="K62" s="1158"/>
      <c r="L62" s="1158"/>
      <c r="M62" s="1158"/>
      <c r="N62" s="1158"/>
      <c r="O62" s="1158"/>
      <c r="P62" s="1158"/>
      <c r="Q62" s="1158"/>
      <c r="R62" s="1158"/>
      <c r="S62" s="1158"/>
      <c r="T62" s="1158"/>
      <c r="U62" s="1158"/>
      <c r="V62" s="1158"/>
      <c r="W62" s="1158"/>
      <c r="X62" s="1158"/>
      <c r="Y62" s="1158"/>
      <c r="Z62" s="1158"/>
      <c r="AA62" s="1158"/>
    </row>
    <row r="63">
      <c r="A63" s="1158" t="s">
        <v>12816</v>
      </c>
      <c r="B63" s="1164" t="s">
        <v>12817</v>
      </c>
      <c r="C63" s="1166">
        <v>11.0</v>
      </c>
      <c r="D63" s="1158" t="s">
        <v>12678</v>
      </c>
      <c r="E63" s="1158" t="s">
        <v>12609</v>
      </c>
      <c r="F63" s="1164" t="s">
        <v>12795</v>
      </c>
      <c r="G63" s="1164" t="s">
        <v>12554</v>
      </c>
      <c r="H63" s="1164"/>
      <c r="I63" s="1164" t="s">
        <v>12821</v>
      </c>
      <c r="J63" s="1165" t="s">
        <v>12746</v>
      </c>
      <c r="K63" s="1158"/>
      <c r="L63" s="1158"/>
      <c r="M63" s="1158"/>
      <c r="N63" s="1158"/>
      <c r="O63" s="1158"/>
      <c r="P63" s="1158"/>
      <c r="Q63" s="1158"/>
      <c r="R63" s="1158"/>
      <c r="S63" s="1158"/>
      <c r="T63" s="1158"/>
      <c r="U63" s="1158"/>
      <c r="V63" s="1158"/>
      <c r="W63" s="1158"/>
      <c r="X63" s="1158"/>
      <c r="Y63" s="1158"/>
      <c r="Z63" s="1158"/>
      <c r="AA63" s="1158"/>
    </row>
    <row r="64">
      <c r="A64" s="1167" t="s">
        <v>12822</v>
      </c>
      <c r="B64" s="1168"/>
      <c r="C64" s="1169"/>
      <c r="D64" s="1168"/>
      <c r="E64" s="1168"/>
      <c r="F64" s="1168"/>
      <c r="G64" s="1168"/>
      <c r="H64" s="1168"/>
      <c r="I64" s="1168"/>
      <c r="J64" s="1155"/>
      <c r="K64" s="1155"/>
      <c r="L64" s="1155"/>
      <c r="M64" s="1155"/>
      <c r="N64" s="1155"/>
      <c r="O64" s="1155"/>
      <c r="P64" s="1155"/>
      <c r="Q64" s="1155"/>
      <c r="R64" s="1155"/>
      <c r="S64" s="1155"/>
      <c r="T64" s="1155"/>
      <c r="U64" s="1155"/>
      <c r="V64" s="1155"/>
      <c r="W64" s="1155"/>
      <c r="X64" s="1155"/>
      <c r="Y64" s="1155"/>
      <c r="Z64" s="1155"/>
      <c r="AA64" s="1155"/>
    </row>
    <row r="65">
      <c r="A65" s="920" t="s">
        <v>12823</v>
      </c>
      <c r="B65" s="920" t="s">
        <v>12824</v>
      </c>
      <c r="C65" s="1170">
        <v>45144.0</v>
      </c>
      <c r="D65" s="1156" t="s">
        <v>12805</v>
      </c>
      <c r="E65" s="920" t="s">
        <v>12610</v>
      </c>
      <c r="F65" s="1164" t="s">
        <v>12610</v>
      </c>
      <c r="G65" s="1164" t="s">
        <v>12396</v>
      </c>
      <c r="H65" s="1164"/>
      <c r="I65" s="1164"/>
      <c r="J65" s="1158"/>
      <c r="K65" s="1158"/>
      <c r="L65" s="1158"/>
      <c r="M65" s="1158"/>
      <c r="N65" s="1158"/>
      <c r="O65" s="1158"/>
      <c r="P65" s="1158"/>
      <c r="Q65" s="1158"/>
      <c r="R65" s="1158"/>
      <c r="S65" s="1158"/>
      <c r="T65" s="1158"/>
      <c r="U65" s="1158"/>
      <c r="V65" s="1158"/>
      <c r="W65" s="1158"/>
      <c r="X65" s="1158"/>
      <c r="Y65" s="1158"/>
      <c r="Z65" s="1158"/>
      <c r="AA65" s="1158"/>
    </row>
    <row r="66">
      <c r="A66" s="918" t="s">
        <v>12825</v>
      </c>
      <c r="B66" s="918" t="s">
        <v>12826</v>
      </c>
      <c r="C66" s="1171">
        <v>45204.0</v>
      </c>
      <c r="D66" s="918" t="s">
        <v>12827</v>
      </c>
      <c r="E66" s="918" t="s">
        <v>12610</v>
      </c>
      <c r="F66" s="918" t="s">
        <v>12610</v>
      </c>
      <c r="G66" s="918" t="s">
        <v>12396</v>
      </c>
      <c r="H66" s="1164"/>
      <c r="I66" s="1164"/>
      <c r="J66" s="1158"/>
      <c r="K66" s="1158"/>
      <c r="L66" s="1158"/>
      <c r="M66" s="1158"/>
      <c r="N66" s="1158"/>
      <c r="O66" s="1158"/>
      <c r="P66" s="1158"/>
      <c r="Q66" s="1158"/>
      <c r="R66" s="1158"/>
      <c r="S66" s="1158"/>
      <c r="T66" s="1158"/>
      <c r="U66" s="1158"/>
      <c r="V66" s="1158"/>
      <c r="W66" s="1158"/>
      <c r="X66" s="1158"/>
      <c r="Y66" s="1158"/>
      <c r="Z66" s="1158"/>
      <c r="AA66" s="1158"/>
    </row>
    <row r="67">
      <c r="A67" s="1172" t="s">
        <v>12828</v>
      </c>
      <c r="B67" s="1173"/>
      <c r="C67" s="1173"/>
      <c r="D67" s="1173"/>
      <c r="E67" s="1173"/>
      <c r="F67" s="1168"/>
      <c r="G67" s="1168"/>
      <c r="H67" s="1168"/>
      <c r="I67" s="1168"/>
      <c r="J67" s="1168"/>
      <c r="K67" s="1155"/>
      <c r="L67" s="1155"/>
      <c r="M67" s="1155"/>
      <c r="N67" s="1155"/>
      <c r="O67" s="1155"/>
      <c r="P67" s="1155"/>
      <c r="Q67" s="1155"/>
      <c r="R67" s="1155"/>
      <c r="S67" s="1155"/>
      <c r="T67" s="1155"/>
      <c r="U67" s="1155"/>
      <c r="V67" s="1155"/>
      <c r="W67" s="1155"/>
      <c r="X67" s="1155"/>
      <c r="Y67" s="1155"/>
      <c r="Z67" s="1155"/>
      <c r="AA67" s="1155"/>
    </row>
    <row r="68">
      <c r="A68" s="1174">
        <v>44724.0</v>
      </c>
      <c r="B68" s="1164" t="s">
        <v>12829</v>
      </c>
      <c r="C68" s="1166">
        <v>8.0</v>
      </c>
      <c r="D68" s="1164" t="s">
        <v>12693</v>
      </c>
      <c r="E68" s="1158" t="s">
        <v>12609</v>
      </c>
      <c r="F68" s="1164" t="s">
        <v>12610</v>
      </c>
      <c r="G68" s="1164" t="s">
        <v>12830</v>
      </c>
      <c r="H68" s="1164" t="s">
        <v>12831</v>
      </c>
      <c r="I68" s="1164" t="s">
        <v>12832</v>
      </c>
      <c r="J68" s="1175" t="s">
        <v>12833</v>
      </c>
      <c r="K68" s="1158"/>
      <c r="L68" s="1158"/>
      <c r="M68" s="1158"/>
      <c r="N68" s="1158"/>
      <c r="O68" s="1158"/>
      <c r="P68" s="1158"/>
      <c r="Q68" s="1158"/>
      <c r="R68" s="1158"/>
      <c r="S68" s="1158"/>
      <c r="T68" s="1158"/>
      <c r="U68" s="1158"/>
      <c r="V68" s="1158"/>
      <c r="W68" s="1158"/>
      <c r="X68" s="1158"/>
      <c r="Y68" s="1158"/>
      <c r="Z68" s="1158"/>
      <c r="AA68" s="1158"/>
    </row>
    <row r="69">
      <c r="A69" s="1176" t="s">
        <v>12834</v>
      </c>
      <c r="F69" s="1155"/>
      <c r="G69" s="1155"/>
      <c r="H69" s="1155"/>
      <c r="I69" s="1155"/>
      <c r="J69" s="1155"/>
      <c r="K69" s="1155"/>
      <c r="L69" s="1155"/>
      <c r="M69" s="1155"/>
      <c r="N69" s="1155"/>
      <c r="O69" s="1155"/>
      <c r="P69" s="1155"/>
      <c r="Q69" s="1155"/>
      <c r="R69" s="1155"/>
      <c r="S69" s="1155"/>
      <c r="T69" s="1155"/>
      <c r="U69" s="1155"/>
      <c r="V69" s="1155"/>
      <c r="W69" s="1155"/>
      <c r="X69" s="1155"/>
      <c r="Y69" s="1155"/>
      <c r="Z69" s="1155"/>
      <c r="AA69" s="1155"/>
    </row>
    <row r="70">
      <c r="A70" s="1177">
        <v>44896.0</v>
      </c>
      <c r="B70" s="1159" t="s">
        <v>12835</v>
      </c>
      <c r="C70" s="1159">
        <v>8.0</v>
      </c>
      <c r="D70" s="1158"/>
      <c r="E70" s="1159" t="s">
        <v>12609</v>
      </c>
      <c r="F70" s="1159" t="s">
        <v>12603</v>
      </c>
      <c r="G70" s="1159" t="s">
        <v>12836</v>
      </c>
      <c r="H70" s="1159" t="s">
        <v>12711</v>
      </c>
      <c r="I70" s="1158"/>
      <c r="J70" s="1158"/>
      <c r="K70" s="1158"/>
      <c r="L70" s="1158"/>
      <c r="M70" s="1158"/>
      <c r="N70" s="1158"/>
      <c r="O70" s="1158"/>
      <c r="P70" s="1158"/>
      <c r="Q70" s="1158"/>
      <c r="R70" s="1158"/>
      <c r="S70" s="1158"/>
      <c r="T70" s="1158"/>
      <c r="U70" s="1158"/>
      <c r="V70" s="1158"/>
      <c r="W70" s="1158"/>
      <c r="X70" s="1158"/>
      <c r="Y70" s="1158"/>
      <c r="Z70" s="1158"/>
      <c r="AA70" s="1158"/>
    </row>
    <row r="71">
      <c r="A71" s="1159" t="s">
        <v>12598</v>
      </c>
      <c r="B71" s="1159" t="s">
        <v>12837</v>
      </c>
      <c r="C71" s="1159">
        <v>11.0</v>
      </c>
      <c r="D71" s="1158"/>
      <c r="E71" s="1159" t="s">
        <v>12609</v>
      </c>
      <c r="F71" s="1159" t="s">
        <v>12603</v>
      </c>
      <c r="G71" s="1159" t="s">
        <v>12836</v>
      </c>
      <c r="H71" s="1159" t="s">
        <v>12838</v>
      </c>
      <c r="I71" s="1158"/>
      <c r="J71" s="1158"/>
      <c r="K71" s="1158"/>
      <c r="L71" s="1158"/>
      <c r="M71" s="1158"/>
      <c r="N71" s="1158"/>
      <c r="O71" s="1158"/>
      <c r="P71" s="1158"/>
      <c r="Q71" s="1158"/>
      <c r="R71" s="1158"/>
      <c r="S71" s="1158"/>
      <c r="T71" s="1158"/>
      <c r="U71" s="1158"/>
      <c r="V71" s="1158"/>
      <c r="W71" s="1158"/>
      <c r="X71" s="1158"/>
      <c r="Y71" s="1158"/>
      <c r="Z71" s="1158"/>
      <c r="AA71" s="1158"/>
    </row>
    <row r="72">
      <c r="A72" s="1159" t="s">
        <v>12773</v>
      </c>
      <c r="B72" s="1159" t="s">
        <v>12839</v>
      </c>
      <c r="C72" s="1159">
        <v>8.0</v>
      </c>
      <c r="D72" s="1158"/>
      <c r="E72" s="1159" t="s">
        <v>12609</v>
      </c>
      <c r="F72" s="1159" t="s">
        <v>12812</v>
      </c>
      <c r="G72" s="1159" t="s">
        <v>12840</v>
      </c>
      <c r="H72" s="1159" t="s">
        <v>12841</v>
      </c>
      <c r="I72" s="1158"/>
      <c r="J72" s="1158"/>
      <c r="K72" s="1158"/>
      <c r="L72" s="1158"/>
      <c r="M72" s="1158"/>
      <c r="N72" s="1158"/>
      <c r="O72" s="1158"/>
      <c r="P72" s="1158"/>
      <c r="Q72" s="1158"/>
      <c r="R72" s="1158"/>
      <c r="S72" s="1158"/>
      <c r="T72" s="1158"/>
      <c r="U72" s="1158"/>
      <c r="V72" s="1158"/>
      <c r="W72" s="1158"/>
      <c r="X72" s="1158"/>
      <c r="Y72" s="1158"/>
      <c r="Z72" s="1158"/>
      <c r="AA72" s="1158"/>
    </row>
    <row r="73">
      <c r="A73" s="1158"/>
      <c r="B73" s="1158"/>
      <c r="C73" s="1158"/>
      <c r="D73" s="1158"/>
      <c r="E73" s="1158"/>
      <c r="F73" s="1158"/>
      <c r="G73" s="1158"/>
      <c r="H73" s="1158"/>
      <c r="I73" s="1158"/>
      <c r="J73" s="1158"/>
      <c r="K73" s="1158"/>
      <c r="L73" s="1158"/>
      <c r="M73" s="1158"/>
      <c r="N73" s="1158"/>
      <c r="O73" s="1158"/>
      <c r="P73" s="1158"/>
      <c r="Q73" s="1158"/>
      <c r="R73" s="1158"/>
      <c r="S73" s="1158"/>
      <c r="T73" s="1158"/>
      <c r="U73" s="1158"/>
      <c r="V73" s="1158"/>
      <c r="W73" s="1158"/>
      <c r="X73" s="1158"/>
      <c r="Y73" s="1158"/>
      <c r="Z73" s="1158"/>
      <c r="AA73" s="1158"/>
    </row>
    <row r="74">
      <c r="A74" s="1158"/>
      <c r="B74" s="1158"/>
      <c r="C74" s="1158"/>
      <c r="D74" s="1158"/>
      <c r="E74" s="1158"/>
      <c r="F74" s="1158"/>
      <c r="G74" s="1158"/>
      <c r="H74" s="1158"/>
      <c r="I74" s="1158"/>
      <c r="J74" s="1158"/>
      <c r="K74" s="1158"/>
      <c r="L74" s="1158"/>
      <c r="M74" s="1158"/>
      <c r="N74" s="1158"/>
      <c r="O74" s="1158"/>
      <c r="P74" s="1158"/>
      <c r="Q74" s="1158"/>
      <c r="R74" s="1158"/>
      <c r="S74" s="1158"/>
      <c r="T74" s="1158"/>
      <c r="U74" s="1158"/>
      <c r="V74" s="1158"/>
      <c r="W74" s="1158"/>
      <c r="X74" s="1158"/>
      <c r="Y74" s="1158"/>
      <c r="Z74" s="1158"/>
      <c r="AA74" s="1158"/>
    </row>
    <row r="75">
      <c r="A75" s="1158"/>
      <c r="B75" s="1158"/>
      <c r="C75" s="1158"/>
      <c r="D75" s="1158"/>
      <c r="E75" s="1158"/>
      <c r="F75" s="1158"/>
      <c r="G75" s="1158"/>
      <c r="H75" s="1158"/>
      <c r="I75" s="1158"/>
      <c r="J75" s="1158"/>
      <c r="K75" s="1158"/>
      <c r="L75" s="1158"/>
      <c r="M75" s="1158"/>
      <c r="N75" s="1158"/>
      <c r="O75" s="1158"/>
      <c r="P75" s="1158"/>
      <c r="Q75" s="1158"/>
      <c r="R75" s="1158"/>
      <c r="S75" s="1158"/>
      <c r="T75" s="1158"/>
      <c r="U75" s="1158"/>
      <c r="V75" s="1158"/>
      <c r="W75" s="1158"/>
      <c r="X75" s="1158"/>
      <c r="Y75" s="1158"/>
      <c r="Z75" s="1158"/>
      <c r="AA75" s="1158"/>
    </row>
    <row r="76">
      <c r="A76" s="1158"/>
      <c r="B76" s="1158"/>
      <c r="C76" s="1158"/>
      <c r="D76" s="1158"/>
      <c r="E76" s="1158"/>
      <c r="F76" s="1158"/>
      <c r="G76" s="1158"/>
      <c r="H76" s="1158"/>
      <c r="I76" s="1158"/>
      <c r="J76" s="1158"/>
      <c r="K76" s="1158"/>
      <c r="L76" s="1158"/>
      <c r="M76" s="1158"/>
      <c r="N76" s="1158"/>
      <c r="O76" s="1158"/>
      <c r="P76" s="1158"/>
      <c r="Q76" s="1158"/>
      <c r="R76" s="1158"/>
      <c r="S76" s="1158"/>
      <c r="T76" s="1158"/>
      <c r="U76" s="1158"/>
      <c r="V76" s="1158"/>
      <c r="W76" s="1158"/>
      <c r="X76" s="1158"/>
      <c r="Y76" s="1158"/>
      <c r="Z76" s="1158"/>
      <c r="AA76" s="1158"/>
    </row>
    <row r="77">
      <c r="A77" s="1158"/>
      <c r="B77" s="1158"/>
      <c r="C77" s="1158"/>
      <c r="D77" s="1158"/>
      <c r="E77" s="1158"/>
      <c r="F77" s="1158"/>
      <c r="G77" s="1158"/>
      <c r="H77" s="1158"/>
      <c r="I77" s="1158"/>
      <c r="J77" s="1158"/>
      <c r="K77" s="1158"/>
      <c r="L77" s="1158"/>
      <c r="M77" s="1158"/>
      <c r="N77" s="1158"/>
      <c r="O77" s="1158"/>
      <c r="P77" s="1158"/>
      <c r="Q77" s="1158"/>
      <c r="R77" s="1158"/>
      <c r="S77" s="1158"/>
      <c r="T77" s="1158"/>
      <c r="U77" s="1158"/>
      <c r="V77" s="1158"/>
      <c r="W77" s="1158"/>
      <c r="X77" s="1158"/>
      <c r="Y77" s="1158"/>
      <c r="Z77" s="1158"/>
      <c r="AA77" s="1158"/>
    </row>
    <row r="78">
      <c r="A78" s="1158"/>
      <c r="B78" s="1158"/>
      <c r="C78" s="1158"/>
      <c r="D78" s="1158"/>
      <c r="E78" s="1158"/>
      <c r="F78" s="1158"/>
      <c r="G78" s="1158"/>
      <c r="H78" s="1158"/>
      <c r="I78" s="1158"/>
      <c r="J78" s="1158"/>
      <c r="K78" s="1158"/>
      <c r="L78" s="1158"/>
      <c r="M78" s="1158"/>
      <c r="N78" s="1158"/>
      <c r="O78" s="1158"/>
      <c r="P78" s="1158"/>
      <c r="Q78" s="1158"/>
      <c r="R78" s="1158"/>
      <c r="S78" s="1158"/>
      <c r="T78" s="1158"/>
      <c r="U78" s="1158"/>
      <c r="V78" s="1158"/>
      <c r="W78" s="1158"/>
      <c r="X78" s="1158"/>
      <c r="Y78" s="1158"/>
      <c r="Z78" s="1158"/>
      <c r="AA78" s="1158"/>
    </row>
    <row r="79">
      <c r="A79" s="1158"/>
      <c r="B79" s="1158"/>
      <c r="C79" s="1158"/>
      <c r="D79" s="1158"/>
      <c r="E79" s="1158"/>
      <c r="F79" s="1158"/>
      <c r="G79" s="1158"/>
      <c r="H79" s="1158"/>
      <c r="I79" s="1158"/>
      <c r="J79" s="1158"/>
      <c r="K79" s="1158"/>
      <c r="L79" s="1158"/>
      <c r="M79" s="1158"/>
      <c r="N79" s="1158"/>
      <c r="O79" s="1158"/>
      <c r="P79" s="1158"/>
      <c r="Q79" s="1158"/>
      <c r="R79" s="1158"/>
      <c r="S79" s="1158"/>
      <c r="T79" s="1158"/>
      <c r="U79" s="1158"/>
      <c r="V79" s="1158"/>
      <c r="W79" s="1158"/>
      <c r="X79" s="1158"/>
      <c r="Y79" s="1158"/>
      <c r="Z79" s="1158"/>
      <c r="AA79" s="1158"/>
    </row>
    <row r="80">
      <c r="A80" s="1158"/>
      <c r="B80" s="1158"/>
      <c r="C80" s="1158"/>
      <c r="D80" s="1158"/>
      <c r="E80" s="1158"/>
      <c r="F80" s="1158"/>
      <c r="G80" s="1158"/>
      <c r="H80" s="1158"/>
      <c r="I80" s="1158"/>
      <c r="J80" s="1158"/>
      <c r="K80" s="1158"/>
      <c r="L80" s="1158"/>
      <c r="M80" s="1158"/>
      <c r="N80" s="1158"/>
      <c r="O80" s="1158"/>
      <c r="P80" s="1158"/>
      <c r="Q80" s="1158"/>
      <c r="R80" s="1158"/>
      <c r="S80" s="1158"/>
      <c r="T80" s="1158"/>
      <c r="U80" s="1158"/>
      <c r="V80" s="1158"/>
      <c r="W80" s="1158"/>
      <c r="X80" s="1158"/>
      <c r="Y80" s="1158"/>
      <c r="Z80" s="1158"/>
      <c r="AA80" s="1158"/>
    </row>
    <row r="81">
      <c r="A81" s="1158"/>
      <c r="B81" s="1158"/>
      <c r="C81" s="1158"/>
      <c r="D81" s="1158"/>
      <c r="E81" s="1158"/>
      <c r="F81" s="1158"/>
      <c r="G81" s="1158"/>
      <c r="H81" s="1158"/>
      <c r="I81" s="1158"/>
      <c r="J81" s="1158"/>
      <c r="K81" s="1158"/>
      <c r="L81" s="1158"/>
      <c r="M81" s="1158"/>
      <c r="N81" s="1158"/>
      <c r="O81" s="1158"/>
      <c r="P81" s="1158"/>
      <c r="Q81" s="1158"/>
      <c r="R81" s="1158"/>
      <c r="S81" s="1158"/>
      <c r="T81" s="1158"/>
      <c r="U81" s="1158"/>
      <c r="V81" s="1158"/>
      <c r="W81" s="1158"/>
      <c r="X81" s="1158"/>
      <c r="Y81" s="1158"/>
      <c r="Z81" s="1158"/>
      <c r="AA81" s="1158"/>
    </row>
    <row r="82">
      <c r="A82" s="1158"/>
      <c r="B82" s="1158"/>
      <c r="C82" s="1158"/>
      <c r="D82" s="1158"/>
      <c r="E82" s="1158"/>
      <c r="F82" s="1158"/>
      <c r="G82" s="1158"/>
      <c r="H82" s="1158"/>
      <c r="I82" s="1158"/>
      <c r="J82" s="1158"/>
      <c r="K82" s="1158"/>
      <c r="L82" s="1158"/>
      <c r="M82" s="1158"/>
      <c r="N82" s="1158"/>
      <c r="O82" s="1158"/>
      <c r="P82" s="1158"/>
      <c r="Q82" s="1158"/>
      <c r="R82" s="1158"/>
      <c r="S82" s="1158"/>
      <c r="T82" s="1158"/>
      <c r="U82" s="1158"/>
      <c r="V82" s="1158"/>
      <c r="W82" s="1158"/>
      <c r="X82" s="1158"/>
      <c r="Y82" s="1158"/>
      <c r="Z82" s="1158"/>
      <c r="AA82" s="1158"/>
    </row>
    <row r="83">
      <c r="A83" s="651"/>
      <c r="B83" s="646"/>
      <c r="C83" s="1178"/>
      <c r="D83" s="646"/>
      <c r="E83" s="646"/>
      <c r="F83" s="646"/>
      <c r="G83" s="646"/>
      <c r="H83" s="646"/>
      <c r="I83" s="646"/>
      <c r="J83" s="646"/>
      <c r="K83" s="646"/>
      <c r="L83" s="646"/>
      <c r="M83" s="646"/>
      <c r="N83" s="646"/>
      <c r="O83" s="646"/>
      <c r="P83" s="646"/>
      <c r="Q83" s="646"/>
      <c r="R83" s="646"/>
      <c r="S83" s="646"/>
      <c r="T83" s="646"/>
      <c r="U83" s="646"/>
      <c r="V83" s="646"/>
      <c r="W83" s="646"/>
      <c r="X83" s="646"/>
      <c r="Y83" s="646"/>
      <c r="Z83" s="646"/>
      <c r="AA83" s="646"/>
    </row>
    <row r="84">
      <c r="A84" s="651"/>
      <c r="B84" s="646"/>
      <c r="C84" s="1178"/>
      <c r="D84" s="646"/>
      <c r="E84" s="646"/>
      <c r="F84" s="646"/>
      <c r="G84" s="646"/>
      <c r="H84" s="646"/>
      <c r="I84" s="646"/>
      <c r="J84" s="646"/>
      <c r="K84" s="646"/>
      <c r="L84" s="646"/>
      <c r="M84" s="646"/>
      <c r="N84" s="646"/>
      <c r="O84" s="646"/>
      <c r="P84" s="646"/>
      <c r="Q84" s="646"/>
      <c r="R84" s="646"/>
      <c r="S84" s="646"/>
      <c r="T84" s="646"/>
      <c r="U84" s="646"/>
      <c r="V84" s="646"/>
      <c r="W84" s="646"/>
      <c r="X84" s="646"/>
      <c r="Y84" s="646"/>
      <c r="Z84" s="646"/>
      <c r="AA84" s="646"/>
    </row>
    <row r="85">
      <c r="A85" s="651"/>
      <c r="B85" s="646"/>
      <c r="C85" s="1178"/>
      <c r="D85" s="646"/>
      <c r="E85" s="646"/>
      <c r="F85" s="646"/>
      <c r="G85" s="646"/>
      <c r="H85" s="646"/>
      <c r="I85" s="646"/>
      <c r="J85" s="646"/>
      <c r="K85" s="646"/>
      <c r="L85" s="646"/>
      <c r="M85" s="646"/>
      <c r="N85" s="646"/>
      <c r="O85" s="646"/>
      <c r="P85" s="646"/>
      <c r="Q85" s="646"/>
      <c r="R85" s="646"/>
      <c r="S85" s="646"/>
      <c r="T85" s="646"/>
      <c r="U85" s="646"/>
      <c r="V85" s="646"/>
      <c r="W85" s="646"/>
      <c r="X85" s="646"/>
      <c r="Y85" s="646"/>
      <c r="Z85" s="646"/>
      <c r="AA85" s="646"/>
    </row>
    <row r="86">
      <c r="A86" s="651"/>
      <c r="B86" s="646"/>
      <c r="C86" s="1178"/>
      <c r="D86" s="646"/>
      <c r="E86" s="646"/>
      <c r="F86" s="646"/>
      <c r="G86" s="646"/>
      <c r="H86" s="646"/>
      <c r="I86" s="646"/>
      <c r="J86" s="646"/>
      <c r="K86" s="646"/>
      <c r="L86" s="646"/>
      <c r="M86" s="646"/>
      <c r="N86" s="646"/>
      <c r="O86" s="646"/>
      <c r="P86" s="646"/>
      <c r="Q86" s="646"/>
      <c r="R86" s="646"/>
      <c r="S86" s="646"/>
      <c r="T86" s="646"/>
      <c r="U86" s="646"/>
      <c r="V86" s="646"/>
      <c r="W86" s="646"/>
      <c r="X86" s="646"/>
      <c r="Y86" s="646"/>
      <c r="Z86" s="646"/>
      <c r="AA86" s="646"/>
    </row>
    <row r="87">
      <c r="A87" s="651"/>
      <c r="B87" s="646"/>
      <c r="C87" s="1178"/>
      <c r="D87" s="646"/>
      <c r="E87" s="646"/>
      <c r="F87" s="646"/>
      <c r="G87" s="646"/>
      <c r="H87" s="646"/>
      <c r="I87" s="646"/>
      <c r="J87" s="646"/>
      <c r="K87" s="646"/>
      <c r="L87" s="646"/>
      <c r="M87" s="646"/>
      <c r="N87" s="646"/>
      <c r="O87" s="646"/>
      <c r="P87" s="646"/>
      <c r="Q87" s="646"/>
      <c r="R87" s="646"/>
      <c r="S87" s="646"/>
      <c r="T87" s="646"/>
      <c r="U87" s="646"/>
      <c r="V87" s="646"/>
      <c r="W87" s="646"/>
      <c r="X87" s="646"/>
      <c r="Y87" s="646"/>
      <c r="Z87" s="646"/>
      <c r="AA87" s="646"/>
    </row>
    <row r="88">
      <c r="A88" s="651"/>
      <c r="B88" s="646"/>
      <c r="C88" s="1178"/>
      <c r="D88" s="646"/>
      <c r="E88" s="646"/>
      <c r="F88" s="646"/>
      <c r="G88" s="646"/>
      <c r="H88" s="646"/>
      <c r="I88" s="646"/>
      <c r="J88" s="646"/>
      <c r="K88" s="646"/>
      <c r="L88" s="646"/>
      <c r="M88" s="646"/>
      <c r="N88" s="646"/>
      <c r="O88" s="646"/>
      <c r="P88" s="646"/>
      <c r="Q88" s="646"/>
      <c r="R88" s="646"/>
      <c r="S88" s="646"/>
      <c r="T88" s="646"/>
      <c r="U88" s="646"/>
      <c r="V88" s="646"/>
      <c r="W88" s="646"/>
      <c r="X88" s="646"/>
      <c r="Y88" s="646"/>
      <c r="Z88" s="646"/>
      <c r="AA88" s="646"/>
    </row>
    <row r="89">
      <c r="A89" s="651"/>
      <c r="B89" s="646"/>
      <c r="C89" s="1178"/>
      <c r="D89" s="646"/>
      <c r="E89" s="646"/>
      <c r="F89" s="646"/>
      <c r="G89" s="646"/>
      <c r="H89" s="646"/>
      <c r="I89" s="646"/>
      <c r="J89" s="646"/>
      <c r="K89" s="646"/>
      <c r="L89" s="646"/>
      <c r="M89" s="646"/>
      <c r="N89" s="646"/>
      <c r="O89" s="646"/>
      <c r="P89" s="646"/>
      <c r="Q89" s="646"/>
      <c r="R89" s="646"/>
      <c r="S89" s="646"/>
      <c r="T89" s="646"/>
      <c r="U89" s="646"/>
      <c r="V89" s="646"/>
      <c r="W89" s="646"/>
      <c r="X89" s="646"/>
      <c r="Y89" s="646"/>
      <c r="Z89" s="646"/>
      <c r="AA89" s="646"/>
    </row>
    <row r="90">
      <c r="A90" s="651"/>
      <c r="B90" s="646"/>
      <c r="C90" s="1178"/>
      <c r="D90" s="646"/>
      <c r="E90" s="646"/>
      <c r="F90" s="646"/>
      <c r="G90" s="646"/>
      <c r="H90" s="646"/>
      <c r="I90" s="646"/>
      <c r="J90" s="646"/>
      <c r="K90" s="646"/>
      <c r="L90" s="646"/>
      <c r="M90" s="646"/>
      <c r="N90" s="646"/>
      <c r="O90" s="646"/>
      <c r="P90" s="646"/>
      <c r="Q90" s="646"/>
      <c r="R90" s="646"/>
      <c r="S90" s="646"/>
      <c r="T90" s="646"/>
      <c r="U90" s="646"/>
      <c r="V90" s="646"/>
      <c r="W90" s="646"/>
      <c r="X90" s="646"/>
      <c r="Y90" s="646"/>
      <c r="Z90" s="646"/>
      <c r="AA90" s="646"/>
    </row>
    <row r="91">
      <c r="A91" s="651"/>
      <c r="B91" s="646"/>
      <c r="C91" s="1178"/>
      <c r="D91" s="646"/>
      <c r="E91" s="646"/>
      <c r="F91" s="646"/>
      <c r="G91" s="646"/>
      <c r="H91" s="646"/>
      <c r="I91" s="646"/>
      <c r="J91" s="646"/>
      <c r="K91" s="646"/>
      <c r="L91" s="646"/>
      <c r="M91" s="646"/>
      <c r="N91" s="646"/>
      <c r="O91" s="646"/>
      <c r="P91" s="646"/>
      <c r="Q91" s="646"/>
      <c r="R91" s="646"/>
      <c r="S91" s="646"/>
      <c r="T91" s="646"/>
      <c r="U91" s="646"/>
      <c r="V91" s="646"/>
      <c r="W91" s="646"/>
      <c r="X91" s="646"/>
      <c r="Y91" s="646"/>
      <c r="Z91" s="646"/>
      <c r="AA91" s="646"/>
    </row>
    <row r="92">
      <c r="A92" s="651"/>
      <c r="B92" s="646"/>
      <c r="C92" s="1178"/>
      <c r="D92" s="646"/>
      <c r="E92" s="646"/>
      <c r="F92" s="646"/>
      <c r="G92" s="646"/>
      <c r="H92" s="646"/>
      <c r="I92" s="646"/>
      <c r="J92" s="646"/>
      <c r="K92" s="646"/>
      <c r="L92" s="646"/>
      <c r="M92" s="646"/>
      <c r="N92" s="646"/>
      <c r="O92" s="646"/>
      <c r="P92" s="646"/>
      <c r="Q92" s="646"/>
      <c r="R92" s="646"/>
      <c r="S92" s="646"/>
      <c r="T92" s="646"/>
      <c r="U92" s="646"/>
      <c r="V92" s="646"/>
      <c r="W92" s="646"/>
      <c r="X92" s="646"/>
      <c r="Y92" s="646"/>
      <c r="Z92" s="646"/>
      <c r="AA92" s="646"/>
    </row>
    <row r="93">
      <c r="A93" s="651"/>
      <c r="B93" s="646"/>
      <c r="C93" s="1178"/>
      <c r="D93" s="646"/>
      <c r="E93" s="646"/>
      <c r="F93" s="646"/>
      <c r="G93" s="646"/>
      <c r="H93" s="646"/>
      <c r="I93" s="646"/>
      <c r="J93" s="646"/>
      <c r="K93" s="646"/>
      <c r="L93" s="646"/>
      <c r="M93" s="646"/>
      <c r="N93" s="646"/>
      <c r="O93" s="646"/>
      <c r="P93" s="646"/>
      <c r="Q93" s="646"/>
      <c r="R93" s="646"/>
      <c r="S93" s="646"/>
      <c r="T93" s="646"/>
      <c r="U93" s="646"/>
      <c r="V93" s="646"/>
      <c r="W93" s="646"/>
      <c r="X93" s="646"/>
      <c r="Y93" s="646"/>
      <c r="Z93" s="646"/>
      <c r="AA93" s="646"/>
    </row>
    <row r="94">
      <c r="A94" s="651"/>
      <c r="B94" s="646"/>
      <c r="C94" s="1178"/>
      <c r="D94" s="646"/>
      <c r="E94" s="646"/>
      <c r="F94" s="646"/>
      <c r="G94" s="646"/>
      <c r="H94" s="646"/>
      <c r="I94" s="646"/>
      <c r="J94" s="646"/>
      <c r="K94" s="646"/>
      <c r="L94" s="646"/>
      <c r="M94" s="646"/>
      <c r="N94" s="646"/>
      <c r="O94" s="646"/>
      <c r="P94" s="646"/>
      <c r="Q94" s="646"/>
      <c r="R94" s="646"/>
      <c r="S94" s="646"/>
      <c r="T94" s="646"/>
      <c r="U94" s="646"/>
      <c r="V94" s="646"/>
      <c r="W94" s="646"/>
      <c r="X94" s="646"/>
      <c r="Y94" s="646"/>
      <c r="Z94" s="646"/>
      <c r="AA94" s="646"/>
    </row>
    <row r="95">
      <c r="A95" s="651"/>
      <c r="B95" s="646"/>
      <c r="C95" s="1178"/>
      <c r="D95" s="646"/>
      <c r="E95" s="646"/>
      <c r="F95" s="646"/>
      <c r="G95" s="646"/>
      <c r="H95" s="646"/>
      <c r="I95" s="646"/>
      <c r="J95" s="646"/>
      <c r="K95" s="646"/>
      <c r="L95" s="646"/>
      <c r="M95" s="646"/>
      <c r="N95" s="646"/>
      <c r="O95" s="646"/>
      <c r="P95" s="646"/>
      <c r="Q95" s="646"/>
      <c r="R95" s="646"/>
      <c r="S95" s="646"/>
      <c r="T95" s="646"/>
      <c r="U95" s="646"/>
      <c r="V95" s="646"/>
      <c r="W95" s="646"/>
      <c r="X95" s="646"/>
      <c r="Y95" s="646"/>
      <c r="Z95" s="646"/>
      <c r="AA95" s="646"/>
    </row>
    <row r="96">
      <c r="A96" s="651"/>
      <c r="B96" s="646"/>
      <c r="C96" s="1178"/>
      <c r="D96" s="646"/>
      <c r="E96" s="646"/>
      <c r="F96" s="646"/>
      <c r="G96" s="646"/>
      <c r="H96" s="646"/>
      <c r="I96" s="646"/>
      <c r="J96" s="646"/>
      <c r="K96" s="646"/>
      <c r="L96" s="646"/>
      <c r="M96" s="646"/>
      <c r="N96" s="646"/>
      <c r="O96" s="646"/>
      <c r="P96" s="646"/>
      <c r="Q96" s="646"/>
      <c r="R96" s="646"/>
      <c r="S96" s="646"/>
      <c r="T96" s="646"/>
      <c r="U96" s="646"/>
      <c r="V96" s="646"/>
      <c r="W96" s="646"/>
      <c r="X96" s="646"/>
      <c r="Y96" s="646"/>
      <c r="Z96" s="646"/>
      <c r="AA96" s="646"/>
    </row>
    <row r="97">
      <c r="A97" s="651"/>
      <c r="B97" s="646"/>
      <c r="C97" s="1178"/>
      <c r="D97" s="646"/>
      <c r="E97" s="646"/>
      <c r="F97" s="646"/>
      <c r="G97" s="646"/>
      <c r="H97" s="646"/>
      <c r="I97" s="646"/>
      <c r="J97" s="646"/>
      <c r="K97" s="646"/>
      <c r="L97" s="646"/>
      <c r="M97" s="646"/>
      <c r="N97" s="646"/>
      <c r="O97" s="646"/>
      <c r="P97" s="646"/>
      <c r="Q97" s="646"/>
      <c r="R97" s="646"/>
      <c r="S97" s="646"/>
      <c r="T97" s="646"/>
      <c r="U97" s="646"/>
      <c r="V97" s="646"/>
      <c r="W97" s="646"/>
      <c r="X97" s="646"/>
      <c r="Y97" s="646"/>
      <c r="Z97" s="646"/>
      <c r="AA97" s="646"/>
    </row>
    <row r="98">
      <c r="A98" s="651"/>
      <c r="B98" s="646"/>
      <c r="C98" s="1178"/>
      <c r="D98" s="646"/>
      <c r="E98" s="646"/>
      <c r="F98" s="646"/>
      <c r="G98" s="646"/>
      <c r="H98" s="646"/>
      <c r="I98" s="646"/>
      <c r="J98" s="646"/>
      <c r="K98" s="646"/>
      <c r="L98" s="646"/>
      <c r="M98" s="646"/>
      <c r="N98" s="646"/>
      <c r="O98" s="646"/>
      <c r="P98" s="646"/>
      <c r="Q98" s="646"/>
      <c r="R98" s="646"/>
      <c r="S98" s="646"/>
      <c r="T98" s="646"/>
      <c r="U98" s="646"/>
      <c r="V98" s="646"/>
      <c r="W98" s="646"/>
      <c r="X98" s="646"/>
      <c r="Y98" s="646"/>
      <c r="Z98" s="646"/>
      <c r="AA98" s="646"/>
    </row>
    <row r="99">
      <c r="A99" s="651"/>
      <c r="B99" s="646"/>
      <c r="C99" s="1178"/>
      <c r="D99" s="646"/>
      <c r="E99" s="646"/>
      <c r="F99" s="646"/>
      <c r="G99" s="646"/>
      <c r="H99" s="646"/>
      <c r="I99" s="646"/>
      <c r="J99" s="646"/>
      <c r="K99" s="646"/>
      <c r="L99" s="646"/>
      <c r="M99" s="646"/>
      <c r="N99" s="646"/>
      <c r="O99" s="646"/>
      <c r="P99" s="646"/>
      <c r="Q99" s="646"/>
      <c r="R99" s="646"/>
      <c r="S99" s="646"/>
      <c r="T99" s="646"/>
      <c r="U99" s="646"/>
      <c r="V99" s="646"/>
      <c r="W99" s="646"/>
      <c r="X99" s="646"/>
      <c r="Y99" s="646"/>
      <c r="Z99" s="646"/>
      <c r="AA99" s="646"/>
    </row>
    <row r="100">
      <c r="A100" s="651"/>
      <c r="B100" s="646"/>
      <c r="C100" s="1178"/>
      <c r="D100" s="646"/>
      <c r="E100" s="646"/>
      <c r="F100" s="646"/>
      <c r="G100" s="646"/>
      <c r="H100" s="646"/>
      <c r="I100" s="646"/>
      <c r="J100" s="646"/>
      <c r="K100" s="646"/>
      <c r="L100" s="646"/>
      <c r="M100" s="646"/>
      <c r="N100" s="646"/>
      <c r="O100" s="646"/>
      <c r="P100" s="646"/>
      <c r="Q100" s="646"/>
      <c r="R100" s="646"/>
      <c r="S100" s="646"/>
      <c r="T100" s="646"/>
      <c r="U100" s="646"/>
      <c r="V100" s="646"/>
      <c r="W100" s="646"/>
      <c r="X100" s="646"/>
      <c r="Y100" s="646"/>
      <c r="Z100" s="646"/>
      <c r="AA100" s="646"/>
    </row>
    <row r="101">
      <c r="A101" s="651"/>
      <c r="B101" s="646"/>
      <c r="C101" s="1178"/>
      <c r="D101" s="646"/>
      <c r="E101" s="646"/>
      <c r="F101" s="646"/>
      <c r="G101" s="646"/>
      <c r="H101" s="646"/>
      <c r="I101" s="646"/>
      <c r="J101" s="646"/>
      <c r="K101" s="646"/>
      <c r="L101" s="646"/>
      <c r="M101" s="646"/>
      <c r="N101" s="646"/>
      <c r="O101" s="646"/>
      <c r="P101" s="646"/>
      <c r="Q101" s="646"/>
      <c r="R101" s="646"/>
      <c r="S101" s="646"/>
      <c r="T101" s="646"/>
      <c r="U101" s="646"/>
      <c r="V101" s="646"/>
      <c r="W101" s="646"/>
      <c r="X101" s="646"/>
      <c r="Y101" s="646"/>
      <c r="Z101" s="646"/>
      <c r="AA101" s="646"/>
    </row>
    <row r="102">
      <c r="A102" s="651"/>
      <c r="B102" s="646"/>
      <c r="C102" s="1178"/>
      <c r="D102" s="646"/>
      <c r="E102" s="646"/>
      <c r="F102" s="646"/>
      <c r="G102" s="646"/>
      <c r="H102" s="646"/>
      <c r="I102" s="646"/>
      <c r="J102" s="646"/>
      <c r="K102" s="646"/>
      <c r="L102" s="646"/>
      <c r="M102" s="646"/>
      <c r="N102" s="646"/>
      <c r="O102" s="646"/>
      <c r="P102" s="646"/>
      <c r="Q102" s="646"/>
      <c r="R102" s="646"/>
      <c r="S102" s="646"/>
      <c r="T102" s="646"/>
      <c r="U102" s="646"/>
      <c r="V102" s="646"/>
      <c r="W102" s="646"/>
      <c r="X102" s="646"/>
      <c r="Y102" s="646"/>
      <c r="Z102" s="646"/>
      <c r="AA102" s="646"/>
    </row>
    <row r="103">
      <c r="A103" s="651"/>
      <c r="B103" s="646"/>
      <c r="C103" s="1178"/>
      <c r="D103" s="646"/>
      <c r="E103" s="646"/>
      <c r="F103" s="646"/>
      <c r="G103" s="646"/>
      <c r="H103" s="646"/>
      <c r="I103" s="646"/>
      <c r="J103" s="646"/>
      <c r="K103" s="646"/>
      <c r="L103" s="646"/>
      <c r="M103" s="646"/>
      <c r="N103" s="646"/>
      <c r="O103" s="646"/>
      <c r="P103" s="646"/>
      <c r="Q103" s="646"/>
      <c r="R103" s="646"/>
      <c r="S103" s="646"/>
      <c r="T103" s="646"/>
      <c r="U103" s="646"/>
      <c r="V103" s="646"/>
      <c r="W103" s="646"/>
      <c r="X103" s="646"/>
      <c r="Y103" s="646"/>
      <c r="Z103" s="646"/>
      <c r="AA103" s="646"/>
    </row>
    <row r="104">
      <c r="A104" s="651"/>
      <c r="B104" s="646"/>
      <c r="C104" s="1178"/>
      <c r="D104" s="646"/>
      <c r="E104" s="646"/>
      <c r="F104" s="646"/>
      <c r="G104" s="646"/>
      <c r="H104" s="646"/>
      <c r="I104" s="646"/>
      <c r="J104" s="646"/>
      <c r="K104" s="646"/>
      <c r="L104" s="646"/>
      <c r="M104" s="646"/>
      <c r="N104" s="646"/>
      <c r="O104" s="646"/>
      <c r="P104" s="646"/>
      <c r="Q104" s="646"/>
      <c r="R104" s="646"/>
      <c r="S104" s="646"/>
      <c r="T104" s="646"/>
      <c r="U104" s="646"/>
      <c r="V104" s="646"/>
      <c r="W104" s="646"/>
      <c r="X104" s="646"/>
      <c r="Y104" s="646"/>
      <c r="Z104" s="646"/>
      <c r="AA104" s="646"/>
    </row>
    <row r="105">
      <c r="A105" s="651"/>
      <c r="B105" s="646"/>
      <c r="C105" s="1178"/>
      <c r="D105" s="646"/>
      <c r="E105" s="646"/>
      <c r="F105" s="646"/>
      <c r="G105" s="646"/>
      <c r="H105" s="646"/>
      <c r="I105" s="646"/>
      <c r="J105" s="646"/>
      <c r="K105" s="646"/>
      <c r="L105" s="646"/>
      <c r="M105" s="646"/>
      <c r="N105" s="646"/>
      <c r="O105" s="646"/>
      <c r="P105" s="646"/>
      <c r="Q105" s="646"/>
      <c r="R105" s="646"/>
      <c r="S105" s="646"/>
      <c r="T105" s="646"/>
      <c r="U105" s="646"/>
      <c r="V105" s="646"/>
      <c r="W105" s="646"/>
      <c r="X105" s="646"/>
      <c r="Y105" s="646"/>
      <c r="Z105" s="646"/>
      <c r="AA105" s="646"/>
    </row>
    <row r="106">
      <c r="A106" s="651"/>
      <c r="B106" s="646"/>
      <c r="C106" s="1178"/>
      <c r="D106" s="646"/>
      <c r="E106" s="646"/>
      <c r="F106" s="646"/>
      <c r="G106" s="646"/>
      <c r="H106" s="646"/>
      <c r="I106" s="646"/>
      <c r="J106" s="646"/>
      <c r="K106" s="646"/>
      <c r="L106" s="646"/>
      <c r="M106" s="646"/>
      <c r="N106" s="646"/>
      <c r="O106" s="646"/>
      <c r="P106" s="646"/>
      <c r="Q106" s="646"/>
      <c r="R106" s="646"/>
      <c r="S106" s="646"/>
      <c r="T106" s="646"/>
      <c r="U106" s="646"/>
      <c r="V106" s="646"/>
      <c r="W106" s="646"/>
      <c r="X106" s="646"/>
      <c r="Y106" s="646"/>
      <c r="Z106" s="646"/>
      <c r="AA106" s="646"/>
    </row>
    <row r="107">
      <c r="A107" s="651"/>
      <c r="B107" s="646"/>
      <c r="C107" s="1178"/>
      <c r="D107" s="646"/>
      <c r="E107" s="646"/>
      <c r="F107" s="646"/>
      <c r="G107" s="646"/>
      <c r="H107" s="646"/>
      <c r="I107" s="646"/>
      <c r="J107" s="646"/>
      <c r="K107" s="646"/>
      <c r="L107" s="646"/>
      <c r="M107" s="646"/>
      <c r="N107" s="646"/>
      <c r="O107" s="646"/>
      <c r="P107" s="646"/>
      <c r="Q107" s="646"/>
      <c r="R107" s="646"/>
      <c r="S107" s="646"/>
      <c r="T107" s="646"/>
      <c r="U107" s="646"/>
      <c r="V107" s="646"/>
      <c r="W107" s="646"/>
      <c r="X107" s="646"/>
      <c r="Y107" s="646"/>
      <c r="Z107" s="646"/>
      <c r="AA107" s="646"/>
    </row>
    <row r="108">
      <c r="A108" s="651"/>
      <c r="B108" s="646"/>
      <c r="C108" s="1178"/>
      <c r="D108" s="646"/>
      <c r="E108" s="646"/>
      <c r="F108" s="646"/>
      <c r="G108" s="646"/>
      <c r="H108" s="646"/>
      <c r="I108" s="646"/>
      <c r="J108" s="646"/>
      <c r="K108" s="646"/>
      <c r="L108" s="646"/>
      <c r="M108" s="646"/>
      <c r="N108" s="646"/>
      <c r="O108" s="646"/>
      <c r="P108" s="646"/>
      <c r="Q108" s="646"/>
      <c r="R108" s="646"/>
      <c r="S108" s="646"/>
      <c r="T108" s="646"/>
      <c r="U108" s="646"/>
      <c r="V108" s="646"/>
      <c r="W108" s="646"/>
      <c r="X108" s="646"/>
      <c r="Y108" s="646"/>
      <c r="Z108" s="646"/>
      <c r="AA108" s="646"/>
    </row>
    <row r="109">
      <c r="A109" s="651"/>
      <c r="B109" s="646"/>
      <c r="C109" s="1178"/>
      <c r="D109" s="646"/>
      <c r="E109" s="646"/>
      <c r="F109" s="646"/>
      <c r="G109" s="646"/>
      <c r="H109" s="646"/>
      <c r="I109" s="646"/>
      <c r="J109" s="646"/>
      <c r="K109" s="646"/>
      <c r="L109" s="646"/>
      <c r="M109" s="646"/>
      <c r="N109" s="646"/>
      <c r="O109" s="646"/>
      <c r="P109" s="646"/>
      <c r="Q109" s="646"/>
      <c r="R109" s="646"/>
      <c r="S109" s="646"/>
      <c r="T109" s="646"/>
      <c r="U109" s="646"/>
      <c r="V109" s="646"/>
      <c r="W109" s="646"/>
      <c r="X109" s="646"/>
      <c r="Y109" s="646"/>
      <c r="Z109" s="646"/>
      <c r="AA109" s="646"/>
    </row>
    <row r="110">
      <c r="A110" s="651"/>
      <c r="B110" s="646"/>
      <c r="C110" s="1178"/>
      <c r="D110" s="646"/>
      <c r="E110" s="646"/>
      <c r="F110" s="646"/>
      <c r="G110" s="646"/>
      <c r="H110" s="646"/>
      <c r="I110" s="646"/>
      <c r="J110" s="646"/>
      <c r="K110" s="646"/>
      <c r="L110" s="646"/>
      <c r="M110" s="646"/>
      <c r="N110" s="646"/>
      <c r="O110" s="646"/>
      <c r="P110" s="646"/>
      <c r="Q110" s="646"/>
      <c r="R110" s="646"/>
      <c r="S110" s="646"/>
      <c r="T110" s="646"/>
      <c r="U110" s="646"/>
      <c r="V110" s="646"/>
      <c r="W110" s="646"/>
      <c r="X110" s="646"/>
      <c r="Y110" s="646"/>
      <c r="Z110" s="646"/>
      <c r="AA110" s="646"/>
    </row>
    <row r="111">
      <c r="A111" s="651"/>
      <c r="B111" s="646"/>
      <c r="C111" s="1178"/>
      <c r="D111" s="646"/>
      <c r="E111" s="646"/>
      <c r="F111" s="646"/>
      <c r="G111" s="646"/>
      <c r="H111" s="646"/>
      <c r="I111" s="646"/>
      <c r="J111" s="646"/>
      <c r="K111" s="646"/>
      <c r="L111" s="646"/>
      <c r="M111" s="646"/>
      <c r="N111" s="646"/>
      <c r="O111" s="646"/>
      <c r="P111" s="646"/>
      <c r="Q111" s="646"/>
      <c r="R111" s="646"/>
      <c r="S111" s="646"/>
      <c r="T111" s="646"/>
      <c r="U111" s="646"/>
      <c r="V111" s="646"/>
      <c r="W111" s="646"/>
      <c r="X111" s="646"/>
      <c r="Y111" s="646"/>
      <c r="Z111" s="646"/>
      <c r="AA111" s="646"/>
    </row>
    <row r="112">
      <c r="A112" s="651"/>
      <c r="B112" s="646"/>
      <c r="C112" s="1178"/>
      <c r="D112" s="646"/>
      <c r="E112" s="646"/>
      <c r="F112" s="646"/>
      <c r="G112" s="646"/>
      <c r="H112" s="646"/>
      <c r="I112" s="646"/>
      <c r="J112" s="646"/>
      <c r="K112" s="646"/>
      <c r="L112" s="646"/>
      <c r="M112" s="646"/>
      <c r="N112" s="646"/>
      <c r="O112" s="646"/>
      <c r="P112" s="646"/>
      <c r="Q112" s="646"/>
      <c r="R112" s="646"/>
      <c r="S112" s="646"/>
      <c r="T112" s="646"/>
      <c r="U112" s="646"/>
      <c r="V112" s="646"/>
      <c r="W112" s="646"/>
      <c r="X112" s="646"/>
      <c r="Y112" s="646"/>
      <c r="Z112" s="646"/>
      <c r="AA112" s="646"/>
    </row>
    <row r="113">
      <c r="A113" s="651"/>
      <c r="B113" s="646"/>
      <c r="C113" s="1178"/>
      <c r="D113" s="646"/>
      <c r="E113" s="646"/>
      <c r="F113" s="646"/>
      <c r="G113" s="646"/>
      <c r="H113" s="646"/>
      <c r="I113" s="646"/>
      <c r="J113" s="646"/>
      <c r="K113" s="646"/>
      <c r="L113" s="646"/>
      <c r="M113" s="646"/>
      <c r="N113" s="646"/>
      <c r="O113" s="646"/>
      <c r="P113" s="646"/>
      <c r="Q113" s="646"/>
      <c r="R113" s="646"/>
      <c r="S113" s="646"/>
      <c r="T113" s="646"/>
      <c r="U113" s="646"/>
      <c r="V113" s="646"/>
      <c r="W113" s="646"/>
      <c r="X113" s="646"/>
      <c r="Y113" s="646"/>
      <c r="Z113" s="646"/>
      <c r="AA113" s="646"/>
    </row>
    <row r="114">
      <c r="A114" s="651"/>
      <c r="B114" s="646"/>
      <c r="C114" s="1178"/>
      <c r="D114" s="646"/>
      <c r="E114" s="646"/>
      <c r="F114" s="646"/>
      <c r="G114" s="646"/>
      <c r="H114" s="646"/>
      <c r="I114" s="646"/>
      <c r="J114" s="646"/>
      <c r="K114" s="646"/>
      <c r="L114" s="646"/>
      <c r="M114" s="646"/>
      <c r="N114" s="646"/>
      <c r="O114" s="646"/>
      <c r="P114" s="646"/>
      <c r="Q114" s="646"/>
      <c r="R114" s="646"/>
      <c r="S114" s="646"/>
      <c r="T114" s="646"/>
      <c r="U114" s="646"/>
      <c r="V114" s="646"/>
      <c r="W114" s="646"/>
      <c r="X114" s="646"/>
      <c r="Y114" s="646"/>
      <c r="Z114" s="646"/>
      <c r="AA114" s="646"/>
    </row>
    <row r="115">
      <c r="A115" s="651"/>
      <c r="B115" s="646"/>
      <c r="C115" s="1178"/>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row>
    <row r="116">
      <c r="A116" s="651"/>
      <c r="B116" s="646"/>
      <c r="C116" s="1178"/>
      <c r="D116" s="646"/>
      <c r="E116" s="646"/>
      <c r="F116" s="646"/>
      <c r="G116" s="646"/>
      <c r="H116" s="646"/>
      <c r="I116" s="646"/>
      <c r="J116" s="646"/>
      <c r="K116" s="646"/>
      <c r="L116" s="646"/>
      <c r="M116" s="646"/>
      <c r="N116" s="646"/>
      <c r="O116" s="646"/>
      <c r="P116" s="646"/>
      <c r="Q116" s="646"/>
      <c r="R116" s="646"/>
      <c r="S116" s="646"/>
      <c r="T116" s="646"/>
      <c r="U116" s="646"/>
      <c r="V116" s="646"/>
      <c r="W116" s="646"/>
      <c r="X116" s="646"/>
      <c r="Y116" s="646"/>
      <c r="Z116" s="646"/>
      <c r="AA116" s="646"/>
    </row>
    <row r="117">
      <c r="A117" s="651"/>
      <c r="B117" s="646"/>
      <c r="C117" s="1178"/>
      <c r="D117" s="646"/>
      <c r="E117" s="646"/>
      <c r="F117" s="646"/>
      <c r="G117" s="646"/>
      <c r="H117" s="646"/>
      <c r="I117" s="646"/>
      <c r="J117" s="646"/>
      <c r="K117" s="646"/>
      <c r="L117" s="646"/>
      <c r="M117" s="646"/>
      <c r="N117" s="646"/>
      <c r="O117" s="646"/>
      <c r="P117" s="646"/>
      <c r="Q117" s="646"/>
      <c r="R117" s="646"/>
      <c r="S117" s="646"/>
      <c r="T117" s="646"/>
      <c r="U117" s="646"/>
      <c r="V117" s="646"/>
      <c r="W117" s="646"/>
      <c r="X117" s="646"/>
      <c r="Y117" s="646"/>
      <c r="Z117" s="646"/>
      <c r="AA117" s="646"/>
    </row>
    <row r="118">
      <c r="A118" s="651"/>
      <c r="B118" s="646"/>
      <c r="C118" s="1178"/>
      <c r="D118" s="646"/>
      <c r="E118" s="646"/>
      <c r="F118" s="646"/>
      <c r="G118" s="646"/>
      <c r="H118" s="646"/>
      <c r="I118" s="646"/>
      <c r="J118" s="646"/>
      <c r="K118" s="646"/>
      <c r="L118" s="646"/>
      <c r="M118" s="646"/>
      <c r="N118" s="646"/>
      <c r="O118" s="646"/>
      <c r="P118" s="646"/>
      <c r="Q118" s="646"/>
      <c r="R118" s="646"/>
      <c r="S118" s="646"/>
      <c r="T118" s="646"/>
      <c r="U118" s="646"/>
      <c r="V118" s="646"/>
      <c r="W118" s="646"/>
      <c r="X118" s="646"/>
      <c r="Y118" s="646"/>
      <c r="Z118" s="646"/>
      <c r="AA118" s="646"/>
    </row>
    <row r="119">
      <c r="A119" s="651"/>
      <c r="B119" s="646"/>
      <c r="C119" s="1178"/>
      <c r="D119" s="646"/>
      <c r="E119" s="646"/>
      <c r="F119" s="646"/>
      <c r="G119" s="646"/>
      <c r="H119" s="646"/>
      <c r="I119" s="646"/>
      <c r="J119" s="646"/>
      <c r="K119" s="646"/>
      <c r="L119" s="646"/>
      <c r="M119" s="646"/>
      <c r="N119" s="646"/>
      <c r="O119" s="646"/>
      <c r="P119" s="646"/>
      <c r="Q119" s="646"/>
      <c r="R119" s="646"/>
      <c r="S119" s="646"/>
      <c r="T119" s="646"/>
      <c r="U119" s="646"/>
      <c r="V119" s="646"/>
      <c r="W119" s="646"/>
      <c r="X119" s="646"/>
      <c r="Y119" s="646"/>
      <c r="Z119" s="646"/>
      <c r="AA119" s="646"/>
    </row>
    <row r="120">
      <c r="A120" s="651"/>
      <c r="B120" s="646"/>
      <c r="C120" s="1178"/>
      <c r="D120" s="646"/>
      <c r="E120" s="646"/>
      <c r="F120" s="646"/>
      <c r="G120" s="646"/>
      <c r="H120" s="646"/>
      <c r="I120" s="646"/>
      <c r="J120" s="646"/>
      <c r="K120" s="646"/>
      <c r="L120" s="646"/>
      <c r="M120" s="646"/>
      <c r="N120" s="646"/>
      <c r="O120" s="646"/>
      <c r="P120" s="646"/>
      <c r="Q120" s="646"/>
      <c r="R120" s="646"/>
      <c r="S120" s="646"/>
      <c r="T120" s="646"/>
      <c r="U120" s="646"/>
      <c r="V120" s="646"/>
      <c r="W120" s="646"/>
      <c r="X120" s="646"/>
      <c r="Y120" s="646"/>
      <c r="Z120" s="646"/>
      <c r="AA120" s="646"/>
    </row>
    <row r="121">
      <c r="A121" s="651"/>
      <c r="B121" s="646"/>
      <c r="C121" s="1178"/>
      <c r="D121" s="646"/>
      <c r="E121" s="646"/>
      <c r="F121" s="646"/>
      <c r="G121" s="646"/>
      <c r="H121" s="646"/>
      <c r="I121" s="646"/>
      <c r="J121" s="646"/>
      <c r="K121" s="646"/>
      <c r="L121" s="646"/>
      <c r="M121" s="646"/>
      <c r="N121" s="646"/>
      <c r="O121" s="646"/>
      <c r="P121" s="646"/>
      <c r="Q121" s="646"/>
      <c r="R121" s="646"/>
      <c r="S121" s="646"/>
      <c r="T121" s="646"/>
      <c r="U121" s="646"/>
      <c r="V121" s="646"/>
      <c r="W121" s="646"/>
      <c r="X121" s="646"/>
      <c r="Y121" s="646"/>
      <c r="Z121" s="646"/>
      <c r="AA121" s="646"/>
    </row>
    <row r="122">
      <c r="A122" s="651"/>
      <c r="B122" s="646"/>
      <c r="C122" s="1178"/>
      <c r="D122" s="646"/>
      <c r="E122" s="646"/>
      <c r="F122" s="646"/>
      <c r="G122" s="646"/>
      <c r="H122" s="646"/>
      <c r="I122" s="646"/>
      <c r="J122" s="646"/>
      <c r="K122" s="646"/>
      <c r="L122" s="646"/>
      <c r="M122" s="646"/>
      <c r="N122" s="646"/>
      <c r="O122" s="646"/>
      <c r="P122" s="646"/>
      <c r="Q122" s="646"/>
      <c r="R122" s="646"/>
      <c r="S122" s="646"/>
      <c r="T122" s="646"/>
      <c r="U122" s="646"/>
      <c r="V122" s="646"/>
      <c r="W122" s="646"/>
      <c r="X122" s="646"/>
      <c r="Y122" s="646"/>
      <c r="Z122" s="646"/>
      <c r="AA122" s="646"/>
    </row>
    <row r="123">
      <c r="A123" s="651"/>
      <c r="B123" s="646"/>
      <c r="C123" s="1178"/>
      <c r="D123" s="646"/>
      <c r="E123" s="646"/>
      <c r="F123" s="646"/>
      <c r="G123" s="646"/>
      <c r="H123" s="646"/>
      <c r="I123" s="646"/>
      <c r="J123" s="646"/>
      <c r="K123" s="646"/>
      <c r="L123" s="646"/>
      <c r="M123" s="646"/>
      <c r="N123" s="646"/>
      <c r="O123" s="646"/>
      <c r="P123" s="646"/>
      <c r="Q123" s="646"/>
      <c r="R123" s="646"/>
      <c r="S123" s="646"/>
      <c r="T123" s="646"/>
      <c r="U123" s="646"/>
      <c r="V123" s="646"/>
      <c r="W123" s="646"/>
      <c r="X123" s="646"/>
      <c r="Y123" s="646"/>
      <c r="Z123" s="646"/>
      <c r="AA123" s="646"/>
    </row>
    <row r="124">
      <c r="A124" s="651"/>
      <c r="B124" s="646"/>
      <c r="C124" s="1178"/>
      <c r="D124" s="646"/>
      <c r="E124" s="646"/>
      <c r="F124" s="646"/>
      <c r="G124" s="646"/>
      <c r="H124" s="646"/>
      <c r="I124" s="646"/>
      <c r="J124" s="646"/>
      <c r="K124" s="646"/>
      <c r="L124" s="646"/>
      <c r="M124" s="646"/>
      <c r="N124" s="646"/>
      <c r="O124" s="646"/>
      <c r="P124" s="646"/>
      <c r="Q124" s="646"/>
      <c r="R124" s="646"/>
      <c r="S124" s="646"/>
      <c r="T124" s="646"/>
      <c r="U124" s="646"/>
      <c r="V124" s="646"/>
      <c r="W124" s="646"/>
      <c r="X124" s="646"/>
      <c r="Y124" s="646"/>
      <c r="Z124" s="646"/>
      <c r="AA124" s="646"/>
    </row>
    <row r="125">
      <c r="A125" s="651"/>
      <c r="B125" s="646"/>
      <c r="C125" s="1178"/>
      <c r="D125" s="646"/>
      <c r="E125" s="646"/>
      <c r="F125" s="646"/>
      <c r="G125" s="646"/>
      <c r="H125" s="646"/>
      <c r="I125" s="646"/>
      <c r="J125" s="646"/>
      <c r="K125" s="646"/>
      <c r="L125" s="646"/>
      <c r="M125" s="646"/>
      <c r="N125" s="646"/>
      <c r="O125" s="646"/>
      <c r="P125" s="646"/>
      <c r="Q125" s="646"/>
      <c r="R125" s="646"/>
      <c r="S125" s="646"/>
      <c r="T125" s="646"/>
      <c r="U125" s="646"/>
      <c r="V125" s="646"/>
      <c r="W125" s="646"/>
      <c r="X125" s="646"/>
      <c r="Y125" s="646"/>
      <c r="Z125" s="646"/>
      <c r="AA125" s="646"/>
    </row>
    <row r="126">
      <c r="A126" s="651"/>
      <c r="B126" s="646"/>
      <c r="C126" s="1178"/>
      <c r="D126" s="646"/>
      <c r="E126" s="646"/>
      <c r="F126" s="646"/>
      <c r="G126" s="646"/>
      <c r="H126" s="646"/>
      <c r="I126" s="646"/>
      <c r="J126" s="646"/>
      <c r="K126" s="646"/>
      <c r="L126" s="646"/>
      <c r="M126" s="646"/>
      <c r="N126" s="646"/>
      <c r="O126" s="646"/>
      <c r="P126" s="646"/>
      <c r="Q126" s="646"/>
      <c r="R126" s="646"/>
      <c r="S126" s="646"/>
      <c r="T126" s="646"/>
      <c r="U126" s="646"/>
      <c r="V126" s="646"/>
      <c r="W126" s="646"/>
      <c r="X126" s="646"/>
      <c r="Y126" s="646"/>
      <c r="Z126" s="646"/>
      <c r="AA126" s="646"/>
    </row>
    <row r="127">
      <c r="A127" s="651"/>
      <c r="B127" s="646"/>
      <c r="C127" s="1178"/>
      <c r="D127" s="646"/>
      <c r="E127" s="646"/>
      <c r="F127" s="646"/>
      <c r="G127" s="646"/>
      <c r="H127" s="646"/>
      <c r="I127" s="646"/>
      <c r="J127" s="646"/>
      <c r="K127" s="646"/>
      <c r="L127" s="646"/>
      <c r="M127" s="646"/>
      <c r="N127" s="646"/>
      <c r="O127" s="646"/>
      <c r="P127" s="646"/>
      <c r="Q127" s="646"/>
      <c r="R127" s="646"/>
      <c r="S127" s="646"/>
      <c r="T127" s="646"/>
      <c r="U127" s="646"/>
      <c r="V127" s="646"/>
      <c r="W127" s="646"/>
      <c r="X127" s="646"/>
      <c r="Y127" s="646"/>
      <c r="Z127" s="646"/>
      <c r="AA127" s="646"/>
    </row>
    <row r="128">
      <c r="A128" s="651"/>
      <c r="B128" s="646"/>
      <c r="C128" s="1178"/>
      <c r="D128" s="646"/>
      <c r="E128" s="646"/>
      <c r="F128" s="646"/>
      <c r="G128" s="646"/>
      <c r="H128" s="646"/>
      <c r="I128" s="646"/>
      <c r="J128" s="646"/>
      <c r="K128" s="646"/>
      <c r="L128" s="646"/>
      <c r="M128" s="646"/>
      <c r="N128" s="646"/>
      <c r="O128" s="646"/>
      <c r="P128" s="646"/>
      <c r="Q128" s="646"/>
      <c r="R128" s="646"/>
      <c r="S128" s="646"/>
      <c r="T128" s="646"/>
      <c r="U128" s="646"/>
      <c r="V128" s="646"/>
      <c r="W128" s="646"/>
      <c r="X128" s="646"/>
      <c r="Y128" s="646"/>
      <c r="Z128" s="646"/>
      <c r="AA128" s="646"/>
    </row>
    <row r="129">
      <c r="A129" s="651"/>
      <c r="B129" s="646"/>
      <c r="C129" s="1178"/>
      <c r="D129" s="646"/>
      <c r="E129" s="646"/>
      <c r="F129" s="646"/>
      <c r="G129" s="646"/>
      <c r="H129" s="646"/>
      <c r="I129" s="646"/>
      <c r="J129" s="646"/>
      <c r="K129" s="646"/>
      <c r="L129" s="646"/>
      <c r="M129" s="646"/>
      <c r="N129" s="646"/>
      <c r="O129" s="646"/>
      <c r="P129" s="646"/>
      <c r="Q129" s="646"/>
      <c r="R129" s="646"/>
      <c r="S129" s="646"/>
      <c r="T129" s="646"/>
      <c r="U129" s="646"/>
      <c r="V129" s="646"/>
      <c r="W129" s="646"/>
      <c r="X129" s="646"/>
      <c r="Y129" s="646"/>
      <c r="Z129" s="646"/>
      <c r="AA129" s="646"/>
    </row>
    <row r="130">
      <c r="A130" s="651"/>
      <c r="B130" s="646"/>
      <c r="C130" s="1178"/>
      <c r="D130" s="646"/>
      <c r="E130" s="646"/>
      <c r="F130" s="646"/>
      <c r="G130" s="646"/>
      <c r="H130" s="646"/>
      <c r="I130" s="646"/>
      <c r="J130" s="646"/>
      <c r="K130" s="646"/>
      <c r="L130" s="646"/>
      <c r="M130" s="646"/>
      <c r="N130" s="646"/>
      <c r="O130" s="646"/>
      <c r="P130" s="646"/>
      <c r="Q130" s="646"/>
      <c r="R130" s="646"/>
      <c r="S130" s="646"/>
      <c r="T130" s="646"/>
      <c r="U130" s="646"/>
      <c r="V130" s="646"/>
      <c r="W130" s="646"/>
      <c r="X130" s="646"/>
      <c r="Y130" s="646"/>
      <c r="Z130" s="646"/>
      <c r="AA130" s="646"/>
    </row>
    <row r="131">
      <c r="A131" s="651"/>
      <c r="B131" s="646"/>
      <c r="C131" s="1178"/>
      <c r="D131" s="646"/>
      <c r="E131" s="646"/>
      <c r="F131" s="646"/>
      <c r="G131" s="646"/>
      <c r="H131" s="646"/>
      <c r="I131" s="646"/>
      <c r="J131" s="646"/>
      <c r="K131" s="646"/>
      <c r="L131" s="646"/>
      <c r="M131" s="646"/>
      <c r="N131" s="646"/>
      <c r="O131" s="646"/>
      <c r="P131" s="646"/>
      <c r="Q131" s="646"/>
      <c r="R131" s="646"/>
      <c r="S131" s="646"/>
      <c r="T131" s="646"/>
      <c r="U131" s="646"/>
      <c r="V131" s="646"/>
      <c r="W131" s="646"/>
      <c r="X131" s="646"/>
      <c r="Y131" s="646"/>
      <c r="Z131" s="646"/>
      <c r="AA131" s="646"/>
    </row>
    <row r="132">
      <c r="A132" s="651"/>
      <c r="B132" s="646"/>
      <c r="C132" s="1178"/>
      <c r="D132" s="646"/>
      <c r="E132" s="646"/>
      <c r="F132" s="646"/>
      <c r="G132" s="646"/>
      <c r="H132" s="646"/>
      <c r="I132" s="646"/>
      <c r="J132" s="646"/>
      <c r="K132" s="646"/>
      <c r="L132" s="646"/>
      <c r="M132" s="646"/>
      <c r="N132" s="646"/>
      <c r="O132" s="646"/>
      <c r="P132" s="646"/>
      <c r="Q132" s="646"/>
      <c r="R132" s="646"/>
      <c r="S132" s="646"/>
      <c r="T132" s="646"/>
      <c r="U132" s="646"/>
      <c r="V132" s="646"/>
      <c r="W132" s="646"/>
      <c r="X132" s="646"/>
      <c r="Y132" s="646"/>
      <c r="Z132" s="646"/>
      <c r="AA132" s="646"/>
    </row>
    <row r="133">
      <c r="A133" s="651"/>
      <c r="B133" s="646"/>
      <c r="C133" s="1178"/>
      <c r="D133" s="646"/>
      <c r="E133" s="646"/>
      <c r="F133" s="646"/>
      <c r="G133" s="646"/>
      <c r="H133" s="646"/>
      <c r="I133" s="646"/>
      <c r="J133" s="646"/>
      <c r="K133" s="646"/>
      <c r="L133" s="646"/>
      <c r="M133" s="646"/>
      <c r="N133" s="646"/>
      <c r="O133" s="646"/>
      <c r="P133" s="646"/>
      <c r="Q133" s="646"/>
      <c r="R133" s="646"/>
      <c r="S133" s="646"/>
      <c r="T133" s="646"/>
      <c r="U133" s="646"/>
      <c r="V133" s="646"/>
      <c r="W133" s="646"/>
      <c r="X133" s="646"/>
      <c r="Y133" s="646"/>
      <c r="Z133" s="646"/>
      <c r="AA133" s="646"/>
    </row>
    <row r="134">
      <c r="A134" s="651"/>
      <c r="B134" s="646"/>
      <c r="C134" s="1178"/>
      <c r="D134" s="646"/>
      <c r="E134" s="646"/>
      <c r="F134" s="646"/>
      <c r="G134" s="646"/>
      <c r="H134" s="646"/>
      <c r="I134" s="646"/>
      <c r="J134" s="646"/>
      <c r="K134" s="646"/>
      <c r="L134" s="646"/>
      <c r="M134" s="646"/>
      <c r="N134" s="646"/>
      <c r="O134" s="646"/>
      <c r="P134" s="646"/>
      <c r="Q134" s="646"/>
      <c r="R134" s="646"/>
      <c r="S134" s="646"/>
      <c r="T134" s="646"/>
      <c r="U134" s="646"/>
      <c r="V134" s="646"/>
      <c r="W134" s="646"/>
      <c r="X134" s="646"/>
      <c r="Y134" s="646"/>
      <c r="Z134" s="646"/>
      <c r="AA134" s="646"/>
    </row>
    <row r="135">
      <c r="A135" s="651"/>
      <c r="B135" s="646"/>
      <c r="C135" s="1178"/>
      <c r="D135" s="646"/>
      <c r="E135" s="646"/>
      <c r="F135" s="646"/>
      <c r="G135" s="646"/>
      <c r="H135" s="646"/>
      <c r="I135" s="646"/>
      <c r="J135" s="646"/>
      <c r="K135" s="646"/>
      <c r="L135" s="646"/>
      <c r="M135" s="646"/>
      <c r="N135" s="646"/>
      <c r="O135" s="646"/>
      <c r="P135" s="646"/>
      <c r="Q135" s="646"/>
      <c r="R135" s="646"/>
      <c r="S135" s="646"/>
      <c r="T135" s="646"/>
      <c r="U135" s="646"/>
      <c r="V135" s="646"/>
      <c r="W135" s="646"/>
      <c r="X135" s="646"/>
      <c r="Y135" s="646"/>
      <c r="Z135" s="646"/>
      <c r="AA135" s="646"/>
    </row>
    <row r="136">
      <c r="A136" s="651"/>
      <c r="B136" s="646"/>
      <c r="C136" s="1178"/>
      <c r="D136" s="646"/>
      <c r="E136" s="646"/>
      <c r="F136" s="646"/>
      <c r="G136" s="646"/>
      <c r="H136" s="646"/>
      <c r="I136" s="646"/>
      <c r="J136" s="646"/>
      <c r="K136" s="646"/>
      <c r="L136" s="646"/>
      <c r="M136" s="646"/>
      <c r="N136" s="646"/>
      <c r="O136" s="646"/>
      <c r="P136" s="646"/>
      <c r="Q136" s="646"/>
      <c r="R136" s="646"/>
      <c r="S136" s="646"/>
      <c r="T136" s="646"/>
      <c r="U136" s="646"/>
      <c r="V136" s="646"/>
      <c r="W136" s="646"/>
      <c r="X136" s="646"/>
      <c r="Y136" s="646"/>
      <c r="Z136" s="646"/>
      <c r="AA136" s="646"/>
    </row>
    <row r="137">
      <c r="A137" s="651"/>
      <c r="B137" s="646"/>
      <c r="C137" s="1178"/>
      <c r="D137" s="646"/>
      <c r="E137" s="646"/>
      <c r="F137" s="646"/>
      <c r="G137" s="646"/>
      <c r="H137" s="646"/>
      <c r="I137" s="646"/>
      <c r="J137" s="646"/>
      <c r="K137" s="646"/>
      <c r="L137" s="646"/>
      <c r="M137" s="646"/>
      <c r="N137" s="646"/>
      <c r="O137" s="646"/>
      <c r="P137" s="646"/>
      <c r="Q137" s="646"/>
      <c r="R137" s="646"/>
      <c r="S137" s="646"/>
      <c r="T137" s="646"/>
      <c r="U137" s="646"/>
      <c r="V137" s="646"/>
      <c r="W137" s="646"/>
      <c r="X137" s="646"/>
      <c r="Y137" s="646"/>
      <c r="Z137" s="646"/>
      <c r="AA137" s="646"/>
    </row>
    <row r="138">
      <c r="A138" s="651"/>
      <c r="B138" s="646"/>
      <c r="C138" s="1178"/>
      <c r="D138" s="646"/>
      <c r="E138" s="646"/>
      <c r="F138" s="646"/>
      <c r="G138" s="646"/>
      <c r="H138" s="646"/>
      <c r="I138" s="646"/>
      <c r="J138" s="646"/>
      <c r="K138" s="646"/>
      <c r="L138" s="646"/>
      <c r="M138" s="646"/>
      <c r="N138" s="646"/>
      <c r="O138" s="646"/>
      <c r="P138" s="646"/>
      <c r="Q138" s="646"/>
      <c r="R138" s="646"/>
      <c r="S138" s="646"/>
      <c r="T138" s="646"/>
      <c r="U138" s="646"/>
      <c r="V138" s="646"/>
      <c r="W138" s="646"/>
      <c r="X138" s="646"/>
      <c r="Y138" s="646"/>
      <c r="Z138" s="646"/>
      <c r="AA138" s="646"/>
    </row>
    <row r="139">
      <c r="A139" s="651"/>
      <c r="B139" s="646"/>
      <c r="C139" s="1178"/>
      <c r="D139" s="646"/>
      <c r="E139" s="646"/>
      <c r="F139" s="646"/>
      <c r="G139" s="646"/>
      <c r="H139" s="646"/>
      <c r="I139" s="646"/>
      <c r="J139" s="646"/>
      <c r="K139" s="646"/>
      <c r="L139" s="646"/>
      <c r="M139" s="646"/>
      <c r="N139" s="646"/>
      <c r="O139" s="646"/>
      <c r="P139" s="646"/>
      <c r="Q139" s="646"/>
      <c r="R139" s="646"/>
      <c r="S139" s="646"/>
      <c r="T139" s="646"/>
      <c r="U139" s="646"/>
      <c r="V139" s="646"/>
      <c r="W139" s="646"/>
      <c r="X139" s="646"/>
      <c r="Y139" s="646"/>
      <c r="Z139" s="646"/>
      <c r="AA139" s="646"/>
    </row>
    <row r="140">
      <c r="A140" s="651"/>
      <c r="B140" s="646"/>
      <c r="C140" s="1178"/>
      <c r="D140" s="646"/>
      <c r="E140" s="646"/>
      <c r="F140" s="646"/>
      <c r="G140" s="646"/>
      <c r="H140" s="646"/>
      <c r="I140" s="646"/>
      <c r="J140" s="646"/>
      <c r="K140" s="646"/>
      <c r="L140" s="646"/>
      <c r="M140" s="646"/>
      <c r="N140" s="646"/>
      <c r="O140" s="646"/>
      <c r="P140" s="646"/>
      <c r="Q140" s="646"/>
      <c r="R140" s="646"/>
      <c r="S140" s="646"/>
      <c r="T140" s="646"/>
      <c r="U140" s="646"/>
      <c r="V140" s="646"/>
      <c r="W140" s="646"/>
      <c r="X140" s="646"/>
      <c r="Y140" s="646"/>
      <c r="Z140" s="646"/>
      <c r="AA140" s="646"/>
    </row>
    <row r="141">
      <c r="A141" s="651"/>
      <c r="B141" s="646"/>
      <c r="C141" s="1178"/>
      <c r="D141" s="646"/>
      <c r="E141" s="646"/>
      <c r="F141" s="646"/>
      <c r="G141" s="646"/>
      <c r="H141" s="646"/>
      <c r="I141" s="646"/>
      <c r="J141" s="646"/>
      <c r="K141" s="646"/>
      <c r="L141" s="646"/>
      <c r="M141" s="646"/>
      <c r="N141" s="646"/>
      <c r="O141" s="646"/>
      <c r="P141" s="646"/>
      <c r="Q141" s="646"/>
      <c r="R141" s="646"/>
      <c r="S141" s="646"/>
      <c r="T141" s="646"/>
      <c r="U141" s="646"/>
      <c r="V141" s="646"/>
      <c r="W141" s="646"/>
      <c r="X141" s="646"/>
      <c r="Y141" s="646"/>
      <c r="Z141" s="646"/>
      <c r="AA141" s="646"/>
    </row>
    <row r="142">
      <c r="A142" s="651"/>
      <c r="B142" s="646"/>
      <c r="C142" s="1178"/>
      <c r="D142" s="646"/>
      <c r="E142" s="646"/>
      <c r="F142" s="646"/>
      <c r="G142" s="646"/>
      <c r="H142" s="646"/>
      <c r="I142" s="646"/>
      <c r="J142" s="646"/>
      <c r="K142" s="646"/>
      <c r="L142" s="646"/>
      <c r="M142" s="646"/>
      <c r="N142" s="646"/>
      <c r="O142" s="646"/>
      <c r="P142" s="646"/>
      <c r="Q142" s="646"/>
      <c r="R142" s="646"/>
      <c r="S142" s="646"/>
      <c r="T142" s="646"/>
      <c r="U142" s="646"/>
      <c r="V142" s="646"/>
      <c r="W142" s="646"/>
      <c r="X142" s="646"/>
      <c r="Y142" s="646"/>
      <c r="Z142" s="646"/>
      <c r="AA142" s="646"/>
    </row>
    <row r="143">
      <c r="A143" s="651"/>
      <c r="B143" s="646"/>
      <c r="C143" s="1178"/>
      <c r="D143" s="646"/>
      <c r="E143" s="646"/>
      <c r="F143" s="646"/>
      <c r="G143" s="646"/>
      <c r="H143" s="646"/>
      <c r="I143" s="646"/>
      <c r="J143" s="646"/>
      <c r="K143" s="646"/>
      <c r="L143" s="646"/>
      <c r="M143" s="646"/>
      <c r="N143" s="646"/>
      <c r="O143" s="646"/>
      <c r="P143" s="646"/>
      <c r="Q143" s="646"/>
      <c r="R143" s="646"/>
      <c r="S143" s="646"/>
      <c r="T143" s="646"/>
      <c r="U143" s="646"/>
      <c r="V143" s="646"/>
      <c r="W143" s="646"/>
      <c r="X143" s="646"/>
      <c r="Y143" s="646"/>
      <c r="Z143" s="646"/>
      <c r="AA143" s="646"/>
    </row>
    <row r="144">
      <c r="A144" s="651"/>
      <c r="B144" s="646"/>
      <c r="C144" s="1178"/>
      <c r="D144" s="646"/>
      <c r="E144" s="646"/>
      <c r="F144" s="646"/>
      <c r="G144" s="646"/>
      <c r="H144" s="646"/>
      <c r="I144" s="646"/>
      <c r="J144" s="646"/>
      <c r="K144" s="646"/>
      <c r="L144" s="646"/>
      <c r="M144" s="646"/>
      <c r="N144" s="646"/>
      <c r="O144" s="646"/>
      <c r="P144" s="646"/>
      <c r="Q144" s="646"/>
      <c r="R144" s="646"/>
      <c r="S144" s="646"/>
      <c r="T144" s="646"/>
      <c r="U144" s="646"/>
      <c r="V144" s="646"/>
      <c r="W144" s="646"/>
      <c r="X144" s="646"/>
      <c r="Y144" s="646"/>
      <c r="Z144" s="646"/>
      <c r="AA144" s="646"/>
    </row>
    <row r="145">
      <c r="A145" s="651"/>
      <c r="B145" s="646"/>
      <c r="C145" s="1178"/>
      <c r="D145" s="646"/>
      <c r="E145" s="646"/>
      <c r="F145" s="646"/>
      <c r="G145" s="646"/>
      <c r="H145" s="646"/>
      <c r="I145" s="646"/>
      <c r="J145" s="646"/>
      <c r="K145" s="646"/>
      <c r="L145" s="646"/>
      <c r="M145" s="646"/>
      <c r="N145" s="646"/>
      <c r="O145" s="646"/>
      <c r="P145" s="646"/>
      <c r="Q145" s="646"/>
      <c r="R145" s="646"/>
      <c r="S145" s="646"/>
      <c r="T145" s="646"/>
      <c r="U145" s="646"/>
      <c r="V145" s="646"/>
      <c r="W145" s="646"/>
      <c r="X145" s="646"/>
      <c r="Y145" s="646"/>
      <c r="Z145" s="646"/>
      <c r="AA145" s="646"/>
    </row>
    <row r="146">
      <c r="A146" s="651"/>
      <c r="B146" s="646"/>
      <c r="C146" s="1178"/>
      <c r="D146" s="646"/>
      <c r="E146" s="646"/>
      <c r="F146" s="646"/>
      <c r="G146" s="646"/>
      <c r="H146" s="646"/>
      <c r="I146" s="646"/>
      <c r="J146" s="646"/>
      <c r="K146" s="646"/>
      <c r="L146" s="646"/>
      <c r="M146" s="646"/>
      <c r="N146" s="646"/>
      <c r="O146" s="646"/>
      <c r="P146" s="646"/>
      <c r="Q146" s="646"/>
      <c r="R146" s="646"/>
      <c r="S146" s="646"/>
      <c r="T146" s="646"/>
      <c r="U146" s="646"/>
      <c r="V146" s="646"/>
      <c r="W146" s="646"/>
      <c r="X146" s="646"/>
      <c r="Y146" s="646"/>
      <c r="Z146" s="646"/>
      <c r="AA146" s="646"/>
    </row>
    <row r="147">
      <c r="A147" s="651"/>
      <c r="B147" s="646"/>
      <c r="C147" s="1178"/>
      <c r="D147" s="646"/>
      <c r="E147" s="646"/>
      <c r="F147" s="646"/>
      <c r="G147" s="646"/>
      <c r="H147" s="646"/>
      <c r="I147" s="646"/>
      <c r="J147" s="646"/>
      <c r="K147" s="646"/>
      <c r="L147" s="646"/>
      <c r="M147" s="646"/>
      <c r="N147" s="646"/>
      <c r="O147" s="646"/>
      <c r="P147" s="646"/>
      <c r="Q147" s="646"/>
      <c r="R147" s="646"/>
      <c r="S147" s="646"/>
      <c r="T147" s="646"/>
      <c r="U147" s="646"/>
      <c r="V147" s="646"/>
      <c r="W147" s="646"/>
      <c r="X147" s="646"/>
      <c r="Y147" s="646"/>
      <c r="Z147" s="646"/>
      <c r="AA147" s="646"/>
    </row>
    <row r="148">
      <c r="A148" s="651"/>
      <c r="B148" s="646"/>
      <c r="C148" s="1178"/>
      <c r="D148" s="646"/>
      <c r="E148" s="646"/>
      <c r="F148" s="646"/>
      <c r="G148" s="646"/>
      <c r="H148" s="646"/>
      <c r="I148" s="646"/>
      <c r="J148" s="646"/>
      <c r="K148" s="646"/>
      <c r="L148" s="646"/>
      <c r="M148" s="646"/>
      <c r="N148" s="646"/>
      <c r="O148" s="646"/>
      <c r="P148" s="646"/>
      <c r="Q148" s="646"/>
      <c r="R148" s="646"/>
      <c r="S148" s="646"/>
      <c r="T148" s="646"/>
      <c r="U148" s="646"/>
      <c r="V148" s="646"/>
      <c r="W148" s="646"/>
      <c r="X148" s="646"/>
      <c r="Y148" s="646"/>
      <c r="Z148" s="646"/>
      <c r="AA148" s="646"/>
    </row>
    <row r="149">
      <c r="A149" s="651"/>
      <c r="B149" s="646"/>
      <c r="C149" s="1178"/>
      <c r="D149" s="646"/>
      <c r="E149" s="646"/>
      <c r="F149" s="646"/>
      <c r="G149" s="646"/>
      <c r="H149" s="646"/>
      <c r="I149" s="646"/>
      <c r="J149" s="646"/>
      <c r="K149" s="646"/>
      <c r="L149" s="646"/>
      <c r="M149" s="646"/>
      <c r="N149" s="646"/>
      <c r="O149" s="646"/>
      <c r="P149" s="646"/>
      <c r="Q149" s="646"/>
      <c r="R149" s="646"/>
      <c r="S149" s="646"/>
      <c r="T149" s="646"/>
      <c r="U149" s="646"/>
      <c r="V149" s="646"/>
      <c r="W149" s="646"/>
      <c r="X149" s="646"/>
      <c r="Y149" s="646"/>
      <c r="Z149" s="646"/>
      <c r="AA149" s="646"/>
    </row>
    <row r="150">
      <c r="A150" s="651"/>
      <c r="B150" s="646"/>
      <c r="C150" s="1178"/>
      <c r="D150" s="646"/>
      <c r="E150" s="646"/>
      <c r="F150" s="646"/>
      <c r="G150" s="646"/>
      <c r="H150" s="646"/>
      <c r="I150" s="646"/>
      <c r="J150" s="646"/>
      <c r="K150" s="646"/>
      <c r="L150" s="646"/>
      <c r="M150" s="646"/>
      <c r="N150" s="646"/>
      <c r="O150" s="646"/>
      <c r="P150" s="646"/>
      <c r="Q150" s="646"/>
      <c r="R150" s="646"/>
      <c r="S150" s="646"/>
      <c r="T150" s="646"/>
      <c r="U150" s="646"/>
      <c r="V150" s="646"/>
      <c r="W150" s="646"/>
      <c r="X150" s="646"/>
      <c r="Y150" s="646"/>
      <c r="Z150" s="646"/>
      <c r="AA150" s="646"/>
    </row>
    <row r="151">
      <c r="A151" s="651"/>
      <c r="B151" s="646"/>
      <c r="C151" s="1178"/>
      <c r="D151" s="646"/>
      <c r="E151" s="646"/>
      <c r="F151" s="646"/>
      <c r="G151" s="646"/>
      <c r="H151" s="646"/>
      <c r="I151" s="646"/>
      <c r="J151" s="646"/>
      <c r="K151" s="646"/>
      <c r="L151" s="646"/>
      <c r="M151" s="646"/>
      <c r="N151" s="646"/>
      <c r="O151" s="646"/>
      <c r="P151" s="646"/>
      <c r="Q151" s="646"/>
      <c r="R151" s="646"/>
      <c r="S151" s="646"/>
      <c r="T151" s="646"/>
      <c r="U151" s="646"/>
      <c r="V151" s="646"/>
      <c r="W151" s="646"/>
      <c r="X151" s="646"/>
      <c r="Y151" s="646"/>
      <c r="Z151" s="646"/>
      <c r="AA151" s="646"/>
    </row>
    <row r="152">
      <c r="A152" s="651"/>
      <c r="B152" s="646"/>
      <c r="C152" s="1178"/>
      <c r="D152" s="646"/>
      <c r="E152" s="646"/>
      <c r="F152" s="646"/>
      <c r="G152" s="646"/>
      <c r="H152" s="646"/>
      <c r="I152" s="646"/>
      <c r="J152" s="646"/>
      <c r="K152" s="646"/>
      <c r="L152" s="646"/>
      <c r="M152" s="646"/>
      <c r="N152" s="646"/>
      <c r="O152" s="646"/>
      <c r="P152" s="646"/>
      <c r="Q152" s="646"/>
      <c r="R152" s="646"/>
      <c r="S152" s="646"/>
      <c r="T152" s="646"/>
      <c r="U152" s="646"/>
      <c r="V152" s="646"/>
      <c r="W152" s="646"/>
      <c r="X152" s="646"/>
      <c r="Y152" s="646"/>
      <c r="Z152" s="646"/>
      <c r="AA152" s="646"/>
    </row>
    <row r="153">
      <c r="A153" s="651"/>
      <c r="B153" s="646"/>
      <c r="C153" s="1178"/>
      <c r="D153" s="646"/>
      <c r="E153" s="646"/>
      <c r="F153" s="646"/>
      <c r="G153" s="646"/>
      <c r="H153" s="646"/>
      <c r="I153" s="646"/>
      <c r="J153" s="646"/>
      <c r="K153" s="646"/>
      <c r="L153" s="646"/>
      <c r="M153" s="646"/>
      <c r="N153" s="646"/>
      <c r="O153" s="646"/>
      <c r="P153" s="646"/>
      <c r="Q153" s="646"/>
      <c r="R153" s="646"/>
      <c r="S153" s="646"/>
      <c r="T153" s="646"/>
      <c r="U153" s="646"/>
      <c r="V153" s="646"/>
      <c r="W153" s="646"/>
      <c r="X153" s="646"/>
      <c r="Y153" s="646"/>
      <c r="Z153" s="646"/>
      <c r="AA153" s="646"/>
    </row>
    <row r="154">
      <c r="A154" s="651"/>
      <c r="B154" s="646"/>
      <c r="C154" s="1178"/>
      <c r="D154" s="646"/>
      <c r="E154" s="646"/>
      <c r="F154" s="646"/>
      <c r="G154" s="646"/>
      <c r="H154" s="646"/>
      <c r="I154" s="646"/>
      <c r="J154" s="646"/>
      <c r="K154" s="646"/>
      <c r="L154" s="646"/>
      <c r="M154" s="646"/>
      <c r="N154" s="646"/>
      <c r="O154" s="646"/>
      <c r="P154" s="646"/>
      <c r="Q154" s="646"/>
      <c r="R154" s="646"/>
      <c r="S154" s="646"/>
      <c r="T154" s="646"/>
      <c r="U154" s="646"/>
      <c r="V154" s="646"/>
      <c r="W154" s="646"/>
      <c r="X154" s="646"/>
      <c r="Y154" s="646"/>
      <c r="Z154" s="646"/>
      <c r="AA154" s="646"/>
    </row>
    <row r="155">
      <c r="A155" s="651"/>
      <c r="B155" s="646"/>
      <c r="C155" s="1178"/>
      <c r="D155" s="646"/>
      <c r="E155" s="646"/>
      <c r="F155" s="646"/>
      <c r="G155" s="646"/>
      <c r="H155" s="646"/>
      <c r="I155" s="646"/>
      <c r="J155" s="646"/>
      <c r="K155" s="646"/>
      <c r="L155" s="646"/>
      <c r="M155" s="646"/>
      <c r="N155" s="646"/>
      <c r="O155" s="646"/>
      <c r="P155" s="646"/>
      <c r="Q155" s="646"/>
      <c r="R155" s="646"/>
      <c r="S155" s="646"/>
      <c r="T155" s="646"/>
      <c r="U155" s="646"/>
      <c r="V155" s="646"/>
      <c r="W155" s="646"/>
      <c r="X155" s="646"/>
      <c r="Y155" s="646"/>
      <c r="Z155" s="646"/>
      <c r="AA155" s="646"/>
    </row>
    <row r="156">
      <c r="A156" s="651"/>
      <c r="B156" s="646"/>
      <c r="C156" s="1178"/>
      <c r="D156" s="646"/>
      <c r="E156" s="646"/>
      <c r="F156" s="646"/>
      <c r="G156" s="646"/>
      <c r="H156" s="646"/>
      <c r="I156" s="646"/>
      <c r="J156" s="646"/>
      <c r="K156" s="646"/>
      <c r="L156" s="646"/>
      <c r="M156" s="646"/>
      <c r="N156" s="646"/>
      <c r="O156" s="646"/>
      <c r="P156" s="646"/>
      <c r="Q156" s="646"/>
      <c r="R156" s="646"/>
      <c r="S156" s="646"/>
      <c r="T156" s="646"/>
      <c r="U156" s="646"/>
      <c r="V156" s="646"/>
      <c r="W156" s="646"/>
      <c r="X156" s="646"/>
      <c r="Y156" s="646"/>
      <c r="Z156" s="646"/>
      <c r="AA156" s="646"/>
    </row>
    <row r="157">
      <c r="A157" s="651"/>
      <c r="B157" s="646"/>
      <c r="C157" s="1178"/>
      <c r="D157" s="646"/>
      <c r="E157" s="646"/>
      <c r="F157" s="646"/>
      <c r="G157" s="646"/>
      <c r="H157" s="646"/>
      <c r="I157" s="646"/>
      <c r="J157" s="646"/>
      <c r="K157" s="646"/>
      <c r="L157" s="646"/>
      <c r="M157" s="646"/>
      <c r="N157" s="646"/>
      <c r="O157" s="646"/>
      <c r="P157" s="646"/>
      <c r="Q157" s="646"/>
      <c r="R157" s="646"/>
      <c r="S157" s="646"/>
      <c r="T157" s="646"/>
      <c r="U157" s="646"/>
      <c r="V157" s="646"/>
      <c r="W157" s="646"/>
      <c r="X157" s="646"/>
      <c r="Y157" s="646"/>
      <c r="Z157" s="646"/>
      <c r="AA157" s="646"/>
    </row>
    <row r="158">
      <c r="A158" s="651"/>
      <c r="B158" s="646"/>
      <c r="C158" s="1178"/>
      <c r="D158" s="646"/>
      <c r="E158" s="646"/>
      <c r="F158" s="646"/>
      <c r="G158" s="646"/>
      <c r="H158" s="646"/>
      <c r="I158" s="646"/>
      <c r="J158" s="646"/>
      <c r="K158" s="646"/>
      <c r="L158" s="646"/>
      <c r="M158" s="646"/>
      <c r="N158" s="646"/>
      <c r="O158" s="646"/>
      <c r="P158" s="646"/>
      <c r="Q158" s="646"/>
      <c r="R158" s="646"/>
      <c r="S158" s="646"/>
      <c r="T158" s="646"/>
      <c r="U158" s="646"/>
      <c r="V158" s="646"/>
      <c r="W158" s="646"/>
      <c r="X158" s="646"/>
      <c r="Y158" s="646"/>
      <c r="Z158" s="646"/>
      <c r="AA158" s="646"/>
    </row>
    <row r="159">
      <c r="A159" s="651"/>
      <c r="B159" s="646"/>
      <c r="C159" s="1178"/>
      <c r="D159" s="646"/>
      <c r="E159" s="646"/>
      <c r="F159" s="646"/>
      <c r="G159" s="646"/>
      <c r="H159" s="646"/>
      <c r="I159" s="646"/>
      <c r="J159" s="646"/>
      <c r="K159" s="646"/>
      <c r="L159" s="646"/>
      <c r="M159" s="646"/>
      <c r="N159" s="646"/>
      <c r="O159" s="646"/>
      <c r="P159" s="646"/>
      <c r="Q159" s="646"/>
      <c r="R159" s="646"/>
      <c r="S159" s="646"/>
      <c r="T159" s="646"/>
      <c r="U159" s="646"/>
      <c r="V159" s="646"/>
      <c r="W159" s="646"/>
      <c r="X159" s="646"/>
      <c r="Y159" s="646"/>
      <c r="Z159" s="646"/>
      <c r="AA159" s="646"/>
    </row>
    <row r="160">
      <c r="A160" s="651"/>
      <c r="B160" s="646"/>
      <c r="C160" s="1178"/>
      <c r="D160" s="646"/>
      <c r="E160" s="646"/>
      <c r="F160" s="646"/>
      <c r="G160" s="646"/>
      <c r="H160" s="646"/>
      <c r="I160" s="646"/>
      <c r="J160" s="646"/>
      <c r="K160" s="646"/>
      <c r="L160" s="646"/>
      <c r="M160" s="646"/>
      <c r="N160" s="646"/>
      <c r="O160" s="646"/>
      <c r="P160" s="646"/>
      <c r="Q160" s="646"/>
      <c r="R160" s="646"/>
      <c r="S160" s="646"/>
      <c r="T160" s="646"/>
      <c r="U160" s="646"/>
      <c r="V160" s="646"/>
      <c r="W160" s="646"/>
      <c r="X160" s="646"/>
      <c r="Y160" s="646"/>
      <c r="Z160" s="646"/>
      <c r="AA160" s="646"/>
    </row>
    <row r="161">
      <c r="A161" s="651"/>
      <c r="B161" s="646"/>
      <c r="C161" s="1178"/>
      <c r="D161" s="646"/>
      <c r="E161" s="646"/>
      <c r="F161" s="646"/>
      <c r="G161" s="646"/>
      <c r="H161" s="646"/>
      <c r="I161" s="646"/>
      <c r="J161" s="646"/>
      <c r="K161" s="646"/>
      <c r="L161" s="646"/>
      <c r="M161" s="646"/>
      <c r="N161" s="646"/>
      <c r="O161" s="646"/>
      <c r="P161" s="646"/>
      <c r="Q161" s="646"/>
      <c r="R161" s="646"/>
      <c r="S161" s="646"/>
      <c r="T161" s="646"/>
      <c r="U161" s="646"/>
      <c r="V161" s="646"/>
      <c r="W161" s="646"/>
      <c r="X161" s="646"/>
      <c r="Y161" s="646"/>
      <c r="Z161" s="646"/>
      <c r="AA161" s="646"/>
    </row>
    <row r="162">
      <c r="A162" s="651"/>
      <c r="B162" s="646"/>
      <c r="C162" s="1178"/>
      <c r="D162" s="646"/>
      <c r="E162" s="646"/>
      <c r="F162" s="646"/>
      <c r="G162" s="646"/>
      <c r="H162" s="646"/>
      <c r="I162" s="646"/>
      <c r="J162" s="646"/>
      <c r="K162" s="646"/>
      <c r="L162" s="646"/>
      <c r="M162" s="646"/>
      <c r="N162" s="646"/>
      <c r="O162" s="646"/>
      <c r="P162" s="646"/>
      <c r="Q162" s="646"/>
      <c r="R162" s="646"/>
      <c r="S162" s="646"/>
      <c r="T162" s="646"/>
      <c r="U162" s="646"/>
      <c r="V162" s="646"/>
      <c r="W162" s="646"/>
      <c r="X162" s="646"/>
      <c r="Y162" s="646"/>
      <c r="Z162" s="646"/>
      <c r="AA162" s="646"/>
    </row>
    <row r="163">
      <c r="A163" s="651"/>
      <c r="B163" s="646"/>
      <c r="C163" s="1178"/>
      <c r="D163" s="646"/>
      <c r="E163" s="646"/>
      <c r="F163" s="646"/>
      <c r="G163" s="646"/>
      <c r="H163" s="646"/>
      <c r="I163" s="646"/>
      <c r="J163" s="646"/>
      <c r="K163" s="646"/>
      <c r="L163" s="646"/>
      <c r="M163" s="646"/>
      <c r="N163" s="646"/>
      <c r="O163" s="646"/>
      <c r="P163" s="646"/>
      <c r="Q163" s="646"/>
      <c r="R163" s="646"/>
      <c r="S163" s="646"/>
      <c r="T163" s="646"/>
      <c r="U163" s="646"/>
      <c r="V163" s="646"/>
      <c r="W163" s="646"/>
      <c r="X163" s="646"/>
      <c r="Y163" s="646"/>
      <c r="Z163" s="646"/>
      <c r="AA163" s="646"/>
    </row>
    <row r="164">
      <c r="A164" s="651"/>
      <c r="B164" s="646"/>
      <c r="C164" s="1178"/>
      <c r="D164" s="646"/>
      <c r="E164" s="646"/>
      <c r="F164" s="646"/>
      <c r="G164" s="646"/>
      <c r="H164" s="646"/>
      <c r="I164" s="646"/>
      <c r="J164" s="646"/>
      <c r="K164" s="646"/>
      <c r="L164" s="646"/>
      <c r="M164" s="646"/>
      <c r="N164" s="646"/>
      <c r="O164" s="646"/>
      <c r="P164" s="646"/>
      <c r="Q164" s="646"/>
      <c r="R164" s="646"/>
      <c r="S164" s="646"/>
      <c r="T164" s="646"/>
      <c r="U164" s="646"/>
      <c r="V164" s="646"/>
      <c r="W164" s="646"/>
      <c r="X164" s="646"/>
      <c r="Y164" s="646"/>
      <c r="Z164" s="646"/>
      <c r="AA164" s="646"/>
    </row>
    <row r="165">
      <c r="A165" s="651"/>
      <c r="B165" s="646"/>
      <c r="C165" s="1178"/>
      <c r="D165" s="646"/>
      <c r="E165" s="646"/>
      <c r="F165" s="646"/>
      <c r="G165" s="646"/>
      <c r="H165" s="646"/>
      <c r="I165" s="646"/>
      <c r="J165" s="646"/>
      <c r="K165" s="646"/>
      <c r="L165" s="646"/>
      <c r="M165" s="646"/>
      <c r="N165" s="646"/>
      <c r="O165" s="646"/>
      <c r="P165" s="646"/>
      <c r="Q165" s="646"/>
      <c r="R165" s="646"/>
      <c r="S165" s="646"/>
      <c r="T165" s="646"/>
      <c r="U165" s="646"/>
      <c r="V165" s="646"/>
      <c r="W165" s="646"/>
      <c r="X165" s="646"/>
      <c r="Y165" s="646"/>
      <c r="Z165" s="646"/>
      <c r="AA165" s="646"/>
    </row>
    <row r="166">
      <c r="A166" s="651"/>
      <c r="B166" s="646"/>
      <c r="C166" s="1178"/>
      <c r="D166" s="646"/>
      <c r="E166" s="646"/>
      <c r="F166" s="646"/>
      <c r="G166" s="646"/>
      <c r="H166" s="646"/>
      <c r="I166" s="646"/>
      <c r="J166" s="646"/>
      <c r="K166" s="646"/>
      <c r="L166" s="646"/>
      <c r="M166" s="646"/>
      <c r="N166" s="646"/>
      <c r="O166" s="646"/>
      <c r="P166" s="646"/>
      <c r="Q166" s="646"/>
      <c r="R166" s="646"/>
      <c r="S166" s="646"/>
      <c r="T166" s="646"/>
      <c r="U166" s="646"/>
      <c r="V166" s="646"/>
      <c r="W166" s="646"/>
      <c r="X166" s="646"/>
      <c r="Y166" s="646"/>
      <c r="Z166" s="646"/>
      <c r="AA166" s="646"/>
    </row>
    <row r="167">
      <c r="A167" s="651"/>
      <c r="B167" s="646"/>
      <c r="C167" s="1178"/>
      <c r="D167" s="646"/>
      <c r="E167" s="646"/>
      <c r="F167" s="646"/>
      <c r="G167" s="646"/>
      <c r="H167" s="646"/>
      <c r="I167" s="646"/>
      <c r="J167" s="646"/>
      <c r="K167" s="646"/>
      <c r="L167" s="646"/>
      <c r="M167" s="646"/>
      <c r="N167" s="646"/>
      <c r="O167" s="646"/>
      <c r="P167" s="646"/>
      <c r="Q167" s="646"/>
      <c r="R167" s="646"/>
      <c r="S167" s="646"/>
      <c r="T167" s="646"/>
      <c r="U167" s="646"/>
      <c r="V167" s="646"/>
      <c r="W167" s="646"/>
      <c r="X167" s="646"/>
      <c r="Y167" s="646"/>
      <c r="Z167" s="646"/>
      <c r="AA167" s="646"/>
    </row>
    <row r="168">
      <c r="A168" s="651"/>
      <c r="B168" s="646"/>
      <c r="C168" s="1178"/>
      <c r="D168" s="646"/>
      <c r="E168" s="646"/>
      <c r="F168" s="646"/>
      <c r="G168" s="646"/>
      <c r="H168" s="646"/>
      <c r="I168" s="646"/>
      <c r="J168" s="646"/>
      <c r="K168" s="646"/>
      <c r="L168" s="646"/>
      <c r="M168" s="646"/>
      <c r="N168" s="646"/>
      <c r="O168" s="646"/>
      <c r="P168" s="646"/>
      <c r="Q168" s="646"/>
      <c r="R168" s="646"/>
      <c r="S168" s="646"/>
      <c r="T168" s="646"/>
      <c r="U168" s="646"/>
      <c r="V168" s="646"/>
      <c r="W168" s="646"/>
      <c r="X168" s="646"/>
      <c r="Y168" s="646"/>
      <c r="Z168" s="646"/>
      <c r="AA168" s="646"/>
    </row>
    <row r="169">
      <c r="A169" s="651"/>
      <c r="B169" s="646"/>
      <c r="C169" s="1178"/>
      <c r="D169" s="646"/>
      <c r="E169" s="646"/>
      <c r="F169" s="646"/>
      <c r="G169" s="646"/>
      <c r="H169" s="646"/>
      <c r="I169" s="646"/>
      <c r="J169" s="646"/>
      <c r="K169" s="646"/>
      <c r="L169" s="646"/>
      <c r="M169" s="646"/>
      <c r="N169" s="646"/>
      <c r="O169" s="646"/>
      <c r="P169" s="646"/>
      <c r="Q169" s="646"/>
      <c r="R169" s="646"/>
      <c r="S169" s="646"/>
      <c r="T169" s="646"/>
      <c r="U169" s="646"/>
      <c r="V169" s="646"/>
      <c r="W169" s="646"/>
      <c r="X169" s="646"/>
      <c r="Y169" s="646"/>
      <c r="Z169" s="646"/>
      <c r="AA169" s="646"/>
    </row>
    <row r="170">
      <c r="A170" s="651"/>
      <c r="B170" s="646"/>
      <c r="C170" s="1178"/>
      <c r="D170" s="646"/>
      <c r="E170" s="646"/>
      <c r="F170" s="646"/>
      <c r="G170" s="646"/>
      <c r="H170" s="646"/>
      <c r="I170" s="646"/>
      <c r="J170" s="646"/>
      <c r="K170" s="646"/>
      <c r="L170" s="646"/>
      <c r="M170" s="646"/>
      <c r="N170" s="646"/>
      <c r="O170" s="646"/>
      <c r="P170" s="646"/>
      <c r="Q170" s="646"/>
      <c r="R170" s="646"/>
      <c r="S170" s="646"/>
      <c r="T170" s="646"/>
      <c r="U170" s="646"/>
      <c r="V170" s="646"/>
      <c r="W170" s="646"/>
      <c r="X170" s="646"/>
      <c r="Y170" s="646"/>
      <c r="Z170" s="646"/>
      <c r="AA170" s="646"/>
    </row>
    <row r="171">
      <c r="A171" s="651"/>
      <c r="B171" s="646"/>
      <c r="C171" s="1178"/>
      <c r="D171" s="646"/>
      <c r="E171" s="646"/>
      <c r="F171" s="646"/>
      <c r="G171" s="646"/>
      <c r="H171" s="646"/>
      <c r="I171" s="646"/>
      <c r="J171" s="646"/>
      <c r="K171" s="646"/>
      <c r="L171" s="646"/>
      <c r="M171" s="646"/>
      <c r="N171" s="646"/>
      <c r="O171" s="646"/>
      <c r="P171" s="646"/>
      <c r="Q171" s="646"/>
      <c r="R171" s="646"/>
      <c r="S171" s="646"/>
      <c r="T171" s="646"/>
      <c r="U171" s="646"/>
      <c r="V171" s="646"/>
      <c r="W171" s="646"/>
      <c r="X171" s="646"/>
      <c r="Y171" s="646"/>
      <c r="Z171" s="646"/>
      <c r="AA171" s="646"/>
    </row>
    <row r="172">
      <c r="A172" s="651"/>
      <c r="B172" s="646"/>
      <c r="C172" s="1178"/>
      <c r="D172" s="646"/>
      <c r="E172" s="646"/>
      <c r="F172" s="646"/>
      <c r="G172" s="646"/>
      <c r="H172" s="646"/>
      <c r="I172" s="646"/>
      <c r="J172" s="646"/>
      <c r="K172" s="646"/>
      <c r="L172" s="646"/>
      <c r="M172" s="646"/>
      <c r="N172" s="646"/>
      <c r="O172" s="646"/>
      <c r="P172" s="646"/>
      <c r="Q172" s="646"/>
      <c r="R172" s="646"/>
      <c r="S172" s="646"/>
      <c r="T172" s="646"/>
      <c r="U172" s="646"/>
      <c r="V172" s="646"/>
      <c r="W172" s="646"/>
      <c r="X172" s="646"/>
      <c r="Y172" s="646"/>
      <c r="Z172" s="646"/>
      <c r="AA172" s="646"/>
    </row>
    <row r="173">
      <c r="A173" s="651"/>
      <c r="B173" s="646"/>
      <c r="C173" s="1178"/>
      <c r="D173" s="646"/>
      <c r="E173" s="646"/>
      <c r="F173" s="646"/>
      <c r="G173" s="646"/>
      <c r="H173" s="646"/>
      <c r="I173" s="646"/>
      <c r="J173" s="646"/>
      <c r="K173" s="646"/>
      <c r="L173" s="646"/>
      <c r="M173" s="646"/>
      <c r="N173" s="646"/>
      <c r="O173" s="646"/>
      <c r="P173" s="646"/>
      <c r="Q173" s="646"/>
      <c r="R173" s="646"/>
      <c r="S173" s="646"/>
      <c r="T173" s="646"/>
      <c r="U173" s="646"/>
      <c r="V173" s="646"/>
      <c r="W173" s="646"/>
      <c r="X173" s="646"/>
      <c r="Y173" s="646"/>
      <c r="Z173" s="646"/>
      <c r="AA173" s="646"/>
    </row>
    <row r="174">
      <c r="A174" s="651"/>
      <c r="B174" s="646"/>
      <c r="C174" s="1178"/>
      <c r="D174" s="646"/>
      <c r="E174" s="646"/>
      <c r="F174" s="646"/>
      <c r="G174" s="646"/>
      <c r="H174" s="646"/>
      <c r="I174" s="646"/>
      <c r="J174" s="646"/>
      <c r="K174" s="646"/>
      <c r="L174" s="646"/>
      <c r="M174" s="646"/>
      <c r="N174" s="646"/>
      <c r="O174" s="646"/>
      <c r="P174" s="646"/>
      <c r="Q174" s="646"/>
      <c r="R174" s="646"/>
      <c r="S174" s="646"/>
      <c r="T174" s="646"/>
      <c r="U174" s="646"/>
      <c r="V174" s="646"/>
      <c r="W174" s="646"/>
      <c r="X174" s="646"/>
      <c r="Y174" s="646"/>
      <c r="Z174" s="646"/>
      <c r="AA174" s="646"/>
    </row>
    <row r="175">
      <c r="A175" s="651"/>
      <c r="B175" s="646"/>
      <c r="C175" s="1178"/>
      <c r="D175" s="646"/>
      <c r="E175" s="646"/>
      <c r="F175" s="646"/>
      <c r="G175" s="646"/>
      <c r="H175" s="646"/>
      <c r="I175" s="646"/>
      <c r="J175" s="646"/>
      <c r="K175" s="646"/>
      <c r="L175" s="646"/>
      <c r="M175" s="646"/>
      <c r="N175" s="646"/>
      <c r="O175" s="646"/>
      <c r="P175" s="646"/>
      <c r="Q175" s="646"/>
      <c r="R175" s="646"/>
      <c r="S175" s="646"/>
      <c r="T175" s="646"/>
      <c r="U175" s="646"/>
      <c r="V175" s="646"/>
      <c r="W175" s="646"/>
      <c r="X175" s="646"/>
      <c r="Y175" s="646"/>
      <c r="Z175" s="646"/>
      <c r="AA175" s="646"/>
    </row>
    <row r="176">
      <c r="A176" s="651"/>
      <c r="B176" s="646"/>
      <c r="C176" s="1178"/>
      <c r="D176" s="646"/>
      <c r="E176" s="646"/>
      <c r="F176" s="646"/>
      <c r="G176" s="646"/>
      <c r="H176" s="646"/>
      <c r="I176" s="646"/>
      <c r="J176" s="646"/>
      <c r="K176" s="646"/>
      <c r="L176" s="646"/>
      <c r="M176" s="646"/>
      <c r="N176" s="646"/>
      <c r="O176" s="646"/>
      <c r="P176" s="646"/>
      <c r="Q176" s="646"/>
      <c r="R176" s="646"/>
      <c r="S176" s="646"/>
      <c r="T176" s="646"/>
      <c r="U176" s="646"/>
      <c r="V176" s="646"/>
      <c r="W176" s="646"/>
      <c r="X176" s="646"/>
      <c r="Y176" s="646"/>
      <c r="Z176" s="646"/>
      <c r="AA176" s="646"/>
    </row>
    <row r="177">
      <c r="A177" s="651"/>
      <c r="B177" s="646"/>
      <c r="C177" s="1178"/>
      <c r="D177" s="646"/>
      <c r="E177" s="646"/>
      <c r="F177" s="646"/>
      <c r="G177" s="646"/>
      <c r="H177" s="646"/>
      <c r="I177" s="646"/>
      <c r="J177" s="646"/>
      <c r="K177" s="646"/>
      <c r="L177" s="646"/>
      <c r="M177" s="646"/>
      <c r="N177" s="646"/>
      <c r="O177" s="646"/>
      <c r="P177" s="646"/>
      <c r="Q177" s="646"/>
      <c r="R177" s="646"/>
      <c r="S177" s="646"/>
      <c r="T177" s="646"/>
      <c r="U177" s="646"/>
      <c r="V177" s="646"/>
      <c r="W177" s="646"/>
      <c r="X177" s="646"/>
      <c r="Y177" s="646"/>
      <c r="Z177" s="646"/>
      <c r="AA177" s="646"/>
    </row>
    <row r="178">
      <c r="A178" s="651"/>
      <c r="B178" s="646"/>
      <c r="C178" s="1178"/>
      <c r="D178" s="646"/>
      <c r="E178" s="646"/>
      <c r="F178" s="646"/>
      <c r="G178" s="646"/>
      <c r="H178" s="646"/>
      <c r="I178" s="646"/>
      <c r="J178" s="646"/>
      <c r="K178" s="646"/>
      <c r="L178" s="646"/>
      <c r="M178" s="646"/>
      <c r="N178" s="646"/>
      <c r="O178" s="646"/>
      <c r="P178" s="646"/>
      <c r="Q178" s="646"/>
      <c r="R178" s="646"/>
      <c r="S178" s="646"/>
      <c r="T178" s="646"/>
      <c r="U178" s="646"/>
      <c r="V178" s="646"/>
      <c r="W178" s="646"/>
      <c r="X178" s="646"/>
      <c r="Y178" s="646"/>
      <c r="Z178" s="646"/>
      <c r="AA178" s="646"/>
    </row>
    <row r="179">
      <c r="A179" s="651"/>
      <c r="B179" s="646"/>
      <c r="C179" s="1178"/>
      <c r="D179" s="646"/>
      <c r="E179" s="646"/>
      <c r="F179" s="646"/>
      <c r="G179" s="646"/>
      <c r="H179" s="646"/>
      <c r="I179" s="646"/>
      <c r="J179" s="646"/>
      <c r="K179" s="646"/>
      <c r="L179" s="646"/>
      <c r="M179" s="646"/>
      <c r="N179" s="646"/>
      <c r="O179" s="646"/>
      <c r="P179" s="646"/>
      <c r="Q179" s="646"/>
      <c r="R179" s="646"/>
      <c r="S179" s="646"/>
      <c r="T179" s="646"/>
      <c r="U179" s="646"/>
      <c r="V179" s="646"/>
      <c r="W179" s="646"/>
      <c r="X179" s="646"/>
      <c r="Y179" s="646"/>
      <c r="Z179" s="646"/>
      <c r="AA179" s="646"/>
    </row>
    <row r="180">
      <c r="A180" s="651"/>
      <c r="B180" s="646"/>
      <c r="C180" s="1178"/>
      <c r="D180" s="646"/>
      <c r="E180" s="646"/>
      <c r="F180" s="646"/>
      <c r="G180" s="646"/>
      <c r="H180" s="646"/>
      <c r="I180" s="646"/>
      <c r="J180" s="646"/>
      <c r="K180" s="646"/>
      <c r="L180" s="646"/>
      <c r="M180" s="646"/>
      <c r="N180" s="646"/>
      <c r="O180" s="646"/>
      <c r="P180" s="646"/>
      <c r="Q180" s="646"/>
      <c r="R180" s="646"/>
      <c r="S180" s="646"/>
      <c r="T180" s="646"/>
      <c r="U180" s="646"/>
      <c r="V180" s="646"/>
      <c r="W180" s="646"/>
      <c r="X180" s="646"/>
      <c r="Y180" s="646"/>
      <c r="Z180" s="646"/>
      <c r="AA180" s="646"/>
    </row>
    <row r="181">
      <c r="A181" s="651"/>
      <c r="B181" s="646"/>
      <c r="C181" s="1178"/>
      <c r="D181" s="646"/>
      <c r="E181" s="646"/>
      <c r="F181" s="646"/>
      <c r="G181" s="646"/>
      <c r="H181" s="646"/>
      <c r="I181" s="646"/>
      <c r="J181" s="646"/>
      <c r="K181" s="646"/>
      <c r="L181" s="646"/>
      <c r="M181" s="646"/>
      <c r="N181" s="646"/>
      <c r="O181" s="646"/>
      <c r="P181" s="646"/>
      <c r="Q181" s="646"/>
      <c r="R181" s="646"/>
      <c r="S181" s="646"/>
      <c r="T181" s="646"/>
      <c r="U181" s="646"/>
      <c r="V181" s="646"/>
      <c r="W181" s="646"/>
      <c r="X181" s="646"/>
      <c r="Y181" s="646"/>
      <c r="Z181" s="646"/>
      <c r="AA181" s="646"/>
    </row>
    <row r="182">
      <c r="A182" s="651"/>
      <c r="B182" s="646"/>
      <c r="C182" s="1178"/>
      <c r="D182" s="646"/>
      <c r="E182" s="646"/>
      <c r="F182" s="646"/>
      <c r="G182" s="646"/>
      <c r="H182" s="646"/>
      <c r="I182" s="646"/>
      <c r="J182" s="646"/>
      <c r="K182" s="646"/>
      <c r="L182" s="646"/>
      <c r="M182" s="646"/>
      <c r="N182" s="646"/>
      <c r="O182" s="646"/>
      <c r="P182" s="646"/>
      <c r="Q182" s="646"/>
      <c r="R182" s="646"/>
      <c r="S182" s="646"/>
      <c r="T182" s="646"/>
      <c r="U182" s="646"/>
      <c r="V182" s="646"/>
      <c r="W182" s="646"/>
      <c r="X182" s="646"/>
      <c r="Y182" s="646"/>
      <c r="Z182" s="646"/>
      <c r="AA182" s="646"/>
    </row>
    <row r="183">
      <c r="A183" s="651"/>
      <c r="B183" s="646"/>
      <c r="C183" s="1178"/>
      <c r="D183" s="646"/>
      <c r="E183" s="646"/>
      <c r="F183" s="646"/>
      <c r="G183" s="646"/>
      <c r="H183" s="646"/>
      <c r="I183" s="646"/>
      <c r="J183" s="646"/>
      <c r="K183" s="646"/>
      <c r="L183" s="646"/>
      <c r="M183" s="646"/>
      <c r="N183" s="646"/>
      <c r="O183" s="646"/>
      <c r="P183" s="646"/>
      <c r="Q183" s="646"/>
      <c r="R183" s="646"/>
      <c r="S183" s="646"/>
      <c r="T183" s="646"/>
      <c r="U183" s="646"/>
      <c r="V183" s="646"/>
      <c r="W183" s="646"/>
      <c r="X183" s="646"/>
      <c r="Y183" s="646"/>
      <c r="Z183" s="646"/>
      <c r="AA183" s="646"/>
    </row>
    <row r="184">
      <c r="A184" s="651"/>
      <c r="B184" s="646"/>
      <c r="C184" s="1178"/>
      <c r="D184" s="646"/>
      <c r="E184" s="646"/>
      <c r="F184" s="646"/>
      <c r="G184" s="646"/>
      <c r="H184" s="646"/>
      <c r="I184" s="646"/>
      <c r="J184" s="646"/>
      <c r="K184" s="646"/>
      <c r="L184" s="646"/>
      <c r="M184" s="646"/>
      <c r="N184" s="646"/>
      <c r="O184" s="646"/>
      <c r="P184" s="646"/>
      <c r="Q184" s="646"/>
      <c r="R184" s="646"/>
      <c r="S184" s="646"/>
      <c r="T184" s="646"/>
      <c r="U184" s="646"/>
      <c r="V184" s="646"/>
      <c r="W184" s="646"/>
      <c r="X184" s="646"/>
      <c r="Y184" s="646"/>
      <c r="Z184" s="646"/>
      <c r="AA184" s="646"/>
    </row>
    <row r="185">
      <c r="A185" s="651"/>
      <c r="B185" s="646"/>
      <c r="C185" s="1178"/>
      <c r="D185" s="646"/>
      <c r="E185" s="646"/>
      <c r="F185" s="646"/>
      <c r="G185" s="646"/>
      <c r="H185" s="646"/>
      <c r="I185" s="646"/>
      <c r="J185" s="646"/>
      <c r="K185" s="646"/>
      <c r="L185" s="646"/>
      <c r="M185" s="646"/>
      <c r="N185" s="646"/>
      <c r="O185" s="646"/>
      <c r="P185" s="646"/>
      <c r="Q185" s="646"/>
      <c r="R185" s="646"/>
      <c r="S185" s="646"/>
      <c r="T185" s="646"/>
      <c r="U185" s="646"/>
      <c r="V185" s="646"/>
      <c r="W185" s="646"/>
      <c r="X185" s="646"/>
      <c r="Y185" s="646"/>
      <c r="Z185" s="646"/>
      <c r="AA185" s="646"/>
    </row>
    <row r="186">
      <c r="A186" s="651"/>
      <c r="B186" s="646"/>
      <c r="C186" s="1178"/>
      <c r="D186" s="646"/>
      <c r="E186" s="646"/>
      <c r="F186" s="646"/>
      <c r="G186" s="646"/>
      <c r="H186" s="646"/>
      <c r="I186" s="646"/>
      <c r="J186" s="646"/>
      <c r="K186" s="646"/>
      <c r="L186" s="646"/>
      <c r="M186" s="646"/>
      <c r="N186" s="646"/>
      <c r="O186" s="646"/>
      <c r="P186" s="646"/>
      <c r="Q186" s="646"/>
      <c r="R186" s="646"/>
      <c r="S186" s="646"/>
      <c r="T186" s="646"/>
      <c r="U186" s="646"/>
      <c r="V186" s="646"/>
      <c r="W186" s="646"/>
      <c r="X186" s="646"/>
      <c r="Y186" s="646"/>
      <c r="Z186" s="646"/>
      <c r="AA186" s="646"/>
    </row>
    <row r="187">
      <c r="A187" s="651"/>
      <c r="B187" s="646"/>
      <c r="C187" s="1178"/>
      <c r="D187" s="646"/>
      <c r="E187" s="646"/>
      <c r="F187" s="646"/>
      <c r="G187" s="646"/>
      <c r="H187" s="646"/>
      <c r="I187" s="646"/>
      <c r="J187" s="646"/>
      <c r="K187" s="646"/>
      <c r="L187" s="646"/>
      <c r="M187" s="646"/>
      <c r="N187" s="646"/>
      <c r="O187" s="646"/>
      <c r="P187" s="646"/>
      <c r="Q187" s="646"/>
      <c r="R187" s="646"/>
      <c r="S187" s="646"/>
      <c r="T187" s="646"/>
      <c r="U187" s="646"/>
      <c r="V187" s="646"/>
      <c r="W187" s="646"/>
      <c r="X187" s="646"/>
      <c r="Y187" s="646"/>
      <c r="Z187" s="646"/>
      <c r="AA187" s="646"/>
    </row>
    <row r="188">
      <c r="A188" s="651"/>
      <c r="B188" s="646"/>
      <c r="C188" s="1178"/>
      <c r="D188" s="646"/>
      <c r="E188" s="646"/>
      <c r="F188" s="646"/>
      <c r="G188" s="646"/>
      <c r="H188" s="646"/>
      <c r="I188" s="646"/>
      <c r="J188" s="646"/>
      <c r="K188" s="646"/>
      <c r="L188" s="646"/>
      <c r="M188" s="646"/>
      <c r="N188" s="646"/>
      <c r="O188" s="646"/>
      <c r="P188" s="646"/>
      <c r="Q188" s="646"/>
      <c r="R188" s="646"/>
      <c r="S188" s="646"/>
      <c r="T188" s="646"/>
      <c r="U188" s="646"/>
      <c r="V188" s="646"/>
      <c r="W188" s="646"/>
      <c r="X188" s="646"/>
      <c r="Y188" s="646"/>
      <c r="Z188" s="646"/>
      <c r="AA188" s="646"/>
    </row>
    <row r="189">
      <c r="A189" s="651"/>
      <c r="B189" s="646"/>
      <c r="C189" s="1178"/>
      <c r="D189" s="646"/>
      <c r="E189" s="646"/>
      <c r="F189" s="646"/>
      <c r="G189" s="646"/>
      <c r="H189" s="646"/>
      <c r="I189" s="646"/>
      <c r="J189" s="646"/>
      <c r="K189" s="646"/>
      <c r="L189" s="646"/>
      <c r="M189" s="646"/>
      <c r="N189" s="646"/>
      <c r="O189" s="646"/>
      <c r="P189" s="646"/>
      <c r="Q189" s="646"/>
      <c r="R189" s="646"/>
      <c r="S189" s="646"/>
      <c r="T189" s="646"/>
      <c r="U189" s="646"/>
      <c r="V189" s="646"/>
      <c r="W189" s="646"/>
      <c r="X189" s="646"/>
      <c r="Y189" s="646"/>
      <c r="Z189" s="646"/>
      <c r="AA189" s="646"/>
    </row>
    <row r="190">
      <c r="A190" s="651"/>
      <c r="B190" s="646"/>
      <c r="C190" s="1178"/>
      <c r="D190" s="646"/>
      <c r="E190" s="646"/>
      <c r="F190" s="646"/>
      <c r="G190" s="646"/>
      <c r="H190" s="646"/>
      <c r="I190" s="646"/>
      <c r="J190" s="646"/>
      <c r="K190" s="646"/>
      <c r="L190" s="646"/>
      <c r="M190" s="646"/>
      <c r="N190" s="646"/>
      <c r="O190" s="646"/>
      <c r="P190" s="646"/>
      <c r="Q190" s="646"/>
      <c r="R190" s="646"/>
      <c r="S190" s="646"/>
      <c r="T190" s="646"/>
      <c r="U190" s="646"/>
      <c r="V190" s="646"/>
      <c r="W190" s="646"/>
      <c r="X190" s="646"/>
      <c r="Y190" s="646"/>
      <c r="Z190" s="646"/>
      <c r="AA190" s="646"/>
    </row>
    <row r="191">
      <c r="A191" s="651"/>
      <c r="B191" s="646"/>
      <c r="C191" s="1178"/>
      <c r="D191" s="646"/>
      <c r="E191" s="646"/>
      <c r="F191" s="646"/>
      <c r="G191" s="646"/>
      <c r="H191" s="646"/>
      <c r="I191" s="646"/>
      <c r="J191" s="646"/>
      <c r="K191" s="646"/>
      <c r="L191" s="646"/>
      <c r="M191" s="646"/>
      <c r="N191" s="646"/>
      <c r="O191" s="646"/>
      <c r="P191" s="646"/>
      <c r="Q191" s="646"/>
      <c r="R191" s="646"/>
      <c r="S191" s="646"/>
      <c r="T191" s="646"/>
      <c r="U191" s="646"/>
      <c r="V191" s="646"/>
      <c r="W191" s="646"/>
      <c r="X191" s="646"/>
      <c r="Y191" s="646"/>
      <c r="Z191" s="646"/>
      <c r="AA191" s="646"/>
    </row>
    <row r="192">
      <c r="A192" s="651"/>
      <c r="B192" s="646"/>
      <c r="C192" s="1178"/>
      <c r="D192" s="646"/>
      <c r="E192" s="646"/>
      <c r="F192" s="646"/>
      <c r="G192" s="646"/>
      <c r="H192" s="646"/>
      <c r="I192" s="646"/>
      <c r="J192" s="646"/>
      <c r="K192" s="646"/>
      <c r="L192" s="646"/>
      <c r="M192" s="646"/>
      <c r="N192" s="646"/>
      <c r="O192" s="646"/>
      <c r="P192" s="646"/>
      <c r="Q192" s="646"/>
      <c r="R192" s="646"/>
      <c r="S192" s="646"/>
      <c r="T192" s="646"/>
      <c r="U192" s="646"/>
      <c r="V192" s="646"/>
      <c r="W192" s="646"/>
      <c r="X192" s="646"/>
      <c r="Y192" s="646"/>
      <c r="Z192" s="646"/>
      <c r="AA192" s="646"/>
    </row>
    <row r="193">
      <c r="A193" s="651"/>
      <c r="B193" s="646"/>
      <c r="C193" s="1178"/>
      <c r="D193" s="646"/>
      <c r="E193" s="646"/>
      <c r="F193" s="646"/>
      <c r="G193" s="646"/>
      <c r="H193" s="646"/>
      <c r="I193" s="646"/>
      <c r="J193" s="646"/>
      <c r="K193" s="646"/>
      <c r="L193" s="646"/>
      <c r="M193" s="646"/>
      <c r="N193" s="646"/>
      <c r="O193" s="646"/>
      <c r="P193" s="646"/>
      <c r="Q193" s="646"/>
      <c r="R193" s="646"/>
      <c r="S193" s="646"/>
      <c r="T193" s="646"/>
      <c r="U193" s="646"/>
      <c r="V193" s="646"/>
      <c r="W193" s="646"/>
      <c r="X193" s="646"/>
      <c r="Y193" s="646"/>
      <c r="Z193" s="646"/>
      <c r="AA193" s="646"/>
    </row>
    <row r="194">
      <c r="A194" s="651"/>
      <c r="B194" s="646"/>
      <c r="C194" s="1178"/>
      <c r="D194" s="646"/>
      <c r="E194" s="646"/>
      <c r="F194" s="646"/>
      <c r="G194" s="646"/>
      <c r="H194" s="646"/>
      <c r="I194" s="646"/>
      <c r="J194" s="646"/>
      <c r="K194" s="646"/>
      <c r="L194" s="646"/>
      <c r="M194" s="646"/>
      <c r="N194" s="646"/>
      <c r="O194" s="646"/>
      <c r="P194" s="646"/>
      <c r="Q194" s="646"/>
      <c r="R194" s="646"/>
      <c r="S194" s="646"/>
      <c r="T194" s="646"/>
      <c r="U194" s="646"/>
      <c r="V194" s="646"/>
      <c r="W194" s="646"/>
      <c r="X194" s="646"/>
      <c r="Y194" s="646"/>
      <c r="Z194" s="646"/>
      <c r="AA194" s="646"/>
    </row>
    <row r="195">
      <c r="A195" s="651"/>
      <c r="B195" s="646"/>
      <c r="C195" s="1178"/>
      <c r="D195" s="646"/>
      <c r="E195" s="646"/>
      <c r="F195" s="646"/>
      <c r="G195" s="646"/>
      <c r="H195" s="646"/>
      <c r="I195" s="646"/>
      <c r="J195" s="646"/>
      <c r="K195" s="646"/>
      <c r="L195" s="646"/>
      <c r="M195" s="646"/>
      <c r="N195" s="646"/>
      <c r="O195" s="646"/>
      <c r="P195" s="646"/>
      <c r="Q195" s="646"/>
      <c r="R195" s="646"/>
      <c r="S195" s="646"/>
      <c r="T195" s="646"/>
      <c r="U195" s="646"/>
      <c r="V195" s="646"/>
      <c r="W195" s="646"/>
      <c r="X195" s="646"/>
      <c r="Y195" s="646"/>
      <c r="Z195" s="646"/>
      <c r="AA195" s="646"/>
    </row>
    <row r="196">
      <c r="A196" s="651"/>
      <c r="B196" s="646"/>
      <c r="C196" s="1178"/>
      <c r="D196" s="646"/>
      <c r="E196" s="646"/>
      <c r="F196" s="646"/>
      <c r="G196" s="646"/>
      <c r="H196" s="646"/>
      <c r="I196" s="646"/>
      <c r="J196" s="646"/>
      <c r="K196" s="646"/>
      <c r="L196" s="646"/>
      <c r="M196" s="646"/>
      <c r="N196" s="646"/>
      <c r="O196" s="646"/>
      <c r="P196" s="646"/>
      <c r="Q196" s="646"/>
      <c r="R196" s="646"/>
      <c r="S196" s="646"/>
      <c r="T196" s="646"/>
      <c r="U196" s="646"/>
      <c r="V196" s="646"/>
      <c r="W196" s="646"/>
      <c r="X196" s="646"/>
      <c r="Y196" s="646"/>
      <c r="Z196" s="646"/>
      <c r="AA196" s="646"/>
    </row>
    <row r="197">
      <c r="A197" s="651"/>
      <c r="B197" s="646"/>
      <c r="C197" s="1178"/>
      <c r="D197" s="646"/>
      <c r="E197" s="646"/>
      <c r="F197" s="646"/>
      <c r="G197" s="646"/>
      <c r="H197" s="646"/>
      <c r="I197" s="646"/>
      <c r="J197" s="646"/>
      <c r="K197" s="646"/>
      <c r="L197" s="646"/>
      <c r="M197" s="646"/>
      <c r="N197" s="646"/>
      <c r="O197" s="646"/>
      <c r="P197" s="646"/>
      <c r="Q197" s="646"/>
      <c r="R197" s="646"/>
      <c r="S197" s="646"/>
      <c r="T197" s="646"/>
      <c r="U197" s="646"/>
      <c r="V197" s="646"/>
      <c r="W197" s="646"/>
      <c r="X197" s="646"/>
      <c r="Y197" s="646"/>
      <c r="Z197" s="646"/>
      <c r="AA197" s="646"/>
    </row>
    <row r="198">
      <c r="A198" s="651"/>
      <c r="B198" s="646"/>
      <c r="C198" s="1178"/>
      <c r="D198" s="646"/>
      <c r="E198" s="646"/>
      <c r="F198" s="646"/>
      <c r="G198" s="646"/>
      <c r="H198" s="646"/>
      <c r="I198" s="646"/>
      <c r="J198" s="646"/>
      <c r="K198" s="646"/>
      <c r="L198" s="646"/>
      <c r="M198" s="646"/>
      <c r="N198" s="646"/>
      <c r="O198" s="646"/>
      <c r="P198" s="646"/>
      <c r="Q198" s="646"/>
      <c r="R198" s="646"/>
      <c r="S198" s="646"/>
      <c r="T198" s="646"/>
      <c r="U198" s="646"/>
      <c r="V198" s="646"/>
      <c r="W198" s="646"/>
      <c r="X198" s="646"/>
      <c r="Y198" s="646"/>
      <c r="Z198" s="646"/>
      <c r="AA198" s="646"/>
    </row>
    <row r="199">
      <c r="A199" s="651"/>
      <c r="B199" s="646"/>
      <c r="C199" s="1178"/>
      <c r="D199" s="646"/>
      <c r="E199" s="646"/>
      <c r="F199" s="646"/>
      <c r="G199" s="646"/>
      <c r="H199" s="646"/>
      <c r="I199" s="646"/>
      <c r="J199" s="646"/>
      <c r="K199" s="646"/>
      <c r="L199" s="646"/>
      <c r="M199" s="646"/>
      <c r="N199" s="646"/>
      <c r="O199" s="646"/>
      <c r="P199" s="646"/>
      <c r="Q199" s="646"/>
      <c r="R199" s="646"/>
      <c r="S199" s="646"/>
      <c r="T199" s="646"/>
      <c r="U199" s="646"/>
      <c r="V199" s="646"/>
      <c r="W199" s="646"/>
      <c r="X199" s="646"/>
      <c r="Y199" s="646"/>
      <c r="Z199" s="646"/>
      <c r="AA199" s="646"/>
    </row>
    <row r="200">
      <c r="A200" s="651"/>
      <c r="B200" s="646"/>
      <c r="C200" s="1178"/>
      <c r="D200" s="646"/>
      <c r="E200" s="646"/>
      <c r="F200" s="646"/>
      <c r="G200" s="646"/>
      <c r="H200" s="646"/>
      <c r="I200" s="646"/>
      <c r="J200" s="646"/>
      <c r="K200" s="646"/>
      <c r="L200" s="646"/>
      <c r="M200" s="646"/>
      <c r="N200" s="646"/>
      <c r="O200" s="646"/>
      <c r="P200" s="646"/>
      <c r="Q200" s="646"/>
      <c r="R200" s="646"/>
      <c r="S200" s="646"/>
      <c r="T200" s="646"/>
      <c r="U200" s="646"/>
      <c r="V200" s="646"/>
      <c r="W200" s="646"/>
      <c r="X200" s="646"/>
      <c r="Y200" s="646"/>
      <c r="Z200" s="646"/>
      <c r="AA200" s="646"/>
    </row>
    <row r="201">
      <c r="A201" s="651"/>
      <c r="B201" s="646"/>
      <c r="C201" s="1178"/>
      <c r="D201" s="646"/>
      <c r="E201" s="646"/>
      <c r="F201" s="646"/>
      <c r="G201" s="646"/>
      <c r="H201" s="646"/>
      <c r="I201" s="646"/>
      <c r="J201" s="646"/>
      <c r="K201" s="646"/>
      <c r="L201" s="646"/>
      <c r="M201" s="646"/>
      <c r="N201" s="646"/>
      <c r="O201" s="646"/>
      <c r="P201" s="646"/>
      <c r="Q201" s="646"/>
      <c r="R201" s="646"/>
      <c r="S201" s="646"/>
      <c r="T201" s="646"/>
      <c r="U201" s="646"/>
      <c r="V201" s="646"/>
      <c r="W201" s="646"/>
      <c r="X201" s="646"/>
      <c r="Y201" s="646"/>
      <c r="Z201" s="646"/>
      <c r="AA201" s="646"/>
    </row>
    <row r="202">
      <c r="A202" s="651"/>
      <c r="B202" s="646"/>
      <c r="C202" s="1178"/>
      <c r="D202" s="646"/>
      <c r="E202" s="646"/>
      <c r="F202" s="646"/>
      <c r="G202" s="646"/>
      <c r="H202" s="646"/>
      <c r="I202" s="646"/>
      <c r="J202" s="646"/>
      <c r="K202" s="646"/>
      <c r="L202" s="646"/>
      <c r="M202" s="646"/>
      <c r="N202" s="646"/>
      <c r="O202" s="646"/>
      <c r="P202" s="646"/>
      <c r="Q202" s="646"/>
      <c r="R202" s="646"/>
      <c r="S202" s="646"/>
      <c r="T202" s="646"/>
      <c r="U202" s="646"/>
      <c r="V202" s="646"/>
      <c r="W202" s="646"/>
      <c r="X202" s="646"/>
      <c r="Y202" s="646"/>
      <c r="Z202" s="646"/>
      <c r="AA202" s="646"/>
    </row>
    <row r="203">
      <c r="A203" s="651"/>
      <c r="B203" s="646"/>
      <c r="C203" s="1178"/>
      <c r="D203" s="646"/>
      <c r="E203" s="646"/>
      <c r="F203" s="646"/>
      <c r="G203" s="646"/>
      <c r="H203" s="646"/>
      <c r="I203" s="646"/>
      <c r="J203" s="646"/>
      <c r="K203" s="646"/>
      <c r="L203" s="646"/>
      <c r="M203" s="646"/>
      <c r="N203" s="646"/>
      <c r="O203" s="646"/>
      <c r="P203" s="646"/>
      <c r="Q203" s="646"/>
      <c r="R203" s="646"/>
      <c r="S203" s="646"/>
      <c r="T203" s="646"/>
      <c r="U203" s="646"/>
      <c r="V203" s="646"/>
      <c r="W203" s="646"/>
      <c r="X203" s="646"/>
      <c r="Y203" s="646"/>
      <c r="Z203" s="646"/>
      <c r="AA203" s="646"/>
    </row>
    <row r="204">
      <c r="A204" s="651"/>
      <c r="B204" s="646"/>
      <c r="C204" s="1178"/>
      <c r="D204" s="646"/>
      <c r="E204" s="646"/>
      <c r="F204" s="646"/>
      <c r="G204" s="646"/>
      <c r="H204" s="646"/>
      <c r="I204" s="646"/>
      <c r="J204" s="646"/>
      <c r="K204" s="646"/>
      <c r="L204" s="646"/>
      <c r="M204" s="646"/>
      <c r="N204" s="646"/>
      <c r="O204" s="646"/>
      <c r="P204" s="646"/>
      <c r="Q204" s="646"/>
      <c r="R204" s="646"/>
      <c r="S204" s="646"/>
      <c r="T204" s="646"/>
      <c r="U204" s="646"/>
      <c r="V204" s="646"/>
      <c r="W204" s="646"/>
      <c r="X204" s="646"/>
      <c r="Y204" s="646"/>
      <c r="Z204" s="646"/>
      <c r="AA204" s="646"/>
    </row>
    <row r="205">
      <c r="A205" s="651"/>
      <c r="B205" s="646"/>
      <c r="C205" s="1178"/>
      <c r="D205" s="646"/>
      <c r="E205" s="646"/>
      <c r="F205" s="646"/>
      <c r="G205" s="646"/>
      <c r="H205" s="646"/>
      <c r="I205" s="646"/>
      <c r="J205" s="646"/>
      <c r="K205" s="646"/>
      <c r="L205" s="646"/>
      <c r="M205" s="646"/>
      <c r="N205" s="646"/>
      <c r="O205" s="646"/>
      <c r="P205" s="646"/>
      <c r="Q205" s="646"/>
      <c r="R205" s="646"/>
      <c r="S205" s="646"/>
      <c r="T205" s="646"/>
      <c r="U205" s="646"/>
      <c r="V205" s="646"/>
      <c r="W205" s="646"/>
      <c r="X205" s="646"/>
      <c r="Y205" s="646"/>
      <c r="Z205" s="646"/>
      <c r="AA205" s="646"/>
    </row>
    <row r="206">
      <c r="A206" s="651"/>
      <c r="B206" s="646"/>
      <c r="C206" s="1178"/>
      <c r="D206" s="646"/>
      <c r="E206" s="646"/>
      <c r="F206" s="646"/>
      <c r="G206" s="646"/>
      <c r="H206" s="646"/>
      <c r="I206" s="646"/>
      <c r="J206" s="646"/>
      <c r="K206" s="646"/>
      <c r="L206" s="646"/>
      <c r="M206" s="646"/>
      <c r="N206" s="646"/>
      <c r="O206" s="646"/>
      <c r="P206" s="646"/>
      <c r="Q206" s="646"/>
      <c r="R206" s="646"/>
      <c r="S206" s="646"/>
      <c r="T206" s="646"/>
      <c r="U206" s="646"/>
      <c r="V206" s="646"/>
      <c r="W206" s="646"/>
      <c r="X206" s="646"/>
      <c r="Y206" s="646"/>
      <c r="Z206" s="646"/>
      <c r="AA206" s="646"/>
    </row>
    <row r="207">
      <c r="A207" s="651"/>
      <c r="B207" s="646"/>
      <c r="C207" s="1178"/>
      <c r="D207" s="646"/>
      <c r="E207" s="646"/>
      <c r="F207" s="646"/>
      <c r="G207" s="646"/>
      <c r="H207" s="646"/>
      <c r="I207" s="646"/>
      <c r="J207" s="646"/>
      <c r="K207" s="646"/>
      <c r="L207" s="646"/>
      <c r="M207" s="646"/>
      <c r="N207" s="646"/>
      <c r="O207" s="646"/>
      <c r="P207" s="646"/>
      <c r="Q207" s="646"/>
      <c r="R207" s="646"/>
      <c r="S207" s="646"/>
      <c r="T207" s="646"/>
      <c r="U207" s="646"/>
      <c r="V207" s="646"/>
      <c r="W207" s="646"/>
      <c r="X207" s="646"/>
      <c r="Y207" s="646"/>
      <c r="Z207" s="646"/>
      <c r="AA207" s="646"/>
    </row>
    <row r="208">
      <c r="A208" s="651"/>
      <c r="B208" s="646"/>
      <c r="C208" s="1178"/>
      <c r="D208" s="646"/>
      <c r="E208" s="646"/>
      <c r="F208" s="646"/>
      <c r="G208" s="646"/>
      <c r="H208" s="646"/>
      <c r="I208" s="646"/>
      <c r="J208" s="646"/>
      <c r="K208" s="646"/>
      <c r="L208" s="646"/>
      <c r="M208" s="646"/>
      <c r="N208" s="646"/>
      <c r="O208" s="646"/>
      <c r="P208" s="646"/>
      <c r="Q208" s="646"/>
      <c r="R208" s="646"/>
      <c r="S208" s="646"/>
      <c r="T208" s="646"/>
      <c r="U208" s="646"/>
      <c r="V208" s="646"/>
      <c r="W208" s="646"/>
      <c r="X208" s="646"/>
      <c r="Y208" s="646"/>
      <c r="Z208" s="646"/>
      <c r="AA208" s="646"/>
    </row>
    <row r="209">
      <c r="A209" s="651"/>
      <c r="B209" s="646"/>
      <c r="C209" s="1178"/>
      <c r="D209" s="646"/>
      <c r="E209" s="646"/>
      <c r="F209" s="646"/>
      <c r="G209" s="646"/>
      <c r="H209" s="646"/>
      <c r="I209" s="646"/>
      <c r="J209" s="646"/>
      <c r="K209" s="646"/>
      <c r="L209" s="646"/>
      <c r="M209" s="646"/>
      <c r="N209" s="646"/>
      <c r="O209" s="646"/>
      <c r="P209" s="646"/>
      <c r="Q209" s="646"/>
      <c r="R209" s="646"/>
      <c r="S209" s="646"/>
      <c r="T209" s="646"/>
      <c r="U209" s="646"/>
      <c r="V209" s="646"/>
      <c r="W209" s="646"/>
      <c r="X209" s="646"/>
      <c r="Y209" s="646"/>
      <c r="Z209" s="646"/>
      <c r="AA209" s="646"/>
    </row>
    <row r="210">
      <c r="A210" s="651"/>
      <c r="B210" s="646"/>
      <c r="C210" s="1178"/>
      <c r="D210" s="646"/>
      <c r="E210" s="646"/>
      <c r="F210" s="646"/>
      <c r="G210" s="646"/>
      <c r="H210" s="646"/>
      <c r="I210" s="646"/>
      <c r="J210" s="646"/>
      <c r="K210" s="646"/>
      <c r="L210" s="646"/>
      <c r="M210" s="646"/>
      <c r="N210" s="646"/>
      <c r="O210" s="646"/>
      <c r="P210" s="646"/>
      <c r="Q210" s="646"/>
      <c r="R210" s="646"/>
      <c r="S210" s="646"/>
      <c r="T210" s="646"/>
      <c r="U210" s="646"/>
      <c r="V210" s="646"/>
      <c r="W210" s="646"/>
      <c r="X210" s="646"/>
      <c r="Y210" s="646"/>
      <c r="Z210" s="646"/>
      <c r="AA210" s="646"/>
    </row>
    <row r="211">
      <c r="A211" s="651"/>
      <c r="B211" s="646"/>
      <c r="C211" s="1178"/>
      <c r="D211" s="646"/>
      <c r="E211" s="646"/>
      <c r="F211" s="646"/>
      <c r="G211" s="646"/>
      <c r="H211" s="646"/>
      <c r="I211" s="646"/>
      <c r="J211" s="646"/>
      <c r="K211" s="646"/>
      <c r="L211" s="646"/>
      <c r="M211" s="646"/>
      <c r="N211" s="646"/>
      <c r="O211" s="646"/>
      <c r="P211" s="646"/>
      <c r="Q211" s="646"/>
      <c r="R211" s="646"/>
      <c r="S211" s="646"/>
      <c r="T211" s="646"/>
      <c r="U211" s="646"/>
      <c r="V211" s="646"/>
      <c r="W211" s="646"/>
      <c r="X211" s="646"/>
      <c r="Y211" s="646"/>
      <c r="Z211" s="646"/>
      <c r="AA211" s="646"/>
    </row>
    <row r="212">
      <c r="A212" s="651"/>
      <c r="B212" s="646"/>
      <c r="C212" s="1178"/>
      <c r="D212" s="646"/>
      <c r="E212" s="646"/>
      <c r="F212" s="646"/>
      <c r="G212" s="646"/>
      <c r="H212" s="646"/>
      <c r="I212" s="646"/>
      <c r="J212" s="646"/>
      <c r="K212" s="646"/>
      <c r="L212" s="646"/>
      <c r="M212" s="646"/>
      <c r="N212" s="646"/>
      <c r="O212" s="646"/>
      <c r="P212" s="646"/>
      <c r="Q212" s="646"/>
      <c r="R212" s="646"/>
      <c r="S212" s="646"/>
      <c r="T212" s="646"/>
      <c r="U212" s="646"/>
      <c r="V212" s="646"/>
      <c r="W212" s="646"/>
      <c r="X212" s="646"/>
      <c r="Y212" s="646"/>
      <c r="Z212" s="646"/>
      <c r="AA212" s="646"/>
    </row>
    <row r="213">
      <c r="A213" s="651"/>
      <c r="B213" s="646"/>
      <c r="C213" s="1178"/>
      <c r="D213" s="646"/>
      <c r="E213" s="646"/>
      <c r="F213" s="646"/>
      <c r="G213" s="646"/>
      <c r="H213" s="646"/>
      <c r="I213" s="646"/>
      <c r="J213" s="646"/>
      <c r="K213" s="646"/>
      <c r="L213" s="646"/>
      <c r="M213" s="646"/>
      <c r="N213" s="646"/>
      <c r="O213" s="646"/>
      <c r="P213" s="646"/>
      <c r="Q213" s="646"/>
      <c r="R213" s="646"/>
      <c r="S213" s="646"/>
      <c r="T213" s="646"/>
      <c r="U213" s="646"/>
      <c r="V213" s="646"/>
      <c r="W213" s="646"/>
      <c r="X213" s="646"/>
      <c r="Y213" s="646"/>
      <c r="Z213" s="646"/>
      <c r="AA213" s="646"/>
    </row>
    <row r="214">
      <c r="A214" s="651"/>
      <c r="B214" s="646"/>
      <c r="C214" s="1178"/>
      <c r="D214" s="646"/>
      <c r="E214" s="646"/>
      <c r="F214" s="646"/>
      <c r="G214" s="646"/>
      <c r="H214" s="646"/>
      <c r="I214" s="646"/>
      <c r="J214" s="646"/>
      <c r="K214" s="646"/>
      <c r="L214" s="646"/>
      <c r="M214" s="646"/>
      <c r="N214" s="646"/>
      <c r="O214" s="646"/>
      <c r="P214" s="646"/>
      <c r="Q214" s="646"/>
      <c r="R214" s="646"/>
      <c r="S214" s="646"/>
      <c r="T214" s="646"/>
      <c r="U214" s="646"/>
      <c r="V214" s="646"/>
      <c r="W214" s="646"/>
      <c r="X214" s="646"/>
      <c r="Y214" s="646"/>
      <c r="Z214" s="646"/>
      <c r="AA214" s="646"/>
    </row>
    <row r="215">
      <c r="A215" s="651"/>
      <c r="B215" s="646"/>
      <c r="C215" s="1178"/>
      <c r="D215" s="646"/>
      <c r="E215" s="646"/>
      <c r="F215" s="646"/>
      <c r="G215" s="646"/>
      <c r="H215" s="646"/>
      <c r="I215" s="646"/>
      <c r="J215" s="646"/>
      <c r="K215" s="646"/>
      <c r="L215" s="646"/>
      <c r="M215" s="646"/>
      <c r="N215" s="646"/>
      <c r="O215" s="646"/>
      <c r="P215" s="646"/>
      <c r="Q215" s="646"/>
      <c r="R215" s="646"/>
      <c r="S215" s="646"/>
      <c r="T215" s="646"/>
      <c r="U215" s="646"/>
      <c r="V215" s="646"/>
      <c r="W215" s="646"/>
      <c r="X215" s="646"/>
      <c r="Y215" s="646"/>
      <c r="Z215" s="646"/>
      <c r="AA215" s="646"/>
    </row>
    <row r="216">
      <c r="A216" s="651"/>
      <c r="B216" s="646"/>
      <c r="C216" s="1178"/>
      <c r="D216" s="646"/>
      <c r="E216" s="646"/>
      <c r="F216" s="646"/>
      <c r="G216" s="646"/>
      <c r="H216" s="646"/>
      <c r="I216" s="646"/>
      <c r="J216" s="646"/>
      <c r="K216" s="646"/>
      <c r="L216" s="646"/>
      <c r="M216" s="646"/>
      <c r="N216" s="646"/>
      <c r="O216" s="646"/>
      <c r="P216" s="646"/>
      <c r="Q216" s="646"/>
      <c r="R216" s="646"/>
      <c r="S216" s="646"/>
      <c r="T216" s="646"/>
      <c r="U216" s="646"/>
      <c r="V216" s="646"/>
      <c r="W216" s="646"/>
      <c r="X216" s="646"/>
      <c r="Y216" s="646"/>
      <c r="Z216" s="646"/>
      <c r="AA216" s="646"/>
    </row>
    <row r="217">
      <c r="A217" s="651"/>
      <c r="B217" s="646"/>
      <c r="C217" s="1178"/>
      <c r="D217" s="646"/>
      <c r="E217" s="646"/>
      <c r="F217" s="646"/>
      <c r="G217" s="646"/>
      <c r="H217" s="646"/>
      <c r="I217" s="646"/>
      <c r="J217" s="646"/>
      <c r="K217" s="646"/>
      <c r="L217" s="646"/>
      <c r="M217" s="646"/>
      <c r="N217" s="646"/>
      <c r="O217" s="646"/>
      <c r="P217" s="646"/>
      <c r="Q217" s="646"/>
      <c r="R217" s="646"/>
      <c r="S217" s="646"/>
      <c r="T217" s="646"/>
      <c r="U217" s="646"/>
      <c r="V217" s="646"/>
      <c r="W217" s="646"/>
      <c r="X217" s="646"/>
      <c r="Y217" s="646"/>
      <c r="Z217" s="646"/>
      <c r="AA217" s="646"/>
    </row>
    <row r="218">
      <c r="A218" s="651"/>
      <c r="B218" s="646"/>
      <c r="C218" s="1178"/>
      <c r="D218" s="646"/>
      <c r="E218" s="646"/>
      <c r="F218" s="646"/>
      <c r="G218" s="646"/>
      <c r="H218" s="646"/>
      <c r="I218" s="646"/>
      <c r="J218" s="646"/>
      <c r="K218" s="646"/>
      <c r="L218" s="646"/>
      <c r="M218" s="646"/>
      <c r="N218" s="646"/>
      <c r="O218" s="646"/>
      <c r="P218" s="646"/>
      <c r="Q218" s="646"/>
      <c r="R218" s="646"/>
      <c r="S218" s="646"/>
      <c r="T218" s="646"/>
      <c r="U218" s="646"/>
      <c r="V218" s="646"/>
      <c r="W218" s="646"/>
      <c r="X218" s="646"/>
      <c r="Y218" s="646"/>
      <c r="Z218" s="646"/>
      <c r="AA218" s="646"/>
    </row>
    <row r="219">
      <c r="A219" s="651"/>
      <c r="B219" s="646"/>
      <c r="C219" s="1178"/>
      <c r="D219" s="646"/>
      <c r="E219" s="646"/>
      <c r="F219" s="646"/>
      <c r="G219" s="646"/>
      <c r="H219" s="646"/>
      <c r="I219" s="646"/>
      <c r="J219" s="646"/>
      <c r="K219" s="646"/>
      <c r="L219" s="646"/>
      <c r="M219" s="646"/>
      <c r="N219" s="646"/>
      <c r="O219" s="646"/>
      <c r="P219" s="646"/>
      <c r="Q219" s="646"/>
      <c r="R219" s="646"/>
      <c r="S219" s="646"/>
      <c r="T219" s="646"/>
      <c r="U219" s="646"/>
      <c r="V219" s="646"/>
      <c r="W219" s="646"/>
      <c r="X219" s="646"/>
      <c r="Y219" s="646"/>
      <c r="Z219" s="646"/>
      <c r="AA219" s="646"/>
    </row>
    <row r="220">
      <c r="A220" s="651"/>
      <c r="B220" s="646"/>
      <c r="C220" s="1178"/>
      <c r="D220" s="646"/>
      <c r="E220" s="646"/>
      <c r="F220" s="646"/>
      <c r="G220" s="646"/>
      <c r="H220" s="646"/>
      <c r="I220" s="646"/>
      <c r="J220" s="646"/>
      <c r="K220" s="646"/>
      <c r="L220" s="646"/>
      <c r="M220" s="646"/>
      <c r="N220" s="646"/>
      <c r="O220" s="646"/>
      <c r="P220" s="646"/>
      <c r="Q220" s="646"/>
      <c r="R220" s="646"/>
      <c r="S220" s="646"/>
      <c r="T220" s="646"/>
      <c r="U220" s="646"/>
      <c r="V220" s="646"/>
      <c r="W220" s="646"/>
      <c r="X220" s="646"/>
      <c r="Y220" s="646"/>
      <c r="Z220" s="646"/>
      <c r="AA220" s="646"/>
    </row>
    <row r="221">
      <c r="A221" s="651"/>
      <c r="B221" s="646"/>
      <c r="C221" s="1178"/>
      <c r="D221" s="646"/>
      <c r="E221" s="646"/>
      <c r="F221" s="646"/>
      <c r="G221" s="646"/>
      <c r="H221" s="646"/>
      <c r="I221" s="646"/>
      <c r="J221" s="646"/>
      <c r="K221" s="646"/>
      <c r="L221" s="646"/>
      <c r="M221" s="646"/>
      <c r="N221" s="646"/>
      <c r="O221" s="646"/>
      <c r="P221" s="646"/>
      <c r="Q221" s="646"/>
      <c r="R221" s="646"/>
      <c r="S221" s="646"/>
      <c r="T221" s="646"/>
      <c r="U221" s="646"/>
      <c r="V221" s="646"/>
      <c r="W221" s="646"/>
      <c r="X221" s="646"/>
      <c r="Y221" s="646"/>
      <c r="Z221" s="646"/>
      <c r="AA221" s="646"/>
    </row>
    <row r="222">
      <c r="A222" s="651"/>
      <c r="B222" s="646"/>
      <c r="C222" s="1178"/>
      <c r="D222" s="646"/>
      <c r="E222" s="646"/>
      <c r="F222" s="646"/>
      <c r="G222" s="646"/>
      <c r="H222" s="646"/>
      <c r="I222" s="646"/>
      <c r="J222" s="646"/>
      <c r="K222" s="646"/>
      <c r="L222" s="646"/>
      <c r="M222" s="646"/>
      <c r="N222" s="646"/>
      <c r="O222" s="646"/>
      <c r="P222" s="646"/>
      <c r="Q222" s="646"/>
      <c r="R222" s="646"/>
      <c r="S222" s="646"/>
      <c r="T222" s="646"/>
      <c r="U222" s="646"/>
      <c r="V222" s="646"/>
      <c r="W222" s="646"/>
      <c r="X222" s="646"/>
      <c r="Y222" s="646"/>
      <c r="Z222" s="646"/>
      <c r="AA222" s="646"/>
    </row>
    <row r="223">
      <c r="A223" s="651"/>
      <c r="B223" s="646"/>
      <c r="C223" s="1178"/>
      <c r="D223" s="646"/>
      <c r="E223" s="646"/>
      <c r="F223" s="646"/>
      <c r="G223" s="646"/>
      <c r="H223" s="646"/>
      <c r="I223" s="646"/>
      <c r="J223" s="646"/>
      <c r="K223" s="646"/>
      <c r="L223" s="646"/>
      <c r="M223" s="646"/>
      <c r="N223" s="646"/>
      <c r="O223" s="646"/>
      <c r="P223" s="646"/>
      <c r="Q223" s="646"/>
      <c r="R223" s="646"/>
      <c r="S223" s="646"/>
      <c r="T223" s="646"/>
      <c r="U223" s="646"/>
      <c r="V223" s="646"/>
      <c r="W223" s="646"/>
      <c r="X223" s="646"/>
      <c r="Y223" s="646"/>
      <c r="Z223" s="646"/>
      <c r="AA223" s="646"/>
    </row>
    <row r="224">
      <c r="A224" s="651"/>
      <c r="B224" s="646"/>
      <c r="C224" s="1178"/>
      <c r="D224" s="646"/>
      <c r="E224" s="646"/>
      <c r="F224" s="646"/>
      <c r="G224" s="646"/>
      <c r="H224" s="646"/>
      <c r="I224" s="646"/>
      <c r="J224" s="646"/>
      <c r="K224" s="646"/>
      <c r="L224" s="646"/>
      <c r="M224" s="646"/>
      <c r="N224" s="646"/>
      <c r="O224" s="646"/>
      <c r="P224" s="646"/>
      <c r="Q224" s="646"/>
      <c r="R224" s="646"/>
      <c r="S224" s="646"/>
      <c r="T224" s="646"/>
      <c r="U224" s="646"/>
      <c r="V224" s="646"/>
      <c r="W224" s="646"/>
      <c r="X224" s="646"/>
      <c r="Y224" s="646"/>
      <c r="Z224" s="646"/>
      <c r="AA224" s="646"/>
    </row>
    <row r="225">
      <c r="A225" s="651"/>
      <c r="B225" s="646"/>
      <c r="C225" s="1178"/>
      <c r="D225" s="646"/>
      <c r="E225" s="646"/>
      <c r="F225" s="646"/>
      <c r="G225" s="646"/>
      <c r="H225" s="646"/>
      <c r="I225" s="646"/>
      <c r="J225" s="646"/>
      <c r="K225" s="646"/>
      <c r="L225" s="646"/>
      <c r="M225" s="646"/>
      <c r="N225" s="646"/>
      <c r="O225" s="646"/>
      <c r="P225" s="646"/>
      <c r="Q225" s="646"/>
      <c r="R225" s="646"/>
      <c r="S225" s="646"/>
      <c r="T225" s="646"/>
      <c r="U225" s="646"/>
      <c r="V225" s="646"/>
      <c r="W225" s="646"/>
      <c r="X225" s="646"/>
      <c r="Y225" s="646"/>
      <c r="Z225" s="646"/>
      <c r="AA225" s="646"/>
    </row>
    <row r="226">
      <c r="A226" s="651"/>
      <c r="B226" s="646"/>
      <c r="C226" s="1178"/>
      <c r="D226" s="646"/>
      <c r="E226" s="646"/>
      <c r="F226" s="646"/>
      <c r="G226" s="646"/>
      <c r="H226" s="646"/>
      <c r="I226" s="646"/>
      <c r="J226" s="646"/>
      <c r="K226" s="646"/>
      <c r="L226" s="646"/>
      <c r="M226" s="646"/>
      <c r="N226" s="646"/>
      <c r="O226" s="646"/>
      <c r="P226" s="646"/>
      <c r="Q226" s="646"/>
      <c r="R226" s="646"/>
      <c r="S226" s="646"/>
      <c r="T226" s="646"/>
      <c r="U226" s="646"/>
      <c r="V226" s="646"/>
      <c r="W226" s="646"/>
      <c r="X226" s="646"/>
      <c r="Y226" s="646"/>
      <c r="Z226" s="646"/>
      <c r="AA226" s="646"/>
    </row>
    <row r="227">
      <c r="A227" s="651"/>
      <c r="B227" s="646"/>
      <c r="C227" s="1178"/>
      <c r="D227" s="646"/>
      <c r="E227" s="646"/>
      <c r="F227" s="646"/>
      <c r="G227" s="646"/>
      <c r="H227" s="646"/>
      <c r="I227" s="646"/>
      <c r="J227" s="646"/>
      <c r="K227" s="646"/>
      <c r="L227" s="646"/>
      <c r="M227" s="646"/>
      <c r="N227" s="646"/>
      <c r="O227" s="646"/>
      <c r="P227" s="646"/>
      <c r="Q227" s="646"/>
      <c r="R227" s="646"/>
      <c r="S227" s="646"/>
      <c r="T227" s="646"/>
      <c r="U227" s="646"/>
      <c r="V227" s="646"/>
      <c r="W227" s="646"/>
      <c r="X227" s="646"/>
      <c r="Y227" s="646"/>
      <c r="Z227" s="646"/>
      <c r="AA227" s="646"/>
    </row>
    <row r="228">
      <c r="A228" s="651"/>
      <c r="B228" s="646"/>
      <c r="C228" s="1178"/>
      <c r="D228" s="646"/>
      <c r="E228" s="646"/>
      <c r="F228" s="646"/>
      <c r="G228" s="646"/>
      <c r="H228" s="646"/>
      <c r="I228" s="646"/>
      <c r="J228" s="646"/>
      <c r="K228" s="646"/>
      <c r="L228" s="646"/>
      <c r="M228" s="646"/>
      <c r="N228" s="646"/>
      <c r="O228" s="646"/>
      <c r="P228" s="646"/>
      <c r="Q228" s="646"/>
      <c r="R228" s="646"/>
      <c r="S228" s="646"/>
      <c r="T228" s="646"/>
      <c r="U228" s="646"/>
      <c r="V228" s="646"/>
      <c r="W228" s="646"/>
      <c r="X228" s="646"/>
      <c r="Y228" s="646"/>
      <c r="Z228" s="646"/>
      <c r="AA228" s="646"/>
    </row>
    <row r="229">
      <c r="A229" s="651"/>
      <c r="B229" s="646"/>
      <c r="C229" s="1178"/>
      <c r="D229" s="646"/>
      <c r="E229" s="646"/>
      <c r="F229" s="646"/>
      <c r="G229" s="646"/>
      <c r="H229" s="646"/>
      <c r="I229" s="646"/>
      <c r="J229" s="646"/>
      <c r="K229" s="646"/>
      <c r="L229" s="646"/>
      <c r="M229" s="646"/>
      <c r="N229" s="646"/>
      <c r="O229" s="646"/>
      <c r="P229" s="646"/>
      <c r="Q229" s="646"/>
      <c r="R229" s="646"/>
      <c r="S229" s="646"/>
      <c r="T229" s="646"/>
      <c r="U229" s="646"/>
      <c r="V229" s="646"/>
      <c r="W229" s="646"/>
      <c r="X229" s="646"/>
      <c r="Y229" s="646"/>
      <c r="Z229" s="646"/>
      <c r="AA229" s="646"/>
    </row>
    <row r="230">
      <c r="A230" s="651"/>
      <c r="B230" s="646"/>
      <c r="C230" s="1178"/>
      <c r="D230" s="646"/>
      <c r="E230" s="646"/>
      <c r="F230" s="646"/>
      <c r="G230" s="646"/>
      <c r="H230" s="646"/>
      <c r="I230" s="646"/>
      <c r="J230" s="646"/>
      <c r="K230" s="646"/>
      <c r="L230" s="646"/>
      <c r="M230" s="646"/>
      <c r="N230" s="646"/>
      <c r="O230" s="646"/>
      <c r="P230" s="646"/>
      <c r="Q230" s="646"/>
      <c r="R230" s="646"/>
      <c r="S230" s="646"/>
      <c r="T230" s="646"/>
      <c r="U230" s="646"/>
      <c r="V230" s="646"/>
      <c r="W230" s="646"/>
      <c r="X230" s="646"/>
      <c r="Y230" s="646"/>
      <c r="Z230" s="646"/>
      <c r="AA230" s="646"/>
    </row>
    <row r="231">
      <c r="A231" s="651"/>
      <c r="B231" s="646"/>
      <c r="C231" s="1178"/>
      <c r="D231" s="646"/>
      <c r="E231" s="646"/>
      <c r="F231" s="646"/>
      <c r="G231" s="646"/>
      <c r="H231" s="646"/>
      <c r="I231" s="646"/>
      <c r="J231" s="646"/>
      <c r="K231" s="646"/>
      <c r="L231" s="646"/>
      <c r="M231" s="646"/>
      <c r="N231" s="646"/>
      <c r="O231" s="646"/>
      <c r="P231" s="646"/>
      <c r="Q231" s="646"/>
      <c r="R231" s="646"/>
      <c r="S231" s="646"/>
      <c r="T231" s="646"/>
      <c r="U231" s="646"/>
      <c r="V231" s="646"/>
      <c r="W231" s="646"/>
      <c r="X231" s="646"/>
      <c r="Y231" s="646"/>
      <c r="Z231" s="646"/>
      <c r="AA231" s="646"/>
    </row>
    <row r="232">
      <c r="A232" s="651"/>
      <c r="B232" s="646"/>
      <c r="C232" s="1178"/>
      <c r="D232" s="646"/>
      <c r="E232" s="646"/>
      <c r="F232" s="646"/>
      <c r="G232" s="646"/>
      <c r="H232" s="646"/>
      <c r="I232" s="646"/>
      <c r="J232" s="646"/>
      <c r="K232" s="646"/>
      <c r="L232" s="646"/>
      <c r="M232" s="646"/>
      <c r="N232" s="646"/>
      <c r="O232" s="646"/>
      <c r="P232" s="646"/>
      <c r="Q232" s="646"/>
      <c r="R232" s="646"/>
      <c r="S232" s="646"/>
      <c r="T232" s="646"/>
      <c r="U232" s="646"/>
      <c r="V232" s="646"/>
      <c r="W232" s="646"/>
      <c r="X232" s="646"/>
      <c r="Y232" s="646"/>
      <c r="Z232" s="646"/>
      <c r="AA232" s="646"/>
    </row>
    <row r="233">
      <c r="A233" s="651"/>
      <c r="B233" s="646"/>
      <c r="C233" s="1178"/>
      <c r="D233" s="646"/>
      <c r="E233" s="646"/>
      <c r="F233" s="646"/>
      <c r="G233" s="646"/>
      <c r="H233" s="646"/>
      <c r="I233" s="646"/>
      <c r="J233" s="646"/>
      <c r="K233" s="646"/>
      <c r="L233" s="646"/>
      <c r="M233" s="646"/>
      <c r="N233" s="646"/>
      <c r="O233" s="646"/>
      <c r="P233" s="646"/>
      <c r="Q233" s="646"/>
      <c r="R233" s="646"/>
      <c r="S233" s="646"/>
      <c r="T233" s="646"/>
      <c r="U233" s="646"/>
      <c r="V233" s="646"/>
      <c r="W233" s="646"/>
      <c r="X233" s="646"/>
      <c r="Y233" s="646"/>
      <c r="Z233" s="646"/>
      <c r="AA233" s="646"/>
    </row>
    <row r="234">
      <c r="A234" s="651"/>
      <c r="B234" s="646"/>
      <c r="C234" s="1178"/>
      <c r="D234" s="646"/>
      <c r="E234" s="646"/>
      <c r="F234" s="646"/>
      <c r="G234" s="646"/>
      <c r="H234" s="646"/>
      <c r="I234" s="646"/>
      <c r="J234" s="646"/>
      <c r="K234" s="646"/>
      <c r="L234" s="646"/>
      <c r="M234" s="646"/>
      <c r="N234" s="646"/>
      <c r="O234" s="646"/>
      <c r="P234" s="646"/>
      <c r="Q234" s="646"/>
      <c r="R234" s="646"/>
      <c r="S234" s="646"/>
      <c r="T234" s="646"/>
      <c r="U234" s="646"/>
      <c r="V234" s="646"/>
      <c r="W234" s="646"/>
      <c r="X234" s="646"/>
      <c r="Y234" s="646"/>
      <c r="Z234" s="646"/>
      <c r="AA234" s="646"/>
    </row>
    <row r="235">
      <c r="A235" s="651"/>
      <c r="B235" s="646"/>
      <c r="C235" s="1178"/>
      <c r="D235" s="646"/>
      <c r="E235" s="646"/>
      <c r="F235" s="646"/>
      <c r="G235" s="646"/>
      <c r="H235" s="646"/>
      <c r="I235" s="646"/>
      <c r="J235" s="646"/>
      <c r="K235" s="646"/>
      <c r="L235" s="646"/>
      <c r="M235" s="646"/>
      <c r="N235" s="646"/>
      <c r="O235" s="646"/>
      <c r="P235" s="646"/>
      <c r="Q235" s="646"/>
      <c r="R235" s="646"/>
      <c r="S235" s="646"/>
      <c r="T235" s="646"/>
      <c r="U235" s="646"/>
      <c r="V235" s="646"/>
      <c r="W235" s="646"/>
      <c r="X235" s="646"/>
      <c r="Y235" s="646"/>
      <c r="Z235" s="646"/>
      <c r="AA235" s="646"/>
    </row>
    <row r="236">
      <c r="A236" s="651"/>
      <c r="B236" s="646"/>
      <c r="C236" s="1178"/>
      <c r="D236" s="646"/>
      <c r="E236" s="646"/>
      <c r="F236" s="646"/>
      <c r="G236" s="646"/>
      <c r="H236" s="646"/>
      <c r="I236" s="646"/>
      <c r="J236" s="646"/>
      <c r="K236" s="646"/>
      <c r="L236" s="646"/>
      <c r="M236" s="646"/>
      <c r="N236" s="646"/>
      <c r="O236" s="646"/>
      <c r="P236" s="646"/>
      <c r="Q236" s="646"/>
      <c r="R236" s="646"/>
      <c r="S236" s="646"/>
      <c r="T236" s="646"/>
      <c r="U236" s="646"/>
      <c r="V236" s="646"/>
      <c r="W236" s="646"/>
      <c r="X236" s="646"/>
      <c r="Y236" s="646"/>
      <c r="Z236" s="646"/>
      <c r="AA236" s="646"/>
    </row>
    <row r="237">
      <c r="A237" s="651"/>
      <c r="B237" s="646"/>
      <c r="C237" s="1178"/>
      <c r="D237" s="646"/>
      <c r="E237" s="646"/>
      <c r="F237" s="646"/>
      <c r="G237" s="646"/>
      <c r="H237" s="646"/>
      <c r="I237" s="646"/>
      <c r="J237" s="646"/>
      <c r="K237" s="646"/>
      <c r="L237" s="646"/>
      <c r="M237" s="646"/>
      <c r="N237" s="646"/>
      <c r="O237" s="646"/>
      <c r="P237" s="646"/>
      <c r="Q237" s="646"/>
      <c r="R237" s="646"/>
      <c r="S237" s="646"/>
      <c r="T237" s="646"/>
      <c r="U237" s="646"/>
      <c r="V237" s="646"/>
      <c r="W237" s="646"/>
      <c r="X237" s="646"/>
      <c r="Y237" s="646"/>
      <c r="Z237" s="646"/>
      <c r="AA237" s="646"/>
    </row>
    <row r="238">
      <c r="A238" s="651"/>
      <c r="B238" s="646"/>
      <c r="C238" s="1178"/>
      <c r="D238" s="646"/>
      <c r="E238" s="646"/>
      <c r="F238" s="646"/>
      <c r="G238" s="646"/>
      <c r="H238" s="646"/>
      <c r="I238" s="646"/>
      <c r="J238" s="646"/>
      <c r="K238" s="646"/>
      <c r="L238" s="646"/>
      <c r="M238" s="646"/>
      <c r="N238" s="646"/>
      <c r="O238" s="646"/>
      <c r="P238" s="646"/>
      <c r="Q238" s="646"/>
      <c r="R238" s="646"/>
      <c r="S238" s="646"/>
      <c r="T238" s="646"/>
      <c r="U238" s="646"/>
      <c r="V238" s="646"/>
      <c r="W238" s="646"/>
      <c r="X238" s="646"/>
      <c r="Y238" s="646"/>
      <c r="Z238" s="646"/>
      <c r="AA238" s="646"/>
    </row>
    <row r="239">
      <c r="A239" s="651"/>
      <c r="B239" s="646"/>
      <c r="C239" s="1178"/>
      <c r="D239" s="646"/>
      <c r="E239" s="646"/>
      <c r="F239" s="646"/>
      <c r="G239" s="646"/>
      <c r="H239" s="646"/>
      <c r="I239" s="646"/>
      <c r="J239" s="646"/>
      <c r="K239" s="646"/>
      <c r="L239" s="646"/>
      <c r="M239" s="646"/>
      <c r="N239" s="646"/>
      <c r="O239" s="646"/>
      <c r="P239" s="646"/>
      <c r="Q239" s="646"/>
      <c r="R239" s="646"/>
      <c r="S239" s="646"/>
      <c r="T239" s="646"/>
      <c r="U239" s="646"/>
      <c r="V239" s="646"/>
      <c r="W239" s="646"/>
      <c r="X239" s="646"/>
      <c r="Y239" s="646"/>
      <c r="Z239" s="646"/>
      <c r="AA239" s="646"/>
    </row>
    <row r="240">
      <c r="A240" s="651"/>
      <c r="B240" s="646"/>
      <c r="C240" s="1178"/>
      <c r="D240" s="646"/>
      <c r="E240" s="646"/>
      <c r="F240" s="646"/>
      <c r="G240" s="646"/>
      <c r="H240" s="646"/>
      <c r="I240" s="646"/>
      <c r="J240" s="646"/>
      <c r="K240" s="646"/>
      <c r="L240" s="646"/>
      <c r="M240" s="646"/>
      <c r="N240" s="646"/>
      <c r="O240" s="646"/>
      <c r="P240" s="646"/>
      <c r="Q240" s="646"/>
      <c r="R240" s="646"/>
      <c r="S240" s="646"/>
      <c r="T240" s="646"/>
      <c r="U240" s="646"/>
      <c r="V240" s="646"/>
      <c r="W240" s="646"/>
      <c r="X240" s="646"/>
      <c r="Y240" s="646"/>
      <c r="Z240" s="646"/>
      <c r="AA240" s="646"/>
    </row>
    <row r="241">
      <c r="A241" s="651"/>
      <c r="B241" s="646"/>
      <c r="C241" s="1178"/>
      <c r="D241" s="646"/>
      <c r="E241" s="646"/>
      <c r="F241" s="646"/>
      <c r="G241" s="646"/>
      <c r="H241" s="646"/>
      <c r="I241" s="646"/>
      <c r="J241" s="646"/>
      <c r="K241" s="646"/>
      <c r="L241" s="646"/>
      <c r="M241" s="646"/>
      <c r="N241" s="646"/>
      <c r="O241" s="646"/>
      <c r="P241" s="646"/>
      <c r="Q241" s="646"/>
      <c r="R241" s="646"/>
      <c r="S241" s="646"/>
      <c r="T241" s="646"/>
      <c r="U241" s="646"/>
      <c r="V241" s="646"/>
      <c r="W241" s="646"/>
      <c r="X241" s="646"/>
      <c r="Y241" s="646"/>
      <c r="Z241" s="646"/>
      <c r="AA241" s="646"/>
    </row>
    <row r="242">
      <c r="A242" s="651"/>
      <c r="B242" s="646"/>
      <c r="C242" s="1178"/>
      <c r="D242" s="646"/>
      <c r="E242" s="646"/>
      <c r="F242" s="646"/>
      <c r="G242" s="646"/>
      <c r="H242" s="646"/>
      <c r="I242" s="646"/>
      <c r="J242" s="646"/>
      <c r="K242" s="646"/>
      <c r="L242" s="646"/>
      <c r="M242" s="646"/>
      <c r="N242" s="646"/>
      <c r="O242" s="646"/>
      <c r="P242" s="646"/>
      <c r="Q242" s="646"/>
      <c r="R242" s="646"/>
      <c r="S242" s="646"/>
      <c r="T242" s="646"/>
      <c r="U242" s="646"/>
      <c r="V242" s="646"/>
      <c r="W242" s="646"/>
      <c r="X242" s="646"/>
      <c r="Y242" s="646"/>
      <c r="Z242" s="646"/>
      <c r="AA242" s="646"/>
    </row>
    <row r="243">
      <c r="A243" s="651"/>
      <c r="B243" s="646"/>
      <c r="C243" s="1178"/>
      <c r="D243" s="646"/>
      <c r="E243" s="646"/>
      <c r="F243" s="646"/>
      <c r="G243" s="646"/>
      <c r="H243" s="646"/>
      <c r="I243" s="646"/>
      <c r="J243" s="646"/>
      <c r="K243" s="646"/>
      <c r="L243" s="646"/>
      <c r="M243" s="646"/>
      <c r="N243" s="646"/>
      <c r="O243" s="646"/>
      <c r="P243" s="646"/>
      <c r="Q243" s="646"/>
      <c r="R243" s="646"/>
      <c r="S243" s="646"/>
      <c r="T243" s="646"/>
      <c r="U243" s="646"/>
      <c r="V243" s="646"/>
      <c r="W243" s="646"/>
      <c r="X243" s="646"/>
      <c r="Y243" s="646"/>
      <c r="Z243" s="646"/>
      <c r="AA243" s="646"/>
    </row>
    <row r="244">
      <c r="A244" s="651"/>
      <c r="B244" s="646"/>
      <c r="C244" s="1178"/>
      <c r="D244" s="646"/>
      <c r="E244" s="646"/>
      <c r="F244" s="646"/>
      <c r="G244" s="646"/>
      <c r="H244" s="646"/>
      <c r="I244" s="646"/>
      <c r="J244" s="646"/>
      <c r="K244" s="646"/>
      <c r="L244" s="646"/>
      <c r="M244" s="646"/>
      <c r="N244" s="646"/>
      <c r="O244" s="646"/>
      <c r="P244" s="646"/>
      <c r="Q244" s="646"/>
      <c r="R244" s="646"/>
      <c r="S244" s="646"/>
      <c r="T244" s="646"/>
      <c r="U244" s="646"/>
      <c r="V244" s="646"/>
      <c r="W244" s="646"/>
      <c r="X244" s="646"/>
      <c r="Y244" s="646"/>
      <c r="Z244" s="646"/>
      <c r="AA244" s="646"/>
    </row>
    <row r="245">
      <c r="A245" s="651"/>
      <c r="B245" s="646"/>
      <c r="C245" s="1178"/>
      <c r="D245" s="646"/>
      <c r="E245" s="646"/>
      <c r="F245" s="646"/>
      <c r="G245" s="646"/>
      <c r="H245" s="646"/>
      <c r="I245" s="646"/>
      <c r="J245" s="646"/>
      <c r="K245" s="646"/>
      <c r="L245" s="646"/>
      <c r="M245" s="646"/>
      <c r="N245" s="646"/>
      <c r="O245" s="646"/>
      <c r="P245" s="646"/>
      <c r="Q245" s="646"/>
      <c r="R245" s="646"/>
      <c r="S245" s="646"/>
      <c r="T245" s="646"/>
      <c r="U245" s="646"/>
      <c r="V245" s="646"/>
      <c r="W245" s="646"/>
      <c r="X245" s="646"/>
      <c r="Y245" s="646"/>
      <c r="Z245" s="646"/>
      <c r="AA245" s="646"/>
    </row>
    <row r="246">
      <c r="A246" s="651"/>
      <c r="B246" s="646"/>
      <c r="C246" s="1178"/>
      <c r="D246" s="646"/>
      <c r="E246" s="646"/>
      <c r="F246" s="646"/>
      <c r="G246" s="646"/>
      <c r="H246" s="646"/>
      <c r="I246" s="646"/>
      <c r="J246" s="646"/>
      <c r="K246" s="646"/>
      <c r="L246" s="646"/>
      <c r="M246" s="646"/>
      <c r="N246" s="646"/>
      <c r="O246" s="646"/>
      <c r="P246" s="646"/>
      <c r="Q246" s="646"/>
      <c r="R246" s="646"/>
      <c r="S246" s="646"/>
      <c r="T246" s="646"/>
      <c r="U246" s="646"/>
      <c r="V246" s="646"/>
      <c r="W246" s="646"/>
      <c r="X246" s="646"/>
      <c r="Y246" s="646"/>
      <c r="Z246" s="646"/>
      <c r="AA246" s="646"/>
    </row>
    <row r="247">
      <c r="A247" s="651"/>
      <c r="B247" s="646"/>
      <c r="C247" s="1178"/>
      <c r="D247" s="646"/>
      <c r="E247" s="646"/>
      <c r="F247" s="646"/>
      <c r="G247" s="646"/>
      <c r="H247" s="646"/>
      <c r="I247" s="646"/>
      <c r="J247" s="646"/>
      <c r="K247" s="646"/>
      <c r="L247" s="646"/>
      <c r="M247" s="646"/>
      <c r="N247" s="646"/>
      <c r="O247" s="646"/>
      <c r="P247" s="646"/>
      <c r="Q247" s="646"/>
      <c r="R247" s="646"/>
      <c r="S247" s="646"/>
      <c r="T247" s="646"/>
      <c r="U247" s="646"/>
      <c r="V247" s="646"/>
      <c r="W247" s="646"/>
      <c r="X247" s="646"/>
      <c r="Y247" s="646"/>
      <c r="Z247" s="646"/>
      <c r="AA247" s="646"/>
    </row>
    <row r="248">
      <c r="A248" s="651"/>
      <c r="B248" s="646"/>
      <c r="C248" s="1178"/>
      <c r="D248" s="646"/>
      <c r="E248" s="646"/>
      <c r="F248" s="646"/>
      <c r="G248" s="646"/>
      <c r="H248" s="646"/>
      <c r="I248" s="646"/>
      <c r="J248" s="646"/>
      <c r="K248" s="646"/>
      <c r="L248" s="646"/>
      <c r="M248" s="646"/>
      <c r="N248" s="646"/>
      <c r="O248" s="646"/>
      <c r="P248" s="646"/>
      <c r="Q248" s="646"/>
      <c r="R248" s="646"/>
      <c r="S248" s="646"/>
      <c r="T248" s="646"/>
      <c r="U248" s="646"/>
      <c r="V248" s="646"/>
      <c r="W248" s="646"/>
      <c r="X248" s="646"/>
      <c r="Y248" s="646"/>
      <c r="Z248" s="646"/>
      <c r="AA248" s="646"/>
    </row>
    <row r="249">
      <c r="A249" s="651"/>
      <c r="B249" s="646"/>
      <c r="C249" s="1178"/>
      <c r="D249" s="646"/>
      <c r="E249" s="646"/>
      <c r="F249" s="646"/>
      <c r="G249" s="646"/>
      <c r="H249" s="646"/>
      <c r="I249" s="646"/>
      <c r="J249" s="646"/>
      <c r="K249" s="646"/>
      <c r="L249" s="646"/>
      <c r="M249" s="646"/>
      <c r="N249" s="646"/>
      <c r="O249" s="646"/>
      <c r="P249" s="646"/>
      <c r="Q249" s="646"/>
      <c r="R249" s="646"/>
      <c r="S249" s="646"/>
      <c r="T249" s="646"/>
      <c r="U249" s="646"/>
      <c r="V249" s="646"/>
      <c r="W249" s="646"/>
      <c r="X249" s="646"/>
      <c r="Y249" s="646"/>
      <c r="Z249" s="646"/>
      <c r="AA249" s="646"/>
    </row>
    <row r="250">
      <c r="A250" s="651"/>
      <c r="B250" s="646"/>
      <c r="C250" s="1178"/>
      <c r="D250" s="646"/>
      <c r="E250" s="646"/>
      <c r="F250" s="646"/>
      <c r="G250" s="646"/>
      <c r="H250" s="646"/>
      <c r="I250" s="646"/>
      <c r="J250" s="646"/>
      <c r="K250" s="646"/>
      <c r="L250" s="646"/>
      <c r="M250" s="646"/>
      <c r="N250" s="646"/>
      <c r="O250" s="646"/>
      <c r="P250" s="646"/>
      <c r="Q250" s="646"/>
      <c r="R250" s="646"/>
      <c r="S250" s="646"/>
      <c r="T250" s="646"/>
      <c r="U250" s="646"/>
      <c r="V250" s="646"/>
      <c r="W250" s="646"/>
      <c r="X250" s="646"/>
      <c r="Y250" s="646"/>
      <c r="Z250" s="646"/>
      <c r="AA250" s="646"/>
    </row>
    <row r="251">
      <c r="A251" s="651"/>
      <c r="B251" s="646"/>
      <c r="C251" s="1178"/>
      <c r="D251" s="646"/>
      <c r="E251" s="646"/>
      <c r="F251" s="646"/>
      <c r="G251" s="646"/>
      <c r="H251" s="646"/>
      <c r="I251" s="646"/>
      <c r="J251" s="646"/>
      <c r="K251" s="646"/>
      <c r="L251" s="646"/>
      <c r="M251" s="646"/>
      <c r="N251" s="646"/>
      <c r="O251" s="646"/>
      <c r="P251" s="646"/>
      <c r="Q251" s="646"/>
      <c r="R251" s="646"/>
      <c r="S251" s="646"/>
      <c r="T251" s="646"/>
      <c r="U251" s="646"/>
      <c r="V251" s="646"/>
      <c r="W251" s="646"/>
      <c r="X251" s="646"/>
      <c r="Y251" s="646"/>
      <c r="Z251" s="646"/>
      <c r="AA251" s="646"/>
    </row>
    <row r="252">
      <c r="A252" s="651"/>
      <c r="B252" s="646"/>
      <c r="C252" s="1178"/>
      <c r="D252" s="646"/>
      <c r="E252" s="646"/>
      <c r="F252" s="646"/>
      <c r="G252" s="646"/>
      <c r="H252" s="646"/>
      <c r="I252" s="646"/>
      <c r="J252" s="646"/>
      <c r="K252" s="646"/>
      <c r="L252" s="646"/>
      <c r="M252" s="646"/>
      <c r="N252" s="646"/>
      <c r="O252" s="646"/>
      <c r="P252" s="646"/>
      <c r="Q252" s="646"/>
      <c r="R252" s="646"/>
      <c r="S252" s="646"/>
      <c r="T252" s="646"/>
      <c r="U252" s="646"/>
      <c r="V252" s="646"/>
      <c r="W252" s="646"/>
      <c r="X252" s="646"/>
      <c r="Y252" s="646"/>
      <c r="Z252" s="646"/>
      <c r="AA252" s="646"/>
    </row>
    <row r="253">
      <c r="A253" s="651"/>
      <c r="B253" s="646"/>
      <c r="C253" s="1178"/>
      <c r="D253" s="646"/>
      <c r="E253" s="646"/>
      <c r="F253" s="646"/>
      <c r="G253" s="646"/>
      <c r="H253" s="646"/>
      <c r="I253" s="646"/>
      <c r="J253" s="646"/>
      <c r="K253" s="646"/>
      <c r="L253" s="646"/>
      <c r="M253" s="646"/>
      <c r="N253" s="646"/>
      <c r="O253" s="646"/>
      <c r="P253" s="646"/>
      <c r="Q253" s="646"/>
      <c r="R253" s="646"/>
      <c r="S253" s="646"/>
      <c r="T253" s="646"/>
      <c r="U253" s="646"/>
      <c r="V253" s="646"/>
      <c r="W253" s="646"/>
      <c r="X253" s="646"/>
      <c r="Y253" s="646"/>
      <c r="Z253" s="646"/>
      <c r="AA253" s="646"/>
    </row>
    <row r="254">
      <c r="A254" s="651"/>
      <c r="B254" s="646"/>
      <c r="C254" s="1178"/>
      <c r="D254" s="646"/>
      <c r="E254" s="646"/>
      <c r="F254" s="646"/>
      <c r="G254" s="646"/>
      <c r="H254" s="646"/>
      <c r="I254" s="646"/>
      <c r="J254" s="646"/>
      <c r="K254" s="646"/>
      <c r="L254" s="646"/>
      <c r="M254" s="646"/>
      <c r="N254" s="646"/>
      <c r="O254" s="646"/>
      <c r="P254" s="646"/>
      <c r="Q254" s="646"/>
      <c r="R254" s="646"/>
      <c r="S254" s="646"/>
      <c r="T254" s="646"/>
      <c r="U254" s="646"/>
      <c r="V254" s="646"/>
      <c r="W254" s="646"/>
      <c r="X254" s="646"/>
      <c r="Y254" s="646"/>
      <c r="Z254" s="646"/>
      <c r="AA254" s="646"/>
    </row>
    <row r="255">
      <c r="A255" s="651"/>
      <c r="B255" s="646"/>
      <c r="C255" s="1178"/>
      <c r="D255" s="646"/>
      <c r="E255" s="646"/>
      <c r="F255" s="646"/>
      <c r="G255" s="646"/>
      <c r="H255" s="646"/>
      <c r="I255" s="646"/>
      <c r="J255" s="646"/>
      <c r="K255" s="646"/>
      <c r="L255" s="646"/>
      <c r="M255" s="646"/>
      <c r="N255" s="646"/>
      <c r="O255" s="646"/>
      <c r="P255" s="646"/>
      <c r="Q255" s="646"/>
      <c r="R255" s="646"/>
      <c r="S255" s="646"/>
      <c r="T255" s="646"/>
      <c r="U255" s="646"/>
      <c r="V255" s="646"/>
      <c r="W255" s="646"/>
      <c r="X255" s="646"/>
      <c r="Y255" s="646"/>
      <c r="Z255" s="646"/>
      <c r="AA255" s="646"/>
    </row>
    <row r="256">
      <c r="A256" s="651"/>
      <c r="B256" s="646"/>
      <c r="C256" s="1178"/>
      <c r="D256" s="646"/>
      <c r="E256" s="646"/>
      <c r="F256" s="646"/>
      <c r="G256" s="646"/>
      <c r="H256" s="646"/>
      <c r="I256" s="646"/>
      <c r="J256" s="646"/>
      <c r="K256" s="646"/>
      <c r="L256" s="646"/>
      <c r="M256" s="646"/>
      <c r="N256" s="646"/>
      <c r="O256" s="646"/>
      <c r="P256" s="646"/>
      <c r="Q256" s="646"/>
      <c r="R256" s="646"/>
      <c r="S256" s="646"/>
      <c r="T256" s="646"/>
      <c r="U256" s="646"/>
      <c r="V256" s="646"/>
      <c r="W256" s="646"/>
      <c r="X256" s="646"/>
      <c r="Y256" s="646"/>
      <c r="Z256" s="646"/>
      <c r="AA256" s="646"/>
    </row>
    <row r="257">
      <c r="A257" s="651"/>
      <c r="B257" s="646"/>
      <c r="C257" s="1178"/>
      <c r="D257" s="646"/>
      <c r="E257" s="646"/>
      <c r="F257" s="646"/>
      <c r="G257" s="646"/>
      <c r="H257" s="646"/>
      <c r="I257" s="646"/>
      <c r="J257" s="646"/>
      <c r="K257" s="646"/>
      <c r="L257" s="646"/>
      <c r="M257" s="646"/>
      <c r="N257" s="646"/>
      <c r="O257" s="646"/>
      <c r="P257" s="646"/>
      <c r="Q257" s="646"/>
      <c r="R257" s="646"/>
      <c r="S257" s="646"/>
      <c r="T257" s="646"/>
      <c r="U257" s="646"/>
      <c r="V257" s="646"/>
      <c r="W257" s="646"/>
      <c r="X257" s="646"/>
      <c r="Y257" s="646"/>
      <c r="Z257" s="646"/>
      <c r="AA257" s="646"/>
    </row>
    <row r="258">
      <c r="A258" s="651"/>
      <c r="B258" s="646"/>
      <c r="C258" s="1178"/>
      <c r="D258" s="646"/>
      <c r="E258" s="646"/>
      <c r="F258" s="646"/>
      <c r="G258" s="646"/>
      <c r="H258" s="646"/>
      <c r="I258" s="646"/>
      <c r="J258" s="646"/>
      <c r="K258" s="646"/>
      <c r="L258" s="646"/>
      <c r="M258" s="646"/>
      <c r="N258" s="646"/>
      <c r="O258" s="646"/>
      <c r="P258" s="646"/>
      <c r="Q258" s="646"/>
      <c r="R258" s="646"/>
      <c r="S258" s="646"/>
      <c r="T258" s="646"/>
      <c r="U258" s="646"/>
      <c r="V258" s="646"/>
      <c r="W258" s="646"/>
      <c r="X258" s="646"/>
      <c r="Y258" s="646"/>
      <c r="Z258" s="646"/>
      <c r="AA258" s="646"/>
    </row>
    <row r="259">
      <c r="A259" s="651"/>
      <c r="B259" s="646"/>
      <c r="C259" s="1178"/>
      <c r="D259" s="646"/>
      <c r="E259" s="646"/>
      <c r="F259" s="646"/>
      <c r="G259" s="646"/>
      <c r="H259" s="646"/>
      <c r="I259" s="646"/>
      <c r="J259" s="646"/>
      <c r="K259" s="646"/>
      <c r="L259" s="646"/>
      <c r="M259" s="646"/>
      <c r="N259" s="646"/>
      <c r="O259" s="646"/>
      <c r="P259" s="646"/>
      <c r="Q259" s="646"/>
      <c r="R259" s="646"/>
      <c r="S259" s="646"/>
      <c r="T259" s="646"/>
      <c r="U259" s="646"/>
      <c r="V259" s="646"/>
      <c r="W259" s="646"/>
      <c r="X259" s="646"/>
      <c r="Y259" s="646"/>
      <c r="Z259" s="646"/>
      <c r="AA259" s="646"/>
    </row>
    <row r="260">
      <c r="A260" s="651"/>
      <c r="B260" s="646"/>
      <c r="C260" s="1178"/>
      <c r="D260" s="646"/>
      <c r="E260" s="646"/>
      <c r="F260" s="646"/>
      <c r="G260" s="646"/>
      <c r="H260" s="646"/>
      <c r="I260" s="646"/>
      <c r="J260" s="646"/>
      <c r="K260" s="646"/>
      <c r="L260" s="646"/>
      <c r="M260" s="646"/>
      <c r="N260" s="646"/>
      <c r="O260" s="646"/>
      <c r="P260" s="646"/>
      <c r="Q260" s="646"/>
      <c r="R260" s="646"/>
      <c r="S260" s="646"/>
      <c r="T260" s="646"/>
      <c r="U260" s="646"/>
      <c r="V260" s="646"/>
      <c r="W260" s="646"/>
      <c r="X260" s="646"/>
      <c r="Y260" s="646"/>
      <c r="Z260" s="646"/>
      <c r="AA260" s="646"/>
    </row>
    <row r="261">
      <c r="A261" s="651"/>
      <c r="B261" s="646"/>
      <c r="C261" s="1178"/>
      <c r="D261" s="646"/>
      <c r="E261" s="646"/>
      <c r="F261" s="646"/>
      <c r="G261" s="646"/>
      <c r="H261" s="646"/>
      <c r="I261" s="646"/>
      <c r="J261" s="646"/>
      <c r="K261" s="646"/>
      <c r="L261" s="646"/>
      <c r="M261" s="646"/>
      <c r="N261" s="646"/>
      <c r="O261" s="646"/>
      <c r="P261" s="646"/>
      <c r="Q261" s="646"/>
      <c r="R261" s="646"/>
      <c r="S261" s="646"/>
      <c r="T261" s="646"/>
      <c r="U261" s="646"/>
      <c r="V261" s="646"/>
      <c r="W261" s="646"/>
      <c r="X261" s="646"/>
      <c r="Y261" s="646"/>
      <c r="Z261" s="646"/>
      <c r="AA261" s="646"/>
    </row>
    <row r="262">
      <c r="A262" s="651"/>
      <c r="B262" s="646"/>
      <c r="C262" s="1178"/>
      <c r="D262" s="646"/>
      <c r="E262" s="646"/>
      <c r="F262" s="646"/>
      <c r="G262" s="646"/>
      <c r="H262" s="646"/>
      <c r="I262" s="646"/>
      <c r="J262" s="646"/>
      <c r="K262" s="646"/>
      <c r="L262" s="646"/>
      <c r="M262" s="646"/>
      <c r="N262" s="646"/>
      <c r="O262" s="646"/>
      <c r="P262" s="646"/>
      <c r="Q262" s="646"/>
      <c r="R262" s="646"/>
      <c r="S262" s="646"/>
      <c r="T262" s="646"/>
      <c r="U262" s="646"/>
      <c r="V262" s="646"/>
      <c r="W262" s="646"/>
      <c r="X262" s="646"/>
      <c r="Y262" s="646"/>
      <c r="Z262" s="646"/>
      <c r="AA262" s="646"/>
    </row>
    <row r="263">
      <c r="A263" s="651"/>
      <c r="B263" s="646"/>
      <c r="C263" s="1178"/>
      <c r="D263" s="646"/>
      <c r="E263" s="646"/>
      <c r="F263" s="646"/>
      <c r="G263" s="646"/>
      <c r="H263" s="646"/>
      <c r="I263" s="646"/>
      <c r="J263" s="646"/>
      <c r="K263" s="646"/>
      <c r="L263" s="646"/>
      <c r="M263" s="646"/>
      <c r="N263" s="646"/>
      <c r="O263" s="646"/>
      <c r="P263" s="646"/>
      <c r="Q263" s="646"/>
      <c r="R263" s="646"/>
      <c r="S263" s="646"/>
      <c r="T263" s="646"/>
      <c r="U263" s="646"/>
      <c r="V263" s="646"/>
      <c r="W263" s="646"/>
      <c r="X263" s="646"/>
      <c r="Y263" s="646"/>
      <c r="Z263" s="646"/>
      <c r="AA263" s="646"/>
    </row>
    <row r="264">
      <c r="A264" s="651"/>
      <c r="B264" s="646"/>
      <c r="C264" s="1178"/>
      <c r="D264" s="646"/>
      <c r="E264" s="646"/>
      <c r="F264" s="646"/>
      <c r="G264" s="646"/>
      <c r="H264" s="646"/>
      <c r="I264" s="646"/>
      <c r="J264" s="646"/>
      <c r="K264" s="646"/>
      <c r="L264" s="646"/>
      <c r="M264" s="646"/>
      <c r="N264" s="646"/>
      <c r="O264" s="646"/>
      <c r="P264" s="646"/>
      <c r="Q264" s="646"/>
      <c r="R264" s="646"/>
      <c r="S264" s="646"/>
      <c r="T264" s="646"/>
      <c r="U264" s="646"/>
      <c r="V264" s="646"/>
      <c r="W264" s="646"/>
      <c r="X264" s="646"/>
      <c r="Y264" s="646"/>
      <c r="Z264" s="646"/>
      <c r="AA264" s="646"/>
    </row>
    <row r="265">
      <c r="A265" s="1179"/>
      <c r="C265" s="977"/>
    </row>
    <row r="266">
      <c r="A266" s="1179"/>
      <c r="C266" s="977"/>
    </row>
    <row r="267">
      <c r="A267" s="1179"/>
      <c r="C267" s="977"/>
    </row>
    <row r="268">
      <c r="A268" s="1179"/>
      <c r="C268" s="977"/>
    </row>
    <row r="269">
      <c r="A269" s="1179"/>
      <c r="C269" s="977"/>
    </row>
    <row r="270">
      <c r="A270" s="1179"/>
      <c r="C270" s="977"/>
    </row>
    <row r="271">
      <c r="A271" s="1179"/>
      <c r="C271" s="977"/>
    </row>
    <row r="272">
      <c r="A272" s="1179"/>
      <c r="C272" s="977"/>
    </row>
    <row r="273">
      <c r="A273" s="1179"/>
      <c r="C273" s="977"/>
    </row>
    <row r="274">
      <c r="A274" s="1179"/>
      <c r="C274" s="977"/>
    </row>
    <row r="275">
      <c r="A275" s="1179"/>
      <c r="C275" s="977"/>
    </row>
    <row r="276">
      <c r="A276" s="1179"/>
      <c r="C276" s="977"/>
    </row>
    <row r="277">
      <c r="A277" s="1179"/>
      <c r="C277" s="977"/>
    </row>
    <row r="278">
      <c r="A278" s="1179"/>
      <c r="C278" s="977"/>
    </row>
    <row r="279">
      <c r="A279" s="1179"/>
      <c r="C279" s="977"/>
    </row>
    <row r="280">
      <c r="A280" s="1179"/>
      <c r="C280" s="977"/>
    </row>
    <row r="281">
      <c r="A281" s="1179"/>
      <c r="C281" s="977"/>
    </row>
    <row r="282">
      <c r="A282" s="1179"/>
      <c r="C282" s="977"/>
    </row>
    <row r="283">
      <c r="A283" s="1179"/>
      <c r="C283" s="977"/>
    </row>
    <row r="284">
      <c r="A284" s="1179"/>
      <c r="C284" s="977"/>
    </row>
    <row r="285">
      <c r="A285" s="1179"/>
      <c r="C285" s="977"/>
    </row>
    <row r="286">
      <c r="A286" s="1179"/>
      <c r="C286" s="977"/>
    </row>
    <row r="287">
      <c r="A287" s="1179"/>
      <c r="C287" s="977"/>
    </row>
    <row r="288">
      <c r="A288" s="1179"/>
      <c r="C288" s="977"/>
    </row>
    <row r="289">
      <c r="A289" s="1179"/>
      <c r="C289" s="977"/>
    </row>
    <row r="290">
      <c r="A290" s="1179"/>
      <c r="C290" s="977"/>
    </row>
    <row r="291">
      <c r="A291" s="1179"/>
      <c r="C291" s="977"/>
    </row>
    <row r="292">
      <c r="A292" s="1179"/>
      <c r="C292" s="977"/>
    </row>
    <row r="293">
      <c r="A293" s="1179"/>
      <c r="C293" s="977"/>
    </row>
    <row r="294">
      <c r="A294" s="1179"/>
      <c r="C294" s="977"/>
    </row>
    <row r="295">
      <c r="A295" s="1179"/>
      <c r="C295" s="977"/>
    </row>
    <row r="296">
      <c r="A296" s="1179"/>
      <c r="C296" s="977"/>
    </row>
    <row r="297">
      <c r="A297" s="1179"/>
      <c r="C297" s="977"/>
    </row>
    <row r="298">
      <c r="A298" s="1179"/>
      <c r="C298" s="977"/>
    </row>
    <row r="299">
      <c r="A299" s="1179"/>
      <c r="C299" s="977"/>
    </row>
    <row r="300">
      <c r="A300" s="1179"/>
      <c r="C300" s="977"/>
    </row>
    <row r="301">
      <c r="A301" s="1179"/>
      <c r="C301" s="977"/>
    </row>
    <row r="302">
      <c r="A302" s="1179"/>
      <c r="C302" s="977"/>
    </row>
    <row r="303">
      <c r="A303" s="1179"/>
      <c r="C303" s="977"/>
    </row>
    <row r="304">
      <c r="A304" s="1179"/>
      <c r="C304" s="977"/>
    </row>
    <row r="305">
      <c r="A305" s="1179"/>
      <c r="C305" s="977"/>
    </row>
    <row r="306">
      <c r="A306" s="1179"/>
      <c r="C306" s="977"/>
    </row>
    <row r="307">
      <c r="A307" s="1179"/>
      <c r="C307" s="977"/>
    </row>
    <row r="308">
      <c r="A308" s="1179"/>
      <c r="C308" s="977"/>
    </row>
    <row r="309">
      <c r="A309" s="1179"/>
      <c r="C309" s="977"/>
    </row>
    <row r="310">
      <c r="A310" s="1179"/>
      <c r="C310" s="977"/>
    </row>
    <row r="311">
      <c r="A311" s="1179"/>
      <c r="C311" s="977"/>
    </row>
    <row r="312">
      <c r="A312" s="1179"/>
      <c r="C312" s="977"/>
    </row>
    <row r="313">
      <c r="A313" s="1179"/>
      <c r="C313" s="977"/>
    </row>
    <row r="314">
      <c r="A314" s="1179"/>
      <c r="C314" s="977"/>
    </row>
    <row r="315">
      <c r="A315" s="1179"/>
      <c r="C315" s="977"/>
    </row>
    <row r="316">
      <c r="A316" s="1179"/>
      <c r="C316" s="977"/>
    </row>
    <row r="317">
      <c r="A317" s="1179"/>
      <c r="C317" s="977"/>
    </row>
    <row r="318">
      <c r="A318" s="1179"/>
      <c r="C318" s="977"/>
    </row>
    <row r="319">
      <c r="A319" s="1179"/>
      <c r="C319" s="977"/>
    </row>
    <row r="320">
      <c r="A320" s="1179"/>
      <c r="C320" s="977"/>
    </row>
    <row r="321">
      <c r="A321" s="1179"/>
      <c r="C321" s="977"/>
    </row>
    <row r="322">
      <c r="A322" s="1179"/>
      <c r="C322" s="977"/>
    </row>
    <row r="323">
      <c r="A323" s="1179"/>
      <c r="C323" s="977"/>
    </row>
    <row r="324">
      <c r="A324" s="1179"/>
      <c r="C324" s="977"/>
    </row>
    <row r="325">
      <c r="A325" s="1179"/>
      <c r="C325" s="977"/>
    </row>
    <row r="326">
      <c r="A326" s="1179"/>
      <c r="C326" s="977"/>
    </row>
    <row r="327">
      <c r="A327" s="1179"/>
      <c r="C327" s="977"/>
    </row>
    <row r="328">
      <c r="A328" s="1179"/>
      <c r="C328" s="977"/>
    </row>
    <row r="329">
      <c r="A329" s="1179"/>
      <c r="C329" s="977"/>
    </row>
    <row r="330">
      <c r="A330" s="1179"/>
      <c r="C330" s="977"/>
    </row>
    <row r="331">
      <c r="A331" s="1179"/>
      <c r="C331" s="977"/>
    </row>
    <row r="332">
      <c r="A332" s="1179"/>
      <c r="C332" s="977"/>
    </row>
    <row r="333">
      <c r="A333" s="1179"/>
      <c r="C333" s="977"/>
    </row>
    <row r="334">
      <c r="A334" s="1179"/>
      <c r="C334" s="977"/>
    </row>
    <row r="335">
      <c r="A335" s="1179"/>
      <c r="C335" s="977"/>
    </row>
    <row r="336">
      <c r="A336" s="1179"/>
      <c r="C336" s="977"/>
    </row>
    <row r="337">
      <c r="A337" s="1179"/>
      <c r="C337" s="977"/>
    </row>
    <row r="338">
      <c r="A338" s="1179"/>
      <c r="C338" s="977"/>
    </row>
    <row r="339">
      <c r="A339" s="1179"/>
      <c r="C339" s="977"/>
    </row>
    <row r="340">
      <c r="A340" s="1179"/>
      <c r="C340" s="977"/>
    </row>
    <row r="341">
      <c r="A341" s="1179"/>
      <c r="C341" s="977"/>
    </row>
    <row r="342">
      <c r="A342" s="1179"/>
      <c r="C342" s="977"/>
    </row>
    <row r="343">
      <c r="A343" s="1179"/>
      <c r="C343" s="977"/>
    </row>
    <row r="344">
      <c r="A344" s="1179"/>
      <c r="C344" s="977"/>
    </row>
    <row r="345">
      <c r="A345" s="1179"/>
      <c r="C345" s="977"/>
    </row>
    <row r="346">
      <c r="A346" s="1179"/>
      <c r="C346" s="977"/>
    </row>
    <row r="347">
      <c r="A347" s="1179"/>
      <c r="C347" s="977"/>
    </row>
    <row r="348">
      <c r="A348" s="1179"/>
      <c r="C348" s="977"/>
    </row>
    <row r="349">
      <c r="A349" s="1179"/>
      <c r="C349" s="977"/>
    </row>
    <row r="350">
      <c r="A350" s="1179"/>
      <c r="C350" s="977"/>
    </row>
    <row r="351">
      <c r="A351" s="1179"/>
      <c r="C351" s="977"/>
    </row>
    <row r="352">
      <c r="A352" s="1179"/>
      <c r="C352" s="977"/>
    </row>
    <row r="353">
      <c r="A353" s="1179"/>
      <c r="C353" s="977"/>
    </row>
    <row r="354">
      <c r="A354" s="1179"/>
      <c r="C354" s="977"/>
    </row>
    <row r="355">
      <c r="A355" s="1179"/>
      <c r="C355" s="977"/>
    </row>
    <row r="356">
      <c r="A356" s="1179"/>
      <c r="C356" s="977"/>
    </row>
    <row r="357">
      <c r="A357" s="1179"/>
      <c r="C357" s="977"/>
    </row>
    <row r="358">
      <c r="A358" s="1179"/>
      <c r="C358" s="977"/>
    </row>
    <row r="359">
      <c r="A359" s="1179"/>
      <c r="C359" s="977"/>
    </row>
    <row r="360">
      <c r="A360" s="1179"/>
      <c r="C360" s="977"/>
    </row>
    <row r="361">
      <c r="A361" s="1179"/>
      <c r="C361" s="977"/>
    </row>
    <row r="362">
      <c r="A362" s="1179"/>
      <c r="C362" s="977"/>
    </row>
    <row r="363">
      <c r="A363" s="1179"/>
      <c r="C363" s="977"/>
    </row>
    <row r="364">
      <c r="A364" s="1179"/>
      <c r="C364" s="977"/>
    </row>
    <row r="365">
      <c r="A365" s="1179"/>
      <c r="C365" s="977"/>
    </row>
    <row r="366">
      <c r="A366" s="1179"/>
      <c r="C366" s="977"/>
    </row>
    <row r="367">
      <c r="A367" s="1179"/>
      <c r="C367" s="977"/>
    </row>
    <row r="368">
      <c r="A368" s="1179"/>
      <c r="C368" s="977"/>
    </row>
    <row r="369">
      <c r="A369" s="1179"/>
      <c r="C369" s="977"/>
    </row>
    <row r="370">
      <c r="A370" s="1179"/>
      <c r="C370" s="977"/>
    </row>
    <row r="371">
      <c r="A371" s="1179"/>
      <c r="C371" s="977"/>
    </row>
    <row r="372">
      <c r="A372" s="1179"/>
      <c r="C372" s="977"/>
    </row>
    <row r="373">
      <c r="A373" s="1179"/>
      <c r="C373" s="977"/>
    </row>
    <row r="374">
      <c r="A374" s="1179"/>
      <c r="C374" s="977"/>
    </row>
    <row r="375">
      <c r="A375" s="1179"/>
      <c r="C375" s="977"/>
    </row>
    <row r="376">
      <c r="A376" s="1179"/>
      <c r="C376" s="977"/>
    </row>
    <row r="377">
      <c r="A377" s="1179"/>
      <c r="C377" s="977"/>
    </row>
    <row r="378">
      <c r="A378" s="1179"/>
      <c r="C378" s="977"/>
    </row>
    <row r="379">
      <c r="A379" s="1179"/>
      <c r="C379" s="977"/>
    </row>
    <row r="380">
      <c r="A380" s="1179"/>
      <c r="C380" s="977"/>
    </row>
    <row r="381">
      <c r="A381" s="1179"/>
      <c r="C381" s="977"/>
    </row>
    <row r="382">
      <c r="A382" s="1179"/>
      <c r="C382" s="977"/>
    </row>
    <row r="383">
      <c r="A383" s="1179"/>
      <c r="C383" s="977"/>
    </row>
    <row r="384">
      <c r="A384" s="1179"/>
      <c r="C384" s="977"/>
    </row>
    <row r="385">
      <c r="A385" s="1179"/>
      <c r="C385" s="977"/>
    </row>
    <row r="386">
      <c r="A386" s="1179"/>
      <c r="C386" s="977"/>
    </row>
    <row r="387">
      <c r="A387" s="1179"/>
      <c r="C387" s="977"/>
    </row>
    <row r="388">
      <c r="A388" s="1179"/>
      <c r="C388" s="977"/>
    </row>
    <row r="389">
      <c r="A389" s="1179"/>
      <c r="C389" s="977"/>
    </row>
    <row r="390">
      <c r="A390" s="1179"/>
      <c r="C390" s="977"/>
    </row>
    <row r="391">
      <c r="A391" s="1179"/>
      <c r="C391" s="977"/>
    </row>
    <row r="392">
      <c r="A392" s="1179"/>
      <c r="C392" s="977"/>
    </row>
    <row r="393">
      <c r="A393" s="1179"/>
      <c r="C393" s="977"/>
    </row>
    <row r="394">
      <c r="A394" s="1179"/>
      <c r="C394" s="977"/>
    </row>
    <row r="395">
      <c r="A395" s="1179"/>
      <c r="C395" s="977"/>
    </row>
    <row r="396">
      <c r="A396" s="1179"/>
      <c r="C396" s="977"/>
    </row>
    <row r="397">
      <c r="A397" s="1179"/>
      <c r="C397" s="977"/>
    </row>
    <row r="398">
      <c r="A398" s="1179"/>
      <c r="C398" s="977"/>
    </row>
    <row r="399">
      <c r="A399" s="1179"/>
      <c r="C399" s="977"/>
    </row>
    <row r="400">
      <c r="A400" s="1179"/>
      <c r="C400" s="977"/>
    </row>
    <row r="401">
      <c r="A401" s="1179"/>
      <c r="C401" s="977"/>
    </row>
    <row r="402">
      <c r="A402" s="1179"/>
      <c r="C402" s="977"/>
    </row>
    <row r="403">
      <c r="A403" s="1179"/>
      <c r="C403" s="977"/>
    </row>
    <row r="404">
      <c r="A404" s="1179"/>
      <c r="C404" s="977"/>
    </row>
    <row r="405">
      <c r="A405" s="1179"/>
      <c r="C405" s="977"/>
    </row>
    <row r="406">
      <c r="A406" s="1179"/>
      <c r="C406" s="977"/>
    </row>
    <row r="407">
      <c r="A407" s="1179"/>
      <c r="C407" s="977"/>
    </row>
    <row r="408">
      <c r="A408" s="1179"/>
      <c r="C408" s="977"/>
    </row>
    <row r="409">
      <c r="A409" s="1179"/>
      <c r="C409" s="977"/>
    </row>
    <row r="410">
      <c r="A410" s="1179"/>
      <c r="C410" s="977"/>
    </row>
    <row r="411">
      <c r="A411" s="1179"/>
      <c r="C411" s="977"/>
    </row>
    <row r="412">
      <c r="A412" s="1179"/>
      <c r="C412" s="977"/>
    </row>
    <row r="413">
      <c r="A413" s="1179"/>
      <c r="C413" s="977"/>
    </row>
    <row r="414">
      <c r="A414" s="1179"/>
      <c r="C414" s="977"/>
    </row>
    <row r="415">
      <c r="A415" s="1179"/>
      <c r="C415" s="977"/>
    </row>
    <row r="416">
      <c r="A416" s="1179"/>
      <c r="C416" s="977"/>
    </row>
    <row r="417">
      <c r="A417" s="1179"/>
      <c r="C417" s="977"/>
    </row>
    <row r="418">
      <c r="A418" s="1179"/>
      <c r="C418" s="977"/>
    </row>
    <row r="419">
      <c r="A419" s="1179"/>
      <c r="C419" s="977"/>
    </row>
    <row r="420">
      <c r="A420" s="1179"/>
      <c r="C420" s="977"/>
    </row>
    <row r="421">
      <c r="A421" s="1179"/>
      <c r="C421" s="977"/>
    </row>
    <row r="422">
      <c r="A422" s="1179"/>
      <c r="C422" s="977"/>
    </row>
    <row r="423">
      <c r="A423" s="1179"/>
      <c r="C423" s="977"/>
    </row>
    <row r="424">
      <c r="A424" s="1179"/>
      <c r="C424" s="977"/>
    </row>
    <row r="425">
      <c r="A425" s="1179"/>
      <c r="C425" s="977"/>
    </row>
    <row r="426">
      <c r="A426" s="1179"/>
      <c r="C426" s="977"/>
    </row>
    <row r="427">
      <c r="A427" s="1179"/>
      <c r="C427" s="977"/>
    </row>
    <row r="428">
      <c r="A428" s="1179"/>
      <c r="C428" s="977"/>
    </row>
    <row r="429">
      <c r="A429" s="1179"/>
      <c r="C429" s="977"/>
    </row>
    <row r="430">
      <c r="A430" s="1179"/>
      <c r="C430" s="977"/>
    </row>
    <row r="431">
      <c r="A431" s="1179"/>
      <c r="C431" s="977"/>
    </row>
    <row r="432">
      <c r="A432" s="1179"/>
      <c r="C432" s="977"/>
    </row>
    <row r="433">
      <c r="A433" s="1179"/>
      <c r="C433" s="977"/>
    </row>
    <row r="434">
      <c r="A434" s="1179"/>
      <c r="C434" s="977"/>
    </row>
    <row r="435">
      <c r="A435" s="1179"/>
      <c r="C435" s="977"/>
    </row>
    <row r="436">
      <c r="A436" s="1179"/>
      <c r="C436" s="977"/>
    </row>
    <row r="437">
      <c r="A437" s="1179"/>
      <c r="C437" s="977"/>
    </row>
    <row r="438">
      <c r="A438" s="1179"/>
      <c r="C438" s="977"/>
    </row>
    <row r="439">
      <c r="A439" s="1179"/>
      <c r="C439" s="977"/>
    </row>
    <row r="440">
      <c r="A440" s="1179"/>
      <c r="C440" s="977"/>
    </row>
    <row r="441">
      <c r="A441" s="1179"/>
      <c r="C441" s="977"/>
    </row>
    <row r="442">
      <c r="A442" s="1179"/>
      <c r="C442" s="977"/>
    </row>
    <row r="443">
      <c r="A443" s="1179"/>
      <c r="C443" s="977"/>
    </row>
    <row r="444">
      <c r="A444" s="1179"/>
      <c r="C444" s="977"/>
    </row>
    <row r="445">
      <c r="A445" s="1179"/>
      <c r="C445" s="977"/>
    </row>
    <row r="446">
      <c r="A446" s="1179"/>
      <c r="C446" s="977"/>
    </row>
    <row r="447">
      <c r="A447" s="1179"/>
      <c r="C447" s="977"/>
    </row>
    <row r="448">
      <c r="A448" s="1179"/>
      <c r="C448" s="977"/>
    </row>
    <row r="449">
      <c r="A449" s="1179"/>
      <c r="C449" s="977"/>
    </row>
    <row r="450">
      <c r="A450" s="1179"/>
      <c r="C450" s="977"/>
    </row>
    <row r="451">
      <c r="A451" s="1179"/>
      <c r="C451" s="977"/>
    </row>
    <row r="452">
      <c r="A452" s="1179"/>
      <c r="C452" s="977"/>
    </row>
    <row r="453">
      <c r="A453" s="1179"/>
      <c r="C453" s="977"/>
    </row>
    <row r="454">
      <c r="A454" s="1179"/>
      <c r="C454" s="977"/>
    </row>
    <row r="455">
      <c r="A455" s="1179"/>
      <c r="C455" s="977"/>
    </row>
    <row r="456">
      <c r="A456" s="1179"/>
      <c r="C456" s="977"/>
    </row>
    <row r="457">
      <c r="A457" s="1179"/>
      <c r="C457" s="977"/>
    </row>
    <row r="458">
      <c r="A458" s="1179"/>
      <c r="C458" s="977"/>
    </row>
    <row r="459">
      <c r="A459" s="1179"/>
      <c r="C459" s="977"/>
    </row>
    <row r="460">
      <c r="A460" s="1179"/>
      <c r="C460" s="977"/>
    </row>
    <row r="461">
      <c r="A461" s="1179"/>
      <c r="C461" s="977"/>
    </row>
    <row r="462">
      <c r="A462" s="1179"/>
      <c r="C462" s="977"/>
    </row>
    <row r="463">
      <c r="A463" s="1179"/>
      <c r="C463" s="977"/>
    </row>
    <row r="464">
      <c r="A464" s="1179"/>
      <c r="C464" s="977"/>
    </row>
    <row r="465">
      <c r="A465" s="1179"/>
      <c r="C465" s="977"/>
    </row>
    <row r="466">
      <c r="A466" s="1179"/>
      <c r="C466" s="977"/>
    </row>
    <row r="467">
      <c r="A467" s="1179"/>
      <c r="C467" s="977"/>
    </row>
    <row r="468">
      <c r="A468" s="1179"/>
      <c r="C468" s="977"/>
    </row>
    <row r="469">
      <c r="A469" s="1179"/>
      <c r="C469" s="977"/>
    </row>
    <row r="470">
      <c r="A470" s="1179"/>
      <c r="C470" s="977"/>
    </row>
    <row r="471">
      <c r="A471" s="1179"/>
      <c r="C471" s="977"/>
    </row>
    <row r="472">
      <c r="A472" s="1179"/>
      <c r="C472" s="977"/>
    </row>
    <row r="473">
      <c r="A473" s="1179"/>
      <c r="C473" s="977"/>
    </row>
    <row r="474">
      <c r="A474" s="1179"/>
      <c r="C474" s="977"/>
    </row>
    <row r="475">
      <c r="A475" s="1179"/>
      <c r="C475" s="977"/>
    </row>
    <row r="476">
      <c r="A476" s="1179"/>
      <c r="C476" s="977"/>
    </row>
    <row r="477">
      <c r="A477" s="1179"/>
      <c r="C477" s="977"/>
    </row>
    <row r="478">
      <c r="A478" s="1179"/>
      <c r="C478" s="977"/>
    </row>
    <row r="479">
      <c r="A479" s="1179"/>
      <c r="C479" s="977"/>
    </row>
    <row r="480">
      <c r="A480" s="1179"/>
      <c r="C480" s="977"/>
    </row>
    <row r="481">
      <c r="A481" s="1179"/>
      <c r="C481" s="977"/>
    </row>
    <row r="482">
      <c r="A482" s="1179"/>
      <c r="C482" s="977"/>
    </row>
    <row r="483">
      <c r="A483" s="1179"/>
      <c r="C483" s="977"/>
    </row>
    <row r="484">
      <c r="A484" s="1179"/>
      <c r="C484" s="977"/>
    </row>
    <row r="485">
      <c r="A485" s="1179"/>
      <c r="C485" s="977"/>
    </row>
    <row r="486">
      <c r="A486" s="1179"/>
      <c r="C486" s="977"/>
    </row>
    <row r="487">
      <c r="A487" s="1179"/>
      <c r="C487" s="977"/>
    </row>
    <row r="488">
      <c r="A488" s="1179"/>
      <c r="C488" s="977"/>
    </row>
    <row r="489">
      <c r="A489" s="1179"/>
      <c r="C489" s="977"/>
    </row>
    <row r="490">
      <c r="A490" s="1179"/>
      <c r="C490" s="977"/>
    </row>
    <row r="491">
      <c r="A491" s="1179"/>
      <c r="C491" s="977"/>
    </row>
    <row r="492">
      <c r="A492" s="1179"/>
      <c r="C492" s="977"/>
    </row>
    <row r="493">
      <c r="A493" s="1179"/>
      <c r="C493" s="977"/>
    </row>
    <row r="494">
      <c r="A494" s="1179"/>
      <c r="C494" s="977"/>
    </row>
    <row r="495">
      <c r="A495" s="1179"/>
      <c r="C495" s="977"/>
    </row>
    <row r="496">
      <c r="A496" s="1179"/>
      <c r="C496" s="977"/>
    </row>
    <row r="497">
      <c r="A497" s="1179"/>
      <c r="C497" s="977"/>
    </row>
    <row r="498">
      <c r="A498" s="1179"/>
      <c r="C498" s="977"/>
    </row>
    <row r="499">
      <c r="A499" s="1179"/>
      <c r="C499" s="977"/>
    </row>
    <row r="500">
      <c r="A500" s="1179"/>
      <c r="C500" s="977"/>
    </row>
    <row r="501">
      <c r="A501" s="1179"/>
      <c r="C501" s="977"/>
    </row>
    <row r="502">
      <c r="A502" s="1179"/>
      <c r="C502" s="977"/>
    </row>
    <row r="503">
      <c r="A503" s="1179"/>
      <c r="C503" s="977"/>
    </row>
    <row r="504">
      <c r="A504" s="1179"/>
      <c r="C504" s="977"/>
    </row>
    <row r="505">
      <c r="A505" s="1179"/>
      <c r="C505" s="977"/>
    </row>
    <row r="506">
      <c r="A506" s="1179"/>
      <c r="C506" s="977"/>
    </row>
    <row r="507">
      <c r="A507" s="1179"/>
      <c r="C507" s="977"/>
    </row>
    <row r="508">
      <c r="A508" s="1179"/>
      <c r="C508" s="977"/>
    </row>
    <row r="509">
      <c r="A509" s="1179"/>
      <c r="C509" s="977"/>
    </row>
    <row r="510">
      <c r="A510" s="1179"/>
      <c r="C510" s="977"/>
    </row>
    <row r="511">
      <c r="A511" s="1179"/>
      <c r="C511" s="977"/>
    </row>
    <row r="512">
      <c r="A512" s="1179"/>
      <c r="C512" s="977"/>
    </row>
    <row r="513">
      <c r="A513" s="1179"/>
      <c r="C513" s="977"/>
    </row>
    <row r="514">
      <c r="A514" s="1179"/>
      <c r="C514" s="977"/>
    </row>
    <row r="515">
      <c r="A515" s="1179"/>
      <c r="C515" s="977"/>
    </row>
    <row r="516">
      <c r="A516" s="1179"/>
      <c r="C516" s="977"/>
    </row>
    <row r="517">
      <c r="A517" s="1179"/>
      <c r="C517" s="977"/>
    </row>
    <row r="518">
      <c r="A518" s="1179"/>
      <c r="C518" s="977"/>
    </row>
    <row r="519">
      <c r="A519" s="1179"/>
      <c r="C519" s="977"/>
    </row>
    <row r="520">
      <c r="A520" s="1179"/>
      <c r="C520" s="977"/>
    </row>
    <row r="521">
      <c r="A521" s="1179"/>
      <c r="C521" s="977"/>
    </row>
    <row r="522">
      <c r="A522" s="1179"/>
      <c r="C522" s="977"/>
    </row>
    <row r="523">
      <c r="A523" s="1179"/>
      <c r="C523" s="977"/>
    </row>
    <row r="524">
      <c r="A524" s="1179"/>
      <c r="C524" s="977"/>
    </row>
    <row r="525">
      <c r="A525" s="1179"/>
      <c r="C525" s="977"/>
    </row>
    <row r="526">
      <c r="A526" s="1179"/>
      <c r="C526" s="977"/>
    </row>
    <row r="527">
      <c r="A527" s="1179"/>
      <c r="C527" s="977"/>
    </row>
    <row r="528">
      <c r="A528" s="1179"/>
      <c r="C528" s="977"/>
    </row>
    <row r="529">
      <c r="A529" s="1179"/>
      <c r="C529" s="977"/>
    </row>
    <row r="530">
      <c r="A530" s="1179"/>
      <c r="C530" s="977"/>
    </row>
    <row r="531">
      <c r="A531" s="1179"/>
      <c r="C531" s="977"/>
    </row>
    <row r="532">
      <c r="A532" s="1179"/>
      <c r="C532" s="977"/>
    </row>
    <row r="533">
      <c r="A533" s="1179"/>
      <c r="C533" s="977"/>
    </row>
    <row r="534">
      <c r="A534" s="1179"/>
      <c r="C534" s="977"/>
    </row>
    <row r="535">
      <c r="A535" s="1179"/>
      <c r="C535" s="977"/>
    </row>
    <row r="536">
      <c r="A536" s="1179"/>
      <c r="C536" s="977"/>
    </row>
    <row r="537">
      <c r="A537" s="1179"/>
      <c r="C537" s="977"/>
    </row>
    <row r="538">
      <c r="A538" s="1179"/>
      <c r="C538" s="977"/>
    </row>
    <row r="539">
      <c r="A539" s="1179"/>
      <c r="C539" s="977"/>
    </row>
    <row r="540">
      <c r="A540" s="1179"/>
      <c r="C540" s="977"/>
    </row>
    <row r="541">
      <c r="A541" s="1179"/>
      <c r="C541" s="977"/>
    </row>
    <row r="542">
      <c r="A542" s="1179"/>
      <c r="C542" s="977"/>
    </row>
    <row r="543">
      <c r="A543" s="1179"/>
      <c r="C543" s="977"/>
    </row>
    <row r="544">
      <c r="A544" s="1179"/>
      <c r="C544" s="977"/>
    </row>
    <row r="545">
      <c r="A545" s="1179"/>
      <c r="C545" s="977"/>
    </row>
    <row r="546">
      <c r="A546" s="1179"/>
      <c r="C546" s="977"/>
    </row>
    <row r="547">
      <c r="A547" s="1179"/>
      <c r="C547" s="977"/>
    </row>
    <row r="548">
      <c r="A548" s="1179"/>
      <c r="C548" s="977"/>
    </row>
    <row r="549">
      <c r="A549" s="1179"/>
      <c r="C549" s="977"/>
    </row>
    <row r="550">
      <c r="A550" s="1179"/>
      <c r="C550" s="977"/>
    </row>
    <row r="551">
      <c r="A551" s="1179"/>
      <c r="C551" s="977"/>
    </row>
    <row r="552">
      <c r="A552" s="1179"/>
      <c r="C552" s="977"/>
    </row>
    <row r="553">
      <c r="A553" s="1179"/>
      <c r="C553" s="977"/>
    </row>
    <row r="554">
      <c r="A554" s="1179"/>
      <c r="C554" s="977"/>
    </row>
    <row r="555">
      <c r="A555" s="1179"/>
      <c r="C555" s="977"/>
    </row>
    <row r="556">
      <c r="A556" s="1179"/>
      <c r="C556" s="977"/>
    </row>
    <row r="557">
      <c r="A557" s="1179"/>
      <c r="C557" s="977"/>
    </row>
    <row r="558">
      <c r="A558" s="1179"/>
      <c r="C558" s="977"/>
    </row>
    <row r="559">
      <c r="A559" s="1179"/>
      <c r="C559" s="977"/>
    </row>
    <row r="560">
      <c r="A560" s="1179"/>
      <c r="C560" s="977"/>
    </row>
    <row r="561">
      <c r="A561" s="1179"/>
      <c r="C561" s="977"/>
    </row>
    <row r="562">
      <c r="A562" s="1179"/>
      <c r="C562" s="977"/>
    </row>
    <row r="563">
      <c r="A563" s="1179"/>
      <c r="C563" s="977"/>
    </row>
    <row r="564">
      <c r="A564" s="1179"/>
      <c r="C564" s="977"/>
    </row>
    <row r="565">
      <c r="A565" s="1179"/>
      <c r="C565" s="977"/>
    </row>
    <row r="566">
      <c r="A566" s="1179"/>
      <c r="C566" s="977"/>
    </row>
    <row r="567">
      <c r="A567" s="1179"/>
      <c r="C567" s="977"/>
    </row>
    <row r="568">
      <c r="A568" s="1179"/>
      <c r="C568" s="977"/>
    </row>
    <row r="569">
      <c r="A569" s="1179"/>
      <c r="C569" s="977"/>
    </row>
    <row r="570">
      <c r="A570" s="1179"/>
      <c r="C570" s="977"/>
    </row>
    <row r="571">
      <c r="A571" s="1179"/>
      <c r="C571" s="977"/>
    </row>
    <row r="572">
      <c r="A572" s="1179"/>
      <c r="C572" s="977"/>
    </row>
    <row r="573">
      <c r="A573" s="1179"/>
      <c r="C573" s="977"/>
    </row>
    <row r="574">
      <c r="A574" s="1179"/>
      <c r="C574" s="977"/>
    </row>
    <row r="575">
      <c r="A575" s="1179"/>
      <c r="C575" s="977"/>
    </row>
    <row r="576">
      <c r="A576" s="1179"/>
      <c r="C576" s="977"/>
    </row>
    <row r="577">
      <c r="A577" s="1179"/>
      <c r="C577" s="977"/>
    </row>
    <row r="578">
      <c r="A578" s="1179"/>
      <c r="C578" s="977"/>
    </row>
    <row r="579">
      <c r="A579" s="1179"/>
      <c r="C579" s="977"/>
    </row>
    <row r="580">
      <c r="A580" s="1179"/>
      <c r="C580" s="977"/>
    </row>
    <row r="581">
      <c r="A581" s="1179"/>
      <c r="C581" s="977"/>
    </row>
    <row r="582">
      <c r="A582" s="1179"/>
      <c r="C582" s="977"/>
    </row>
    <row r="583">
      <c r="A583" s="1179"/>
      <c r="C583" s="977"/>
    </row>
    <row r="584">
      <c r="A584" s="1179"/>
      <c r="C584" s="977"/>
    </row>
    <row r="585">
      <c r="A585" s="1179"/>
      <c r="C585" s="977"/>
    </row>
    <row r="586">
      <c r="A586" s="1179"/>
      <c r="C586" s="977"/>
    </row>
    <row r="587">
      <c r="A587" s="1179"/>
      <c r="C587" s="977"/>
    </row>
    <row r="588">
      <c r="A588" s="1179"/>
      <c r="C588" s="977"/>
    </row>
    <row r="589">
      <c r="A589" s="1179"/>
      <c r="C589" s="977"/>
    </row>
    <row r="590">
      <c r="A590" s="1179"/>
      <c r="C590" s="977"/>
    </row>
    <row r="591">
      <c r="A591" s="1179"/>
      <c r="C591" s="977"/>
    </row>
    <row r="592">
      <c r="A592" s="1179"/>
      <c r="C592" s="977"/>
    </row>
    <row r="593">
      <c r="A593" s="1179"/>
      <c r="C593" s="977"/>
    </row>
    <row r="594">
      <c r="A594" s="1179"/>
      <c r="C594" s="977"/>
    </row>
    <row r="595">
      <c r="A595" s="1179"/>
      <c r="C595" s="977"/>
    </row>
    <row r="596">
      <c r="A596" s="1179"/>
      <c r="C596" s="977"/>
    </row>
    <row r="597">
      <c r="A597" s="1179"/>
      <c r="C597" s="977"/>
    </row>
    <row r="598">
      <c r="A598" s="1179"/>
      <c r="C598" s="977"/>
    </row>
    <row r="599">
      <c r="A599" s="1179"/>
      <c r="C599" s="977"/>
    </row>
    <row r="600">
      <c r="A600" s="1179"/>
      <c r="C600" s="977"/>
    </row>
    <row r="601">
      <c r="A601" s="1179"/>
      <c r="C601" s="977"/>
    </row>
    <row r="602">
      <c r="A602" s="1179"/>
      <c r="C602" s="977"/>
    </row>
    <row r="603">
      <c r="A603" s="1179"/>
      <c r="C603" s="977"/>
    </row>
    <row r="604">
      <c r="A604" s="1179"/>
      <c r="C604" s="977"/>
    </row>
    <row r="605">
      <c r="A605" s="1179"/>
      <c r="C605" s="977"/>
    </row>
    <row r="606">
      <c r="A606" s="1179"/>
      <c r="C606" s="977"/>
    </row>
    <row r="607">
      <c r="A607" s="1179"/>
      <c r="C607" s="977"/>
    </row>
    <row r="608">
      <c r="A608" s="1179"/>
      <c r="C608" s="977"/>
    </row>
    <row r="609">
      <c r="A609" s="1179"/>
      <c r="C609" s="977"/>
    </row>
    <row r="610">
      <c r="A610" s="1179"/>
      <c r="C610" s="977"/>
    </row>
    <row r="611">
      <c r="A611" s="1179"/>
      <c r="C611" s="977"/>
    </row>
    <row r="612">
      <c r="A612" s="1179"/>
      <c r="C612" s="977"/>
    </row>
    <row r="613">
      <c r="A613" s="1179"/>
      <c r="C613" s="977"/>
    </row>
    <row r="614">
      <c r="A614" s="1179"/>
      <c r="C614" s="977"/>
    </row>
    <row r="615">
      <c r="A615" s="1179"/>
      <c r="C615" s="977"/>
    </row>
    <row r="616">
      <c r="A616" s="1179"/>
      <c r="C616" s="977"/>
    </row>
    <row r="617">
      <c r="A617" s="1179"/>
      <c r="C617" s="977"/>
    </row>
    <row r="618">
      <c r="A618" s="1179"/>
      <c r="C618" s="977"/>
    </row>
    <row r="619">
      <c r="A619" s="1179"/>
      <c r="C619" s="977"/>
    </row>
    <row r="620">
      <c r="A620" s="1179"/>
      <c r="C620" s="977"/>
    </row>
    <row r="621">
      <c r="A621" s="1179"/>
      <c r="C621" s="977"/>
    </row>
    <row r="622">
      <c r="A622" s="1179"/>
      <c r="C622" s="977"/>
    </row>
    <row r="623">
      <c r="A623" s="1179"/>
      <c r="C623" s="977"/>
    </row>
    <row r="624">
      <c r="A624" s="1179"/>
      <c r="C624" s="977"/>
    </row>
    <row r="625">
      <c r="A625" s="1179"/>
      <c r="C625" s="977"/>
    </row>
    <row r="626">
      <c r="A626" s="1179"/>
      <c r="C626" s="977"/>
    </row>
    <row r="627">
      <c r="A627" s="1179"/>
      <c r="C627" s="977"/>
    </row>
    <row r="628">
      <c r="A628" s="1179"/>
      <c r="C628" s="977"/>
    </row>
    <row r="629">
      <c r="A629" s="1179"/>
      <c r="C629" s="977"/>
    </row>
    <row r="630">
      <c r="A630" s="1179"/>
      <c r="C630" s="977"/>
    </row>
    <row r="631">
      <c r="A631" s="1179"/>
      <c r="C631" s="977"/>
    </row>
    <row r="632">
      <c r="A632" s="1179"/>
      <c r="C632" s="977"/>
    </row>
    <row r="633">
      <c r="A633" s="1179"/>
      <c r="C633" s="977"/>
    </row>
    <row r="634">
      <c r="A634" s="1179"/>
      <c r="C634" s="977"/>
    </row>
    <row r="635">
      <c r="A635" s="1179"/>
      <c r="C635" s="977"/>
    </row>
    <row r="636">
      <c r="A636" s="1179"/>
      <c r="C636" s="977"/>
    </row>
    <row r="637">
      <c r="A637" s="1179"/>
      <c r="C637" s="977"/>
    </row>
    <row r="638">
      <c r="A638" s="1179"/>
      <c r="C638" s="977"/>
    </row>
    <row r="639">
      <c r="A639" s="1179"/>
      <c r="C639" s="977"/>
    </row>
    <row r="640">
      <c r="A640" s="1179"/>
      <c r="C640" s="977"/>
    </row>
    <row r="641">
      <c r="A641" s="1179"/>
      <c r="C641" s="977"/>
    </row>
    <row r="642">
      <c r="A642" s="1179"/>
      <c r="C642" s="977"/>
    </row>
    <row r="643">
      <c r="A643" s="1179"/>
      <c r="C643" s="977"/>
    </row>
    <row r="644">
      <c r="A644" s="1179"/>
      <c r="C644" s="977"/>
    </row>
    <row r="645">
      <c r="A645" s="1179"/>
      <c r="C645" s="977"/>
    </row>
    <row r="646">
      <c r="A646" s="1179"/>
      <c r="C646" s="977"/>
    </row>
    <row r="647">
      <c r="A647" s="1179"/>
      <c r="C647" s="977"/>
    </row>
    <row r="648">
      <c r="A648" s="1179"/>
      <c r="C648" s="977"/>
    </row>
    <row r="649">
      <c r="A649" s="1179"/>
      <c r="C649" s="977"/>
    </row>
    <row r="650">
      <c r="A650" s="1179"/>
      <c r="C650" s="977"/>
    </row>
    <row r="651">
      <c r="A651" s="1179"/>
      <c r="C651" s="977"/>
    </row>
    <row r="652">
      <c r="A652" s="1179"/>
      <c r="C652" s="977"/>
    </row>
    <row r="653">
      <c r="A653" s="1179"/>
      <c r="C653" s="977"/>
    </row>
    <row r="654">
      <c r="A654" s="1179"/>
      <c r="C654" s="977"/>
    </row>
    <row r="655">
      <c r="A655" s="1179"/>
      <c r="C655" s="977"/>
    </row>
    <row r="656">
      <c r="A656" s="1179"/>
      <c r="C656" s="977"/>
    </row>
    <row r="657">
      <c r="A657" s="1179"/>
      <c r="C657" s="977"/>
    </row>
    <row r="658">
      <c r="A658" s="1179"/>
      <c r="C658" s="977"/>
    </row>
    <row r="659">
      <c r="A659" s="1179"/>
      <c r="C659" s="977"/>
    </row>
    <row r="660">
      <c r="A660" s="1179"/>
      <c r="C660" s="977"/>
    </row>
    <row r="661">
      <c r="A661" s="1179"/>
      <c r="C661" s="977"/>
    </row>
    <row r="662">
      <c r="A662" s="1179"/>
      <c r="C662" s="977"/>
    </row>
    <row r="663">
      <c r="A663" s="1179"/>
      <c r="C663" s="977"/>
    </row>
    <row r="664">
      <c r="A664" s="1179"/>
      <c r="C664" s="977"/>
    </row>
    <row r="665">
      <c r="A665" s="1179"/>
      <c r="C665" s="977"/>
    </row>
    <row r="666">
      <c r="A666" s="1179"/>
      <c r="C666" s="977"/>
    </row>
    <row r="667">
      <c r="A667" s="1179"/>
      <c r="C667" s="977"/>
    </row>
    <row r="668">
      <c r="A668" s="1179"/>
      <c r="C668" s="977"/>
    </row>
    <row r="669">
      <c r="A669" s="1179"/>
      <c r="C669" s="977"/>
    </row>
    <row r="670">
      <c r="A670" s="1179"/>
      <c r="C670" s="977"/>
    </row>
    <row r="671">
      <c r="A671" s="1179"/>
      <c r="C671" s="977"/>
    </row>
    <row r="672">
      <c r="A672" s="1179"/>
      <c r="C672" s="977"/>
    </row>
    <row r="673">
      <c r="A673" s="1179"/>
      <c r="C673" s="977"/>
    </row>
    <row r="674">
      <c r="A674" s="1179"/>
      <c r="C674" s="977"/>
    </row>
    <row r="675">
      <c r="A675" s="1179"/>
      <c r="C675" s="977"/>
    </row>
    <row r="676">
      <c r="A676" s="1179"/>
      <c r="C676" s="977"/>
    </row>
    <row r="677">
      <c r="A677" s="1179"/>
      <c r="C677" s="977"/>
    </row>
    <row r="678">
      <c r="A678" s="1179"/>
      <c r="C678" s="977"/>
    </row>
    <row r="679">
      <c r="A679" s="1179"/>
      <c r="C679" s="977"/>
    </row>
    <row r="680">
      <c r="A680" s="1179"/>
      <c r="C680" s="977"/>
    </row>
    <row r="681">
      <c r="A681" s="1179"/>
      <c r="C681" s="977"/>
    </row>
    <row r="682">
      <c r="A682" s="1179"/>
      <c r="C682" s="977"/>
    </row>
    <row r="683">
      <c r="A683" s="1179"/>
      <c r="C683" s="977"/>
    </row>
    <row r="684">
      <c r="A684" s="1179"/>
      <c r="C684" s="977"/>
    </row>
    <row r="685">
      <c r="A685" s="1179"/>
      <c r="C685" s="977"/>
    </row>
    <row r="686">
      <c r="A686" s="1179"/>
      <c r="C686" s="977"/>
    </row>
    <row r="687">
      <c r="A687" s="1179"/>
      <c r="C687" s="977"/>
    </row>
    <row r="688">
      <c r="A688" s="1179"/>
      <c r="C688" s="977"/>
    </row>
    <row r="689">
      <c r="A689" s="1179"/>
      <c r="C689" s="977"/>
    </row>
    <row r="690">
      <c r="A690" s="1179"/>
      <c r="C690" s="977"/>
    </row>
    <row r="691">
      <c r="A691" s="1179"/>
      <c r="C691" s="977"/>
    </row>
    <row r="692">
      <c r="A692" s="1179"/>
      <c r="C692" s="977"/>
    </row>
    <row r="693">
      <c r="A693" s="1179"/>
      <c r="C693" s="977"/>
    </row>
    <row r="694">
      <c r="A694" s="1179"/>
      <c r="C694" s="977"/>
    </row>
    <row r="695">
      <c r="A695" s="1179"/>
      <c r="C695" s="977"/>
    </row>
    <row r="696">
      <c r="A696" s="1179"/>
      <c r="C696" s="977"/>
    </row>
    <row r="697">
      <c r="A697" s="1179"/>
      <c r="C697" s="977"/>
    </row>
    <row r="698">
      <c r="A698" s="1179"/>
      <c r="C698" s="977"/>
    </row>
    <row r="699">
      <c r="A699" s="1179"/>
      <c r="C699" s="977"/>
    </row>
    <row r="700">
      <c r="A700" s="1179"/>
      <c r="C700" s="977"/>
    </row>
    <row r="701">
      <c r="A701" s="1179"/>
      <c r="C701" s="977"/>
    </row>
    <row r="702">
      <c r="A702" s="1179"/>
      <c r="C702" s="977"/>
    </row>
    <row r="703">
      <c r="A703" s="1179"/>
      <c r="C703" s="977"/>
    </row>
    <row r="704">
      <c r="A704" s="1179"/>
      <c r="C704" s="977"/>
    </row>
    <row r="705">
      <c r="A705" s="1179"/>
      <c r="C705" s="977"/>
    </row>
    <row r="706">
      <c r="A706" s="1179"/>
      <c r="C706" s="977"/>
    </row>
    <row r="707">
      <c r="A707" s="1179"/>
      <c r="C707" s="977"/>
    </row>
    <row r="708">
      <c r="A708" s="1179"/>
      <c r="C708" s="977"/>
    </row>
    <row r="709">
      <c r="A709" s="1179"/>
      <c r="C709" s="977"/>
    </row>
    <row r="710">
      <c r="A710" s="1179"/>
      <c r="C710" s="977"/>
    </row>
    <row r="711">
      <c r="A711" s="1179"/>
      <c r="C711" s="977"/>
    </row>
    <row r="712">
      <c r="A712" s="1179"/>
      <c r="C712" s="977"/>
    </row>
    <row r="713">
      <c r="A713" s="1179"/>
      <c r="C713" s="977"/>
    </row>
    <row r="714">
      <c r="A714" s="1179"/>
      <c r="C714" s="977"/>
    </row>
    <row r="715">
      <c r="A715" s="1179"/>
      <c r="C715" s="977"/>
    </row>
    <row r="716">
      <c r="A716" s="1179"/>
      <c r="C716" s="977"/>
    </row>
    <row r="717">
      <c r="A717" s="1179"/>
      <c r="C717" s="977"/>
    </row>
    <row r="718">
      <c r="A718" s="1179"/>
      <c r="C718" s="977"/>
    </row>
    <row r="719">
      <c r="A719" s="1179"/>
      <c r="C719" s="977"/>
    </row>
    <row r="720">
      <c r="A720" s="1179"/>
      <c r="C720" s="977"/>
    </row>
    <row r="721">
      <c r="A721" s="1179"/>
      <c r="C721" s="977"/>
    </row>
    <row r="722">
      <c r="A722" s="1179"/>
      <c r="C722" s="977"/>
    </row>
    <row r="723">
      <c r="A723" s="1179"/>
      <c r="C723" s="977"/>
    </row>
    <row r="724">
      <c r="A724" s="1179"/>
      <c r="C724" s="977"/>
    </row>
    <row r="725">
      <c r="A725" s="1179"/>
      <c r="C725" s="977"/>
    </row>
    <row r="726">
      <c r="A726" s="1179"/>
      <c r="C726" s="977"/>
    </row>
    <row r="727">
      <c r="A727" s="1179"/>
      <c r="C727" s="977"/>
    </row>
    <row r="728">
      <c r="A728" s="1179"/>
      <c r="C728" s="977"/>
    </row>
    <row r="729">
      <c r="A729" s="1179"/>
      <c r="C729" s="977"/>
    </row>
    <row r="730">
      <c r="A730" s="1179"/>
      <c r="C730" s="977"/>
    </row>
    <row r="731">
      <c r="A731" s="1179"/>
      <c r="C731" s="977"/>
    </row>
    <row r="732">
      <c r="A732" s="1179"/>
      <c r="C732" s="977"/>
    </row>
    <row r="733">
      <c r="A733" s="1179"/>
      <c r="C733" s="977"/>
    </row>
    <row r="734">
      <c r="A734" s="1179"/>
      <c r="C734" s="977"/>
    </row>
    <row r="735">
      <c r="A735" s="1179"/>
      <c r="C735" s="977"/>
    </row>
    <row r="736">
      <c r="A736" s="1179"/>
      <c r="C736" s="977"/>
    </row>
    <row r="737">
      <c r="A737" s="1179"/>
      <c r="C737" s="977"/>
    </row>
    <row r="738">
      <c r="A738" s="1179"/>
      <c r="C738" s="977"/>
    </row>
    <row r="739">
      <c r="A739" s="1179"/>
      <c r="C739" s="977"/>
    </row>
    <row r="740">
      <c r="A740" s="1179"/>
      <c r="C740" s="977"/>
    </row>
    <row r="741">
      <c r="A741" s="1179"/>
      <c r="C741" s="977"/>
    </row>
    <row r="742">
      <c r="A742" s="1179"/>
      <c r="C742" s="977"/>
    </row>
    <row r="743">
      <c r="A743" s="1179"/>
      <c r="C743" s="977"/>
    </row>
    <row r="744">
      <c r="A744" s="1179"/>
      <c r="C744" s="977"/>
    </row>
    <row r="745">
      <c r="A745" s="1179"/>
      <c r="C745" s="977"/>
    </row>
    <row r="746">
      <c r="A746" s="1179"/>
      <c r="C746" s="977"/>
    </row>
    <row r="747">
      <c r="A747" s="1179"/>
      <c r="C747" s="977"/>
    </row>
    <row r="748">
      <c r="A748" s="1179"/>
      <c r="C748" s="977"/>
    </row>
    <row r="749">
      <c r="A749" s="1179"/>
      <c r="C749" s="977"/>
    </row>
    <row r="750">
      <c r="A750" s="1179"/>
      <c r="C750" s="977"/>
    </row>
    <row r="751">
      <c r="A751" s="1179"/>
      <c r="C751" s="977"/>
    </row>
    <row r="752">
      <c r="A752" s="1179"/>
      <c r="C752" s="977"/>
    </row>
    <row r="753">
      <c r="A753" s="1179"/>
      <c r="C753" s="977"/>
    </row>
    <row r="754">
      <c r="A754" s="1179"/>
      <c r="C754" s="977"/>
    </row>
    <row r="755">
      <c r="A755" s="1179"/>
      <c r="C755" s="977"/>
    </row>
    <row r="756">
      <c r="A756" s="1179"/>
      <c r="C756" s="977"/>
    </row>
    <row r="757">
      <c r="A757" s="1179"/>
      <c r="C757" s="977"/>
    </row>
    <row r="758">
      <c r="A758" s="1179"/>
      <c r="C758" s="977"/>
    </row>
    <row r="759">
      <c r="A759" s="1179"/>
      <c r="C759" s="977"/>
    </row>
    <row r="760">
      <c r="A760" s="1179"/>
      <c r="C760" s="977"/>
    </row>
    <row r="761">
      <c r="A761" s="1179"/>
      <c r="C761" s="977"/>
    </row>
    <row r="762">
      <c r="A762" s="1179"/>
      <c r="C762" s="977"/>
    </row>
    <row r="763">
      <c r="A763" s="1179"/>
      <c r="C763" s="977"/>
    </row>
    <row r="764">
      <c r="A764" s="1179"/>
      <c r="C764" s="977"/>
    </row>
    <row r="765">
      <c r="A765" s="1179"/>
      <c r="C765" s="977"/>
    </row>
    <row r="766">
      <c r="A766" s="1179"/>
      <c r="C766" s="977"/>
    </row>
    <row r="767">
      <c r="A767" s="1179"/>
      <c r="C767" s="977"/>
    </row>
    <row r="768">
      <c r="A768" s="1179"/>
      <c r="C768" s="977"/>
    </row>
    <row r="769">
      <c r="A769" s="1179"/>
      <c r="C769" s="977"/>
    </row>
    <row r="770">
      <c r="A770" s="1179"/>
      <c r="C770" s="977"/>
    </row>
    <row r="771">
      <c r="A771" s="1179"/>
      <c r="C771" s="977"/>
    </row>
    <row r="772">
      <c r="A772" s="1179"/>
      <c r="C772" s="977"/>
    </row>
    <row r="773">
      <c r="A773" s="1179"/>
      <c r="C773" s="977"/>
    </row>
    <row r="774">
      <c r="A774" s="1179"/>
      <c r="C774" s="977"/>
    </row>
    <row r="775">
      <c r="A775" s="1179"/>
      <c r="C775" s="977"/>
    </row>
    <row r="776">
      <c r="A776" s="1179"/>
      <c r="C776" s="977"/>
    </row>
    <row r="777">
      <c r="A777" s="1179"/>
      <c r="C777" s="977"/>
    </row>
    <row r="778">
      <c r="A778" s="1179"/>
      <c r="C778" s="977"/>
    </row>
    <row r="779">
      <c r="A779" s="1179"/>
      <c r="C779" s="977"/>
    </row>
    <row r="780">
      <c r="A780" s="1179"/>
      <c r="C780" s="977"/>
    </row>
    <row r="781">
      <c r="A781" s="1179"/>
      <c r="C781" s="977"/>
    </row>
    <row r="782">
      <c r="A782" s="1179"/>
      <c r="C782" s="977"/>
    </row>
    <row r="783">
      <c r="A783" s="1179"/>
      <c r="C783" s="977"/>
    </row>
    <row r="784">
      <c r="A784" s="1179"/>
      <c r="C784" s="977"/>
    </row>
    <row r="785">
      <c r="A785" s="1179"/>
      <c r="C785" s="977"/>
    </row>
    <row r="786">
      <c r="A786" s="1179"/>
      <c r="C786" s="977"/>
    </row>
    <row r="787">
      <c r="A787" s="1179"/>
      <c r="C787" s="977"/>
    </row>
    <row r="788">
      <c r="A788" s="1179"/>
      <c r="C788" s="977"/>
    </row>
    <row r="789">
      <c r="A789" s="1179"/>
      <c r="C789" s="977"/>
    </row>
    <row r="790">
      <c r="A790" s="1179"/>
      <c r="C790" s="977"/>
    </row>
    <row r="791">
      <c r="A791" s="1179"/>
      <c r="C791" s="977"/>
    </row>
    <row r="792">
      <c r="A792" s="1179"/>
      <c r="C792" s="977"/>
    </row>
    <row r="793">
      <c r="A793" s="1179"/>
      <c r="C793" s="977"/>
    </row>
    <row r="794">
      <c r="A794" s="1179"/>
      <c r="C794" s="977"/>
    </row>
    <row r="795">
      <c r="A795" s="1179"/>
      <c r="C795" s="977"/>
    </row>
    <row r="796">
      <c r="A796" s="1179"/>
      <c r="C796" s="977"/>
    </row>
    <row r="797">
      <c r="A797" s="1179"/>
      <c r="C797" s="977"/>
    </row>
    <row r="798">
      <c r="A798" s="1179"/>
      <c r="C798" s="977"/>
    </row>
    <row r="799">
      <c r="A799" s="1179"/>
      <c r="C799" s="977"/>
    </row>
    <row r="800">
      <c r="A800" s="1179"/>
      <c r="C800" s="977"/>
    </row>
    <row r="801">
      <c r="A801" s="1179"/>
      <c r="C801" s="977"/>
    </row>
    <row r="802">
      <c r="A802" s="1179"/>
      <c r="C802" s="977"/>
    </row>
    <row r="803">
      <c r="A803" s="1179"/>
      <c r="C803" s="977"/>
    </row>
    <row r="804">
      <c r="A804" s="1179"/>
      <c r="C804" s="977"/>
    </row>
    <row r="805">
      <c r="A805" s="1179"/>
      <c r="C805" s="977"/>
    </row>
    <row r="806">
      <c r="A806" s="1179"/>
      <c r="C806" s="977"/>
    </row>
    <row r="807">
      <c r="A807" s="1179"/>
      <c r="C807" s="977"/>
    </row>
    <row r="808">
      <c r="A808" s="1179"/>
      <c r="C808" s="977"/>
    </row>
    <row r="809">
      <c r="A809" s="1179"/>
      <c r="C809" s="977"/>
    </row>
    <row r="810">
      <c r="A810" s="1179"/>
      <c r="C810" s="977"/>
    </row>
    <row r="811">
      <c r="A811" s="1179"/>
      <c r="C811" s="977"/>
    </row>
    <row r="812">
      <c r="A812" s="1179"/>
      <c r="C812" s="977"/>
    </row>
    <row r="813">
      <c r="A813" s="1179"/>
      <c r="C813" s="977"/>
    </row>
    <row r="814">
      <c r="A814" s="1179"/>
      <c r="C814" s="977"/>
    </row>
    <row r="815">
      <c r="A815" s="1179"/>
      <c r="C815" s="977"/>
    </row>
    <row r="816">
      <c r="A816" s="1179"/>
      <c r="C816" s="977"/>
    </row>
    <row r="817">
      <c r="A817" s="1179"/>
      <c r="C817" s="977"/>
    </row>
    <row r="818">
      <c r="A818" s="1179"/>
      <c r="C818" s="977"/>
    </row>
    <row r="819">
      <c r="A819" s="1179"/>
      <c r="C819" s="977"/>
    </row>
    <row r="820">
      <c r="A820" s="1179"/>
      <c r="C820" s="977"/>
    </row>
    <row r="821">
      <c r="A821" s="1179"/>
      <c r="C821" s="977"/>
    </row>
    <row r="822">
      <c r="A822" s="1179"/>
      <c r="C822" s="977"/>
    </row>
    <row r="823">
      <c r="A823" s="1179"/>
      <c r="C823" s="977"/>
    </row>
    <row r="824">
      <c r="A824" s="1179"/>
      <c r="C824" s="977"/>
    </row>
    <row r="825">
      <c r="A825" s="1179"/>
      <c r="C825" s="977"/>
    </row>
    <row r="826">
      <c r="A826" s="1179"/>
      <c r="C826" s="977"/>
    </row>
    <row r="827">
      <c r="A827" s="1179"/>
      <c r="C827" s="977"/>
    </row>
    <row r="828">
      <c r="A828" s="1179"/>
      <c r="C828" s="977"/>
    </row>
    <row r="829">
      <c r="A829" s="1179"/>
      <c r="C829" s="977"/>
    </row>
    <row r="830">
      <c r="A830" s="1179"/>
      <c r="C830" s="977"/>
    </row>
    <row r="831">
      <c r="A831" s="1179"/>
      <c r="C831" s="977"/>
    </row>
    <row r="832">
      <c r="A832" s="1179"/>
      <c r="C832" s="977"/>
    </row>
    <row r="833">
      <c r="A833" s="1179"/>
      <c r="C833" s="977"/>
    </row>
    <row r="834">
      <c r="A834" s="1179"/>
      <c r="C834" s="977"/>
    </row>
    <row r="835">
      <c r="A835" s="1179"/>
      <c r="C835" s="977"/>
    </row>
    <row r="836">
      <c r="A836" s="1179"/>
      <c r="C836" s="977"/>
    </row>
    <row r="837">
      <c r="A837" s="1179"/>
      <c r="C837" s="977"/>
    </row>
    <row r="838">
      <c r="A838" s="1179"/>
      <c r="C838" s="977"/>
    </row>
    <row r="839">
      <c r="A839" s="1179"/>
      <c r="C839" s="977"/>
    </row>
    <row r="840">
      <c r="A840" s="1179"/>
      <c r="C840" s="977"/>
    </row>
    <row r="841">
      <c r="A841" s="1179"/>
      <c r="C841" s="977"/>
    </row>
    <row r="842">
      <c r="A842" s="1179"/>
      <c r="C842" s="977"/>
    </row>
    <row r="843">
      <c r="A843" s="1179"/>
      <c r="C843" s="977"/>
    </row>
    <row r="844">
      <c r="A844" s="1179"/>
      <c r="C844" s="977"/>
    </row>
    <row r="845">
      <c r="A845" s="1179"/>
      <c r="C845" s="977"/>
    </row>
    <row r="846">
      <c r="A846" s="1179"/>
      <c r="C846" s="977"/>
    </row>
    <row r="847">
      <c r="A847" s="1179"/>
      <c r="C847" s="977"/>
    </row>
    <row r="848">
      <c r="A848" s="1179"/>
      <c r="C848" s="977"/>
    </row>
    <row r="849">
      <c r="A849" s="1179"/>
      <c r="C849" s="977"/>
    </row>
    <row r="850">
      <c r="A850" s="1179"/>
      <c r="C850" s="977"/>
    </row>
    <row r="851">
      <c r="A851" s="1179"/>
      <c r="C851" s="977"/>
    </row>
    <row r="852">
      <c r="A852" s="1179"/>
      <c r="C852" s="977"/>
    </row>
    <row r="853">
      <c r="A853" s="1179"/>
      <c r="C853" s="977"/>
    </row>
    <row r="854">
      <c r="A854" s="1179"/>
      <c r="C854" s="977"/>
    </row>
    <row r="855">
      <c r="A855" s="1179"/>
      <c r="C855" s="977"/>
    </row>
    <row r="856">
      <c r="A856" s="1179"/>
      <c r="C856" s="977"/>
    </row>
    <row r="857">
      <c r="A857" s="1179"/>
      <c r="C857" s="977"/>
    </row>
    <row r="858">
      <c r="A858" s="1179"/>
      <c r="C858" s="977"/>
    </row>
    <row r="859">
      <c r="A859" s="1179"/>
      <c r="C859" s="977"/>
    </row>
    <row r="860">
      <c r="A860" s="1179"/>
      <c r="C860" s="977"/>
    </row>
    <row r="861">
      <c r="A861" s="1179"/>
      <c r="C861" s="977"/>
    </row>
    <row r="862">
      <c r="A862" s="1179"/>
      <c r="C862" s="977"/>
    </row>
    <row r="863">
      <c r="A863" s="1179"/>
      <c r="C863" s="977"/>
    </row>
    <row r="864">
      <c r="A864" s="1179"/>
      <c r="C864" s="977"/>
    </row>
    <row r="865">
      <c r="A865" s="1179"/>
      <c r="C865" s="977"/>
    </row>
    <row r="866">
      <c r="A866" s="1179"/>
      <c r="C866" s="977"/>
    </row>
    <row r="867">
      <c r="A867" s="1179"/>
      <c r="C867" s="977"/>
    </row>
    <row r="868">
      <c r="A868" s="1179"/>
      <c r="C868" s="977"/>
    </row>
    <row r="869">
      <c r="A869" s="1179"/>
      <c r="C869" s="977"/>
    </row>
    <row r="870">
      <c r="A870" s="1179"/>
      <c r="C870" s="977"/>
    </row>
    <row r="871">
      <c r="A871" s="1179"/>
      <c r="C871" s="977"/>
    </row>
    <row r="872">
      <c r="A872" s="1179"/>
      <c r="C872" s="977"/>
    </row>
    <row r="873">
      <c r="A873" s="1179"/>
      <c r="C873" s="977"/>
    </row>
    <row r="874">
      <c r="A874" s="1179"/>
      <c r="C874" s="977"/>
    </row>
    <row r="875">
      <c r="A875" s="1179"/>
      <c r="C875" s="977"/>
    </row>
    <row r="876">
      <c r="A876" s="1179"/>
      <c r="C876" s="977"/>
    </row>
    <row r="877">
      <c r="A877" s="1179"/>
      <c r="C877" s="977"/>
    </row>
    <row r="878">
      <c r="A878" s="1179"/>
      <c r="C878" s="977"/>
    </row>
    <row r="879">
      <c r="A879" s="1179"/>
      <c r="C879" s="977"/>
    </row>
    <row r="880">
      <c r="A880" s="1179"/>
      <c r="C880" s="977"/>
    </row>
    <row r="881">
      <c r="A881" s="1179"/>
      <c r="C881" s="977"/>
    </row>
    <row r="882">
      <c r="A882" s="1179"/>
      <c r="C882" s="977"/>
    </row>
    <row r="883">
      <c r="A883" s="1179"/>
      <c r="C883" s="977"/>
    </row>
    <row r="884">
      <c r="A884" s="1179"/>
      <c r="C884" s="977"/>
    </row>
    <row r="885">
      <c r="A885" s="1179"/>
      <c r="C885" s="977"/>
    </row>
    <row r="886">
      <c r="A886" s="1179"/>
      <c r="C886" s="977"/>
    </row>
    <row r="887">
      <c r="A887" s="1179"/>
      <c r="C887" s="977"/>
    </row>
    <row r="888">
      <c r="A888" s="1179"/>
      <c r="C888" s="977"/>
    </row>
    <row r="889">
      <c r="A889" s="1179"/>
      <c r="C889" s="977"/>
    </row>
    <row r="890">
      <c r="A890" s="1179"/>
      <c r="C890" s="977"/>
    </row>
    <row r="891">
      <c r="A891" s="1179"/>
      <c r="C891" s="977"/>
    </row>
    <row r="892">
      <c r="A892" s="1179"/>
      <c r="C892" s="977"/>
    </row>
    <row r="893">
      <c r="A893" s="1179"/>
      <c r="C893" s="977"/>
    </row>
    <row r="894">
      <c r="A894" s="1179"/>
      <c r="C894" s="977"/>
    </row>
    <row r="895">
      <c r="A895" s="1179"/>
      <c r="C895" s="977"/>
    </row>
    <row r="896">
      <c r="A896" s="1179"/>
      <c r="C896" s="977"/>
    </row>
    <row r="897">
      <c r="A897" s="1179"/>
      <c r="C897" s="977"/>
    </row>
    <row r="898">
      <c r="A898" s="1179"/>
      <c r="C898" s="977"/>
    </row>
    <row r="899">
      <c r="A899" s="1179"/>
      <c r="C899" s="977"/>
    </row>
    <row r="900">
      <c r="A900" s="1179"/>
      <c r="C900" s="977"/>
    </row>
    <row r="901">
      <c r="A901" s="1179"/>
      <c r="C901" s="977"/>
    </row>
    <row r="902">
      <c r="A902" s="1179"/>
      <c r="C902" s="977"/>
    </row>
    <row r="903">
      <c r="A903" s="1179"/>
      <c r="C903" s="977"/>
    </row>
    <row r="904">
      <c r="A904" s="1179"/>
      <c r="C904" s="977"/>
    </row>
    <row r="905">
      <c r="A905" s="1179"/>
      <c r="C905" s="977"/>
    </row>
    <row r="906">
      <c r="A906" s="1179"/>
      <c r="C906" s="977"/>
    </row>
    <row r="907">
      <c r="A907" s="1179"/>
      <c r="C907" s="977"/>
    </row>
    <row r="908">
      <c r="A908" s="1179"/>
      <c r="C908" s="977"/>
    </row>
    <row r="909">
      <c r="A909" s="1179"/>
      <c r="C909" s="977"/>
    </row>
    <row r="910">
      <c r="A910" s="1179"/>
      <c r="C910" s="977"/>
    </row>
    <row r="911">
      <c r="A911" s="1179"/>
      <c r="C911" s="977"/>
    </row>
    <row r="912">
      <c r="A912" s="1179"/>
      <c r="C912" s="977"/>
    </row>
    <row r="913">
      <c r="A913" s="1179"/>
      <c r="C913" s="977"/>
    </row>
    <row r="914">
      <c r="A914" s="1179"/>
      <c r="C914" s="977"/>
    </row>
    <row r="915">
      <c r="A915" s="1179"/>
      <c r="C915" s="977"/>
    </row>
    <row r="916">
      <c r="A916" s="1179"/>
      <c r="C916" s="977"/>
    </row>
    <row r="917">
      <c r="A917" s="1179"/>
      <c r="C917" s="977"/>
    </row>
    <row r="918">
      <c r="A918" s="1179"/>
      <c r="C918" s="977"/>
    </row>
    <row r="919">
      <c r="A919" s="1179"/>
      <c r="C919" s="977"/>
    </row>
    <row r="920">
      <c r="A920" s="1179"/>
      <c r="C920" s="977"/>
    </row>
    <row r="921">
      <c r="A921" s="1179"/>
      <c r="C921" s="977"/>
    </row>
    <row r="922">
      <c r="A922" s="1179"/>
      <c r="C922" s="977"/>
    </row>
    <row r="923">
      <c r="A923" s="1179"/>
      <c r="C923" s="977"/>
    </row>
    <row r="924">
      <c r="A924" s="1179"/>
      <c r="C924" s="977"/>
    </row>
    <row r="925">
      <c r="A925" s="1179"/>
      <c r="C925" s="977"/>
    </row>
    <row r="926">
      <c r="A926" s="1179"/>
      <c r="C926" s="977"/>
    </row>
    <row r="927">
      <c r="A927" s="1179"/>
      <c r="C927" s="977"/>
    </row>
    <row r="928">
      <c r="A928" s="1179"/>
      <c r="C928" s="977"/>
    </row>
    <row r="929">
      <c r="A929" s="1179"/>
      <c r="C929" s="977"/>
    </row>
    <row r="930">
      <c r="A930" s="1179"/>
      <c r="C930" s="977"/>
    </row>
    <row r="931">
      <c r="A931" s="1179"/>
      <c r="C931" s="977"/>
    </row>
    <row r="932">
      <c r="A932" s="1179"/>
      <c r="C932" s="977"/>
    </row>
    <row r="933">
      <c r="A933" s="1179"/>
      <c r="C933" s="977"/>
    </row>
    <row r="934">
      <c r="A934" s="1179"/>
      <c r="C934" s="977"/>
    </row>
    <row r="935">
      <c r="A935" s="1179"/>
      <c r="C935" s="977"/>
    </row>
    <row r="936">
      <c r="A936" s="1179"/>
      <c r="C936" s="977"/>
    </row>
    <row r="937">
      <c r="A937" s="1179"/>
      <c r="C937" s="977"/>
    </row>
    <row r="938">
      <c r="A938" s="1179"/>
      <c r="C938" s="977"/>
    </row>
    <row r="939">
      <c r="A939" s="1179"/>
      <c r="C939" s="977"/>
    </row>
    <row r="940">
      <c r="A940" s="1179"/>
      <c r="C940" s="977"/>
    </row>
    <row r="941">
      <c r="A941" s="1179"/>
      <c r="C941" s="977"/>
    </row>
    <row r="942">
      <c r="A942" s="1179"/>
      <c r="C942" s="977"/>
    </row>
    <row r="943">
      <c r="A943" s="1179"/>
      <c r="C943" s="977"/>
    </row>
    <row r="944">
      <c r="A944" s="1179"/>
      <c r="C944" s="977"/>
    </row>
    <row r="945">
      <c r="A945" s="1179"/>
      <c r="C945" s="977"/>
    </row>
    <row r="946">
      <c r="A946" s="1179"/>
      <c r="C946" s="977"/>
    </row>
    <row r="947">
      <c r="A947" s="1179"/>
      <c r="C947" s="977"/>
    </row>
    <row r="948">
      <c r="A948" s="1179"/>
      <c r="C948" s="977"/>
    </row>
    <row r="949">
      <c r="A949" s="1179"/>
      <c r="C949" s="977"/>
    </row>
    <row r="950">
      <c r="A950" s="1179"/>
      <c r="C950" s="977"/>
    </row>
    <row r="951">
      <c r="A951" s="1179"/>
      <c r="C951" s="977"/>
    </row>
    <row r="952">
      <c r="A952" s="1179"/>
      <c r="C952" s="977"/>
    </row>
    <row r="953">
      <c r="A953" s="1179"/>
      <c r="C953" s="977"/>
    </row>
    <row r="954">
      <c r="A954" s="1179"/>
      <c r="C954" s="977"/>
    </row>
    <row r="955">
      <c r="A955" s="1179"/>
      <c r="C955" s="977"/>
    </row>
    <row r="956">
      <c r="A956" s="1179"/>
      <c r="C956" s="977"/>
    </row>
    <row r="957">
      <c r="A957" s="1179"/>
      <c r="C957" s="977"/>
    </row>
    <row r="958">
      <c r="A958" s="1179"/>
      <c r="C958" s="977"/>
    </row>
    <row r="959">
      <c r="A959" s="1179"/>
      <c r="C959" s="977"/>
    </row>
    <row r="960">
      <c r="A960" s="1179"/>
      <c r="C960" s="977"/>
    </row>
    <row r="961">
      <c r="A961" s="1179"/>
      <c r="C961" s="977"/>
    </row>
    <row r="962">
      <c r="A962" s="1179"/>
      <c r="C962" s="977"/>
    </row>
    <row r="963">
      <c r="A963" s="1179"/>
      <c r="C963" s="977"/>
    </row>
    <row r="964">
      <c r="A964" s="1179"/>
      <c r="C964" s="977"/>
    </row>
    <row r="965">
      <c r="A965" s="1179"/>
      <c r="C965" s="977"/>
    </row>
    <row r="966">
      <c r="A966" s="1179"/>
      <c r="C966" s="977"/>
    </row>
    <row r="967">
      <c r="A967" s="1179"/>
      <c r="C967" s="977"/>
    </row>
    <row r="968">
      <c r="A968" s="1179"/>
      <c r="C968" s="977"/>
    </row>
    <row r="969">
      <c r="A969" s="1179"/>
      <c r="C969" s="977"/>
    </row>
    <row r="970">
      <c r="A970" s="1179"/>
      <c r="C970" s="977"/>
    </row>
    <row r="971">
      <c r="A971" s="1179"/>
      <c r="C971" s="977"/>
    </row>
    <row r="972">
      <c r="A972" s="1179"/>
      <c r="C972" s="977"/>
    </row>
    <row r="973">
      <c r="A973" s="1179"/>
      <c r="C973" s="977"/>
    </row>
    <row r="974">
      <c r="A974" s="1179"/>
      <c r="C974" s="977"/>
    </row>
    <row r="975">
      <c r="A975" s="1179"/>
      <c r="C975" s="977"/>
    </row>
    <row r="976">
      <c r="A976" s="1179"/>
      <c r="C976" s="977"/>
    </row>
    <row r="977">
      <c r="A977" s="1179"/>
      <c r="C977" s="977"/>
    </row>
    <row r="978">
      <c r="A978" s="1179"/>
      <c r="C978" s="977"/>
    </row>
    <row r="979">
      <c r="A979" s="1179"/>
      <c r="C979" s="977"/>
    </row>
    <row r="980">
      <c r="A980" s="1179"/>
      <c r="C980" s="977"/>
    </row>
    <row r="981">
      <c r="A981" s="1179"/>
      <c r="C981" s="977"/>
    </row>
    <row r="982">
      <c r="A982" s="1179"/>
      <c r="C982" s="977"/>
    </row>
    <row r="983">
      <c r="A983" s="1179"/>
      <c r="C983" s="977"/>
    </row>
    <row r="984">
      <c r="A984" s="1179"/>
      <c r="C984" s="977"/>
    </row>
    <row r="985">
      <c r="A985" s="1179"/>
      <c r="C985" s="977"/>
    </row>
    <row r="986">
      <c r="A986" s="1179"/>
      <c r="C986" s="977"/>
    </row>
    <row r="987">
      <c r="A987" s="1179"/>
      <c r="C987" s="977"/>
    </row>
    <row r="988">
      <c r="A988" s="1179"/>
      <c r="C988" s="977"/>
    </row>
    <row r="989">
      <c r="A989" s="1179"/>
      <c r="C989" s="977"/>
    </row>
    <row r="990">
      <c r="A990" s="1179"/>
      <c r="C990" s="977"/>
    </row>
    <row r="991">
      <c r="A991" s="1179"/>
      <c r="C991" s="977"/>
    </row>
    <row r="992">
      <c r="A992" s="1179"/>
      <c r="C992" s="977"/>
    </row>
    <row r="993">
      <c r="A993" s="1179"/>
      <c r="C993" s="977"/>
    </row>
    <row r="994">
      <c r="A994" s="1179"/>
      <c r="C994" s="977"/>
    </row>
    <row r="995">
      <c r="A995" s="1179"/>
      <c r="C995" s="977"/>
    </row>
    <row r="996">
      <c r="A996" s="1179"/>
      <c r="C996" s="977"/>
    </row>
    <row r="997">
      <c r="A997" s="1179"/>
      <c r="C997" s="977"/>
    </row>
    <row r="998">
      <c r="A998" s="1179"/>
      <c r="C998" s="977"/>
    </row>
    <row r="999">
      <c r="A999" s="1179"/>
      <c r="C999" s="977"/>
    </row>
    <row r="1000">
      <c r="A1000" s="1179"/>
      <c r="C1000" s="977"/>
    </row>
    <row r="1001">
      <c r="A1001" s="1179"/>
      <c r="C1001" s="977"/>
    </row>
    <row r="1002">
      <c r="A1002" s="1179"/>
      <c r="C1002" s="977"/>
    </row>
    <row r="1003">
      <c r="A1003" s="1179"/>
      <c r="C1003" s="977"/>
    </row>
    <row r="1004">
      <c r="A1004" s="1179"/>
      <c r="C1004" s="977"/>
    </row>
    <row r="1005">
      <c r="A1005" s="1179"/>
      <c r="C1005" s="977"/>
    </row>
    <row r="1006">
      <c r="A1006" s="1179"/>
      <c r="C1006" s="977"/>
    </row>
    <row r="1007">
      <c r="A1007" s="1179"/>
      <c r="C1007" s="977"/>
    </row>
    <row r="1008">
      <c r="A1008" s="1179"/>
      <c r="C1008" s="977"/>
    </row>
    <row r="1009">
      <c r="A1009" s="1179"/>
      <c r="C1009" s="977"/>
    </row>
    <row r="1010">
      <c r="A1010" s="1179"/>
      <c r="C1010" s="977"/>
    </row>
    <row r="1011">
      <c r="A1011" s="1179"/>
      <c r="C1011" s="977"/>
    </row>
    <row r="1012">
      <c r="A1012" s="1179"/>
      <c r="C1012" s="977"/>
    </row>
    <row r="1013">
      <c r="A1013" s="1179"/>
      <c r="C1013" s="977"/>
    </row>
    <row r="1014">
      <c r="A1014" s="1179"/>
      <c r="C1014" s="977"/>
    </row>
    <row r="1015">
      <c r="A1015" s="1179"/>
      <c r="C1015" s="977"/>
    </row>
    <row r="1016">
      <c r="A1016" s="1179"/>
      <c r="C1016" s="977"/>
    </row>
    <row r="1017">
      <c r="A1017" s="1179"/>
      <c r="C1017" s="977"/>
    </row>
    <row r="1018">
      <c r="A1018" s="1179"/>
      <c r="C1018" s="977"/>
    </row>
    <row r="1019">
      <c r="A1019" s="1179"/>
      <c r="C1019" s="977"/>
    </row>
  </sheetData>
  <mergeCells count="1">
    <mergeCell ref="A69:E69"/>
  </mergeCells>
  <hyperlinks>
    <hyperlink r:id="rId1" ref="J4"/>
    <hyperlink r:id="rId2" ref="J5"/>
    <hyperlink r:id="rId3" ref="J6"/>
    <hyperlink r:id="rId4" ref="J7"/>
    <hyperlink r:id="rId5" ref="J8"/>
    <hyperlink r:id="rId6" ref="J9"/>
    <hyperlink r:id="rId7" ref="J10"/>
    <hyperlink r:id="rId8" ref="J11"/>
    <hyperlink r:id="rId9" location="phys" ref="J12"/>
    <hyperlink r:id="rId10" location="chem" ref="J13"/>
    <hyperlink r:id="rId11" ref="J14"/>
    <hyperlink r:id="rId12" ref="J15"/>
    <hyperlink r:id="rId13" ref="J16"/>
    <hyperlink r:id="rId14" ref="J17"/>
    <hyperlink r:id="rId15" ref="J21"/>
    <hyperlink r:id="rId16" ref="J22"/>
    <hyperlink r:id="rId17" ref="J23"/>
    <hyperlink r:id="rId18" ref="J24"/>
    <hyperlink r:id="rId19" ref="J25"/>
    <hyperlink r:id="rId20" location="2022" ref="J26"/>
    <hyperlink r:id="rId21" ref="J27"/>
    <hyperlink r:id="rId22" ref="J28"/>
    <hyperlink r:id="rId23" ref="J29"/>
    <hyperlink r:id="rId24" ref="J30"/>
    <hyperlink r:id="rId25" ref="J31"/>
    <hyperlink r:id="rId26" ref="J32"/>
    <hyperlink r:id="rId27" ref="J33"/>
    <hyperlink r:id="rId28" ref="J34"/>
    <hyperlink r:id="rId29" ref="J35"/>
    <hyperlink r:id="rId30" ref="J36"/>
    <hyperlink r:id="rId31" ref="J37"/>
    <hyperlink r:id="rId32" ref="J38"/>
    <hyperlink r:id="rId33" ref="J39"/>
    <hyperlink r:id="rId34" ref="J40"/>
    <hyperlink r:id="rId35" ref="J41"/>
    <hyperlink r:id="rId36" ref="J42"/>
    <hyperlink r:id="rId37" ref="J43"/>
    <hyperlink r:id="rId38" ref="J47"/>
    <hyperlink r:id="rId39" ref="J48"/>
    <hyperlink r:id="rId40" ref="J49"/>
    <hyperlink r:id="rId41" ref="J50"/>
    <hyperlink r:id="rId42" ref="J52"/>
    <hyperlink r:id="rId43" ref="J53"/>
    <hyperlink r:id="rId44" ref="J54"/>
    <hyperlink r:id="rId45" ref="J55"/>
    <hyperlink r:id="rId46" ref="J56"/>
    <hyperlink r:id="rId47" ref="J57"/>
    <hyperlink r:id="rId48" ref="J58"/>
    <hyperlink r:id="rId49" ref="J59"/>
    <hyperlink r:id="rId50" ref="J60"/>
    <hyperlink r:id="rId51" ref="J61"/>
    <hyperlink r:id="rId52" ref="J62"/>
    <hyperlink r:id="rId53" ref="J63"/>
    <hyperlink r:id="rId54" ref="J68"/>
  </hyperlinks>
  <drawing r:id="rId55"/>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5.13"/>
    <col customWidth="1" min="2" max="2" width="5.75"/>
    <col customWidth="1" min="3" max="3" width="14.13"/>
    <col customWidth="1" min="4" max="4" width="11.38"/>
    <col customWidth="1" min="5" max="5" width="11.88"/>
    <col customWidth="1" min="8" max="8" width="27.5"/>
    <col customWidth="1" min="15" max="15" width="14.63"/>
    <col customWidth="1" min="18" max="18" width="9.75"/>
    <col customWidth="1" min="19" max="19" width="7.13"/>
    <col customWidth="1" min="20" max="20" width="11.13"/>
    <col customWidth="1" min="21" max="21" width="6.63"/>
  </cols>
  <sheetData>
    <row r="1">
      <c r="A1" s="1180" t="s">
        <v>12842</v>
      </c>
      <c r="B1" s="1181"/>
      <c r="C1" s="1180" t="s">
        <v>12381</v>
      </c>
      <c r="D1" s="1180" t="s">
        <v>12382</v>
      </c>
      <c r="E1" s="1180" t="s">
        <v>12843</v>
      </c>
      <c r="F1" s="1182" t="s">
        <v>12844</v>
      </c>
      <c r="G1" s="1180" t="s">
        <v>12845</v>
      </c>
      <c r="H1" s="1180" t="s">
        <v>12846</v>
      </c>
      <c r="I1" s="1183" t="s">
        <v>12847</v>
      </c>
      <c r="J1" s="1180" t="s">
        <v>12848</v>
      </c>
      <c r="K1" s="1180" t="s">
        <v>12849</v>
      </c>
      <c r="L1" s="1180"/>
      <c r="M1" s="1183" t="s">
        <v>12850</v>
      </c>
      <c r="N1" s="1180" t="s">
        <v>12851</v>
      </c>
      <c r="O1" s="1180" t="s">
        <v>12852</v>
      </c>
      <c r="P1" s="1180" t="s">
        <v>12853</v>
      </c>
      <c r="Q1" s="1184" t="s">
        <v>12854</v>
      </c>
      <c r="R1" s="1185" t="s">
        <v>12855</v>
      </c>
      <c r="S1" s="1185" t="s">
        <v>12856</v>
      </c>
      <c r="T1" s="1185" t="s">
        <v>12857</v>
      </c>
      <c r="U1" s="1186" t="s">
        <v>12858</v>
      </c>
      <c r="V1" s="1187"/>
      <c r="W1" s="1187"/>
    </row>
    <row r="2">
      <c r="A2" s="1079">
        <v>1.0</v>
      </c>
      <c r="B2" s="1079" t="s">
        <v>1</v>
      </c>
      <c r="C2" s="1076" t="s">
        <v>12174</v>
      </c>
      <c r="D2" s="1076" t="s">
        <v>12859</v>
      </c>
      <c r="E2" s="1188" t="s">
        <v>12281</v>
      </c>
      <c r="F2" s="1189" t="s">
        <v>12860</v>
      </c>
      <c r="G2" s="1188" t="s">
        <v>12861</v>
      </c>
      <c r="H2" s="1188" t="s">
        <v>12862</v>
      </c>
      <c r="I2" s="1190" t="s">
        <v>12863</v>
      </c>
      <c r="J2" s="1188" t="s">
        <v>12864</v>
      </c>
      <c r="K2" s="1076" t="s">
        <v>12865</v>
      </c>
      <c r="L2" s="1076"/>
      <c r="M2" s="1076" t="s">
        <v>12866</v>
      </c>
      <c r="N2" s="1188" t="s">
        <v>12867</v>
      </c>
      <c r="O2" s="1190" t="s">
        <v>12868</v>
      </c>
      <c r="P2" s="1191" t="s">
        <v>12869</v>
      </c>
      <c r="Q2" s="1192" t="b">
        <v>1</v>
      </c>
      <c r="R2" s="1192" t="b">
        <v>1</v>
      </c>
      <c r="S2" s="1192" t="b">
        <v>1</v>
      </c>
      <c r="T2" s="1192" t="b">
        <v>1</v>
      </c>
      <c r="U2" s="1193"/>
      <c r="V2" s="1194"/>
      <c r="W2" s="1194"/>
      <c r="X2" s="1194"/>
      <c r="Y2" s="1194"/>
    </row>
    <row r="3">
      <c r="A3" s="1079">
        <v>2.0</v>
      </c>
      <c r="B3" s="1079" t="s">
        <v>1</v>
      </c>
      <c r="C3" s="1076" t="s">
        <v>12178</v>
      </c>
      <c r="D3" s="1076" t="s">
        <v>12579</v>
      </c>
      <c r="E3" s="1188" t="s">
        <v>12870</v>
      </c>
      <c r="F3" s="1189" t="s">
        <v>12871</v>
      </c>
      <c r="G3" s="1188" t="s">
        <v>12872</v>
      </c>
      <c r="H3" s="1076" t="s">
        <v>12873</v>
      </c>
      <c r="I3" s="1190" t="s">
        <v>12874</v>
      </c>
      <c r="J3" s="1188" t="s">
        <v>12875</v>
      </c>
      <c r="K3" s="1076" t="s">
        <v>12876</v>
      </c>
      <c r="L3" s="1076"/>
      <c r="M3" s="1076" t="s">
        <v>12877</v>
      </c>
      <c r="N3" s="1188" t="s">
        <v>12878</v>
      </c>
      <c r="O3" s="1190" t="s">
        <v>12879</v>
      </c>
      <c r="P3" s="1188" t="s">
        <v>12880</v>
      </c>
      <c r="Q3" s="1195" t="b">
        <v>1</v>
      </c>
      <c r="R3" s="1195" t="b">
        <v>1</v>
      </c>
      <c r="S3" s="1195" t="b">
        <v>1</v>
      </c>
      <c r="T3" s="1192" t="b">
        <v>0</v>
      </c>
      <c r="U3" s="1193"/>
      <c r="V3" s="1194"/>
      <c r="W3" s="1194"/>
      <c r="X3" s="1194"/>
      <c r="Y3" s="1194"/>
    </row>
    <row r="4">
      <c r="A4" s="1079">
        <v>3.0</v>
      </c>
      <c r="B4" s="1079" t="s">
        <v>1</v>
      </c>
      <c r="C4" s="1076" t="s">
        <v>12182</v>
      </c>
      <c r="D4" s="1076" t="s">
        <v>12390</v>
      </c>
      <c r="E4" s="1188" t="s">
        <v>12291</v>
      </c>
      <c r="F4" s="1189" t="s">
        <v>12881</v>
      </c>
      <c r="G4" s="1188" t="s">
        <v>12861</v>
      </c>
      <c r="H4" s="1076" t="s">
        <v>12882</v>
      </c>
      <c r="I4" s="1190" t="s">
        <v>12883</v>
      </c>
      <c r="J4" s="1188" t="s">
        <v>12884</v>
      </c>
      <c r="K4" s="1188" t="s">
        <v>12885</v>
      </c>
      <c r="L4" s="1188"/>
      <c r="M4" s="1188" t="s">
        <v>12886</v>
      </c>
      <c r="N4" s="1188" t="s">
        <v>12884</v>
      </c>
      <c r="O4" s="1190" t="s">
        <v>12887</v>
      </c>
      <c r="P4" s="1188" t="s">
        <v>12884</v>
      </c>
      <c r="Q4" s="1195" t="b">
        <v>1</v>
      </c>
      <c r="R4" s="1195" t="b">
        <v>1</v>
      </c>
      <c r="S4" s="1195" t="b">
        <v>1</v>
      </c>
      <c r="T4" s="1192" t="b">
        <v>0</v>
      </c>
      <c r="U4" s="1193"/>
      <c r="V4" s="1194"/>
      <c r="W4" s="1194"/>
      <c r="X4" s="1194"/>
      <c r="Y4" s="1194"/>
    </row>
    <row r="5">
      <c r="A5" s="1079">
        <v>4.0</v>
      </c>
      <c r="B5" s="1079" t="s">
        <v>1</v>
      </c>
      <c r="C5" s="1076" t="s">
        <v>12186</v>
      </c>
      <c r="D5" s="1076" t="s">
        <v>12304</v>
      </c>
      <c r="E5" s="1188" t="s">
        <v>12888</v>
      </c>
      <c r="F5" s="1189">
        <v>40592.0</v>
      </c>
      <c r="G5" s="1188" t="s">
        <v>12861</v>
      </c>
      <c r="H5" s="1076" t="s">
        <v>12889</v>
      </c>
      <c r="I5" s="1188" t="s">
        <v>12890</v>
      </c>
      <c r="J5" s="1188" t="s">
        <v>12891</v>
      </c>
      <c r="K5" s="1076" t="s">
        <v>12892</v>
      </c>
      <c r="L5" s="1076"/>
      <c r="M5" s="1188" t="s">
        <v>12893</v>
      </c>
      <c r="N5" s="1188" t="s">
        <v>12894</v>
      </c>
      <c r="O5" s="1188" t="s">
        <v>12895</v>
      </c>
      <c r="P5" s="1188" t="s">
        <v>12896</v>
      </c>
      <c r="Q5" s="1192" t="b">
        <v>1</v>
      </c>
      <c r="R5" s="1192" t="b">
        <v>1</v>
      </c>
      <c r="S5" s="1192" t="b">
        <v>1</v>
      </c>
      <c r="T5" s="1195" t="b">
        <v>1</v>
      </c>
      <c r="U5" s="1193"/>
      <c r="V5" s="1194"/>
      <c r="W5" s="1194"/>
      <c r="X5" s="1194"/>
      <c r="Y5" s="1194"/>
    </row>
    <row r="6">
      <c r="A6" s="1079">
        <v>5.0</v>
      </c>
      <c r="B6" s="1079" t="s">
        <v>1</v>
      </c>
      <c r="C6" s="1076" t="s">
        <v>12190</v>
      </c>
      <c r="D6" s="1076" t="s">
        <v>12897</v>
      </c>
      <c r="E6" s="1188" t="s">
        <v>12898</v>
      </c>
      <c r="F6" s="1189">
        <v>40724.0</v>
      </c>
      <c r="G6" s="1188" t="s">
        <v>12872</v>
      </c>
      <c r="H6" s="1076" t="s">
        <v>12899</v>
      </c>
      <c r="I6" s="1076" t="s">
        <v>12900</v>
      </c>
      <c r="J6" s="1188" t="s">
        <v>12901</v>
      </c>
      <c r="K6" s="1196"/>
      <c r="L6" s="1196"/>
      <c r="M6" s="1197"/>
      <c r="N6" s="1196"/>
      <c r="O6" s="1196"/>
      <c r="P6" s="1196"/>
      <c r="Q6" s="1192" t="b">
        <v>0</v>
      </c>
      <c r="R6" s="1192" t="b">
        <v>0</v>
      </c>
      <c r="S6" s="1192" t="b">
        <v>0</v>
      </c>
      <c r="T6" s="1192" t="b">
        <v>0</v>
      </c>
      <c r="U6" s="1193"/>
      <c r="V6" s="1194"/>
      <c r="W6" s="1194"/>
      <c r="X6" s="1194"/>
      <c r="Y6" s="1194"/>
    </row>
    <row r="7">
      <c r="A7" s="1079">
        <v>6.0</v>
      </c>
      <c r="B7" s="1079" t="s">
        <v>1</v>
      </c>
      <c r="C7" s="1076" t="s">
        <v>12194</v>
      </c>
      <c r="D7" s="1076" t="s">
        <v>12902</v>
      </c>
      <c r="E7" s="1188" t="s">
        <v>12433</v>
      </c>
      <c r="F7" s="1189" t="s">
        <v>12903</v>
      </c>
      <c r="G7" s="1188" t="s">
        <v>12872</v>
      </c>
      <c r="H7" s="1076" t="s">
        <v>12904</v>
      </c>
      <c r="I7" s="1190" t="s">
        <v>12905</v>
      </c>
      <c r="J7" s="1188" t="s">
        <v>12906</v>
      </c>
      <c r="K7" s="1076" t="s">
        <v>12907</v>
      </c>
      <c r="L7" s="1076"/>
      <c r="M7" s="1076" t="s">
        <v>12908</v>
      </c>
      <c r="N7" s="1188" t="s">
        <v>12909</v>
      </c>
      <c r="O7" s="1190" t="s">
        <v>12910</v>
      </c>
      <c r="P7" s="1198" t="s">
        <v>12911</v>
      </c>
      <c r="Q7" s="1192" t="b">
        <v>1</v>
      </c>
      <c r="R7" s="1192" t="b">
        <v>1</v>
      </c>
      <c r="S7" s="1192" t="b">
        <v>1</v>
      </c>
      <c r="T7" s="1192" t="b">
        <v>0</v>
      </c>
      <c r="U7" s="1193"/>
      <c r="V7" s="1194"/>
      <c r="W7" s="1194"/>
      <c r="X7" s="1194"/>
      <c r="Y7" s="1194"/>
    </row>
    <row r="8" ht="15.0" customHeight="1">
      <c r="A8" s="1079">
        <v>7.0</v>
      </c>
      <c r="B8" s="1079" t="s">
        <v>1</v>
      </c>
      <c r="C8" s="1076" t="s">
        <v>12198</v>
      </c>
      <c r="D8" s="1076" t="s">
        <v>12267</v>
      </c>
      <c r="E8" s="1188" t="s">
        <v>12307</v>
      </c>
      <c r="F8" s="1189" t="s">
        <v>12912</v>
      </c>
      <c r="G8" s="1188" t="s">
        <v>12872</v>
      </c>
      <c r="H8" s="1076" t="s">
        <v>12913</v>
      </c>
      <c r="I8" s="1190" t="s">
        <v>12914</v>
      </c>
      <c r="J8" s="1188" t="s">
        <v>12915</v>
      </c>
      <c r="K8" s="1076" t="s">
        <v>12916</v>
      </c>
      <c r="L8" s="1076"/>
      <c r="M8" s="1076" t="s">
        <v>12917</v>
      </c>
      <c r="N8" s="1188" t="s">
        <v>12918</v>
      </c>
      <c r="O8" s="1190" t="s">
        <v>12919</v>
      </c>
      <c r="P8" s="1188" t="s">
        <v>12920</v>
      </c>
      <c r="Q8" s="1192" t="b">
        <v>1</v>
      </c>
      <c r="R8" s="1192" t="b">
        <v>1</v>
      </c>
      <c r="S8" s="1192" t="b">
        <v>1</v>
      </c>
      <c r="T8" s="1192" t="b">
        <v>0</v>
      </c>
      <c r="U8" s="1193"/>
      <c r="V8" s="1194"/>
      <c r="W8" s="1194"/>
      <c r="X8" s="1194"/>
      <c r="Y8" s="1194"/>
    </row>
    <row r="9">
      <c r="A9" s="1079">
        <v>8.0</v>
      </c>
      <c r="B9" s="1079" t="s">
        <v>1</v>
      </c>
      <c r="C9" s="1076" t="s">
        <v>12202</v>
      </c>
      <c r="D9" s="1076" t="s">
        <v>12921</v>
      </c>
      <c r="E9" s="1188" t="s">
        <v>12922</v>
      </c>
      <c r="F9" s="1189">
        <v>40597.0</v>
      </c>
      <c r="G9" s="1188" t="s">
        <v>12872</v>
      </c>
      <c r="H9" s="1076" t="s">
        <v>12923</v>
      </c>
      <c r="I9" s="1076" t="s">
        <v>12924</v>
      </c>
      <c r="J9" s="1188" t="s">
        <v>12925</v>
      </c>
      <c r="K9" s="1076" t="s">
        <v>12926</v>
      </c>
      <c r="L9" s="1076"/>
      <c r="M9" s="1076" t="s">
        <v>12927</v>
      </c>
      <c r="N9" s="1188" t="s">
        <v>12928</v>
      </c>
      <c r="O9" s="1188" t="s">
        <v>12929</v>
      </c>
      <c r="P9" s="1188" t="s">
        <v>12930</v>
      </c>
      <c r="Q9" s="1192" t="b">
        <v>1</v>
      </c>
      <c r="R9" s="1192" t="b">
        <v>1</v>
      </c>
      <c r="S9" s="1192" t="b">
        <v>1</v>
      </c>
      <c r="T9" s="1192" t="b">
        <v>1</v>
      </c>
      <c r="U9" s="1193"/>
      <c r="V9" s="1194"/>
      <c r="W9" s="1194"/>
      <c r="X9" s="1194"/>
      <c r="Y9" s="1194"/>
    </row>
    <row r="10">
      <c r="A10" s="1079">
        <v>9.0</v>
      </c>
      <c r="B10" s="1079" t="s">
        <v>1</v>
      </c>
      <c r="C10" s="1076" t="s">
        <v>12206</v>
      </c>
      <c r="D10" s="1076" t="s">
        <v>12531</v>
      </c>
      <c r="E10" s="1188" t="s">
        <v>12256</v>
      </c>
      <c r="F10" s="1189">
        <v>40644.0</v>
      </c>
      <c r="G10" s="1188" t="s">
        <v>12872</v>
      </c>
      <c r="H10" s="1076" t="s">
        <v>12931</v>
      </c>
      <c r="I10" s="1188" t="s">
        <v>12932</v>
      </c>
      <c r="J10" s="1188" t="s">
        <v>12933</v>
      </c>
      <c r="K10" s="1076" t="s">
        <v>12934</v>
      </c>
      <c r="L10" s="1076"/>
      <c r="M10" s="1188" t="s">
        <v>12935</v>
      </c>
      <c r="N10" s="1188" t="s">
        <v>12936</v>
      </c>
      <c r="O10" s="1188" t="s">
        <v>12937</v>
      </c>
      <c r="P10" s="1188" t="s">
        <v>12938</v>
      </c>
      <c r="Q10" s="1192" t="b">
        <v>1</v>
      </c>
      <c r="R10" s="1192" t="b">
        <v>1</v>
      </c>
      <c r="S10" s="1192" t="b">
        <v>1</v>
      </c>
      <c r="T10" s="1192" t="b">
        <v>1</v>
      </c>
      <c r="U10" s="1193"/>
      <c r="V10" s="1194"/>
      <c r="W10" s="1194"/>
      <c r="X10" s="1194"/>
      <c r="Y10" s="1194"/>
    </row>
    <row r="11">
      <c r="A11" s="1079">
        <v>10.0</v>
      </c>
      <c r="B11" s="1079" t="s">
        <v>1</v>
      </c>
      <c r="C11" s="1076" t="s">
        <v>12210</v>
      </c>
      <c r="D11" s="1076" t="s">
        <v>12939</v>
      </c>
      <c r="E11" s="1188" t="s">
        <v>12259</v>
      </c>
      <c r="F11" s="1189">
        <v>40759.0</v>
      </c>
      <c r="G11" s="1188" t="s">
        <v>12861</v>
      </c>
      <c r="H11" s="1076" t="s">
        <v>12940</v>
      </c>
      <c r="I11" s="1188" t="s">
        <v>12941</v>
      </c>
      <c r="J11" s="1188" t="s">
        <v>12942</v>
      </c>
      <c r="K11" s="1076" t="s">
        <v>12943</v>
      </c>
      <c r="L11" s="1076"/>
      <c r="M11" s="1188" t="s">
        <v>12944</v>
      </c>
      <c r="N11" s="1188" t="s">
        <v>12945</v>
      </c>
      <c r="O11" s="1188" t="s">
        <v>12946</v>
      </c>
      <c r="P11" s="1188" t="s">
        <v>12947</v>
      </c>
      <c r="Q11" s="1192" t="b">
        <v>1</v>
      </c>
      <c r="R11" s="1192" t="b">
        <v>1</v>
      </c>
      <c r="S11" s="1192" t="b">
        <v>1</v>
      </c>
      <c r="T11" s="1192" t="b">
        <v>0</v>
      </c>
      <c r="U11" s="1193"/>
      <c r="V11" s="1194"/>
      <c r="W11" s="1194"/>
      <c r="X11" s="1194"/>
      <c r="Y11" s="1194"/>
    </row>
    <row r="12">
      <c r="A12" s="1079">
        <v>11.0</v>
      </c>
      <c r="B12" s="1079" t="s">
        <v>1</v>
      </c>
      <c r="C12" s="1076" t="s">
        <v>12214</v>
      </c>
      <c r="D12" s="1076" t="s">
        <v>12948</v>
      </c>
      <c r="E12" s="1188" t="s">
        <v>12401</v>
      </c>
      <c r="F12" s="1189" t="s">
        <v>12949</v>
      </c>
      <c r="G12" s="1188" t="s">
        <v>12861</v>
      </c>
      <c r="H12" s="1076" t="s">
        <v>12950</v>
      </c>
      <c r="I12" s="1190" t="s">
        <v>12951</v>
      </c>
      <c r="J12" s="1188" t="s">
        <v>12952</v>
      </c>
      <c r="K12" s="1076" t="s">
        <v>12953</v>
      </c>
      <c r="L12" s="1076"/>
      <c r="M12" s="1188" t="s">
        <v>12954</v>
      </c>
      <c r="N12" s="1188" t="s">
        <v>12955</v>
      </c>
      <c r="O12" s="1190" t="s">
        <v>12956</v>
      </c>
      <c r="P12" s="1198" t="s">
        <v>12957</v>
      </c>
      <c r="Q12" s="1192" t="b">
        <v>1</v>
      </c>
      <c r="R12" s="1192" t="b">
        <v>1</v>
      </c>
      <c r="S12" s="1192" t="b">
        <v>1</v>
      </c>
      <c r="T12" s="1195" t="b">
        <v>1</v>
      </c>
      <c r="U12" s="1193"/>
      <c r="V12" s="1194"/>
      <c r="W12" s="1194"/>
      <c r="X12" s="1194"/>
      <c r="Y12" s="1194"/>
    </row>
    <row r="13">
      <c r="A13" s="1079">
        <v>12.0</v>
      </c>
      <c r="B13" s="1079" t="s">
        <v>1</v>
      </c>
      <c r="C13" s="1076" t="s">
        <v>12218</v>
      </c>
      <c r="D13" s="1076" t="s">
        <v>12270</v>
      </c>
      <c r="E13" s="1188" t="s">
        <v>12283</v>
      </c>
      <c r="F13" s="1189" t="s">
        <v>12958</v>
      </c>
      <c r="G13" s="1188" t="s">
        <v>12872</v>
      </c>
      <c r="H13" s="1076" t="s">
        <v>12959</v>
      </c>
      <c r="I13" s="1190" t="s">
        <v>12960</v>
      </c>
      <c r="J13" s="1188" t="s">
        <v>12961</v>
      </c>
      <c r="K13" s="1076" t="s">
        <v>12962</v>
      </c>
      <c r="L13" s="1076"/>
      <c r="M13" s="1076" t="s">
        <v>12963</v>
      </c>
      <c r="N13" s="1188" t="s">
        <v>12909</v>
      </c>
      <c r="O13" s="1199" t="s">
        <v>12964</v>
      </c>
      <c r="P13" s="1188" t="s">
        <v>12965</v>
      </c>
      <c r="Q13" s="1192" t="b">
        <v>1</v>
      </c>
      <c r="R13" s="1192" t="b">
        <v>1</v>
      </c>
      <c r="S13" s="1192" t="b">
        <v>1</v>
      </c>
      <c r="T13" s="1192" t="b">
        <v>0</v>
      </c>
      <c r="U13" s="1193"/>
      <c r="V13" s="1194"/>
      <c r="W13" s="1194"/>
      <c r="X13" s="1194"/>
      <c r="Y13" s="1194"/>
    </row>
    <row r="14">
      <c r="A14" s="1079">
        <v>13.0</v>
      </c>
      <c r="B14" s="1079" t="s">
        <v>1</v>
      </c>
      <c r="C14" s="1076" t="s">
        <v>12222</v>
      </c>
      <c r="D14" s="1076" t="s">
        <v>12966</v>
      </c>
      <c r="E14" s="1188" t="s">
        <v>12967</v>
      </c>
      <c r="F14" s="1189">
        <v>40551.0</v>
      </c>
      <c r="G14" s="1188" t="s">
        <v>12872</v>
      </c>
      <c r="H14" s="1076" t="s">
        <v>12968</v>
      </c>
      <c r="I14" s="1188" t="s">
        <v>12969</v>
      </c>
      <c r="J14" s="1188" t="s">
        <v>12970</v>
      </c>
      <c r="K14" s="1076" t="s">
        <v>12971</v>
      </c>
      <c r="L14" s="1076"/>
      <c r="M14" s="1076" t="s">
        <v>12972</v>
      </c>
      <c r="N14" s="1188"/>
      <c r="O14" s="1188" t="s">
        <v>12973</v>
      </c>
      <c r="P14" s="1188" t="s">
        <v>12974</v>
      </c>
      <c r="Q14" s="1192" t="b">
        <v>1</v>
      </c>
      <c r="R14" s="1192" t="b">
        <v>1</v>
      </c>
      <c r="S14" s="1192" t="b">
        <v>0</v>
      </c>
      <c r="T14" s="1192" t="b">
        <v>0</v>
      </c>
      <c r="U14" s="1193"/>
      <c r="V14" s="1194"/>
      <c r="W14" s="1194"/>
      <c r="X14" s="1194"/>
      <c r="Y14" s="1194"/>
    </row>
    <row r="15">
      <c r="A15" s="1079">
        <v>14.0</v>
      </c>
      <c r="B15" s="1079" t="s">
        <v>1</v>
      </c>
      <c r="C15" s="1079" t="s">
        <v>12226</v>
      </c>
      <c r="D15" s="1079" t="s">
        <v>12975</v>
      </c>
      <c r="E15" s="1196"/>
      <c r="F15" s="1200">
        <v>40803.0</v>
      </c>
      <c r="G15" s="1079" t="s">
        <v>12872</v>
      </c>
      <c r="H15" s="1079" t="s">
        <v>12049</v>
      </c>
      <c r="I15" s="1201" t="s">
        <v>12976</v>
      </c>
      <c r="J15" s="1079" t="s">
        <v>12977</v>
      </c>
      <c r="K15" s="1196"/>
      <c r="L15" s="1196"/>
      <c r="M15" s="1197"/>
      <c r="N15" s="1196"/>
      <c r="O15" s="1196">
        <f>79151490944</f>
        <v>79151490944</v>
      </c>
      <c r="P15" s="1079" t="s">
        <v>12978</v>
      </c>
      <c r="Q15" s="1195" t="b">
        <v>1</v>
      </c>
      <c r="R15" s="1195" t="b">
        <v>1</v>
      </c>
      <c r="S15" s="1195" t="b">
        <v>1</v>
      </c>
      <c r="T15" s="1195" t="b">
        <v>1</v>
      </c>
      <c r="U15" s="1193"/>
      <c r="V15" s="1194"/>
      <c r="W15" s="1194"/>
      <c r="X15" s="1194"/>
      <c r="Y15" s="1194"/>
    </row>
    <row r="16">
      <c r="A16" s="1079">
        <v>15.0</v>
      </c>
      <c r="B16" s="1079" t="s">
        <v>1</v>
      </c>
      <c r="C16" s="1076" t="s">
        <v>12230</v>
      </c>
      <c r="D16" s="1076" t="s">
        <v>12273</v>
      </c>
      <c r="E16" s="1188" t="s">
        <v>12256</v>
      </c>
      <c r="F16" s="1189">
        <v>40719.0</v>
      </c>
      <c r="G16" s="1188" t="s">
        <v>12872</v>
      </c>
      <c r="H16" s="1076" t="s">
        <v>12979</v>
      </c>
      <c r="I16" s="1076" t="s">
        <v>12980</v>
      </c>
      <c r="J16" s="1188" t="s">
        <v>12981</v>
      </c>
      <c r="K16" s="1076" t="s">
        <v>12982</v>
      </c>
      <c r="L16" s="1076"/>
      <c r="M16" s="1076" t="s">
        <v>12983</v>
      </c>
      <c r="N16" s="1188" t="s">
        <v>12984</v>
      </c>
      <c r="O16" s="1188" t="s">
        <v>12985</v>
      </c>
      <c r="P16" s="1188" t="s">
        <v>12986</v>
      </c>
      <c r="Q16" s="1195" t="b">
        <v>1</v>
      </c>
      <c r="R16" s="1195" t="b">
        <v>1</v>
      </c>
      <c r="S16" s="1195" t="b">
        <v>1</v>
      </c>
      <c r="T16" s="1192" t="b">
        <v>0</v>
      </c>
      <c r="U16" s="1193"/>
      <c r="V16" s="1194"/>
      <c r="W16" s="1194"/>
      <c r="X16" s="1194"/>
      <c r="Y16" s="1194"/>
    </row>
    <row r="17">
      <c r="A17" s="1079">
        <v>16.0</v>
      </c>
      <c r="B17" s="1079" t="s">
        <v>1</v>
      </c>
      <c r="C17" s="1076" t="s">
        <v>12232</v>
      </c>
      <c r="D17" s="1076" t="s">
        <v>12531</v>
      </c>
      <c r="E17" s="1188" t="s">
        <v>12987</v>
      </c>
      <c r="F17" s="1189" t="s">
        <v>12988</v>
      </c>
      <c r="G17" s="1188" t="s">
        <v>12872</v>
      </c>
      <c r="H17" s="1076" t="s">
        <v>12989</v>
      </c>
      <c r="I17" s="1190" t="s">
        <v>12990</v>
      </c>
      <c r="J17" s="1188" t="s">
        <v>12991</v>
      </c>
      <c r="K17" s="1076" t="s">
        <v>12992</v>
      </c>
      <c r="L17" s="1076"/>
      <c r="M17" s="1076" t="s">
        <v>12993</v>
      </c>
      <c r="N17" s="1188" t="s">
        <v>12909</v>
      </c>
      <c r="O17" s="1190" t="s">
        <v>12994</v>
      </c>
      <c r="P17" s="1198" t="s">
        <v>12995</v>
      </c>
      <c r="Q17" s="1192" t="b">
        <v>1</v>
      </c>
      <c r="R17" s="1192" t="b">
        <v>1</v>
      </c>
      <c r="S17" s="1192" t="b">
        <v>1</v>
      </c>
      <c r="T17" s="1195" t="b">
        <v>1</v>
      </c>
      <c r="U17" s="1193"/>
      <c r="V17" s="1194"/>
      <c r="W17" s="1194"/>
      <c r="X17" s="1194"/>
      <c r="Y17" s="1194"/>
    </row>
    <row r="18">
      <c r="A18" s="1079">
        <v>17.0</v>
      </c>
      <c r="B18" s="1079" t="s">
        <v>1</v>
      </c>
      <c r="C18" s="1080" t="s">
        <v>12209</v>
      </c>
      <c r="D18" s="1080" t="s">
        <v>12302</v>
      </c>
      <c r="E18" s="1188" t="s">
        <v>12281</v>
      </c>
      <c r="F18" s="1202">
        <v>41135.0</v>
      </c>
      <c r="G18" s="1188" t="s">
        <v>12872</v>
      </c>
      <c r="H18" s="1076" t="s">
        <v>12996</v>
      </c>
      <c r="I18" s="1190">
        <v>8.9263738309E10</v>
      </c>
      <c r="J18" s="1188" t="s">
        <v>12997</v>
      </c>
      <c r="K18" s="1076" t="s">
        <v>12998</v>
      </c>
      <c r="L18" s="1076"/>
      <c r="M18" s="1076">
        <v>8.9163061429E10</v>
      </c>
      <c r="N18" s="1188" t="s">
        <v>12999</v>
      </c>
      <c r="O18" s="1190"/>
      <c r="P18" s="1198"/>
      <c r="Q18" s="1195" t="b">
        <v>1</v>
      </c>
      <c r="R18" s="1195" t="b">
        <v>1</v>
      </c>
      <c r="S18" s="1195" t="b">
        <v>1</v>
      </c>
      <c r="T18" s="1195" t="b">
        <v>0</v>
      </c>
      <c r="U18" s="1193"/>
      <c r="V18" s="1194"/>
      <c r="W18" s="1194"/>
      <c r="X18" s="1194"/>
      <c r="Y18" s="1194"/>
    </row>
    <row r="19">
      <c r="A19" s="1079">
        <v>18.0</v>
      </c>
      <c r="B19" s="1079" t="s">
        <v>1</v>
      </c>
      <c r="C19" s="1076" t="s">
        <v>12235</v>
      </c>
      <c r="D19" s="1076" t="s">
        <v>13000</v>
      </c>
      <c r="E19" s="1188" t="s">
        <v>12268</v>
      </c>
      <c r="F19" s="1189" t="s">
        <v>13001</v>
      </c>
      <c r="G19" s="1188" t="s">
        <v>12872</v>
      </c>
      <c r="H19" s="1076" t="s">
        <v>13002</v>
      </c>
      <c r="I19" s="1190" t="s">
        <v>13003</v>
      </c>
      <c r="J19" s="1188" t="s">
        <v>13004</v>
      </c>
      <c r="K19" s="1076" t="s">
        <v>13005</v>
      </c>
      <c r="L19" s="1076"/>
      <c r="M19" s="1076" t="s">
        <v>13006</v>
      </c>
      <c r="N19" s="1188" t="s">
        <v>12909</v>
      </c>
      <c r="O19" s="1190" t="s">
        <v>13007</v>
      </c>
      <c r="P19" s="1188" t="s">
        <v>13004</v>
      </c>
      <c r="Q19" s="1195" t="b">
        <v>1</v>
      </c>
      <c r="R19" s="1195" t="b">
        <v>1</v>
      </c>
      <c r="S19" s="1195" t="b">
        <v>1</v>
      </c>
      <c r="T19" s="1195" t="b">
        <v>1</v>
      </c>
      <c r="U19" s="1193"/>
      <c r="V19" s="1194"/>
      <c r="W19" s="1194"/>
      <c r="X19" s="1194"/>
      <c r="Y19" s="1194"/>
    </row>
    <row r="20">
      <c r="A20" s="1079">
        <v>19.0</v>
      </c>
      <c r="B20" s="1079" t="s">
        <v>1</v>
      </c>
      <c r="C20" s="1076" t="s">
        <v>12237</v>
      </c>
      <c r="D20" s="1076" t="s">
        <v>13008</v>
      </c>
      <c r="E20" s="1188" t="s">
        <v>12291</v>
      </c>
      <c r="F20" s="1189">
        <v>41025.0</v>
      </c>
      <c r="G20" s="1188" t="s">
        <v>12861</v>
      </c>
      <c r="H20" s="1076" t="s">
        <v>13009</v>
      </c>
      <c r="I20" s="1203">
        <v>8.9653818292E10</v>
      </c>
      <c r="J20" s="1188" t="s">
        <v>13010</v>
      </c>
      <c r="K20" s="1076" t="s">
        <v>13011</v>
      </c>
      <c r="L20" s="1076"/>
      <c r="M20" s="1203">
        <v>8.9263453992E10</v>
      </c>
      <c r="N20" s="1188" t="s">
        <v>13012</v>
      </c>
      <c r="O20" s="1188" t="s">
        <v>13013</v>
      </c>
      <c r="P20" s="1198" t="s">
        <v>13010</v>
      </c>
      <c r="Q20" s="1192" t="b">
        <v>1</v>
      </c>
      <c r="R20" s="1192" t="b">
        <v>1</v>
      </c>
      <c r="S20" s="1192" t="b">
        <v>1</v>
      </c>
      <c r="T20" s="1192" t="b">
        <v>1</v>
      </c>
      <c r="U20" s="1193"/>
      <c r="V20" s="1194"/>
      <c r="W20" s="1194"/>
      <c r="X20" s="1194"/>
      <c r="Y20" s="1194"/>
    </row>
    <row r="21">
      <c r="A21" s="1079">
        <v>20.0</v>
      </c>
      <c r="B21" s="1079" t="s">
        <v>1</v>
      </c>
      <c r="C21" s="1076" t="s">
        <v>12238</v>
      </c>
      <c r="D21" s="1076" t="s">
        <v>12939</v>
      </c>
      <c r="E21" s="1188" t="s">
        <v>12281</v>
      </c>
      <c r="F21" s="1189" t="s">
        <v>13014</v>
      </c>
      <c r="G21" s="1188" t="s">
        <v>12861</v>
      </c>
      <c r="H21" s="1076" t="s">
        <v>13015</v>
      </c>
      <c r="I21" s="1190" t="s">
        <v>13016</v>
      </c>
      <c r="J21" s="1188" t="s">
        <v>13017</v>
      </c>
      <c r="K21" s="1076" t="s">
        <v>13018</v>
      </c>
      <c r="L21" s="1076"/>
      <c r="M21" s="1076" t="s">
        <v>13019</v>
      </c>
      <c r="N21" s="1188" t="s">
        <v>13020</v>
      </c>
      <c r="O21" s="1190" t="s">
        <v>13021</v>
      </c>
      <c r="P21" s="1198" t="s">
        <v>13022</v>
      </c>
      <c r="Q21" s="1192" t="b">
        <v>1</v>
      </c>
      <c r="R21" s="1192" t="b">
        <v>1</v>
      </c>
      <c r="S21" s="1192" t="b">
        <v>1</v>
      </c>
      <c r="T21" s="1192" t="b">
        <v>0</v>
      </c>
      <c r="U21" s="1193"/>
      <c r="V21" s="1194"/>
      <c r="W21" s="1194"/>
      <c r="X21" s="1194"/>
      <c r="Y21" s="1194"/>
    </row>
    <row r="22">
      <c r="A22" s="1079">
        <v>21.0</v>
      </c>
      <c r="B22" s="1079" t="s">
        <v>1</v>
      </c>
      <c r="C22" s="1076" t="s">
        <v>12239</v>
      </c>
      <c r="D22" s="1076" t="s">
        <v>12296</v>
      </c>
      <c r="E22" s="1188" t="s">
        <v>13023</v>
      </c>
      <c r="F22" s="1189" t="s">
        <v>13024</v>
      </c>
      <c r="G22" s="1188" t="s">
        <v>12872</v>
      </c>
      <c r="H22" s="1188" t="s">
        <v>13025</v>
      </c>
      <c r="I22" s="1190" t="s">
        <v>13026</v>
      </c>
      <c r="J22" s="1188" t="s">
        <v>13027</v>
      </c>
      <c r="K22" s="1188" t="s">
        <v>13028</v>
      </c>
      <c r="L22" s="1188"/>
      <c r="M22" s="1188" t="s">
        <v>13029</v>
      </c>
      <c r="N22" s="1188" t="s">
        <v>13030</v>
      </c>
      <c r="O22" s="1190" t="s">
        <v>13031</v>
      </c>
      <c r="P22" s="1188" t="s">
        <v>13032</v>
      </c>
      <c r="Q22" s="1192" t="b">
        <v>1</v>
      </c>
      <c r="R22" s="1192" t="b">
        <v>1</v>
      </c>
      <c r="S22" s="1192" t="b">
        <v>1</v>
      </c>
      <c r="T22" s="1192" t="b">
        <v>0</v>
      </c>
      <c r="U22" s="1193"/>
      <c r="V22" s="1194"/>
      <c r="W22" s="1204"/>
      <c r="X22" s="1194"/>
      <c r="Y22" s="1194"/>
    </row>
    <row r="23">
      <c r="A23" s="1079">
        <v>22.0</v>
      </c>
      <c r="B23" s="1079" t="s">
        <v>1</v>
      </c>
      <c r="C23" s="1076" t="s">
        <v>12240</v>
      </c>
      <c r="D23" s="1076" t="s">
        <v>12270</v>
      </c>
      <c r="E23" s="1188" t="s">
        <v>13033</v>
      </c>
      <c r="F23" s="1189">
        <v>40798.0</v>
      </c>
      <c r="G23" s="1188" t="s">
        <v>12872</v>
      </c>
      <c r="H23" s="1076" t="s">
        <v>13034</v>
      </c>
      <c r="I23" s="1076" t="s">
        <v>13035</v>
      </c>
      <c r="J23" s="1076" t="s">
        <v>13036</v>
      </c>
      <c r="K23" s="1188" t="s">
        <v>13037</v>
      </c>
      <c r="L23" s="1188"/>
      <c r="M23" s="1188" t="s">
        <v>13038</v>
      </c>
      <c r="N23" s="1188" t="s">
        <v>13039</v>
      </c>
      <c r="O23" s="1188" t="s">
        <v>13035</v>
      </c>
      <c r="P23" s="1188" t="s">
        <v>13040</v>
      </c>
      <c r="Q23" s="1192" t="b">
        <v>1</v>
      </c>
      <c r="R23" s="1192" t="b">
        <v>1</v>
      </c>
      <c r="S23" s="1195" t="b">
        <v>1</v>
      </c>
      <c r="T23" s="1192" t="b">
        <v>0</v>
      </c>
      <c r="U23" s="1192"/>
      <c r="V23" s="1194"/>
      <c r="W23" s="1205" t="s">
        <v>221</v>
      </c>
      <c r="X23" s="1194"/>
      <c r="Y23" s="1194"/>
    </row>
    <row r="24">
      <c r="A24" s="1079">
        <v>23.0</v>
      </c>
      <c r="B24" s="1079" t="s">
        <v>1</v>
      </c>
      <c r="C24" s="1076" t="s">
        <v>12241</v>
      </c>
      <c r="D24" s="1076" t="s">
        <v>12267</v>
      </c>
      <c r="E24" s="1188" t="s">
        <v>12281</v>
      </c>
      <c r="F24" s="1189">
        <v>40821.0</v>
      </c>
      <c r="G24" s="1188" t="s">
        <v>12861</v>
      </c>
      <c r="H24" s="1076" t="s">
        <v>13041</v>
      </c>
      <c r="I24" s="1203">
        <v>8.9035784755E10</v>
      </c>
      <c r="J24" s="1188" t="s">
        <v>13042</v>
      </c>
      <c r="K24" s="1076" t="s">
        <v>13043</v>
      </c>
      <c r="L24" s="1076"/>
      <c r="M24" s="1203">
        <v>8.9778873967E10</v>
      </c>
      <c r="N24" s="1188" t="s">
        <v>13044</v>
      </c>
      <c r="O24" s="1203">
        <v>8.9998940063E10</v>
      </c>
      <c r="P24" s="1188" t="s">
        <v>13045</v>
      </c>
      <c r="Q24" s="1192" t="b">
        <v>1</v>
      </c>
      <c r="R24" s="1192" t="b">
        <v>1</v>
      </c>
      <c r="S24" s="1192" t="b">
        <v>1</v>
      </c>
      <c r="T24" s="1192" t="b">
        <v>0</v>
      </c>
      <c r="U24" s="1193"/>
      <c r="V24" s="1194"/>
      <c r="W24" s="1194"/>
      <c r="X24" s="1194"/>
      <c r="Y24" s="1194"/>
    </row>
    <row r="25">
      <c r="A25" s="1079">
        <v>24.0</v>
      </c>
      <c r="B25" s="1079" t="s">
        <v>1</v>
      </c>
      <c r="C25" s="1076" t="s">
        <v>12242</v>
      </c>
      <c r="D25" s="1076" t="s">
        <v>13046</v>
      </c>
      <c r="E25" s="1188" t="s">
        <v>12391</v>
      </c>
      <c r="F25" s="1189" t="s">
        <v>13047</v>
      </c>
      <c r="G25" s="1188" t="s">
        <v>12872</v>
      </c>
      <c r="H25" s="1076" t="s">
        <v>13048</v>
      </c>
      <c r="I25" s="1190" t="s">
        <v>13049</v>
      </c>
      <c r="J25" s="1188" t="s">
        <v>13050</v>
      </c>
      <c r="K25" s="1188" t="s">
        <v>13051</v>
      </c>
      <c r="L25" s="1188"/>
      <c r="M25" s="1188" t="s">
        <v>13032</v>
      </c>
      <c r="N25" s="1188" t="s">
        <v>13032</v>
      </c>
      <c r="O25" s="1190" t="s">
        <v>13052</v>
      </c>
      <c r="P25" s="1188" t="s">
        <v>13050</v>
      </c>
      <c r="Q25" s="1192" t="b">
        <v>1</v>
      </c>
      <c r="R25" s="1192" t="b">
        <v>1</v>
      </c>
      <c r="S25" s="1192" t="b">
        <v>1</v>
      </c>
      <c r="T25" s="1192" t="b">
        <v>0</v>
      </c>
      <c r="U25" s="1193"/>
      <c r="V25" s="1194"/>
      <c r="W25" s="1194"/>
      <c r="X25" s="1194"/>
      <c r="Y25" s="1194"/>
    </row>
    <row r="26">
      <c r="A26" s="1079">
        <v>25.0</v>
      </c>
      <c r="B26" s="1079" t="s">
        <v>1</v>
      </c>
      <c r="C26" s="1076" t="s">
        <v>12243</v>
      </c>
      <c r="D26" s="1076" t="s">
        <v>13053</v>
      </c>
      <c r="E26" s="1188" t="s">
        <v>13054</v>
      </c>
      <c r="F26" s="1189">
        <v>41093.0</v>
      </c>
      <c r="G26" s="1188" t="s">
        <v>12872</v>
      </c>
      <c r="H26" s="1076" t="s">
        <v>13055</v>
      </c>
      <c r="I26" s="1203">
        <v>8.929590189E10</v>
      </c>
      <c r="J26" s="1188" t="s">
        <v>13056</v>
      </c>
      <c r="K26" s="1076" t="s">
        <v>13057</v>
      </c>
      <c r="L26" s="1076"/>
      <c r="M26" s="1203">
        <v>8.9162833983E10</v>
      </c>
      <c r="N26" s="1188"/>
      <c r="O26" s="1203">
        <v>9.254049506E9</v>
      </c>
      <c r="P26" s="1188" t="s">
        <v>13056</v>
      </c>
      <c r="Q26" s="1192" t="b">
        <v>1</v>
      </c>
      <c r="R26" s="1192" t="b">
        <v>1</v>
      </c>
      <c r="S26" s="1192" t="b">
        <v>1</v>
      </c>
      <c r="T26" s="1192" t="b">
        <v>1</v>
      </c>
      <c r="U26" s="1193"/>
      <c r="V26" s="1194"/>
      <c r="W26" s="1194"/>
      <c r="X26" s="1194"/>
      <c r="Y26" s="1194"/>
    </row>
    <row r="27">
      <c r="A27" s="1079">
        <v>26.0</v>
      </c>
      <c r="B27" s="1079" t="s">
        <v>1</v>
      </c>
      <c r="C27" s="1076" t="s">
        <v>12244</v>
      </c>
      <c r="D27" s="1076" t="s">
        <v>13058</v>
      </c>
      <c r="E27" s="1188" t="s">
        <v>12283</v>
      </c>
      <c r="F27" s="1189" t="s">
        <v>13059</v>
      </c>
      <c r="G27" s="1188" t="s">
        <v>12872</v>
      </c>
      <c r="H27" s="1076" t="s">
        <v>13060</v>
      </c>
      <c r="I27" s="1190" t="s">
        <v>13061</v>
      </c>
      <c r="J27" s="1188" t="s">
        <v>13062</v>
      </c>
      <c r="K27" s="1076" t="s">
        <v>13063</v>
      </c>
      <c r="L27" s="1076"/>
      <c r="M27" s="1076" t="s">
        <v>13064</v>
      </c>
      <c r="N27" s="1188" t="s">
        <v>12909</v>
      </c>
      <c r="O27" s="1190" t="s">
        <v>13065</v>
      </c>
      <c r="P27" s="1188" t="s">
        <v>13066</v>
      </c>
      <c r="Q27" s="1192" t="b">
        <v>1</v>
      </c>
      <c r="R27" s="1192" t="b">
        <v>1</v>
      </c>
      <c r="S27" s="1192" t="b">
        <v>1</v>
      </c>
      <c r="T27" s="1192" t="b">
        <v>0</v>
      </c>
      <c r="U27" s="1193"/>
      <c r="V27" s="1194"/>
      <c r="W27" s="1194"/>
      <c r="X27" s="1194"/>
      <c r="Y27" s="1194"/>
    </row>
    <row r="28">
      <c r="A28" s="1079">
        <v>27.0</v>
      </c>
      <c r="B28" s="1079" t="s">
        <v>1</v>
      </c>
      <c r="C28" s="1076" t="s">
        <v>12245</v>
      </c>
      <c r="D28" s="1076" t="s">
        <v>13067</v>
      </c>
      <c r="E28" s="1188" t="s">
        <v>12401</v>
      </c>
      <c r="F28" s="1189" t="s">
        <v>13068</v>
      </c>
      <c r="G28" s="1188" t="s">
        <v>12861</v>
      </c>
      <c r="H28" s="1188" t="s">
        <v>13069</v>
      </c>
      <c r="I28" s="1190" t="s">
        <v>13070</v>
      </c>
      <c r="J28" s="1188" t="s">
        <v>13071</v>
      </c>
      <c r="K28" s="1188" t="s">
        <v>13072</v>
      </c>
      <c r="L28" s="1188"/>
      <c r="M28" s="1188" t="s">
        <v>13073</v>
      </c>
      <c r="N28" s="1188" t="s">
        <v>13074</v>
      </c>
      <c r="O28" s="1190" t="s">
        <v>13075</v>
      </c>
      <c r="P28" s="1188" t="s">
        <v>13076</v>
      </c>
      <c r="Q28" s="1192" t="b">
        <v>1</v>
      </c>
      <c r="R28" s="1195" t="b">
        <v>1</v>
      </c>
      <c r="S28" s="1192" t="b">
        <v>1</v>
      </c>
      <c r="T28" s="1192" t="b">
        <v>1</v>
      </c>
      <c r="U28" s="1193"/>
      <c r="V28" s="1194"/>
      <c r="W28" s="1194"/>
      <c r="X28" s="1194"/>
      <c r="Y28" s="1194"/>
    </row>
    <row r="29">
      <c r="A29" s="1079">
        <v>28.0</v>
      </c>
      <c r="B29" s="1079" t="s">
        <v>1</v>
      </c>
      <c r="C29" s="1076" t="s">
        <v>12246</v>
      </c>
      <c r="D29" s="1076" t="s">
        <v>13046</v>
      </c>
      <c r="E29" s="1188" t="s">
        <v>12987</v>
      </c>
      <c r="F29" s="1189" t="s">
        <v>13077</v>
      </c>
      <c r="G29" s="1188" t="s">
        <v>12861</v>
      </c>
      <c r="H29" s="1076" t="s">
        <v>13078</v>
      </c>
      <c r="I29" s="1190" t="s">
        <v>13079</v>
      </c>
      <c r="J29" s="1188" t="s">
        <v>13080</v>
      </c>
      <c r="K29" s="1076" t="s">
        <v>13081</v>
      </c>
      <c r="L29" s="1076"/>
      <c r="M29" s="1076" t="s">
        <v>13082</v>
      </c>
      <c r="N29" s="1188" t="s">
        <v>13083</v>
      </c>
      <c r="O29" s="1190" t="s">
        <v>13084</v>
      </c>
      <c r="P29" s="1188" t="s">
        <v>13085</v>
      </c>
      <c r="Q29" s="1192" t="b">
        <v>1</v>
      </c>
      <c r="R29" s="1192" t="b">
        <v>1</v>
      </c>
      <c r="S29" s="1192" t="b">
        <v>1</v>
      </c>
      <c r="T29" s="1192" t="b">
        <v>0</v>
      </c>
      <c r="U29" s="1193"/>
      <c r="V29" s="1194"/>
      <c r="W29" s="1194"/>
      <c r="X29" s="1194"/>
      <c r="Y29" s="1194"/>
    </row>
    <row r="30">
      <c r="A30" s="1079">
        <v>29.0</v>
      </c>
      <c r="B30" s="1079" t="s">
        <v>1</v>
      </c>
      <c r="C30" s="1076" t="s">
        <v>12247</v>
      </c>
      <c r="D30" s="1080" t="s">
        <v>12290</v>
      </c>
      <c r="E30" s="1188" t="s">
        <v>13086</v>
      </c>
      <c r="F30" s="1189">
        <v>40818.0</v>
      </c>
      <c r="G30" s="1188" t="s">
        <v>12872</v>
      </c>
      <c r="H30" s="1076" t="s">
        <v>13087</v>
      </c>
      <c r="I30" s="1203">
        <v>8.9261961876E10</v>
      </c>
      <c r="J30" s="1188" t="s">
        <v>13088</v>
      </c>
      <c r="K30" s="1076" t="s">
        <v>13089</v>
      </c>
      <c r="L30" s="1076"/>
      <c r="M30" s="1203">
        <v>8.8265835596E10</v>
      </c>
      <c r="N30" s="1188"/>
      <c r="O30" s="1203">
        <v>8.9775346624E10</v>
      </c>
      <c r="P30" s="1188" t="s">
        <v>13090</v>
      </c>
      <c r="Q30" s="1195" t="b">
        <v>1</v>
      </c>
      <c r="R30" s="1195" t="b">
        <v>1</v>
      </c>
      <c r="S30" s="1195" t="b">
        <v>1</v>
      </c>
      <c r="T30" s="1192" t="b">
        <v>0</v>
      </c>
      <c r="U30" s="1193"/>
      <c r="V30" s="1194"/>
      <c r="W30" s="1194"/>
      <c r="X30" s="1194"/>
      <c r="Y30" s="1194"/>
    </row>
    <row r="31">
      <c r="A31" s="1079">
        <v>30.0</v>
      </c>
      <c r="B31" s="1079" t="s">
        <v>1</v>
      </c>
      <c r="C31" s="1076" t="s">
        <v>12248</v>
      </c>
      <c r="D31" s="1076" t="s">
        <v>12579</v>
      </c>
      <c r="E31" s="1188" t="s">
        <v>13091</v>
      </c>
      <c r="F31" s="1189">
        <v>40718.0</v>
      </c>
      <c r="G31" s="1188" t="s">
        <v>12872</v>
      </c>
      <c r="H31" s="1076" t="s">
        <v>13092</v>
      </c>
      <c r="I31" s="1076" t="s">
        <v>13093</v>
      </c>
      <c r="J31" s="1188" t="s">
        <v>13094</v>
      </c>
      <c r="K31" s="1076" t="s">
        <v>13095</v>
      </c>
      <c r="L31" s="1076"/>
      <c r="M31" s="1203">
        <v>8.9032750843E10</v>
      </c>
      <c r="N31" s="1188" t="s">
        <v>13094</v>
      </c>
      <c r="O31" s="1076" t="s">
        <v>13096</v>
      </c>
      <c r="P31" s="1198" t="s">
        <v>13097</v>
      </c>
      <c r="Q31" s="1192" t="b">
        <v>1</v>
      </c>
      <c r="R31" s="1192" t="b">
        <v>1</v>
      </c>
      <c r="S31" s="1195" t="b">
        <v>1</v>
      </c>
      <c r="T31" s="1192" t="b">
        <v>0</v>
      </c>
      <c r="U31" s="1193"/>
      <c r="V31" s="1194"/>
      <c r="W31" s="1194"/>
      <c r="X31" s="1194"/>
      <c r="Y31" s="1194"/>
    </row>
    <row r="32">
      <c r="A32" s="1206">
        <v>1.0</v>
      </c>
      <c r="B32" s="1206" t="s">
        <v>12249</v>
      </c>
      <c r="C32" s="1206" t="s">
        <v>12250</v>
      </c>
      <c r="D32" s="1206" t="s">
        <v>12251</v>
      </c>
      <c r="E32" s="1206" t="s">
        <v>12252</v>
      </c>
      <c r="F32" s="1207">
        <v>40336.0</v>
      </c>
      <c r="G32" s="1206" t="s">
        <v>12872</v>
      </c>
      <c r="H32" s="1206" t="s">
        <v>13098</v>
      </c>
      <c r="I32" s="1208">
        <v>8.9096827836E10</v>
      </c>
      <c r="J32" s="1206" t="s">
        <v>13099</v>
      </c>
      <c r="K32" s="1206" t="s">
        <v>13100</v>
      </c>
      <c r="L32" s="1206"/>
      <c r="M32" s="1208">
        <v>8.9055871151E10</v>
      </c>
      <c r="N32" s="1206" t="s">
        <v>13101</v>
      </c>
      <c r="O32" s="1206">
        <v>8.9636640517E10</v>
      </c>
      <c r="P32" s="1206" t="s">
        <v>13102</v>
      </c>
      <c r="Q32" s="1209" t="b">
        <v>1</v>
      </c>
      <c r="R32" s="1210" t="b">
        <v>1</v>
      </c>
      <c r="S32" s="1210" t="b">
        <v>1</v>
      </c>
      <c r="T32" s="1210" t="b">
        <v>1</v>
      </c>
      <c r="U32" s="1210"/>
      <c r="V32" s="1211"/>
      <c r="W32" s="1211"/>
      <c r="X32" s="1211"/>
      <c r="Y32" s="1211"/>
    </row>
    <row r="33">
      <c r="A33" s="1206">
        <v>2.0</v>
      </c>
      <c r="B33" s="1206" t="s">
        <v>12253</v>
      </c>
      <c r="C33" s="1206" t="s">
        <v>12254</v>
      </c>
      <c r="D33" s="1206" t="s">
        <v>12255</v>
      </c>
      <c r="E33" s="1206" t="s">
        <v>12256</v>
      </c>
      <c r="F33" s="1207">
        <v>40280.0</v>
      </c>
      <c r="G33" s="1206" t="s">
        <v>12872</v>
      </c>
      <c r="H33" s="1206" t="s">
        <v>13103</v>
      </c>
      <c r="I33" s="1208">
        <v>8.9165075816E10</v>
      </c>
      <c r="J33" s="1206" t="s">
        <v>13104</v>
      </c>
      <c r="K33" s="1206" t="s">
        <v>13105</v>
      </c>
      <c r="L33" s="1206"/>
      <c r="M33" s="1208" t="s">
        <v>13105</v>
      </c>
      <c r="N33" s="1206" t="s">
        <v>13105</v>
      </c>
      <c r="O33" s="1206">
        <v>8.9850266246E10</v>
      </c>
      <c r="P33" s="1206" t="s">
        <v>13106</v>
      </c>
      <c r="Q33" s="1209" t="b">
        <v>1</v>
      </c>
      <c r="R33" s="1210" t="b">
        <v>1</v>
      </c>
      <c r="S33" s="1210" t="b">
        <v>1</v>
      </c>
      <c r="T33" s="1210" t="b">
        <v>1</v>
      </c>
      <c r="U33" s="1210"/>
      <c r="V33" s="1211"/>
      <c r="W33" s="1211"/>
      <c r="X33" s="1211"/>
      <c r="Y33" s="1211"/>
    </row>
    <row r="34">
      <c r="A34" s="1206">
        <v>3.0</v>
      </c>
      <c r="B34" s="1206" t="s">
        <v>12249</v>
      </c>
      <c r="C34" s="1206" t="s">
        <v>12257</v>
      </c>
      <c r="D34" s="1206" t="s">
        <v>12258</v>
      </c>
      <c r="E34" s="1206" t="s">
        <v>12259</v>
      </c>
      <c r="F34" s="1212">
        <v>40462.0</v>
      </c>
      <c r="G34" s="1206" t="s">
        <v>12872</v>
      </c>
      <c r="H34" s="1206" t="s">
        <v>13107</v>
      </c>
      <c r="I34" s="1208">
        <v>8.9263980981E10</v>
      </c>
      <c r="J34" s="1206" t="s">
        <v>13108</v>
      </c>
      <c r="K34" s="1206" t="s">
        <v>13109</v>
      </c>
      <c r="L34" s="1206"/>
      <c r="M34" s="1208">
        <v>8.9263699602E10</v>
      </c>
      <c r="N34" s="1206" t="s">
        <v>13110</v>
      </c>
      <c r="O34" s="1206">
        <v>8.9266350842E10</v>
      </c>
      <c r="P34" s="1206" t="s">
        <v>13111</v>
      </c>
      <c r="Q34" s="1209" t="b">
        <v>1</v>
      </c>
      <c r="R34" s="1210" t="b">
        <v>1</v>
      </c>
      <c r="S34" s="1210" t="b">
        <v>0</v>
      </c>
      <c r="T34" s="1210" t="b">
        <v>1</v>
      </c>
      <c r="U34" s="1210"/>
      <c r="V34" s="1211"/>
      <c r="W34" s="1211"/>
      <c r="X34" s="1211"/>
      <c r="Y34" s="1211"/>
    </row>
    <row r="35">
      <c r="A35" s="1206">
        <v>4.0</v>
      </c>
      <c r="B35" s="1206" t="s">
        <v>12253</v>
      </c>
      <c r="C35" s="1206" t="s">
        <v>12260</v>
      </c>
      <c r="D35" s="1206" t="s">
        <v>12261</v>
      </c>
      <c r="E35" s="1206" t="s">
        <v>12262</v>
      </c>
      <c r="F35" s="1207">
        <v>40383.0</v>
      </c>
      <c r="G35" s="1206" t="s">
        <v>12872</v>
      </c>
      <c r="H35" s="1206" t="s">
        <v>13112</v>
      </c>
      <c r="I35" s="1208">
        <v>8.9031649116E10</v>
      </c>
      <c r="J35" s="1206" t="s">
        <v>13113</v>
      </c>
      <c r="K35" s="1206" t="s">
        <v>13114</v>
      </c>
      <c r="L35" s="1206"/>
      <c r="M35" s="1208">
        <v>8.9032015497E10</v>
      </c>
      <c r="N35" s="1206" t="s">
        <v>13115</v>
      </c>
      <c r="O35" s="1206">
        <v>8.9035973144E10</v>
      </c>
      <c r="P35" s="1206" t="s">
        <v>13116</v>
      </c>
      <c r="Q35" s="1209" t="b">
        <v>1</v>
      </c>
      <c r="R35" s="1210" t="b">
        <v>1</v>
      </c>
      <c r="S35" s="1210" t="b">
        <v>0</v>
      </c>
      <c r="T35" s="1210" t="b">
        <v>1</v>
      </c>
      <c r="U35" s="1210"/>
      <c r="V35" s="1211"/>
      <c r="W35" s="1211"/>
      <c r="X35" s="1211"/>
      <c r="Y35" s="1211"/>
    </row>
    <row r="36">
      <c r="A36" s="1206">
        <v>5.0</v>
      </c>
      <c r="B36" s="1206" t="s">
        <v>12249</v>
      </c>
      <c r="C36" s="1206" t="s">
        <v>12263</v>
      </c>
      <c r="D36" s="1206" t="s">
        <v>12264</v>
      </c>
      <c r="E36" s="1206" t="s">
        <v>12265</v>
      </c>
      <c r="F36" s="1207">
        <v>40400.0</v>
      </c>
      <c r="G36" s="1206" t="s">
        <v>12872</v>
      </c>
      <c r="H36" s="1206" t="s">
        <v>13117</v>
      </c>
      <c r="I36" s="1208">
        <v>8.9161507943E10</v>
      </c>
      <c r="J36" s="1206" t="s">
        <v>13118</v>
      </c>
      <c r="K36" s="1206" t="s">
        <v>13119</v>
      </c>
      <c r="L36" s="1206"/>
      <c r="M36" s="1208">
        <v>8.9857619844E10</v>
      </c>
      <c r="N36" s="1206" t="s">
        <v>13120</v>
      </c>
      <c r="O36" s="1206">
        <v>8.9852790127E10</v>
      </c>
      <c r="P36" s="1206" t="s">
        <v>13118</v>
      </c>
      <c r="Q36" s="1209" t="b">
        <v>1</v>
      </c>
      <c r="R36" s="1210" t="b">
        <v>1</v>
      </c>
      <c r="S36" s="1211" t="b">
        <v>0</v>
      </c>
      <c r="T36" s="1210" t="b">
        <v>1</v>
      </c>
      <c r="U36" s="1210"/>
      <c r="V36" s="1211"/>
      <c r="W36" s="1211"/>
      <c r="X36" s="1211"/>
      <c r="Y36" s="1211"/>
    </row>
    <row r="37">
      <c r="A37" s="1206">
        <v>6.0</v>
      </c>
      <c r="B37" s="1206" t="s">
        <v>12249</v>
      </c>
      <c r="C37" s="1206" t="s">
        <v>13121</v>
      </c>
      <c r="D37" s="1206" t="s">
        <v>12302</v>
      </c>
      <c r="E37" s="1206" t="s">
        <v>13122</v>
      </c>
      <c r="F37" s="1207">
        <v>40352.0</v>
      </c>
      <c r="G37" s="1206" t="s">
        <v>12872</v>
      </c>
      <c r="H37" s="1206" t="s">
        <v>13123</v>
      </c>
      <c r="I37" s="1208">
        <v>8.9778459965E10</v>
      </c>
      <c r="J37" s="1206" t="s">
        <v>13124</v>
      </c>
      <c r="K37" s="1206" t="s">
        <v>13125</v>
      </c>
      <c r="L37" s="1206"/>
      <c r="M37" s="1208">
        <v>8.9257446719E10</v>
      </c>
      <c r="N37" s="1206" t="s">
        <v>13124</v>
      </c>
      <c r="O37" s="1213">
        <f>+79999193788</f>
        <v>79999193788</v>
      </c>
      <c r="P37" s="1206" t="s">
        <v>13126</v>
      </c>
      <c r="Q37" s="1209" t="b">
        <v>1</v>
      </c>
      <c r="R37" s="1210" t="b">
        <v>1</v>
      </c>
      <c r="S37" s="1210" t="b">
        <v>1</v>
      </c>
      <c r="T37" s="1210" t="b">
        <v>1</v>
      </c>
      <c r="U37" s="1210"/>
      <c r="V37" s="1211"/>
      <c r="W37" s="1211"/>
      <c r="X37" s="1211"/>
      <c r="Y37" s="1211"/>
    </row>
    <row r="38">
      <c r="A38" s="1206">
        <v>7.0</v>
      </c>
      <c r="B38" s="1206" t="s">
        <v>12249</v>
      </c>
      <c r="C38" s="1206" t="s">
        <v>12266</v>
      </c>
      <c r="D38" s="1206" t="s">
        <v>12267</v>
      </c>
      <c r="E38" s="1206" t="s">
        <v>12268</v>
      </c>
      <c r="F38" s="1207">
        <v>40248.0</v>
      </c>
      <c r="G38" s="1206" t="s">
        <v>12872</v>
      </c>
      <c r="H38" s="1206" t="s">
        <v>13127</v>
      </c>
      <c r="I38" s="1208">
        <v>8.9153045257E10</v>
      </c>
      <c r="J38" s="1206" t="s">
        <v>13128</v>
      </c>
      <c r="K38" s="1206" t="s">
        <v>13129</v>
      </c>
      <c r="L38" s="1206"/>
      <c r="M38" s="1208">
        <v>8.9153045259E10</v>
      </c>
      <c r="N38" s="1206" t="s">
        <v>13130</v>
      </c>
      <c r="O38" s="1213" t="str">
        <f>+79956585259 (для звонков и смс), для вотсап(пользуется только дома) +7 916 181 19 69</f>
        <v>#ERROR!</v>
      </c>
      <c r="P38" s="1206" t="s">
        <v>13131</v>
      </c>
      <c r="Q38" s="1209" t="b">
        <v>1</v>
      </c>
      <c r="R38" s="1210" t="b">
        <v>1</v>
      </c>
      <c r="S38" s="1210" t="b">
        <v>1</v>
      </c>
      <c r="T38" s="1211" t="b">
        <v>0</v>
      </c>
      <c r="U38" s="1210"/>
      <c r="V38" s="1211"/>
      <c r="W38" s="1211"/>
      <c r="X38" s="1211"/>
      <c r="Y38" s="1211"/>
    </row>
    <row r="39">
      <c r="A39" s="1206">
        <v>8.0</v>
      </c>
      <c r="B39" s="1206" t="s">
        <v>12253</v>
      </c>
      <c r="C39" s="1206" t="s">
        <v>13132</v>
      </c>
      <c r="D39" s="1206" t="s">
        <v>13133</v>
      </c>
      <c r="E39" s="1206" t="s">
        <v>13134</v>
      </c>
      <c r="F39" s="1207">
        <v>40554.0</v>
      </c>
      <c r="G39" s="1206" t="s">
        <v>13135</v>
      </c>
      <c r="H39" s="1206" t="s">
        <v>13136</v>
      </c>
      <c r="I39" s="1208">
        <v>8.9588316511E10</v>
      </c>
      <c r="J39" s="1206" t="s">
        <v>13137</v>
      </c>
      <c r="K39" s="1206" t="s">
        <v>13138</v>
      </c>
      <c r="L39" s="1206"/>
      <c r="M39" s="1208">
        <v>8.9154863121E10</v>
      </c>
      <c r="N39" s="1206" t="s">
        <v>13137</v>
      </c>
      <c r="O39" s="1206">
        <v>8.9913006676E10</v>
      </c>
      <c r="P39" s="1206" t="s">
        <v>13137</v>
      </c>
      <c r="Q39" s="1209" t="b">
        <v>1</v>
      </c>
      <c r="R39" s="1210" t="b">
        <v>1</v>
      </c>
      <c r="S39" s="1210" t="b">
        <v>1</v>
      </c>
      <c r="T39" s="1210" t="b">
        <v>1</v>
      </c>
      <c r="U39" s="1210"/>
      <c r="V39" s="1211"/>
      <c r="W39" s="1211"/>
      <c r="X39" s="1211"/>
      <c r="Y39" s="1211"/>
    </row>
    <row r="40">
      <c r="A40" s="1206">
        <v>9.0</v>
      </c>
      <c r="B40" s="1206" t="s">
        <v>12249</v>
      </c>
      <c r="C40" s="1206" t="s">
        <v>12269</v>
      </c>
      <c r="D40" s="1206" t="s">
        <v>12270</v>
      </c>
      <c r="E40" s="1206" t="s">
        <v>12271</v>
      </c>
      <c r="F40" s="1207">
        <v>40345.0</v>
      </c>
      <c r="G40" s="1206" t="s">
        <v>13139</v>
      </c>
      <c r="H40" s="1206" t="s">
        <v>13140</v>
      </c>
      <c r="I40" s="1208">
        <v>8.7903238295E10</v>
      </c>
      <c r="J40" s="1206" t="s">
        <v>13141</v>
      </c>
      <c r="K40" s="1206" t="s">
        <v>13142</v>
      </c>
      <c r="L40" s="1206"/>
      <c r="M40" s="1208">
        <v>8.9067777553E10</v>
      </c>
      <c r="N40" s="1206" t="s">
        <v>13143</v>
      </c>
      <c r="O40" s="1206">
        <v>8.796922813E10</v>
      </c>
      <c r="P40" s="1206" t="s">
        <v>13144</v>
      </c>
      <c r="Q40" s="1209" t="b">
        <v>1</v>
      </c>
      <c r="R40" s="1210" t="b">
        <v>1</v>
      </c>
      <c r="S40" s="1211" t="b">
        <v>0</v>
      </c>
      <c r="T40" s="1210" t="b">
        <v>1</v>
      </c>
      <c r="U40" s="1210"/>
      <c r="V40" s="1211"/>
      <c r="W40" s="1211"/>
      <c r="X40" s="1211"/>
      <c r="Y40" s="1211"/>
    </row>
    <row r="41">
      <c r="A41" s="1206">
        <v>10.0</v>
      </c>
      <c r="B41" s="1206" t="s">
        <v>12253</v>
      </c>
      <c r="C41" s="1206" t="s">
        <v>13145</v>
      </c>
      <c r="D41" s="1206" t="s">
        <v>12273</v>
      </c>
      <c r="E41" s="1206" t="s">
        <v>12274</v>
      </c>
      <c r="F41" s="1207">
        <v>40613.0</v>
      </c>
      <c r="G41" s="1206" t="s">
        <v>12872</v>
      </c>
      <c r="H41" s="1206" t="s">
        <v>13146</v>
      </c>
      <c r="I41" s="1208">
        <v>8.9261121047E10</v>
      </c>
      <c r="J41" s="1206" t="s">
        <v>13147</v>
      </c>
      <c r="K41" s="1206" t="s">
        <v>13148</v>
      </c>
      <c r="L41" s="1206"/>
      <c r="M41" s="1208">
        <v>8.9262073847E10</v>
      </c>
      <c r="N41" s="1206" t="s">
        <v>13149</v>
      </c>
      <c r="O41" s="1206">
        <v>8.9778510127E10</v>
      </c>
      <c r="P41" s="1206" t="s">
        <v>13150</v>
      </c>
      <c r="Q41" s="1209" t="b">
        <v>1</v>
      </c>
      <c r="R41" s="1210" t="b">
        <v>1</v>
      </c>
      <c r="S41" s="1210" t="b">
        <v>1</v>
      </c>
      <c r="T41" s="1211" t="b">
        <v>0</v>
      </c>
      <c r="U41" s="1210"/>
      <c r="V41" s="1211"/>
      <c r="W41" s="1211"/>
      <c r="X41" s="1211"/>
      <c r="Y41" s="1211"/>
    </row>
    <row r="42">
      <c r="A42" s="1206">
        <v>11.0</v>
      </c>
      <c r="B42" s="1206" t="s">
        <v>12253</v>
      </c>
      <c r="C42" s="1206" t="s">
        <v>12275</v>
      </c>
      <c r="D42" s="1206" t="s">
        <v>12276</v>
      </c>
      <c r="E42" s="1206" t="s">
        <v>12277</v>
      </c>
      <c r="F42" s="1207">
        <v>40693.0</v>
      </c>
      <c r="G42" s="1206" t="s">
        <v>12861</v>
      </c>
      <c r="H42" s="1206" t="s">
        <v>13151</v>
      </c>
      <c r="I42" s="1208">
        <v>8.9165645921E10</v>
      </c>
      <c r="J42" s="1206" t="s">
        <v>13152</v>
      </c>
      <c r="K42" s="1206" t="s">
        <v>13153</v>
      </c>
      <c r="L42" s="1206"/>
      <c r="M42" s="1208">
        <v>8.9857613148E10</v>
      </c>
      <c r="N42" s="1206" t="s">
        <v>13154</v>
      </c>
      <c r="O42" s="1206">
        <v>8.9154194094E10</v>
      </c>
      <c r="P42" s="1206" t="s">
        <v>13155</v>
      </c>
      <c r="Q42" s="1209" t="b">
        <v>1</v>
      </c>
      <c r="R42" s="1210" t="b">
        <v>1</v>
      </c>
      <c r="S42" s="1210" t="b">
        <v>1</v>
      </c>
      <c r="T42" s="1211" t="b">
        <v>0</v>
      </c>
      <c r="U42" s="1210"/>
      <c r="V42" s="1211"/>
      <c r="W42" s="1211"/>
      <c r="X42" s="1211"/>
      <c r="Y42" s="1211"/>
    </row>
    <row r="43">
      <c r="A43" s="1206">
        <v>12.0</v>
      </c>
      <c r="B43" s="1206" t="s">
        <v>12253</v>
      </c>
      <c r="C43" s="1206" t="s">
        <v>12278</v>
      </c>
      <c r="D43" s="1206" t="s">
        <v>12276</v>
      </c>
      <c r="E43" s="1206" t="s">
        <v>12271</v>
      </c>
      <c r="F43" s="1207">
        <v>40347.0</v>
      </c>
      <c r="G43" s="1206" t="s">
        <v>12872</v>
      </c>
      <c r="H43" s="1206" t="s">
        <v>13156</v>
      </c>
      <c r="I43" s="1208">
        <v>8.9039612759E10</v>
      </c>
      <c r="J43" s="1206" t="s">
        <v>13157</v>
      </c>
      <c r="K43" s="1206" t="s">
        <v>13158</v>
      </c>
      <c r="L43" s="1206"/>
      <c r="M43" s="1208">
        <v>8.9175902977E10</v>
      </c>
      <c r="N43" s="1206" t="s">
        <v>13159</v>
      </c>
      <c r="O43" s="1206">
        <v>8.9057807557E10</v>
      </c>
      <c r="P43" s="1206" t="s">
        <v>13160</v>
      </c>
      <c r="Q43" s="1209" t="b">
        <v>1</v>
      </c>
      <c r="R43" s="1210" t="b">
        <v>1</v>
      </c>
      <c r="S43" s="1210" t="b">
        <v>1</v>
      </c>
      <c r="T43" s="1210" t="b">
        <v>1</v>
      </c>
      <c r="U43" s="1210"/>
      <c r="V43" s="1211"/>
      <c r="W43" s="1211"/>
      <c r="X43" s="1211"/>
      <c r="Y43" s="1211"/>
    </row>
    <row r="44">
      <c r="A44" s="1206">
        <v>13.0</v>
      </c>
      <c r="B44" s="1206" t="s">
        <v>12249</v>
      </c>
      <c r="C44" s="1206" t="s">
        <v>12279</v>
      </c>
      <c r="D44" s="1206" t="s">
        <v>12280</v>
      </c>
      <c r="E44" s="1206" t="s">
        <v>12281</v>
      </c>
      <c r="F44" s="1207">
        <v>40344.0</v>
      </c>
      <c r="G44" s="1206" t="s">
        <v>12872</v>
      </c>
      <c r="H44" s="1206" t="s">
        <v>13161</v>
      </c>
      <c r="I44" s="1208">
        <v>8.9104436294E10</v>
      </c>
      <c r="J44" s="1206" t="s">
        <v>13162</v>
      </c>
      <c r="K44" s="1206" t="s">
        <v>13163</v>
      </c>
      <c r="L44" s="1206"/>
      <c r="M44" s="1208">
        <v>8.9853640943E10</v>
      </c>
      <c r="N44" s="1206" t="s">
        <v>13164</v>
      </c>
      <c r="O44" s="1206">
        <v>8.9850867451E10</v>
      </c>
      <c r="P44" s="1206" t="s">
        <v>13165</v>
      </c>
      <c r="Q44" s="1209" t="b">
        <v>1</v>
      </c>
      <c r="R44" s="1210" t="b">
        <v>1</v>
      </c>
      <c r="S44" s="1210" t="b">
        <v>1</v>
      </c>
      <c r="T44" s="1210" t="b">
        <v>1</v>
      </c>
      <c r="U44" s="1210"/>
      <c r="V44" s="1211"/>
      <c r="W44" s="1211"/>
      <c r="X44" s="1211"/>
      <c r="Y44" s="1211"/>
    </row>
    <row r="45">
      <c r="A45" s="1206">
        <v>14.0</v>
      </c>
      <c r="B45" s="1206" t="s">
        <v>12253</v>
      </c>
      <c r="C45" s="1206" t="s">
        <v>12282</v>
      </c>
      <c r="D45" s="1206" t="s">
        <v>12261</v>
      </c>
      <c r="E45" s="1206" t="s">
        <v>12283</v>
      </c>
      <c r="F45" s="1207">
        <v>40208.0</v>
      </c>
      <c r="G45" s="1206" t="s">
        <v>12872</v>
      </c>
      <c r="H45" s="1206" t="s">
        <v>13166</v>
      </c>
      <c r="I45" s="1208">
        <v>8.9660952732E10</v>
      </c>
      <c r="J45" s="1206" t="s">
        <v>13167</v>
      </c>
      <c r="K45" s="1206" t="s">
        <v>13168</v>
      </c>
      <c r="L45" s="1206"/>
      <c r="M45" s="1208">
        <v>8.9060747945E10</v>
      </c>
      <c r="N45" s="1206" t="s">
        <v>13169</v>
      </c>
      <c r="O45" s="1206">
        <v>8.965407264E10</v>
      </c>
      <c r="P45" s="1206" t="s">
        <v>13170</v>
      </c>
      <c r="Q45" s="1209" t="b">
        <v>1</v>
      </c>
      <c r="R45" s="1210" t="b">
        <v>1</v>
      </c>
      <c r="S45" s="1211" t="b">
        <v>0</v>
      </c>
      <c r="T45" s="1211" t="b">
        <v>0</v>
      </c>
      <c r="U45" s="1210"/>
      <c r="V45" s="1211"/>
      <c r="W45" s="1211"/>
      <c r="X45" s="1211"/>
      <c r="Y45" s="1211"/>
    </row>
    <row r="46">
      <c r="A46" s="1206">
        <v>15.0</v>
      </c>
      <c r="B46" s="1206" t="s">
        <v>12249</v>
      </c>
      <c r="C46" s="1206" t="s">
        <v>12284</v>
      </c>
      <c r="D46" s="1206" t="s">
        <v>12280</v>
      </c>
      <c r="E46" s="1206" t="s">
        <v>12271</v>
      </c>
      <c r="F46" s="1207">
        <v>40247.0</v>
      </c>
      <c r="G46" s="1206" t="s">
        <v>12872</v>
      </c>
      <c r="H46" s="1206" t="s">
        <v>13171</v>
      </c>
      <c r="I46" s="1208">
        <v>8.9269142672E10</v>
      </c>
      <c r="J46" s="1206" t="s">
        <v>13172</v>
      </c>
      <c r="K46" s="1206" t="s">
        <v>13173</v>
      </c>
      <c r="L46" s="1206"/>
      <c r="M46" s="1208">
        <v>8.9168004228E10</v>
      </c>
      <c r="N46" s="1206" t="s">
        <v>13174</v>
      </c>
      <c r="O46" s="1213" t="str">
        <f>+7 915 212 03 64</f>
        <v>#ERROR!</v>
      </c>
      <c r="P46" s="1206" t="s">
        <v>13175</v>
      </c>
      <c r="Q46" s="1209" t="b">
        <v>1</v>
      </c>
      <c r="R46" s="1210" t="b">
        <v>1</v>
      </c>
      <c r="S46" s="1210" t="b">
        <v>1</v>
      </c>
      <c r="T46" s="1210" t="b">
        <v>1</v>
      </c>
      <c r="U46" s="1210"/>
      <c r="V46" s="1211"/>
      <c r="W46" s="1211"/>
      <c r="X46" s="1211"/>
      <c r="Y46" s="1211"/>
    </row>
    <row r="47">
      <c r="A47" s="1206">
        <v>16.0</v>
      </c>
      <c r="B47" s="1206" t="s">
        <v>12249</v>
      </c>
      <c r="C47" s="1206" t="s">
        <v>12284</v>
      </c>
      <c r="D47" s="1206" t="s">
        <v>12285</v>
      </c>
      <c r="E47" s="1206" t="s">
        <v>12271</v>
      </c>
      <c r="F47" s="1207">
        <v>40247.0</v>
      </c>
      <c r="G47" s="1206" t="s">
        <v>12872</v>
      </c>
      <c r="H47" s="1206" t="s">
        <v>13171</v>
      </c>
      <c r="I47" s="1208">
        <v>8.9269142672E10</v>
      </c>
      <c r="J47" s="1206" t="s">
        <v>13172</v>
      </c>
      <c r="K47" s="1206" t="s">
        <v>13173</v>
      </c>
      <c r="L47" s="1206"/>
      <c r="M47" s="1208">
        <v>8.9168004228E10</v>
      </c>
      <c r="N47" s="1206" t="s">
        <v>13174</v>
      </c>
      <c r="O47" s="1213" t="str">
        <f>+7 915 212 03 63</f>
        <v>#ERROR!</v>
      </c>
      <c r="P47" s="1206" t="s">
        <v>13176</v>
      </c>
      <c r="Q47" s="1209" t="b">
        <v>1</v>
      </c>
      <c r="R47" s="1210" t="b">
        <v>1</v>
      </c>
      <c r="S47" s="1211" t="b">
        <v>0</v>
      </c>
      <c r="T47" s="1210" t="b">
        <v>1</v>
      </c>
      <c r="U47" s="1210"/>
      <c r="V47" s="1211"/>
      <c r="W47" s="1211"/>
      <c r="X47" s="1211"/>
      <c r="Y47" s="1211"/>
    </row>
    <row r="48">
      <c r="A48" s="1206">
        <v>17.0</v>
      </c>
      <c r="B48" s="1206" t="s">
        <v>12249</v>
      </c>
      <c r="C48" s="1206" t="s">
        <v>12286</v>
      </c>
      <c r="D48" s="1206" t="s">
        <v>12287</v>
      </c>
      <c r="E48" s="1206" t="s">
        <v>12288</v>
      </c>
      <c r="F48" s="1207">
        <v>40247.0</v>
      </c>
      <c r="G48" s="1206" t="s">
        <v>12872</v>
      </c>
      <c r="H48" s="1206" t="s">
        <v>13171</v>
      </c>
      <c r="I48" s="1208">
        <v>8.9269142672E10</v>
      </c>
      <c r="J48" s="1206" t="s">
        <v>13172</v>
      </c>
      <c r="K48" s="1206" t="s">
        <v>13173</v>
      </c>
      <c r="L48" s="1206"/>
      <c r="M48" s="1208">
        <v>8.9168004228E10</v>
      </c>
      <c r="N48" s="1206" t="s">
        <v>13174</v>
      </c>
      <c r="O48" s="1213" t="str">
        <f>+7 915 212 03 68</f>
        <v>#ERROR!</v>
      </c>
      <c r="P48" s="1206" t="s">
        <v>13177</v>
      </c>
      <c r="Q48" s="1209" t="b">
        <v>1</v>
      </c>
      <c r="R48" s="1210" t="b">
        <v>1</v>
      </c>
      <c r="S48" s="1210" t="b">
        <v>1</v>
      </c>
      <c r="T48" s="1210" t="b">
        <v>1</v>
      </c>
      <c r="U48" s="1210"/>
      <c r="V48" s="1211"/>
      <c r="W48" s="1211"/>
      <c r="X48" s="1211"/>
      <c r="Y48" s="1211"/>
    </row>
    <row r="49">
      <c r="A49" s="1206">
        <v>18.0</v>
      </c>
      <c r="B49" s="1206" t="s">
        <v>12253</v>
      </c>
      <c r="C49" s="1206" t="s">
        <v>12289</v>
      </c>
      <c r="D49" s="1206" t="s">
        <v>12290</v>
      </c>
      <c r="E49" s="1206" t="s">
        <v>12291</v>
      </c>
      <c r="F49" s="1207">
        <v>40294.0</v>
      </c>
      <c r="G49" s="1206" t="s">
        <v>12872</v>
      </c>
      <c r="H49" s="1206" t="s">
        <v>13178</v>
      </c>
      <c r="I49" s="1208">
        <v>8.9057078837E10</v>
      </c>
      <c r="J49" s="1206" t="s">
        <v>13179</v>
      </c>
      <c r="K49" s="1206" t="s">
        <v>13180</v>
      </c>
      <c r="L49" s="1206"/>
      <c r="M49" s="1208">
        <v>8.9035083376E10</v>
      </c>
      <c r="N49" s="1206" t="s">
        <v>13181</v>
      </c>
      <c r="O49" s="1206">
        <v>8.9645839529E10</v>
      </c>
      <c r="P49" s="1206" t="s">
        <v>13182</v>
      </c>
      <c r="Q49" s="1209" t="b">
        <v>1</v>
      </c>
      <c r="R49" s="1210" t="b">
        <v>1</v>
      </c>
      <c r="S49" s="1210" t="b">
        <v>1</v>
      </c>
      <c r="T49" s="1210" t="b">
        <v>1</v>
      </c>
      <c r="U49" s="1210"/>
      <c r="V49" s="1211"/>
      <c r="W49" s="1211"/>
      <c r="X49" s="1211"/>
      <c r="Y49" s="1211"/>
    </row>
    <row r="50">
      <c r="A50" s="1206">
        <v>19.0</v>
      </c>
      <c r="B50" s="1206" t="s">
        <v>12249</v>
      </c>
      <c r="C50" s="1206" t="s">
        <v>13183</v>
      </c>
      <c r="D50" s="1206" t="s">
        <v>12255</v>
      </c>
      <c r="E50" s="1206" t="s">
        <v>13122</v>
      </c>
      <c r="F50" s="1207">
        <v>40284.0</v>
      </c>
      <c r="G50" s="1206" t="s">
        <v>12872</v>
      </c>
      <c r="H50" s="1206" t="s">
        <v>13184</v>
      </c>
      <c r="I50" s="1208">
        <v>8.9857721589E10</v>
      </c>
      <c r="J50" s="1206" t="s">
        <v>13185</v>
      </c>
      <c r="K50" s="1206" t="s">
        <v>13186</v>
      </c>
      <c r="L50" s="1206"/>
      <c r="M50" s="1208">
        <v>8.9167057452E10</v>
      </c>
      <c r="N50" s="1206" t="s">
        <v>13187</v>
      </c>
      <c r="O50" s="1206" t="s">
        <v>13188</v>
      </c>
      <c r="P50" s="1206" t="s">
        <v>13189</v>
      </c>
      <c r="Q50" s="1209" t="b">
        <v>1</v>
      </c>
      <c r="R50" s="1210" t="b">
        <v>1</v>
      </c>
      <c r="S50" s="1210" t="b">
        <v>1</v>
      </c>
      <c r="T50" s="1210" t="b">
        <v>1</v>
      </c>
      <c r="U50" s="1210"/>
      <c r="V50" s="1211"/>
      <c r="W50" s="1211"/>
      <c r="X50" s="1211"/>
      <c r="Y50" s="1211"/>
    </row>
    <row r="51">
      <c r="A51" s="1206">
        <v>20.0</v>
      </c>
      <c r="B51" s="1206" t="s">
        <v>12253</v>
      </c>
      <c r="C51" s="1206" t="s">
        <v>12292</v>
      </c>
      <c r="D51" s="1206" t="s">
        <v>12293</v>
      </c>
      <c r="E51" s="1206" t="s">
        <v>12294</v>
      </c>
      <c r="F51" s="1207">
        <v>40437.0</v>
      </c>
      <c r="G51" s="1206" t="s">
        <v>12872</v>
      </c>
      <c r="H51" s="1206" t="s">
        <v>13190</v>
      </c>
      <c r="I51" s="1208">
        <v>8.916670882E10</v>
      </c>
      <c r="J51" s="1206" t="s">
        <v>13191</v>
      </c>
      <c r="K51" s="1206" t="s">
        <v>13192</v>
      </c>
      <c r="L51" s="1206"/>
      <c r="M51" s="1208">
        <v>8.9165391284E10</v>
      </c>
      <c r="N51" s="1206" t="s">
        <v>13193</v>
      </c>
      <c r="O51" s="1206">
        <v>8.9150636476E10</v>
      </c>
      <c r="P51" s="1206" t="s">
        <v>13194</v>
      </c>
      <c r="Q51" s="1209" t="b">
        <v>1</v>
      </c>
      <c r="R51" s="1210" t="b">
        <v>1</v>
      </c>
      <c r="S51" s="1210" t="b">
        <v>1</v>
      </c>
      <c r="T51" s="1210" t="b">
        <v>1</v>
      </c>
      <c r="U51" s="1210"/>
      <c r="V51" s="1211"/>
      <c r="W51" s="1211"/>
      <c r="X51" s="1211"/>
      <c r="Y51" s="1211"/>
    </row>
    <row r="52">
      <c r="A52" s="1206">
        <v>21.0</v>
      </c>
      <c r="B52" s="1206" t="s">
        <v>12253</v>
      </c>
      <c r="C52" s="1206" t="s">
        <v>12295</v>
      </c>
      <c r="D52" s="1206" t="s">
        <v>12296</v>
      </c>
      <c r="E52" s="1206" t="s">
        <v>12297</v>
      </c>
      <c r="F52" s="1207">
        <v>40292.0</v>
      </c>
      <c r="G52" s="1206" t="s">
        <v>12872</v>
      </c>
      <c r="H52" s="1206" t="s">
        <v>13195</v>
      </c>
      <c r="I52" s="1208">
        <v>8.9067223611E10</v>
      </c>
      <c r="J52" s="1206" t="s">
        <v>13196</v>
      </c>
      <c r="K52" s="1206" t="s">
        <v>13197</v>
      </c>
      <c r="L52" s="1206"/>
      <c r="M52" s="1208">
        <v>8.9165655004E10</v>
      </c>
      <c r="N52" s="1206" t="s">
        <v>13198</v>
      </c>
      <c r="O52" s="1206">
        <v>8.9055298973E10</v>
      </c>
      <c r="P52" s="1206" t="s">
        <v>13199</v>
      </c>
      <c r="Q52" s="1214" t="b">
        <v>0</v>
      </c>
      <c r="R52" s="1211" t="b">
        <v>0</v>
      </c>
      <c r="S52" s="1211" t="b">
        <v>0</v>
      </c>
      <c r="T52" s="1211" t="b">
        <v>0</v>
      </c>
      <c r="U52" s="1210"/>
      <c r="V52" s="1211"/>
      <c r="W52" s="1211"/>
      <c r="X52" s="1211"/>
      <c r="Y52" s="1211"/>
    </row>
    <row r="53">
      <c r="A53" s="1206">
        <v>22.0</v>
      </c>
      <c r="B53" s="1206" t="s">
        <v>12253</v>
      </c>
      <c r="C53" s="1206" t="s">
        <v>13200</v>
      </c>
      <c r="D53" s="1206" t="s">
        <v>12304</v>
      </c>
      <c r="E53" s="1206" t="s">
        <v>13201</v>
      </c>
      <c r="F53" s="1207">
        <v>40329.0</v>
      </c>
      <c r="G53" s="1206" t="s">
        <v>12872</v>
      </c>
      <c r="H53" s="1206" t="s">
        <v>13202</v>
      </c>
      <c r="I53" s="1208">
        <v>8.9035374406E10</v>
      </c>
      <c r="J53" s="1206" t="s">
        <v>13203</v>
      </c>
      <c r="K53" s="1206" t="s">
        <v>13204</v>
      </c>
      <c r="L53" s="1206"/>
      <c r="M53" s="1208">
        <v>8.9267260179E10</v>
      </c>
      <c r="N53" s="1206" t="s">
        <v>13205</v>
      </c>
      <c r="O53" s="1206">
        <v>8.9776509534E10</v>
      </c>
      <c r="P53" s="1206" t="s">
        <v>13206</v>
      </c>
      <c r="Q53" s="1209" t="b">
        <v>1</v>
      </c>
      <c r="R53" s="1210" t="b">
        <v>1</v>
      </c>
      <c r="S53" s="1211" t="b">
        <v>0</v>
      </c>
      <c r="T53" s="1210" t="b">
        <v>1</v>
      </c>
      <c r="U53" s="1210"/>
      <c r="V53" s="1211"/>
      <c r="W53" s="1211"/>
      <c r="X53" s="1211"/>
      <c r="Y53" s="1211"/>
    </row>
    <row r="54">
      <c r="A54" s="1206">
        <v>23.0</v>
      </c>
      <c r="B54" s="1206" t="s">
        <v>12249</v>
      </c>
      <c r="C54" s="1206" t="s">
        <v>13207</v>
      </c>
      <c r="D54" s="1206" t="s">
        <v>13208</v>
      </c>
      <c r="E54" s="1206" t="s">
        <v>12265</v>
      </c>
      <c r="F54" s="1207">
        <v>40353.0</v>
      </c>
      <c r="G54" s="1206" t="s">
        <v>13209</v>
      </c>
      <c r="H54" s="1206" t="s">
        <v>13210</v>
      </c>
      <c r="I54" s="1208">
        <v>8.9166860659E10</v>
      </c>
      <c r="J54" s="1206" t="s">
        <v>13211</v>
      </c>
      <c r="K54" s="1206" t="s">
        <v>13212</v>
      </c>
      <c r="L54" s="1206"/>
      <c r="M54" s="1208">
        <v>8.9104256097E10</v>
      </c>
      <c r="N54" s="1206" t="s">
        <v>13213</v>
      </c>
      <c r="O54" s="1213" t="str">
        <f>+7(985)983-47-16 (часы-телефон)</f>
        <v>#ERROR!</v>
      </c>
      <c r="P54" s="1206" t="s">
        <v>13214</v>
      </c>
      <c r="Q54" s="1209" t="b">
        <v>1</v>
      </c>
      <c r="R54" s="1210" t="b">
        <v>1</v>
      </c>
      <c r="S54" s="1210" t="b">
        <v>1</v>
      </c>
      <c r="T54" s="1210" t="b">
        <v>1</v>
      </c>
      <c r="U54" s="1210"/>
      <c r="V54" s="1211"/>
      <c r="W54" s="1211"/>
      <c r="X54" s="1211"/>
      <c r="Y54" s="1211"/>
    </row>
    <row r="55">
      <c r="A55" s="1206">
        <v>24.0</v>
      </c>
      <c r="B55" s="1206" t="s">
        <v>12253</v>
      </c>
      <c r="C55" s="1206" t="s">
        <v>13215</v>
      </c>
      <c r="D55" s="1206" t="s">
        <v>12304</v>
      </c>
      <c r="E55" s="1206" t="s">
        <v>12281</v>
      </c>
      <c r="F55" s="1207">
        <v>40232.0</v>
      </c>
      <c r="G55" s="1206" t="s">
        <v>12861</v>
      </c>
      <c r="H55" s="1206" t="s">
        <v>13216</v>
      </c>
      <c r="I55" s="1208">
        <v>8.9265771622E10</v>
      </c>
      <c r="J55" s="1206" t="s">
        <v>13217</v>
      </c>
      <c r="K55" s="1206" t="s">
        <v>13218</v>
      </c>
      <c r="L55" s="1206"/>
      <c r="M55" s="1208">
        <v>8.9265765724E10</v>
      </c>
      <c r="N55" s="1206" t="s">
        <v>13219</v>
      </c>
      <c r="O55" s="1206">
        <v>8.9299606052E10</v>
      </c>
      <c r="P55" s="1206" t="s">
        <v>13220</v>
      </c>
      <c r="Q55" s="1209" t="b">
        <v>1</v>
      </c>
      <c r="R55" s="1210" t="b">
        <v>1</v>
      </c>
      <c r="S55" s="1210" t="b">
        <v>1</v>
      </c>
      <c r="T55" s="1210" t="b">
        <v>1</v>
      </c>
      <c r="U55" s="1210"/>
      <c r="V55" s="1211"/>
      <c r="W55" s="1211"/>
      <c r="X55" s="1211"/>
      <c r="Y55" s="1211"/>
    </row>
    <row r="56">
      <c r="A56" s="1206">
        <v>25.0</v>
      </c>
      <c r="B56" s="1206" t="s">
        <v>12249</v>
      </c>
      <c r="C56" s="1206" t="s">
        <v>12298</v>
      </c>
      <c r="D56" s="1206" t="s">
        <v>12299</v>
      </c>
      <c r="E56" s="1206" t="s">
        <v>12300</v>
      </c>
      <c r="F56" s="1207">
        <v>40685.0</v>
      </c>
      <c r="G56" s="1206" t="s">
        <v>12861</v>
      </c>
      <c r="H56" s="1206" t="s">
        <v>13221</v>
      </c>
      <c r="I56" s="1208">
        <v>8.9164703916E10</v>
      </c>
      <c r="J56" s="1206" t="s">
        <v>13222</v>
      </c>
      <c r="K56" s="1206" t="s">
        <v>13223</v>
      </c>
      <c r="L56" s="1206"/>
      <c r="M56" s="1208">
        <v>8.910416019E10</v>
      </c>
      <c r="N56" s="1206" t="s">
        <v>13224</v>
      </c>
      <c r="O56" s="1206">
        <v>8.9164692009E10</v>
      </c>
      <c r="P56" s="1206" t="s">
        <v>13225</v>
      </c>
      <c r="Q56" s="1209" t="b">
        <v>1</v>
      </c>
      <c r="R56" s="1210" t="b">
        <v>1</v>
      </c>
      <c r="S56" s="1211" t="b">
        <v>0</v>
      </c>
      <c r="T56" s="1211" t="b">
        <v>0</v>
      </c>
      <c r="U56" s="1210"/>
      <c r="V56" s="1211"/>
      <c r="W56" s="1211"/>
      <c r="X56" s="1211"/>
      <c r="Y56" s="1211"/>
    </row>
    <row r="57">
      <c r="A57" s="1206">
        <v>26.0</v>
      </c>
      <c r="B57" s="1206" t="s">
        <v>12253</v>
      </c>
      <c r="C57" s="1206" t="s">
        <v>12301</v>
      </c>
      <c r="D57" s="1206" t="s">
        <v>12302</v>
      </c>
      <c r="E57" s="1206" t="s">
        <v>12277</v>
      </c>
      <c r="F57" s="1207">
        <v>40282.0</v>
      </c>
      <c r="G57" s="1206" t="s">
        <v>12872</v>
      </c>
      <c r="H57" s="1206" t="s">
        <v>13226</v>
      </c>
      <c r="I57" s="1208">
        <v>8.9168114323E10</v>
      </c>
      <c r="J57" s="1206" t="s">
        <v>13227</v>
      </c>
      <c r="K57" s="1206" t="s">
        <v>13228</v>
      </c>
      <c r="L57" s="1206"/>
      <c r="M57" s="1208">
        <v>8.9166725755E10</v>
      </c>
      <c r="N57" s="1206" t="s">
        <v>13229</v>
      </c>
      <c r="O57" s="1206">
        <v>8.9850558244E10</v>
      </c>
      <c r="P57" s="1206" t="s">
        <v>13230</v>
      </c>
      <c r="Q57" s="1209" t="b">
        <v>1</v>
      </c>
      <c r="R57" s="1210" t="b">
        <v>1</v>
      </c>
      <c r="S57" s="1211" t="b">
        <v>0</v>
      </c>
      <c r="T57" s="1210" t="b">
        <v>1</v>
      </c>
      <c r="U57" s="1210"/>
      <c r="V57" s="1211"/>
      <c r="W57" s="1211"/>
      <c r="X57" s="1211"/>
      <c r="Y57" s="1211"/>
    </row>
    <row r="58">
      <c r="A58" s="1206">
        <v>27.0</v>
      </c>
      <c r="B58" s="1206" t="s">
        <v>12249</v>
      </c>
      <c r="C58" s="1206" t="s">
        <v>13231</v>
      </c>
      <c r="D58" s="1206" t="s">
        <v>12255</v>
      </c>
      <c r="E58" s="1206" t="s">
        <v>12277</v>
      </c>
      <c r="F58" s="1207">
        <v>40193.0</v>
      </c>
      <c r="G58" s="1206" t="s">
        <v>12872</v>
      </c>
      <c r="H58" s="1206" t="s">
        <v>13232</v>
      </c>
      <c r="I58" s="1208">
        <v>8.9031823081E10</v>
      </c>
      <c r="J58" s="1206" t="s">
        <v>13233</v>
      </c>
      <c r="K58" s="1206" t="s">
        <v>13234</v>
      </c>
      <c r="L58" s="1206"/>
      <c r="M58" s="1208">
        <v>8.91978643E10</v>
      </c>
      <c r="N58" s="1206" t="s">
        <v>13235</v>
      </c>
      <c r="O58" s="1206">
        <v>8.9167395119E10</v>
      </c>
      <c r="P58" s="1206" t="s">
        <v>13236</v>
      </c>
      <c r="Q58" s="1209" t="b">
        <v>1</v>
      </c>
      <c r="R58" s="1210" t="b">
        <v>1</v>
      </c>
      <c r="S58" s="1211" t="b">
        <v>0</v>
      </c>
      <c r="T58" s="1211" t="b">
        <v>0</v>
      </c>
      <c r="U58" s="1210"/>
      <c r="V58" s="1211"/>
      <c r="W58" s="1211"/>
      <c r="X58" s="1211"/>
      <c r="Y58" s="1211"/>
    </row>
    <row r="59">
      <c r="A59" s="1206">
        <v>28.0</v>
      </c>
      <c r="B59" s="1206" t="s">
        <v>12249</v>
      </c>
      <c r="C59" s="1206" t="s">
        <v>12303</v>
      </c>
      <c r="D59" s="1206" t="s">
        <v>12304</v>
      </c>
      <c r="E59" s="1206" t="s">
        <v>12262</v>
      </c>
      <c r="F59" s="1207">
        <v>40617.0</v>
      </c>
      <c r="G59" s="1206" t="s">
        <v>12872</v>
      </c>
      <c r="H59" s="1206" t="s">
        <v>13237</v>
      </c>
      <c r="I59" s="1208">
        <v>8.90372225E10</v>
      </c>
      <c r="J59" s="1206" t="s">
        <v>13238</v>
      </c>
      <c r="K59" s="1206" t="s">
        <v>13239</v>
      </c>
      <c r="L59" s="1206"/>
      <c r="M59" s="1208">
        <v>8.9039690114E10</v>
      </c>
      <c r="N59" s="1206" t="s">
        <v>13240</v>
      </c>
      <c r="O59" s="1206">
        <v>8.9859477055E10</v>
      </c>
      <c r="P59" s="1206" t="s">
        <v>13241</v>
      </c>
      <c r="Q59" s="1209" t="b">
        <v>1</v>
      </c>
      <c r="R59" s="1210" t="b">
        <v>1</v>
      </c>
      <c r="S59" s="1210" t="b">
        <v>1</v>
      </c>
      <c r="T59" s="1211" t="b">
        <v>0</v>
      </c>
      <c r="U59" s="1210"/>
      <c r="V59" s="1211"/>
      <c r="W59" s="1211"/>
      <c r="X59" s="1211"/>
      <c r="Y59" s="1211"/>
    </row>
    <row r="60">
      <c r="A60" s="1206">
        <v>29.0</v>
      </c>
      <c r="B60" s="1206" t="s">
        <v>12249</v>
      </c>
      <c r="C60" s="1206" t="s">
        <v>12305</v>
      </c>
      <c r="D60" s="1206" t="s">
        <v>12306</v>
      </c>
      <c r="E60" s="1206" t="s">
        <v>12307</v>
      </c>
      <c r="F60" s="1207">
        <v>40575.0</v>
      </c>
      <c r="G60" s="1206" t="s">
        <v>12872</v>
      </c>
      <c r="H60" s="1206" t="s">
        <v>13242</v>
      </c>
      <c r="I60" s="1208">
        <v>8.9162293879E10</v>
      </c>
      <c r="J60" s="1206" t="s">
        <v>13243</v>
      </c>
      <c r="K60" s="1206" t="s">
        <v>13105</v>
      </c>
      <c r="L60" s="1206"/>
      <c r="M60" s="1208" t="s">
        <v>13105</v>
      </c>
      <c r="N60" s="1206" t="s">
        <v>13105</v>
      </c>
      <c r="O60" s="1206">
        <v>8.9151787709E10</v>
      </c>
      <c r="P60" s="1206" t="s">
        <v>13244</v>
      </c>
      <c r="Q60" s="1209" t="b">
        <v>1</v>
      </c>
      <c r="R60" s="1210" t="b">
        <v>1</v>
      </c>
      <c r="S60" s="1210" t="b">
        <v>1</v>
      </c>
      <c r="T60" s="1210" t="b">
        <v>1</v>
      </c>
      <c r="U60" s="1210"/>
      <c r="V60" s="1211"/>
      <c r="W60" s="1211"/>
      <c r="X60" s="1211"/>
      <c r="Y60" s="1211"/>
    </row>
    <row r="61">
      <c r="A61" s="1206">
        <v>30.0</v>
      </c>
      <c r="B61" s="1206" t="s">
        <v>12253</v>
      </c>
      <c r="C61" s="1206" t="s">
        <v>13245</v>
      </c>
      <c r="D61" s="1206" t="s">
        <v>12795</v>
      </c>
      <c r="E61" s="1206" t="s">
        <v>12265</v>
      </c>
      <c r="F61" s="1207">
        <v>40309.0</v>
      </c>
      <c r="G61" s="1206" t="s">
        <v>12861</v>
      </c>
      <c r="H61" s="1206" t="s">
        <v>13246</v>
      </c>
      <c r="I61" s="1208">
        <v>8.9037281789E10</v>
      </c>
      <c r="J61" s="1206" t="s">
        <v>13247</v>
      </c>
      <c r="K61" s="1206" t="s">
        <v>13248</v>
      </c>
      <c r="L61" s="1206"/>
      <c r="M61" s="1208">
        <v>8.7916765995E10</v>
      </c>
      <c r="N61" s="1206" t="s">
        <v>13249</v>
      </c>
      <c r="O61" s="1213">
        <f>+7-915-8-69-90</f>
        <v>-1075</v>
      </c>
      <c r="P61" s="1206" t="s">
        <v>13250</v>
      </c>
      <c r="Q61" s="1209" t="b">
        <v>1</v>
      </c>
      <c r="R61" s="1210" t="b">
        <v>1</v>
      </c>
      <c r="S61" s="1210" t="b">
        <v>1</v>
      </c>
      <c r="T61" s="1210" t="b">
        <v>1</v>
      </c>
      <c r="U61" s="1210"/>
      <c r="V61" s="1211"/>
      <c r="W61" s="1211"/>
      <c r="X61" s="1211"/>
      <c r="Y61" s="1211"/>
    </row>
    <row r="62">
      <c r="A62" s="1206">
        <v>31.0</v>
      </c>
      <c r="B62" s="1206" t="s">
        <v>12253</v>
      </c>
      <c r="C62" s="1206" t="s">
        <v>12308</v>
      </c>
      <c r="D62" s="1206" t="s">
        <v>12309</v>
      </c>
      <c r="E62" s="1206" t="s">
        <v>12310</v>
      </c>
      <c r="F62" s="1207">
        <v>40283.0</v>
      </c>
      <c r="G62" s="1206" t="s">
        <v>12872</v>
      </c>
      <c r="H62" s="1206" t="s">
        <v>13251</v>
      </c>
      <c r="I62" s="1208">
        <v>8.9163477453E10</v>
      </c>
      <c r="J62" s="1206" t="s">
        <v>13252</v>
      </c>
      <c r="K62" s="1206" t="s">
        <v>13253</v>
      </c>
      <c r="L62" s="1206"/>
      <c r="M62" s="1208">
        <v>8.9161650473E10</v>
      </c>
      <c r="N62" s="1206" t="s">
        <v>13252</v>
      </c>
      <c r="O62" s="1206">
        <v>8.9588097565E10</v>
      </c>
      <c r="P62" s="1206" t="s">
        <v>13254</v>
      </c>
      <c r="Q62" s="1209" t="b">
        <v>1</v>
      </c>
      <c r="R62" s="1210" t="b">
        <v>1</v>
      </c>
      <c r="S62" s="1211" t="b">
        <v>0</v>
      </c>
      <c r="T62" s="1210" t="b">
        <v>1</v>
      </c>
      <c r="U62" s="1210"/>
      <c r="V62" s="1211"/>
      <c r="W62" s="1211"/>
      <c r="X62" s="1211"/>
      <c r="Y62" s="1211"/>
    </row>
    <row r="63">
      <c r="A63" s="1206">
        <v>32.0</v>
      </c>
      <c r="B63" s="1206" t="s">
        <v>12253</v>
      </c>
      <c r="C63" s="1206" t="s">
        <v>13255</v>
      </c>
      <c r="D63" s="1206" t="s">
        <v>13256</v>
      </c>
      <c r="E63" s="1206" t="s">
        <v>12252</v>
      </c>
      <c r="F63" s="1207">
        <v>40407.0</v>
      </c>
      <c r="G63" s="1206" t="s">
        <v>12872</v>
      </c>
      <c r="H63" s="1206" t="s">
        <v>13257</v>
      </c>
      <c r="I63" s="1208">
        <v>8.9264015039E10</v>
      </c>
      <c r="J63" s="1206" t="s">
        <v>13258</v>
      </c>
      <c r="K63" s="1206" t="s">
        <v>13259</v>
      </c>
      <c r="L63" s="1206"/>
      <c r="M63" s="1208">
        <v>8.9264015038E10</v>
      </c>
      <c r="N63" s="1206" t="s">
        <v>13260</v>
      </c>
      <c r="O63" s="1206">
        <v>8.926662226E10</v>
      </c>
      <c r="P63" s="1206" t="s">
        <v>13258</v>
      </c>
      <c r="Q63" s="1209" t="b">
        <v>1</v>
      </c>
      <c r="R63" s="1210" t="b">
        <v>1</v>
      </c>
      <c r="S63" s="1210" t="b">
        <v>1</v>
      </c>
      <c r="T63" s="1210" t="b">
        <v>1</v>
      </c>
      <c r="U63" s="1210"/>
      <c r="V63" s="1211"/>
      <c r="W63" s="1211"/>
      <c r="X63" s="1211"/>
      <c r="Y63" s="1211"/>
    </row>
    <row r="64">
      <c r="A64" s="1206">
        <v>33.0</v>
      </c>
      <c r="B64" s="1206" t="s">
        <v>12249</v>
      </c>
      <c r="C64" s="1206" t="s">
        <v>13261</v>
      </c>
      <c r="D64" s="1206" t="s">
        <v>12290</v>
      </c>
      <c r="E64" s="1206" t="s">
        <v>12281</v>
      </c>
      <c r="F64" s="1207">
        <v>40484.0</v>
      </c>
      <c r="G64" s="1206" t="s">
        <v>12872</v>
      </c>
      <c r="H64" s="1206" t="s">
        <v>13262</v>
      </c>
      <c r="I64" s="1208">
        <v>8.9852585092E10</v>
      </c>
      <c r="J64" s="1206" t="s">
        <v>13263</v>
      </c>
      <c r="K64" s="1206" t="s">
        <v>13264</v>
      </c>
      <c r="L64" s="1206"/>
      <c r="M64" s="1208">
        <v>8.915398484E10</v>
      </c>
      <c r="N64" s="1206" t="s">
        <v>13265</v>
      </c>
      <c r="O64" s="1206">
        <v>8.9856691091E10</v>
      </c>
      <c r="P64" s="1206" t="s">
        <v>13266</v>
      </c>
      <c r="Q64" s="1209" t="b">
        <v>1</v>
      </c>
      <c r="R64" s="1210" t="b">
        <v>1</v>
      </c>
      <c r="S64" s="1210" t="b">
        <v>1</v>
      </c>
      <c r="T64" s="1210" t="b">
        <v>1</v>
      </c>
      <c r="U64" s="1210"/>
      <c r="V64" s="1211"/>
      <c r="W64" s="1211"/>
      <c r="X64" s="1211"/>
      <c r="Y64" s="1211"/>
    </row>
    <row r="65">
      <c r="A65" s="1206">
        <v>34.0</v>
      </c>
      <c r="B65" s="1206" t="s">
        <v>12253</v>
      </c>
      <c r="C65" s="1206" t="s">
        <v>12311</v>
      </c>
      <c r="D65" s="1206" t="s">
        <v>12306</v>
      </c>
      <c r="E65" s="1206" t="s">
        <v>12312</v>
      </c>
      <c r="F65" s="1207">
        <v>40454.0</v>
      </c>
      <c r="G65" s="1206" t="s">
        <v>12872</v>
      </c>
      <c r="H65" s="1206" t="s">
        <v>13267</v>
      </c>
      <c r="I65" s="1208">
        <v>8.9055849605E10</v>
      </c>
      <c r="J65" s="1206" t="s">
        <v>13268</v>
      </c>
      <c r="K65" s="1206" t="s">
        <v>13269</v>
      </c>
      <c r="L65" s="1206"/>
      <c r="M65" s="1208">
        <v>8.9162898982E10</v>
      </c>
      <c r="N65" s="1206" t="s">
        <v>13270</v>
      </c>
      <c r="O65" s="1206">
        <v>8.9689935813E10</v>
      </c>
      <c r="P65" s="1206" t="s">
        <v>13271</v>
      </c>
      <c r="Q65" s="1209" t="b">
        <v>1</v>
      </c>
      <c r="R65" s="1210" t="b">
        <v>1</v>
      </c>
      <c r="S65" s="1210" t="b">
        <v>1</v>
      </c>
      <c r="T65" s="1211" t="b">
        <v>0</v>
      </c>
      <c r="U65" s="1210"/>
      <c r="V65" s="1211"/>
      <c r="W65" s="1211"/>
      <c r="X65" s="1211"/>
      <c r="Y65" s="1211"/>
    </row>
    <row r="66">
      <c r="A66" s="1215">
        <v>1.0</v>
      </c>
      <c r="B66" s="1216" t="s">
        <v>13272</v>
      </c>
      <c r="C66" s="1215" t="s">
        <v>12174</v>
      </c>
      <c r="D66" s="1215" t="s">
        <v>12795</v>
      </c>
      <c r="E66" s="1215" t="s">
        <v>12294</v>
      </c>
      <c r="F66" s="1217">
        <v>39991.0</v>
      </c>
      <c r="G66" s="1215" t="s">
        <v>12872</v>
      </c>
      <c r="H66" s="1215" t="s">
        <v>13273</v>
      </c>
      <c r="I66" s="1218">
        <v>8.9169240496E10</v>
      </c>
      <c r="J66" s="1215" t="s">
        <v>13274</v>
      </c>
      <c r="K66" s="1215" t="s">
        <v>13275</v>
      </c>
      <c r="L66" s="1215"/>
      <c r="M66" s="1218">
        <v>8.9099863717E10</v>
      </c>
      <c r="N66" s="1219"/>
      <c r="O66" s="1215">
        <v>8.9169240496E10</v>
      </c>
      <c r="P66" s="1215" t="s">
        <v>13274</v>
      </c>
      <c r="Q66" s="1220" t="b">
        <v>1</v>
      </c>
      <c r="R66" s="1221" t="b">
        <v>1</v>
      </c>
      <c r="S66" s="1222" t="b">
        <v>0</v>
      </c>
      <c r="T66" s="1222" t="b">
        <v>0</v>
      </c>
      <c r="U66" s="1221"/>
      <c r="V66" s="1222"/>
      <c r="W66" s="1222"/>
      <c r="X66" s="1222"/>
      <c r="Y66" s="1222"/>
    </row>
    <row r="67">
      <c r="A67" s="1215">
        <v>2.0</v>
      </c>
      <c r="B67" s="1216" t="s">
        <v>13272</v>
      </c>
      <c r="C67" s="1215" t="s">
        <v>12174</v>
      </c>
      <c r="D67" s="1215" t="s">
        <v>13276</v>
      </c>
      <c r="E67" s="1215" t="s">
        <v>13277</v>
      </c>
      <c r="F67" s="1217">
        <v>40119.0</v>
      </c>
      <c r="G67" s="1215" t="s">
        <v>12872</v>
      </c>
      <c r="H67" s="1215" t="s">
        <v>13278</v>
      </c>
      <c r="I67" s="1218">
        <v>8.9032400984E10</v>
      </c>
      <c r="J67" s="1215" t="s">
        <v>13279</v>
      </c>
      <c r="K67" s="1215" t="s">
        <v>13280</v>
      </c>
      <c r="L67" s="1215"/>
      <c r="M67" s="1218">
        <v>8.9851202946E10</v>
      </c>
      <c r="N67" s="1215" t="s">
        <v>13281</v>
      </c>
      <c r="O67" s="1215">
        <v>8.9855715579E10</v>
      </c>
      <c r="P67" s="1215" t="s">
        <v>13282</v>
      </c>
      <c r="Q67" s="1220" t="b">
        <v>1</v>
      </c>
      <c r="R67" s="1221" t="b">
        <v>1</v>
      </c>
      <c r="S67" s="1222" t="b">
        <v>0</v>
      </c>
      <c r="T67" s="1222" t="b">
        <v>0</v>
      </c>
      <c r="U67" s="1221"/>
      <c r="V67" s="1222"/>
      <c r="W67" s="1222"/>
      <c r="X67" s="1222"/>
      <c r="Y67" s="1222"/>
    </row>
    <row r="68">
      <c r="A68" s="1215">
        <v>3.0</v>
      </c>
      <c r="B68" s="1216" t="s">
        <v>13272</v>
      </c>
      <c r="C68" s="1215" t="s">
        <v>13283</v>
      </c>
      <c r="D68" s="1215" t="s">
        <v>12304</v>
      </c>
      <c r="E68" s="1215" t="s">
        <v>12291</v>
      </c>
      <c r="F68" s="1217">
        <v>39929.0</v>
      </c>
      <c r="G68" s="1215" t="s">
        <v>12861</v>
      </c>
      <c r="H68" s="1215" t="s">
        <v>13284</v>
      </c>
      <c r="I68" s="1218">
        <v>8.926258008E10</v>
      </c>
      <c r="J68" s="1215" t="s">
        <v>13285</v>
      </c>
      <c r="K68" s="1215" t="s">
        <v>13286</v>
      </c>
      <c r="L68" s="1215"/>
      <c r="M68" s="1218">
        <v>8.9772503003E10</v>
      </c>
      <c r="N68" s="1215" t="s">
        <v>13287</v>
      </c>
      <c r="O68" s="1215" t="s">
        <v>13188</v>
      </c>
      <c r="P68" s="1215" t="s">
        <v>13188</v>
      </c>
      <c r="Q68" s="1220" t="b">
        <v>1</v>
      </c>
      <c r="R68" s="1221" t="b">
        <v>1</v>
      </c>
      <c r="S68" s="1221" t="b">
        <v>1</v>
      </c>
      <c r="T68" s="1222" t="b">
        <v>0</v>
      </c>
      <c r="U68" s="1221"/>
      <c r="V68" s="1222"/>
      <c r="W68" s="1222"/>
      <c r="X68" s="1222"/>
      <c r="Y68" s="1222"/>
    </row>
    <row r="69">
      <c r="A69" s="1215">
        <v>4.0</v>
      </c>
      <c r="B69" s="1216" t="s">
        <v>13272</v>
      </c>
      <c r="C69" s="1223" t="s">
        <v>13288</v>
      </c>
      <c r="D69" s="1223" t="s">
        <v>12270</v>
      </c>
      <c r="E69" s="1219" t="s">
        <v>12274</v>
      </c>
      <c r="F69" s="1224">
        <v>40237.0</v>
      </c>
      <c r="G69" s="1219" t="s">
        <v>12872</v>
      </c>
      <c r="H69" s="1219" t="s">
        <v>13289</v>
      </c>
      <c r="I69" s="1218">
        <v>8.9690883985E10</v>
      </c>
      <c r="J69" s="1219" t="s">
        <v>13290</v>
      </c>
      <c r="K69" s="1219" t="s">
        <v>13291</v>
      </c>
      <c r="L69" s="1219"/>
      <c r="M69" s="1218">
        <v>8.9268194469E10</v>
      </c>
      <c r="N69" s="1219" t="s">
        <v>13292</v>
      </c>
      <c r="O69" s="1219" t="s">
        <v>13293</v>
      </c>
      <c r="P69" s="1219" t="s">
        <v>13294</v>
      </c>
      <c r="Q69" s="1220" t="b">
        <v>1</v>
      </c>
      <c r="R69" s="1221" t="b">
        <v>1</v>
      </c>
      <c r="S69" s="1221" t="b">
        <v>1</v>
      </c>
      <c r="T69" s="1222" t="b">
        <v>0</v>
      </c>
      <c r="U69" s="1221"/>
      <c r="V69" s="1222"/>
      <c r="W69" s="1222"/>
      <c r="X69" s="1222"/>
      <c r="Y69" s="1222"/>
    </row>
    <row r="70">
      <c r="A70" s="1215">
        <v>5.0</v>
      </c>
      <c r="B70" s="1216" t="s">
        <v>13272</v>
      </c>
      <c r="C70" s="1215" t="s">
        <v>12221</v>
      </c>
      <c r="D70" s="1215" t="s">
        <v>12508</v>
      </c>
      <c r="E70" s="1219" t="s">
        <v>13295</v>
      </c>
      <c r="F70" s="1224">
        <v>40008.0</v>
      </c>
      <c r="G70" s="1219" t="s">
        <v>12861</v>
      </c>
      <c r="H70" s="1219" t="s">
        <v>13296</v>
      </c>
      <c r="I70" s="1225">
        <v>8.9161936445E10</v>
      </c>
      <c r="J70" s="1219" t="s">
        <v>13297</v>
      </c>
      <c r="K70" s="1219" t="s">
        <v>13298</v>
      </c>
      <c r="L70" s="1219"/>
      <c r="M70" s="1225">
        <v>8.926104579E10</v>
      </c>
      <c r="N70" s="1219" t="s">
        <v>13299</v>
      </c>
      <c r="O70" s="1219">
        <v>8.9855498837E10</v>
      </c>
      <c r="P70" s="1219" t="s">
        <v>13300</v>
      </c>
      <c r="Q70" s="1220" t="b">
        <v>1</v>
      </c>
      <c r="R70" s="1221" t="b">
        <v>1</v>
      </c>
      <c r="S70" s="1221" t="b">
        <v>1</v>
      </c>
      <c r="T70" s="1222" t="b">
        <v>0</v>
      </c>
      <c r="U70" s="1221"/>
      <c r="V70" s="1222"/>
      <c r="W70" s="1222"/>
      <c r="X70" s="1222"/>
      <c r="Y70" s="1222"/>
    </row>
    <row r="71">
      <c r="A71" s="1215">
        <v>6.0</v>
      </c>
      <c r="B71" s="1216" t="s">
        <v>13272</v>
      </c>
      <c r="C71" s="1215" t="s">
        <v>12201</v>
      </c>
      <c r="D71" s="1215" t="s">
        <v>12438</v>
      </c>
      <c r="E71" s="1215" t="s">
        <v>12283</v>
      </c>
      <c r="F71" s="1217">
        <v>40228.0</v>
      </c>
      <c r="G71" s="1215" t="s">
        <v>12872</v>
      </c>
      <c r="H71" s="1215" t="s">
        <v>13301</v>
      </c>
      <c r="I71" s="1218">
        <v>8.9262774155E10</v>
      </c>
      <c r="J71" s="1215" t="s">
        <v>13302</v>
      </c>
      <c r="K71" s="1215" t="s">
        <v>13303</v>
      </c>
      <c r="L71" s="1215"/>
      <c r="M71" s="1225">
        <f>+79263388452</f>
        <v>79263388452</v>
      </c>
      <c r="N71" s="1215" t="s">
        <v>13304</v>
      </c>
      <c r="O71" s="1219">
        <f>+79251642914</f>
        <v>79251642914</v>
      </c>
      <c r="P71" s="1215" t="s">
        <v>13305</v>
      </c>
      <c r="Q71" s="1220" t="b">
        <v>1</v>
      </c>
      <c r="R71" s="1221" t="b">
        <v>1</v>
      </c>
      <c r="S71" s="1222" t="b">
        <v>0</v>
      </c>
      <c r="T71" s="1222" t="b">
        <v>0</v>
      </c>
      <c r="U71" s="1221"/>
      <c r="V71" s="1222"/>
      <c r="W71" s="1222"/>
      <c r="X71" s="1222"/>
      <c r="Y71" s="1222"/>
    </row>
    <row r="72">
      <c r="A72" s="1215">
        <v>7.0</v>
      </c>
      <c r="B72" s="1216" t="s">
        <v>13272</v>
      </c>
      <c r="C72" s="1215" t="s">
        <v>13306</v>
      </c>
      <c r="D72" s="1215" t="s">
        <v>12579</v>
      </c>
      <c r="E72" s="1215" t="s">
        <v>12391</v>
      </c>
      <c r="F72" s="1217">
        <v>40027.0</v>
      </c>
      <c r="G72" s="1215" t="s">
        <v>12872</v>
      </c>
      <c r="H72" s="1215" t="s">
        <v>13307</v>
      </c>
      <c r="I72" s="1218">
        <v>8.9067832936E10</v>
      </c>
      <c r="J72" s="1215" t="s">
        <v>13308</v>
      </c>
      <c r="K72" s="1215" t="s">
        <v>13306</v>
      </c>
      <c r="L72" s="1215"/>
      <c r="M72" s="1218">
        <v>8.9154826493E10</v>
      </c>
      <c r="N72" s="1215" t="s">
        <v>13309</v>
      </c>
      <c r="O72" s="1215">
        <v>8.9859844119E10</v>
      </c>
      <c r="P72" s="1215" t="s">
        <v>13310</v>
      </c>
      <c r="Q72" s="1220" t="b">
        <v>1</v>
      </c>
      <c r="R72" s="1221" t="b">
        <v>1</v>
      </c>
      <c r="S72" s="1221" t="b">
        <v>1</v>
      </c>
      <c r="T72" s="1222" t="b">
        <v>0</v>
      </c>
      <c r="U72" s="1221"/>
      <c r="V72" s="1222"/>
      <c r="W72" s="1222"/>
      <c r="X72" s="1222"/>
      <c r="Y72" s="1222"/>
    </row>
    <row r="73">
      <c r="A73" s="1215">
        <v>8.0</v>
      </c>
      <c r="B73" s="1216" t="s">
        <v>13272</v>
      </c>
      <c r="C73" s="1215" t="s">
        <v>13311</v>
      </c>
      <c r="D73" s="1215" t="s">
        <v>13312</v>
      </c>
      <c r="E73" s="1215" t="s">
        <v>12256</v>
      </c>
      <c r="F73" s="1217">
        <v>39867.0</v>
      </c>
      <c r="G73" s="1215" t="s">
        <v>12872</v>
      </c>
      <c r="H73" s="1215" t="s">
        <v>13313</v>
      </c>
      <c r="I73" s="1218">
        <v>8.9165455707E10</v>
      </c>
      <c r="J73" s="1215" t="s">
        <v>13314</v>
      </c>
      <c r="K73" s="1215" t="s">
        <v>13315</v>
      </c>
      <c r="L73" s="1215"/>
      <c r="M73" s="1218">
        <v>8.9169560025E10</v>
      </c>
      <c r="N73" s="1215" t="s">
        <v>13314</v>
      </c>
      <c r="O73" s="1218">
        <v>8.9851972073E10</v>
      </c>
      <c r="P73" s="1215" t="s">
        <v>13314</v>
      </c>
      <c r="Q73" s="1220" t="b">
        <v>1</v>
      </c>
      <c r="R73" s="1221" t="b">
        <v>1</v>
      </c>
      <c r="S73" s="1221" t="b">
        <v>1</v>
      </c>
      <c r="T73" s="1221" t="b">
        <v>1</v>
      </c>
      <c r="U73" s="1221"/>
      <c r="V73" s="1222"/>
      <c r="W73" s="1222"/>
      <c r="X73" s="1222"/>
      <c r="Y73" s="1222"/>
    </row>
    <row r="74">
      <c r="A74" s="1215">
        <v>9.0</v>
      </c>
      <c r="B74" s="1216" t="s">
        <v>13272</v>
      </c>
      <c r="C74" s="1223" t="s">
        <v>13316</v>
      </c>
      <c r="D74" s="1223" t="s">
        <v>13317</v>
      </c>
      <c r="E74" s="1219" t="s">
        <v>12277</v>
      </c>
      <c r="F74" s="1226">
        <v>40065.0</v>
      </c>
      <c r="G74" s="1219" t="s">
        <v>12872</v>
      </c>
      <c r="H74" s="1219" t="s">
        <v>13318</v>
      </c>
      <c r="I74" s="1218">
        <v>8.9166366308E10</v>
      </c>
      <c r="J74" s="1219" t="s">
        <v>13319</v>
      </c>
      <c r="K74" s="1219" t="s">
        <v>13320</v>
      </c>
      <c r="L74" s="1219"/>
      <c r="M74" s="1218">
        <v>8.9169861347E10</v>
      </c>
      <c r="N74" s="1219" t="s">
        <v>13321</v>
      </c>
      <c r="O74" s="1219" t="s">
        <v>13322</v>
      </c>
      <c r="P74" s="1215" t="s">
        <v>13323</v>
      </c>
      <c r="Q74" s="1220" t="b">
        <v>1</v>
      </c>
      <c r="R74" s="1221" t="b">
        <v>1</v>
      </c>
      <c r="S74" s="1222" t="b">
        <v>0</v>
      </c>
      <c r="T74" s="1221" t="b">
        <v>1</v>
      </c>
      <c r="U74" s="1221"/>
      <c r="V74" s="1222"/>
      <c r="W74" s="1222"/>
      <c r="X74" s="1222"/>
      <c r="Y74" s="1222"/>
    </row>
    <row r="75">
      <c r="A75" s="1215">
        <v>10.0</v>
      </c>
      <c r="B75" s="1216" t="s">
        <v>13272</v>
      </c>
      <c r="C75" s="1215" t="s">
        <v>13324</v>
      </c>
      <c r="D75" s="1215" t="s">
        <v>12270</v>
      </c>
      <c r="E75" s="1215" t="s">
        <v>13325</v>
      </c>
      <c r="F75" s="1227">
        <v>40176.0</v>
      </c>
      <c r="G75" s="1215" t="s">
        <v>12872</v>
      </c>
      <c r="H75" s="1215" t="s">
        <v>13326</v>
      </c>
      <c r="I75" s="1218">
        <v>8.9160932744E10</v>
      </c>
      <c r="J75" s="1215" t="s">
        <v>13327</v>
      </c>
      <c r="K75" s="1215" t="s">
        <v>13328</v>
      </c>
      <c r="L75" s="1215"/>
      <c r="M75" s="1218">
        <v>8.9161601216E10</v>
      </c>
      <c r="N75" s="1215" t="s">
        <v>13329</v>
      </c>
      <c r="O75" s="1215">
        <v>8.9255306505E10</v>
      </c>
      <c r="P75" s="1215" t="s">
        <v>13330</v>
      </c>
      <c r="Q75" s="1228" t="b">
        <v>0</v>
      </c>
      <c r="R75" s="1222" t="b">
        <v>0</v>
      </c>
      <c r="S75" s="1222" t="b">
        <v>0</v>
      </c>
      <c r="T75" s="1222" t="b">
        <v>0</v>
      </c>
      <c r="U75" s="1221"/>
      <c r="V75" s="1222"/>
      <c r="W75" s="1222"/>
      <c r="X75" s="1222"/>
      <c r="Y75" s="1222"/>
    </row>
    <row r="76">
      <c r="A76" s="1215">
        <v>11.0</v>
      </c>
      <c r="B76" s="1216" t="s">
        <v>13272</v>
      </c>
      <c r="C76" s="1215" t="s">
        <v>13331</v>
      </c>
      <c r="D76" s="1215" t="s">
        <v>13133</v>
      </c>
      <c r="E76" s="1215" t="s">
        <v>12291</v>
      </c>
      <c r="F76" s="1217">
        <v>40055.0</v>
      </c>
      <c r="G76" s="1215" t="s">
        <v>12872</v>
      </c>
      <c r="H76" s="1215" t="s">
        <v>13332</v>
      </c>
      <c r="I76" s="1218">
        <v>8.9152530009E10</v>
      </c>
      <c r="J76" s="1215" t="s">
        <v>13333</v>
      </c>
      <c r="K76" s="1215" t="s">
        <v>13334</v>
      </c>
      <c r="L76" s="1215"/>
      <c r="M76" s="1218">
        <v>8.9165683793E10</v>
      </c>
      <c r="N76" s="1215" t="s">
        <v>13335</v>
      </c>
      <c r="O76" s="1215">
        <v>8.9161681164E10</v>
      </c>
      <c r="P76" s="1215" t="s">
        <v>13336</v>
      </c>
      <c r="Q76" s="1220" t="b">
        <v>1</v>
      </c>
      <c r="R76" s="1221" t="b">
        <v>1</v>
      </c>
      <c r="S76" s="1221" t="b">
        <v>1</v>
      </c>
      <c r="T76" s="1222" t="b">
        <v>0</v>
      </c>
      <c r="U76" s="1221"/>
      <c r="V76" s="1222"/>
      <c r="W76" s="1222"/>
      <c r="X76" s="1222"/>
      <c r="Y76" s="1222"/>
    </row>
    <row r="77">
      <c r="A77" s="1215">
        <v>12.0</v>
      </c>
      <c r="B77" s="1216" t="s">
        <v>13272</v>
      </c>
      <c r="C77" s="1215" t="s">
        <v>13337</v>
      </c>
      <c r="D77" s="1215" t="s">
        <v>12405</v>
      </c>
      <c r="E77" s="1215" t="s">
        <v>13054</v>
      </c>
      <c r="F77" s="1217">
        <v>40209.0</v>
      </c>
      <c r="G77" s="1215" t="s">
        <v>12872</v>
      </c>
      <c r="H77" s="1215" t="s">
        <v>13338</v>
      </c>
      <c r="I77" s="1218">
        <v>8.9057435672E10</v>
      </c>
      <c r="J77" s="1215" t="s">
        <v>13339</v>
      </c>
      <c r="K77" s="1215" t="s">
        <v>13340</v>
      </c>
      <c r="L77" s="1215"/>
      <c r="M77" s="1218">
        <v>8.9036236562E10</v>
      </c>
      <c r="N77" s="1215" t="s">
        <v>13105</v>
      </c>
      <c r="O77" s="1215">
        <v>8.9671170645E10</v>
      </c>
      <c r="P77" s="1215" t="s">
        <v>13105</v>
      </c>
      <c r="Q77" s="1220" t="b">
        <v>1</v>
      </c>
      <c r="R77" s="1221" t="b">
        <v>1</v>
      </c>
      <c r="S77" s="1222" t="b">
        <v>0</v>
      </c>
      <c r="T77" s="1222" t="b">
        <v>0</v>
      </c>
      <c r="U77" s="1221"/>
      <c r="V77" s="1222"/>
      <c r="W77" s="1222"/>
      <c r="X77" s="1222"/>
      <c r="Y77" s="1222"/>
    </row>
    <row r="78">
      <c r="A78" s="1215">
        <v>13.0</v>
      </c>
      <c r="B78" s="1216" t="s">
        <v>13272</v>
      </c>
      <c r="C78" s="1215" t="s">
        <v>13341</v>
      </c>
      <c r="D78" s="1215" t="s">
        <v>13208</v>
      </c>
      <c r="E78" s="1215" t="s">
        <v>12259</v>
      </c>
      <c r="F78" s="1217">
        <v>39967.0</v>
      </c>
      <c r="G78" s="1215" t="s">
        <v>12872</v>
      </c>
      <c r="H78" s="1215" t="s">
        <v>13342</v>
      </c>
      <c r="I78" s="1218">
        <v>8.9163369505E10</v>
      </c>
      <c r="J78" s="1215" t="s">
        <v>13343</v>
      </c>
      <c r="K78" s="1215" t="s">
        <v>13344</v>
      </c>
      <c r="L78" s="1215"/>
      <c r="M78" s="1218">
        <v>8.9150966706E10</v>
      </c>
      <c r="N78" s="1215" t="s">
        <v>13345</v>
      </c>
      <c r="O78" s="1215">
        <v>8.9686543743E10</v>
      </c>
      <c r="P78" s="1215" t="s">
        <v>13346</v>
      </c>
      <c r="Q78" s="1220" t="b">
        <v>1</v>
      </c>
      <c r="R78" s="1221" t="b">
        <v>1</v>
      </c>
      <c r="S78" s="1221" t="b">
        <v>1</v>
      </c>
      <c r="T78" s="1221" t="b">
        <v>1</v>
      </c>
      <c r="U78" s="1221"/>
      <c r="V78" s="1222"/>
      <c r="W78" s="1222"/>
      <c r="X78" s="1222"/>
      <c r="Y78" s="1222"/>
    </row>
    <row r="79">
      <c r="A79" s="1215">
        <v>14.0</v>
      </c>
      <c r="B79" s="1216" t="s">
        <v>13272</v>
      </c>
      <c r="C79" s="1215" t="s">
        <v>13347</v>
      </c>
      <c r="D79" s="1215" t="s">
        <v>12251</v>
      </c>
      <c r="E79" s="1215" t="s">
        <v>13348</v>
      </c>
      <c r="F79" s="1217">
        <v>39913.0</v>
      </c>
      <c r="G79" s="1215" t="s">
        <v>12872</v>
      </c>
      <c r="H79" s="1215" t="s">
        <v>13349</v>
      </c>
      <c r="I79" s="1218">
        <v>8.9637152047E10</v>
      </c>
      <c r="J79" s="1215" t="s">
        <v>13350</v>
      </c>
      <c r="K79" s="1215" t="s">
        <v>13351</v>
      </c>
      <c r="L79" s="1215"/>
      <c r="M79" s="1218">
        <v>8.9037817617E10</v>
      </c>
      <c r="N79" s="1215" t="s">
        <v>13352</v>
      </c>
      <c r="O79" s="1215">
        <v>8.9687182047E10</v>
      </c>
      <c r="P79" s="1215" t="s">
        <v>13353</v>
      </c>
      <c r="Q79" s="1220" t="b">
        <v>1</v>
      </c>
      <c r="R79" s="1221" t="b">
        <v>1</v>
      </c>
      <c r="S79" s="1221" t="b">
        <v>1</v>
      </c>
      <c r="T79" s="1222" t="b">
        <v>0</v>
      </c>
      <c r="U79" s="1221"/>
      <c r="V79" s="1222"/>
      <c r="W79" s="1222"/>
      <c r="X79" s="1222"/>
      <c r="Y79" s="1222"/>
    </row>
    <row r="80">
      <c r="A80" s="1215">
        <v>15.0</v>
      </c>
      <c r="B80" s="1216" t="s">
        <v>13272</v>
      </c>
      <c r="C80" s="1215" t="s">
        <v>13354</v>
      </c>
      <c r="D80" s="1215" t="s">
        <v>13355</v>
      </c>
      <c r="E80" s="1215" t="s">
        <v>13356</v>
      </c>
      <c r="F80" s="1217">
        <v>40024.0</v>
      </c>
      <c r="G80" s="1215" t="s">
        <v>12872</v>
      </c>
      <c r="H80" s="1215" t="s">
        <v>13357</v>
      </c>
      <c r="I80" s="1218">
        <v>8.9857517832E10</v>
      </c>
      <c r="J80" s="1215" t="s">
        <v>13358</v>
      </c>
      <c r="K80" s="1215" t="s">
        <v>13359</v>
      </c>
      <c r="L80" s="1215"/>
      <c r="M80" s="1218">
        <v>8.9197296004E10</v>
      </c>
      <c r="N80" s="1215" t="s">
        <v>13360</v>
      </c>
      <c r="O80" s="1215">
        <v>8.9851296001E10</v>
      </c>
      <c r="P80" s="1215" t="s">
        <v>13358</v>
      </c>
      <c r="Q80" s="1220" t="b">
        <v>1</v>
      </c>
      <c r="R80" s="1221" t="b">
        <v>1</v>
      </c>
      <c r="S80" s="1222" t="b">
        <v>0</v>
      </c>
      <c r="T80" s="1222" t="b">
        <v>0</v>
      </c>
      <c r="U80" s="1221"/>
      <c r="V80" s="1222"/>
      <c r="W80" s="1222"/>
      <c r="X80" s="1222"/>
      <c r="Y80" s="1222"/>
    </row>
    <row r="81">
      <c r="A81" s="1215">
        <v>16.0</v>
      </c>
      <c r="B81" s="1216" t="s">
        <v>13272</v>
      </c>
      <c r="C81" s="1215" t="s">
        <v>13361</v>
      </c>
      <c r="D81" s="1215" t="s">
        <v>12438</v>
      </c>
      <c r="E81" s="1215" t="s">
        <v>12391</v>
      </c>
      <c r="F81" s="1217">
        <v>39843.0</v>
      </c>
      <c r="G81" s="1215" t="s">
        <v>12872</v>
      </c>
      <c r="H81" s="1215" t="s">
        <v>13362</v>
      </c>
      <c r="I81" s="1218">
        <v>8.9139641499E10</v>
      </c>
      <c r="J81" s="1215" t="s">
        <v>13363</v>
      </c>
      <c r="K81" s="1215" t="s">
        <v>13364</v>
      </c>
      <c r="L81" s="1215"/>
      <c r="M81" s="1218">
        <v>8.9835200389E10</v>
      </c>
      <c r="N81" s="1215" t="s">
        <v>13365</v>
      </c>
      <c r="O81" s="1215">
        <v>8.9136891582E10</v>
      </c>
      <c r="P81" s="1215" t="s">
        <v>13366</v>
      </c>
      <c r="Q81" s="1220" t="b">
        <v>1</v>
      </c>
      <c r="R81" s="1221" t="b">
        <v>1</v>
      </c>
      <c r="S81" s="1222" t="b">
        <v>0</v>
      </c>
      <c r="T81" s="1222" t="b">
        <v>0</v>
      </c>
      <c r="U81" s="1221"/>
      <c r="V81" s="1222"/>
      <c r="W81" s="1222"/>
      <c r="X81" s="1222"/>
      <c r="Y81" s="1222"/>
    </row>
    <row r="82">
      <c r="A82" s="1215">
        <v>17.0</v>
      </c>
      <c r="B82" s="1216" t="s">
        <v>13272</v>
      </c>
      <c r="C82" s="1215" t="s">
        <v>13367</v>
      </c>
      <c r="D82" s="1215" t="s">
        <v>12304</v>
      </c>
      <c r="E82" s="1215" t="s">
        <v>12265</v>
      </c>
      <c r="F82" s="1217">
        <v>39816.0</v>
      </c>
      <c r="G82" s="1215" t="s">
        <v>12861</v>
      </c>
      <c r="H82" s="1215" t="s">
        <v>13368</v>
      </c>
      <c r="I82" s="1218">
        <v>8.9032768687E10</v>
      </c>
      <c r="J82" s="1215" t="s">
        <v>13369</v>
      </c>
      <c r="K82" s="1215" t="s">
        <v>13370</v>
      </c>
      <c r="L82" s="1215"/>
      <c r="M82" s="1218">
        <v>8.9037937796E10</v>
      </c>
      <c r="N82" s="1215" t="s">
        <v>13371</v>
      </c>
      <c r="O82" s="1215">
        <v>8.9057302482E10</v>
      </c>
      <c r="P82" s="1215" t="s">
        <v>13372</v>
      </c>
      <c r="Q82" s="1220" t="b">
        <v>1</v>
      </c>
      <c r="R82" s="1221" t="b">
        <v>1</v>
      </c>
      <c r="S82" s="1222" t="b">
        <v>0</v>
      </c>
      <c r="T82" s="1222" t="b">
        <v>0</v>
      </c>
      <c r="U82" s="1221"/>
      <c r="V82" s="1222"/>
      <c r="W82" s="1222"/>
      <c r="X82" s="1222"/>
      <c r="Y82" s="1222"/>
    </row>
    <row r="83">
      <c r="A83" s="1215">
        <v>18.0</v>
      </c>
      <c r="B83" s="1216" t="s">
        <v>13272</v>
      </c>
      <c r="C83" s="1215" t="s">
        <v>13373</v>
      </c>
      <c r="D83" s="1215" t="s">
        <v>13000</v>
      </c>
      <c r="E83" s="1215" t="s">
        <v>12265</v>
      </c>
      <c r="F83" s="1217">
        <v>39940.0</v>
      </c>
      <c r="G83" s="1215" t="s">
        <v>12872</v>
      </c>
      <c r="H83" s="1215" t="s">
        <v>13374</v>
      </c>
      <c r="I83" s="1218">
        <v>8.9151417868E10</v>
      </c>
      <c r="J83" s="1215" t="s">
        <v>13375</v>
      </c>
      <c r="K83" s="1215" t="s">
        <v>13376</v>
      </c>
      <c r="L83" s="1215"/>
      <c r="M83" s="1218">
        <v>7.9161022391E10</v>
      </c>
      <c r="N83" s="1215" t="s">
        <v>13377</v>
      </c>
      <c r="O83" s="1215">
        <v>8.9154920382E10</v>
      </c>
      <c r="P83" s="1215" t="s">
        <v>13375</v>
      </c>
      <c r="Q83" s="1220" t="b">
        <v>1</v>
      </c>
      <c r="R83" s="1221" t="b">
        <v>1</v>
      </c>
      <c r="S83" s="1221" t="b">
        <v>1</v>
      </c>
      <c r="T83" s="1222" t="b">
        <v>0</v>
      </c>
      <c r="U83" s="1221"/>
      <c r="V83" s="1222"/>
      <c r="W83" s="1222"/>
      <c r="X83" s="1222"/>
      <c r="Y83" s="1222"/>
    </row>
    <row r="84">
      <c r="A84" s="1215">
        <v>19.0</v>
      </c>
      <c r="B84" s="1216" t="s">
        <v>13272</v>
      </c>
      <c r="C84" s="1215" t="s">
        <v>13378</v>
      </c>
      <c r="D84" s="1215" t="s">
        <v>12513</v>
      </c>
      <c r="E84" s="1219" t="s">
        <v>13379</v>
      </c>
      <c r="F84" s="1226">
        <v>40038.0</v>
      </c>
      <c r="G84" s="1219" t="s">
        <v>12872</v>
      </c>
      <c r="H84" s="1219" t="s">
        <v>13380</v>
      </c>
      <c r="I84" s="1218">
        <v>8.9168007456E10</v>
      </c>
      <c r="J84" s="1219" t="s">
        <v>13381</v>
      </c>
      <c r="K84" s="1219" t="s">
        <v>13382</v>
      </c>
      <c r="L84" s="1219"/>
      <c r="M84" s="1218">
        <v>8.9160624256E10</v>
      </c>
      <c r="N84" s="1219" t="s">
        <v>13383</v>
      </c>
      <c r="O84" s="1219" t="s">
        <v>13384</v>
      </c>
      <c r="P84" s="1219" t="s">
        <v>13385</v>
      </c>
      <c r="Q84" s="1220" t="b">
        <v>1</v>
      </c>
      <c r="R84" s="1221" t="b">
        <v>1</v>
      </c>
      <c r="S84" s="1222" t="b">
        <v>0</v>
      </c>
      <c r="T84" s="1222" t="b">
        <v>0</v>
      </c>
      <c r="U84" s="1221"/>
      <c r="V84" s="1222"/>
      <c r="W84" s="1222"/>
      <c r="X84" s="1222"/>
      <c r="Y84" s="1222"/>
    </row>
    <row r="85">
      <c r="A85" s="1215">
        <v>20.0</v>
      </c>
      <c r="B85" s="1216" t="s">
        <v>13272</v>
      </c>
      <c r="C85" s="1215" t="s">
        <v>13386</v>
      </c>
      <c r="D85" s="1215" t="s">
        <v>13387</v>
      </c>
      <c r="E85" s="1215" t="s">
        <v>13388</v>
      </c>
      <c r="F85" s="1217">
        <v>40026.0</v>
      </c>
      <c r="G85" s="1215" t="s">
        <v>12872</v>
      </c>
      <c r="H85" s="1215" t="s">
        <v>13389</v>
      </c>
      <c r="I85" s="1218">
        <v>8.9152345092E10</v>
      </c>
      <c r="J85" s="1215" t="s">
        <v>13390</v>
      </c>
      <c r="K85" s="1215" t="s">
        <v>13391</v>
      </c>
      <c r="L85" s="1215"/>
      <c r="M85" s="1218">
        <v>8.9166751573E10</v>
      </c>
      <c r="N85" s="1215" t="s">
        <v>13392</v>
      </c>
      <c r="O85" s="1215">
        <v>8.9161198695E10</v>
      </c>
      <c r="P85" s="1215" t="s">
        <v>13393</v>
      </c>
      <c r="Q85" s="1220" t="b">
        <v>1</v>
      </c>
      <c r="R85" s="1221" t="b">
        <v>1</v>
      </c>
      <c r="S85" s="1222" t="b">
        <v>0</v>
      </c>
      <c r="T85" s="1222" t="b">
        <v>0</v>
      </c>
      <c r="U85" s="1221"/>
      <c r="V85" s="1222"/>
      <c r="W85" s="1222"/>
      <c r="X85" s="1222"/>
      <c r="Y85" s="1222"/>
    </row>
    <row r="86">
      <c r="A86" s="1215">
        <v>21.0</v>
      </c>
      <c r="B86" s="1216" t="s">
        <v>13272</v>
      </c>
      <c r="C86" s="1223" t="s">
        <v>13394</v>
      </c>
      <c r="D86" s="1223" t="s">
        <v>13395</v>
      </c>
      <c r="E86" s="1219" t="s">
        <v>12274</v>
      </c>
      <c r="F86" s="1224">
        <v>40413.0</v>
      </c>
      <c r="G86" s="1219" t="s">
        <v>12872</v>
      </c>
      <c r="H86" s="1219" t="s">
        <v>13396</v>
      </c>
      <c r="I86" s="1218">
        <v>8.9175374494E10</v>
      </c>
      <c r="J86" s="1219" t="s">
        <v>13397</v>
      </c>
      <c r="K86" s="1219" t="s">
        <v>13398</v>
      </c>
      <c r="L86" s="1219"/>
      <c r="M86" s="1218">
        <v>8.9262322182E10</v>
      </c>
      <c r="N86" s="1219" t="s">
        <v>13399</v>
      </c>
      <c r="O86" s="1219" t="s">
        <v>13400</v>
      </c>
      <c r="P86" s="1219" t="s">
        <v>13401</v>
      </c>
      <c r="Q86" s="1228" t="b">
        <v>0</v>
      </c>
      <c r="R86" s="1222" t="b">
        <v>0</v>
      </c>
      <c r="S86" s="1222" t="b">
        <v>0</v>
      </c>
      <c r="T86" s="1222" t="b">
        <v>0</v>
      </c>
      <c r="U86" s="1221"/>
      <c r="V86" s="1222"/>
      <c r="W86" s="1222"/>
      <c r="X86" s="1222"/>
      <c r="Y86" s="1222"/>
    </row>
    <row r="87">
      <c r="A87" s="1215">
        <v>22.0</v>
      </c>
      <c r="B87" s="1216" t="s">
        <v>13272</v>
      </c>
      <c r="C87" s="1215" t="s">
        <v>13402</v>
      </c>
      <c r="D87" s="1215" t="s">
        <v>13312</v>
      </c>
      <c r="E87" s="1219" t="s">
        <v>12391</v>
      </c>
      <c r="F87" s="1224">
        <v>40232.0</v>
      </c>
      <c r="G87" s="1219" t="s">
        <v>12872</v>
      </c>
      <c r="H87" s="1219" t="s">
        <v>13403</v>
      </c>
      <c r="I87" s="1218">
        <v>8.9262467316E10</v>
      </c>
      <c r="J87" s="1219" t="s">
        <v>13404</v>
      </c>
      <c r="K87" s="1219" t="s">
        <v>13405</v>
      </c>
      <c r="L87" s="1219"/>
      <c r="M87" s="1218">
        <v>8.9265792799E10</v>
      </c>
      <c r="N87" s="1219" t="s">
        <v>13406</v>
      </c>
      <c r="O87" s="1219" t="s">
        <v>13407</v>
      </c>
      <c r="P87" s="1219" t="s">
        <v>13408</v>
      </c>
      <c r="Q87" s="1220" t="b">
        <v>1</v>
      </c>
      <c r="R87" s="1221" t="b">
        <v>1</v>
      </c>
      <c r="S87" s="1221" t="b">
        <v>1</v>
      </c>
      <c r="T87" s="1221" t="b">
        <v>1</v>
      </c>
      <c r="U87" s="1221"/>
      <c r="V87" s="1222"/>
      <c r="W87" s="1222"/>
      <c r="X87" s="1222"/>
      <c r="Y87" s="1222"/>
    </row>
    <row r="88">
      <c r="A88" s="1215">
        <v>23.0</v>
      </c>
      <c r="B88" s="1216" t="s">
        <v>13272</v>
      </c>
      <c r="C88" s="1215" t="s">
        <v>13409</v>
      </c>
      <c r="D88" s="1215" t="s">
        <v>13410</v>
      </c>
      <c r="E88" s="1215" t="s">
        <v>12422</v>
      </c>
      <c r="F88" s="1217">
        <v>40034.0</v>
      </c>
      <c r="G88" s="1215" t="s">
        <v>12872</v>
      </c>
      <c r="H88" s="1215" t="s">
        <v>13411</v>
      </c>
      <c r="I88" s="1218">
        <v>8.9163318372E10</v>
      </c>
      <c r="J88" s="1215" t="s">
        <v>13412</v>
      </c>
      <c r="K88" s="1215" t="s">
        <v>13413</v>
      </c>
      <c r="L88" s="1215"/>
      <c r="M88" s="1218">
        <v>8.9152885179E10</v>
      </c>
      <c r="N88" s="1215" t="s">
        <v>13414</v>
      </c>
      <c r="O88" s="1215">
        <v>8.9160232872E10</v>
      </c>
      <c r="P88" s="1215" t="s">
        <v>13415</v>
      </c>
      <c r="Q88" s="1228" t="b">
        <v>0</v>
      </c>
      <c r="R88" s="1221" t="b">
        <v>1</v>
      </c>
      <c r="S88" s="1221" t="b">
        <v>0</v>
      </c>
      <c r="T88" s="1222" t="b">
        <v>0</v>
      </c>
      <c r="U88" s="1221"/>
      <c r="V88" s="1222"/>
      <c r="W88" s="1222"/>
      <c r="X88" s="1222"/>
      <c r="Y88" s="1222"/>
    </row>
    <row r="89">
      <c r="A89" s="1215">
        <v>24.0</v>
      </c>
      <c r="B89" s="1216" t="s">
        <v>13272</v>
      </c>
      <c r="C89" s="1215" t="s">
        <v>13416</v>
      </c>
      <c r="D89" s="1215" t="s">
        <v>12553</v>
      </c>
      <c r="E89" s="1215" t="s">
        <v>13417</v>
      </c>
      <c r="F89" s="1217">
        <v>40072.0</v>
      </c>
      <c r="G89" s="1215" t="s">
        <v>12872</v>
      </c>
      <c r="H89" s="1215" t="s">
        <v>13418</v>
      </c>
      <c r="I89" s="1218">
        <v>8.9165394904E10</v>
      </c>
      <c r="J89" s="1215" t="s">
        <v>13419</v>
      </c>
      <c r="K89" s="1215" t="s">
        <v>13420</v>
      </c>
      <c r="L89" s="1215"/>
      <c r="M89" s="1218">
        <v>8.9161523457E10</v>
      </c>
      <c r="N89" s="1215" t="s">
        <v>13421</v>
      </c>
      <c r="O89" s="1215">
        <v>8.9165106329E10</v>
      </c>
      <c r="P89" s="1215" t="s">
        <v>13422</v>
      </c>
      <c r="Q89" s="1220" t="b">
        <v>1</v>
      </c>
      <c r="R89" s="1221" t="b">
        <v>1</v>
      </c>
      <c r="S89" s="1221" t="b">
        <v>1</v>
      </c>
      <c r="T89" s="1222" t="b">
        <v>0</v>
      </c>
      <c r="U89" s="1221"/>
      <c r="V89" s="1222"/>
      <c r="W89" s="1222"/>
      <c r="X89" s="1222"/>
      <c r="Y89" s="1222"/>
    </row>
    <row r="90">
      <c r="A90" s="1215">
        <v>25.0</v>
      </c>
      <c r="B90" s="1216" t="s">
        <v>13272</v>
      </c>
      <c r="C90" s="1223" t="s">
        <v>13423</v>
      </c>
      <c r="D90" s="1223" t="s">
        <v>12287</v>
      </c>
      <c r="E90" s="1219" t="s">
        <v>13424</v>
      </c>
      <c r="F90" s="1224">
        <v>40209.0</v>
      </c>
      <c r="G90" s="1219" t="s">
        <v>12872</v>
      </c>
      <c r="H90" s="1219" t="s">
        <v>13425</v>
      </c>
      <c r="I90" s="1225">
        <v>8.9032902029E10</v>
      </c>
      <c r="J90" s="1219" t="s">
        <v>13426</v>
      </c>
      <c r="K90" s="1219" t="s">
        <v>13427</v>
      </c>
      <c r="L90" s="1219"/>
      <c r="M90" s="1225">
        <v>8.9647882607E10</v>
      </c>
      <c r="N90" s="1219" t="s">
        <v>13428</v>
      </c>
      <c r="O90" s="1219">
        <v>8.9057618464E10</v>
      </c>
      <c r="P90" s="1219" t="s">
        <v>13429</v>
      </c>
      <c r="Q90" s="1228" t="b">
        <v>0</v>
      </c>
      <c r="R90" s="1222" t="b">
        <v>0</v>
      </c>
      <c r="S90" s="1222" t="b">
        <v>0</v>
      </c>
      <c r="T90" s="1222" t="b">
        <v>0</v>
      </c>
      <c r="U90" s="1221"/>
      <c r="V90" s="1222"/>
      <c r="W90" s="1222"/>
      <c r="X90" s="1222"/>
      <c r="Y90" s="1222"/>
    </row>
    <row r="91">
      <c r="A91" s="1215">
        <v>26.0</v>
      </c>
      <c r="B91" s="1215" t="s">
        <v>13272</v>
      </c>
      <c r="C91" s="1223" t="s">
        <v>12248</v>
      </c>
      <c r="D91" s="1223" t="s">
        <v>12531</v>
      </c>
      <c r="E91" s="1219" t="s">
        <v>12281</v>
      </c>
      <c r="F91" s="1224">
        <v>39755.0</v>
      </c>
      <c r="G91" s="1219" t="s">
        <v>12872</v>
      </c>
      <c r="H91" s="1219" t="s">
        <v>13430</v>
      </c>
      <c r="I91" s="1218">
        <v>8.9151543245E10</v>
      </c>
      <c r="J91" s="1219" t="s">
        <v>13431</v>
      </c>
      <c r="K91" s="1219" t="s">
        <v>13432</v>
      </c>
      <c r="L91" s="1219"/>
      <c r="M91" s="1218">
        <v>8.985761835E10</v>
      </c>
      <c r="N91" s="1219" t="s">
        <v>13433</v>
      </c>
      <c r="O91" s="1219" t="s">
        <v>13434</v>
      </c>
      <c r="P91" s="1219" t="s">
        <v>13431</v>
      </c>
      <c r="Q91" s="1228" t="b">
        <v>0</v>
      </c>
      <c r="R91" s="1222" t="b">
        <v>0</v>
      </c>
      <c r="S91" s="1222" t="b">
        <v>0</v>
      </c>
      <c r="T91" s="1221" t="b">
        <v>1</v>
      </c>
      <c r="U91" s="1221"/>
      <c r="V91" s="1222"/>
      <c r="W91" s="1222"/>
      <c r="X91" s="1222"/>
      <c r="Y91" s="1222"/>
    </row>
    <row r="92">
      <c r="A92" s="1215">
        <v>1.0</v>
      </c>
      <c r="B92" s="1216" t="s">
        <v>13435</v>
      </c>
      <c r="C92" s="1215" t="s">
        <v>13436</v>
      </c>
      <c r="D92" s="1215" t="s">
        <v>13437</v>
      </c>
      <c r="E92" s="1215" t="s">
        <v>12283</v>
      </c>
      <c r="F92" s="1217">
        <v>39986.0</v>
      </c>
      <c r="G92" s="1219" t="s">
        <v>12872</v>
      </c>
      <c r="H92" s="1229" t="s">
        <v>13438</v>
      </c>
      <c r="I92" s="1230">
        <v>8.9161064695E10</v>
      </c>
      <c r="J92" s="1231" t="s">
        <v>13439</v>
      </c>
      <c r="K92" s="1219"/>
      <c r="L92" s="1219"/>
      <c r="M92" s="1225"/>
      <c r="N92" s="1219"/>
      <c r="O92" s="1219"/>
      <c r="P92" s="1219"/>
      <c r="Q92" s="1220" t="b">
        <v>1</v>
      </c>
      <c r="R92" s="1221" t="b">
        <v>1</v>
      </c>
      <c r="S92" s="1221" t="b">
        <v>1</v>
      </c>
      <c r="T92" s="1222" t="b">
        <v>0</v>
      </c>
      <c r="U92" s="1221"/>
      <c r="V92" s="1222"/>
      <c r="W92" s="1222"/>
      <c r="X92" s="1222"/>
      <c r="Y92" s="1222"/>
    </row>
    <row r="93">
      <c r="A93" s="1215">
        <v>2.0</v>
      </c>
      <c r="B93" s="1216" t="s">
        <v>13435</v>
      </c>
      <c r="C93" s="1215" t="s">
        <v>13440</v>
      </c>
      <c r="D93" s="1215" t="s">
        <v>13312</v>
      </c>
      <c r="E93" s="1215" t="s">
        <v>12281</v>
      </c>
      <c r="F93" s="1217">
        <v>40039.0</v>
      </c>
      <c r="G93" s="1215" t="s">
        <v>12872</v>
      </c>
      <c r="H93" s="1215" t="s">
        <v>13441</v>
      </c>
      <c r="I93" s="1218">
        <v>8.9191073455E10</v>
      </c>
      <c r="J93" s="1215" t="s">
        <v>13442</v>
      </c>
      <c r="K93" s="1215" t="s">
        <v>13443</v>
      </c>
      <c r="L93" s="1215"/>
      <c r="M93" s="1218">
        <v>8.9999259296E10</v>
      </c>
      <c r="N93" s="1215" t="s">
        <v>13444</v>
      </c>
      <c r="O93" s="1215">
        <v>8.9166992303E10</v>
      </c>
      <c r="P93" s="1215" t="s">
        <v>13445</v>
      </c>
      <c r="Q93" s="1220" t="b">
        <v>1</v>
      </c>
      <c r="R93" s="1221" t="b">
        <v>1</v>
      </c>
      <c r="S93" s="1222" t="b">
        <v>0</v>
      </c>
      <c r="T93" s="1222" t="b">
        <v>0</v>
      </c>
      <c r="U93" s="1221"/>
      <c r="V93" s="1222"/>
      <c r="W93" s="1222"/>
      <c r="X93" s="1222"/>
      <c r="Y93" s="1222"/>
    </row>
    <row r="94">
      <c r="A94" s="1215">
        <v>3.0</v>
      </c>
      <c r="B94" s="1216" t="s">
        <v>13435</v>
      </c>
      <c r="C94" s="1215" t="s">
        <v>13446</v>
      </c>
      <c r="D94" s="1215" t="s">
        <v>12251</v>
      </c>
      <c r="E94" s="1219" t="s">
        <v>13447</v>
      </c>
      <c r="F94" s="1224">
        <v>39968.0</v>
      </c>
      <c r="G94" s="1219" t="s">
        <v>12872</v>
      </c>
      <c r="H94" s="1219" t="s">
        <v>13448</v>
      </c>
      <c r="I94" s="1225">
        <v>8.9037818865E10</v>
      </c>
      <c r="J94" s="1219" t="s">
        <v>13449</v>
      </c>
      <c r="K94" s="1219" t="s">
        <v>13450</v>
      </c>
      <c r="L94" s="1219"/>
      <c r="M94" s="1225">
        <v>8.9153092513E10</v>
      </c>
      <c r="N94" s="1219" t="s">
        <v>13451</v>
      </c>
      <c r="O94" s="1219">
        <v>8.9636598123E10</v>
      </c>
      <c r="P94" s="1219" t="s">
        <v>13452</v>
      </c>
      <c r="Q94" s="1220" t="b">
        <v>1</v>
      </c>
      <c r="R94" s="1221" t="b">
        <v>1</v>
      </c>
      <c r="S94" s="1222" t="b">
        <v>0</v>
      </c>
      <c r="T94" s="1221" t="b">
        <v>1</v>
      </c>
      <c r="U94" s="1221"/>
      <c r="V94" s="1222"/>
      <c r="W94" s="1222"/>
      <c r="X94" s="1222"/>
      <c r="Y94" s="1222"/>
    </row>
    <row r="95">
      <c r="A95" s="1215">
        <v>4.0</v>
      </c>
      <c r="B95" s="1216" t="s">
        <v>13435</v>
      </c>
      <c r="C95" s="1223" t="s">
        <v>12177</v>
      </c>
      <c r="D95" s="1223" t="s">
        <v>12405</v>
      </c>
      <c r="E95" s="1219" t="s">
        <v>13453</v>
      </c>
      <c r="F95" s="1224">
        <v>40214.0</v>
      </c>
      <c r="G95" s="1219" t="s">
        <v>12872</v>
      </c>
      <c r="H95" s="1219" t="s">
        <v>13454</v>
      </c>
      <c r="I95" s="1225">
        <v>8.906791846E10</v>
      </c>
      <c r="J95" s="1219" t="s">
        <v>13455</v>
      </c>
      <c r="K95" s="1219" t="s">
        <v>13456</v>
      </c>
      <c r="L95" s="1219"/>
      <c r="M95" s="1225">
        <v>8.9036749237E10</v>
      </c>
      <c r="N95" s="1219" t="s">
        <v>13457</v>
      </c>
      <c r="O95" s="1219" t="s">
        <v>13458</v>
      </c>
      <c r="P95" s="1219" t="s">
        <v>13459</v>
      </c>
      <c r="Q95" s="1220" t="b">
        <v>1</v>
      </c>
      <c r="R95" s="1221" t="b">
        <v>1</v>
      </c>
      <c r="S95" s="1221" t="b">
        <v>1</v>
      </c>
      <c r="T95" s="1222" t="b">
        <v>0</v>
      </c>
      <c r="U95" s="1221"/>
      <c r="V95" s="1222"/>
      <c r="W95" s="1222"/>
      <c r="X95" s="1222"/>
      <c r="Y95" s="1222"/>
    </row>
    <row r="96">
      <c r="A96" s="1215">
        <v>5.0</v>
      </c>
      <c r="B96" s="1216" t="s">
        <v>13435</v>
      </c>
      <c r="C96" s="1215" t="s">
        <v>13460</v>
      </c>
      <c r="D96" s="1215" t="s">
        <v>13461</v>
      </c>
      <c r="E96" s="1215" t="s">
        <v>12294</v>
      </c>
      <c r="F96" s="1217">
        <v>40435.0</v>
      </c>
      <c r="G96" s="1215" t="s">
        <v>12872</v>
      </c>
      <c r="H96" s="1215" t="s">
        <v>13462</v>
      </c>
      <c r="I96" s="1218">
        <v>8.9096494976E10</v>
      </c>
      <c r="J96" s="1215" t="s">
        <v>13463</v>
      </c>
      <c r="K96" s="1215" t="s">
        <v>13464</v>
      </c>
      <c r="L96" s="1215"/>
      <c r="M96" s="1218">
        <v>8.9031590088E10</v>
      </c>
      <c r="N96" s="1215" t="s">
        <v>13465</v>
      </c>
      <c r="O96" s="1215">
        <v>8.9031235559E10</v>
      </c>
      <c r="P96" s="1215" t="s">
        <v>13463</v>
      </c>
      <c r="Q96" s="1220" t="b">
        <v>1</v>
      </c>
      <c r="R96" s="1221" t="b">
        <v>1</v>
      </c>
      <c r="S96" s="1221" t="b">
        <v>1</v>
      </c>
      <c r="T96" s="1222" t="b">
        <v>0</v>
      </c>
      <c r="U96" s="1221"/>
      <c r="V96" s="1222"/>
      <c r="W96" s="1222"/>
      <c r="X96" s="1222"/>
      <c r="Y96" s="1222"/>
    </row>
    <row r="97">
      <c r="A97" s="1215">
        <v>6.0</v>
      </c>
      <c r="B97" s="1216" t="s">
        <v>13435</v>
      </c>
      <c r="C97" s="1215" t="s">
        <v>13466</v>
      </c>
      <c r="D97" s="1215" t="s">
        <v>12255</v>
      </c>
      <c r="E97" s="1215" t="s">
        <v>12256</v>
      </c>
      <c r="F97" s="1217">
        <v>39860.0</v>
      </c>
      <c r="G97" s="1215" t="s">
        <v>12872</v>
      </c>
      <c r="H97" s="1215" t="s">
        <v>13467</v>
      </c>
      <c r="I97" s="1218">
        <v>8.9629546383E10</v>
      </c>
      <c r="J97" s="1215" t="s">
        <v>13468</v>
      </c>
      <c r="K97" s="1215" t="s">
        <v>13469</v>
      </c>
      <c r="L97" s="1215"/>
      <c r="M97" s="1218">
        <v>8.9067837628E10</v>
      </c>
      <c r="N97" s="1215" t="s">
        <v>13470</v>
      </c>
      <c r="O97" s="1215">
        <v>8.965377894E10</v>
      </c>
      <c r="P97" s="1215" t="s">
        <v>13471</v>
      </c>
      <c r="Q97" s="1220" t="b">
        <v>1</v>
      </c>
      <c r="R97" s="1221" t="b">
        <v>1</v>
      </c>
      <c r="S97" s="1221" t="b">
        <v>1</v>
      </c>
      <c r="T97" s="1222" t="b">
        <v>0</v>
      </c>
      <c r="U97" s="1221"/>
      <c r="V97" s="1222"/>
      <c r="W97" s="1222"/>
      <c r="X97" s="1222"/>
      <c r="Y97" s="1222"/>
    </row>
    <row r="98">
      <c r="A98" s="1215">
        <v>7.0</v>
      </c>
      <c r="B98" s="1216" t="s">
        <v>13435</v>
      </c>
      <c r="C98" s="1223" t="s">
        <v>13472</v>
      </c>
      <c r="D98" s="1223" t="s">
        <v>13355</v>
      </c>
      <c r="E98" s="1219" t="s">
        <v>13473</v>
      </c>
      <c r="F98" s="1226">
        <v>40236.0</v>
      </c>
      <c r="G98" s="1219" t="s">
        <v>12872</v>
      </c>
      <c r="H98" s="1219" t="s">
        <v>13474</v>
      </c>
      <c r="I98" s="1225">
        <v>8.9262101207E10</v>
      </c>
      <c r="J98" s="1219" t="s">
        <v>13475</v>
      </c>
      <c r="K98" s="1219" t="s">
        <v>13476</v>
      </c>
      <c r="L98" s="1219"/>
      <c r="M98" s="1225">
        <v>8.9262101506E10</v>
      </c>
      <c r="N98" s="1219" t="s">
        <v>13477</v>
      </c>
      <c r="O98" s="1219">
        <v>8.9955064566E10</v>
      </c>
      <c r="P98" s="1219" t="s">
        <v>13478</v>
      </c>
      <c r="Q98" s="1220" t="b">
        <v>1</v>
      </c>
      <c r="R98" s="1221" t="b">
        <v>1</v>
      </c>
      <c r="S98" s="1222" t="b">
        <v>0</v>
      </c>
      <c r="T98" s="1222" t="b">
        <v>0</v>
      </c>
      <c r="U98" s="1221"/>
      <c r="V98" s="1222"/>
      <c r="W98" s="1222"/>
      <c r="X98" s="1222"/>
      <c r="Y98" s="1222"/>
    </row>
    <row r="99">
      <c r="A99" s="1215">
        <v>8.0</v>
      </c>
      <c r="B99" s="1216" t="s">
        <v>13435</v>
      </c>
      <c r="C99" s="1215" t="s">
        <v>12213</v>
      </c>
      <c r="D99" s="1215" t="s">
        <v>13276</v>
      </c>
      <c r="E99" s="1219" t="s">
        <v>12281</v>
      </c>
      <c r="F99" s="1217">
        <v>39674.0</v>
      </c>
      <c r="G99" s="1219" t="s">
        <v>12872</v>
      </c>
      <c r="H99" s="1219" t="s">
        <v>13479</v>
      </c>
      <c r="I99" s="1218">
        <v>8.9260796463E10</v>
      </c>
      <c r="J99" s="1219" t="s">
        <v>13480</v>
      </c>
      <c r="K99" s="1219" t="s">
        <v>13481</v>
      </c>
      <c r="L99" s="1219"/>
      <c r="M99" s="1218" t="s">
        <v>13105</v>
      </c>
      <c r="N99" s="1215" t="s">
        <v>13105</v>
      </c>
      <c r="O99" s="1219" t="s">
        <v>13482</v>
      </c>
      <c r="P99" s="1219" t="s">
        <v>13483</v>
      </c>
      <c r="Q99" s="1220" t="b">
        <v>1</v>
      </c>
      <c r="R99" s="1221" t="b">
        <v>1</v>
      </c>
      <c r="S99" s="1222" t="b">
        <v>0</v>
      </c>
      <c r="T99" s="1222" t="b">
        <v>0</v>
      </c>
      <c r="U99" s="1221"/>
      <c r="V99" s="1222"/>
      <c r="W99" s="1222"/>
      <c r="X99" s="1222"/>
      <c r="Y99" s="1222"/>
    </row>
    <row r="100">
      <c r="A100" s="1215">
        <v>9.0</v>
      </c>
      <c r="B100" s="1216" t="s">
        <v>13435</v>
      </c>
      <c r="C100" s="1215" t="s">
        <v>13484</v>
      </c>
      <c r="D100" s="1215" t="s">
        <v>13485</v>
      </c>
      <c r="E100" s="1215" t="s">
        <v>13486</v>
      </c>
      <c r="F100" s="1217">
        <v>39955.0</v>
      </c>
      <c r="G100" s="1215" t="s">
        <v>12872</v>
      </c>
      <c r="H100" s="1215" t="s">
        <v>13487</v>
      </c>
      <c r="I100" s="1218">
        <v>8.9057764114E10</v>
      </c>
      <c r="J100" s="1215" t="s">
        <v>13488</v>
      </c>
      <c r="K100" s="1215" t="s">
        <v>13489</v>
      </c>
      <c r="L100" s="1215"/>
      <c r="M100" s="1218">
        <v>8.9060525565E10</v>
      </c>
      <c r="N100" s="1215" t="s">
        <v>13490</v>
      </c>
      <c r="O100" s="1215">
        <v>8.9684695113E10</v>
      </c>
      <c r="P100" s="1215" t="s">
        <v>13491</v>
      </c>
      <c r="Q100" s="1220" t="b">
        <v>1</v>
      </c>
      <c r="R100" s="1221" t="b">
        <v>1</v>
      </c>
      <c r="S100" s="1221" t="b">
        <v>1</v>
      </c>
      <c r="T100" s="1222" t="b">
        <v>0</v>
      </c>
      <c r="U100" s="1221"/>
      <c r="V100" s="1222"/>
      <c r="W100" s="1222"/>
      <c r="X100" s="1222"/>
      <c r="Y100" s="1222"/>
    </row>
    <row r="101">
      <c r="A101" s="1215">
        <v>10.0</v>
      </c>
      <c r="B101" s="1216" t="s">
        <v>13435</v>
      </c>
      <c r="C101" s="1215" t="s">
        <v>13492</v>
      </c>
      <c r="D101" s="1215" t="s">
        <v>12273</v>
      </c>
      <c r="E101" s="1215" t="s">
        <v>12277</v>
      </c>
      <c r="F101" s="1217">
        <v>39918.0</v>
      </c>
      <c r="G101" s="1215" t="s">
        <v>12872</v>
      </c>
      <c r="H101" s="1215" t="s">
        <v>13493</v>
      </c>
      <c r="I101" s="1218">
        <v>8.9169139436E10</v>
      </c>
      <c r="J101" s="1215" t="s">
        <v>13494</v>
      </c>
      <c r="K101" s="1215" t="s">
        <v>13495</v>
      </c>
      <c r="L101" s="1215"/>
      <c r="M101" s="1218">
        <v>8.9104768653E10</v>
      </c>
      <c r="N101" s="1215" t="s">
        <v>13496</v>
      </c>
      <c r="O101" s="1215">
        <v>8.9057296566E10</v>
      </c>
      <c r="P101" s="1215" t="s">
        <v>13497</v>
      </c>
      <c r="Q101" s="1220" t="b">
        <v>1</v>
      </c>
      <c r="R101" s="1221" t="b">
        <v>1</v>
      </c>
      <c r="S101" s="1221" t="b">
        <v>1</v>
      </c>
      <c r="T101" s="1221" t="b">
        <v>1</v>
      </c>
      <c r="U101" s="1221"/>
      <c r="V101" s="1222"/>
      <c r="W101" s="1222"/>
      <c r="X101" s="1222"/>
      <c r="Y101" s="1222"/>
    </row>
    <row r="102">
      <c r="A102" s="1215">
        <v>11.0</v>
      </c>
      <c r="B102" s="1216" t="s">
        <v>13435</v>
      </c>
      <c r="C102" s="1223" t="s">
        <v>13498</v>
      </c>
      <c r="D102" s="1223" t="s">
        <v>12273</v>
      </c>
      <c r="E102" s="1219" t="s">
        <v>13499</v>
      </c>
      <c r="F102" s="1226">
        <v>40339.0</v>
      </c>
      <c r="G102" s="1219" t="s">
        <v>12861</v>
      </c>
      <c r="H102" s="1219" t="s">
        <v>13500</v>
      </c>
      <c r="I102" s="1225">
        <v>8.9150161219E10</v>
      </c>
      <c r="J102" s="1219" t="s">
        <v>13501</v>
      </c>
      <c r="K102" s="1219" t="s">
        <v>13502</v>
      </c>
      <c r="L102" s="1219"/>
      <c r="M102" s="1225">
        <v>8.965324677E10</v>
      </c>
      <c r="N102" s="1219" t="s">
        <v>13503</v>
      </c>
      <c r="O102" s="1219">
        <v>8.9165803831E10</v>
      </c>
      <c r="P102" s="1219" t="s">
        <v>13501</v>
      </c>
      <c r="Q102" s="1220" t="b">
        <v>1</v>
      </c>
      <c r="R102" s="1221" t="b">
        <v>1</v>
      </c>
      <c r="S102" s="1221" t="b">
        <v>1</v>
      </c>
      <c r="T102" s="1222" t="b">
        <v>0</v>
      </c>
      <c r="U102" s="1221"/>
      <c r="V102" s="1222"/>
      <c r="W102" s="1222"/>
      <c r="X102" s="1222"/>
      <c r="Y102" s="1222"/>
    </row>
    <row r="103">
      <c r="A103" s="1215">
        <v>12.0</v>
      </c>
      <c r="B103" s="1216" t="s">
        <v>13435</v>
      </c>
      <c r="C103" s="1215" t="s">
        <v>12181</v>
      </c>
      <c r="D103" s="1215" t="s">
        <v>13504</v>
      </c>
      <c r="E103" s="1215" t="s">
        <v>13417</v>
      </c>
      <c r="F103" s="1217">
        <v>40188.0</v>
      </c>
      <c r="G103" s="1215" t="s">
        <v>12872</v>
      </c>
      <c r="H103" s="1215" t="s">
        <v>13505</v>
      </c>
      <c r="I103" s="1218">
        <v>8.9671728607E10</v>
      </c>
      <c r="J103" s="1215" t="s">
        <v>13506</v>
      </c>
      <c r="K103" s="1215" t="s">
        <v>13507</v>
      </c>
      <c r="L103" s="1215"/>
      <c r="M103" s="1218">
        <v>8.9104829615E10</v>
      </c>
      <c r="N103" s="1215" t="s">
        <v>13508</v>
      </c>
      <c r="O103" s="1215">
        <v>7.9261655506E10</v>
      </c>
      <c r="P103" s="1215" t="s">
        <v>13509</v>
      </c>
      <c r="Q103" s="1228" t="b">
        <v>0</v>
      </c>
      <c r="R103" s="1222" t="b">
        <v>0</v>
      </c>
      <c r="S103" s="1222" t="b">
        <v>0</v>
      </c>
      <c r="T103" s="1221" t="b">
        <v>1</v>
      </c>
      <c r="U103" s="1221"/>
      <c r="V103" s="1222"/>
      <c r="W103" s="1222"/>
      <c r="X103" s="1222"/>
      <c r="Y103" s="1222"/>
    </row>
    <row r="104">
      <c r="A104" s="1215">
        <v>13.0</v>
      </c>
      <c r="B104" s="1216" t="s">
        <v>13435</v>
      </c>
      <c r="C104" s="1223" t="s">
        <v>13510</v>
      </c>
      <c r="D104" s="1223" t="s">
        <v>12390</v>
      </c>
      <c r="E104" s="1219" t="s">
        <v>13511</v>
      </c>
      <c r="F104" s="1226">
        <v>39995.0</v>
      </c>
      <c r="G104" s="1219" t="s">
        <v>12872</v>
      </c>
      <c r="H104" s="1219" t="s">
        <v>13512</v>
      </c>
      <c r="I104" s="1218">
        <v>8.9130112171E10</v>
      </c>
      <c r="J104" s="1219" t="s">
        <v>13513</v>
      </c>
      <c r="K104" s="1219" t="s">
        <v>13514</v>
      </c>
      <c r="L104" s="1219"/>
      <c r="M104" s="1218">
        <v>8.923777613E10</v>
      </c>
      <c r="N104" s="1219" t="s">
        <v>13515</v>
      </c>
      <c r="O104" s="1219" t="s">
        <v>13516</v>
      </c>
      <c r="P104" s="1219" t="s">
        <v>13517</v>
      </c>
      <c r="Q104" s="1220" t="b">
        <v>1</v>
      </c>
      <c r="R104" s="1221" t="b">
        <v>1</v>
      </c>
      <c r="S104" s="1222" t="b">
        <v>0</v>
      </c>
      <c r="T104" s="1222" t="b">
        <v>0</v>
      </c>
      <c r="U104" s="1221"/>
      <c r="V104" s="1222"/>
      <c r="W104" s="1222"/>
      <c r="X104" s="1222"/>
      <c r="Y104" s="1222"/>
    </row>
    <row r="105">
      <c r="A105" s="1215">
        <v>14.0</v>
      </c>
      <c r="B105" s="1216" t="s">
        <v>13435</v>
      </c>
      <c r="C105" s="1215" t="s">
        <v>12209</v>
      </c>
      <c r="D105" s="1215" t="s">
        <v>12438</v>
      </c>
      <c r="E105" s="1215" t="s">
        <v>12281</v>
      </c>
      <c r="F105" s="1217">
        <v>40010.0</v>
      </c>
      <c r="G105" s="1215" t="s">
        <v>12872</v>
      </c>
      <c r="H105" s="1215" t="s">
        <v>12996</v>
      </c>
      <c r="I105" s="1218">
        <v>8.9263738309E10</v>
      </c>
      <c r="J105" s="1215" t="s">
        <v>12997</v>
      </c>
      <c r="K105" s="1215" t="s">
        <v>12998</v>
      </c>
      <c r="L105" s="1215"/>
      <c r="M105" s="1218">
        <v>8.9163061429E10</v>
      </c>
      <c r="N105" s="1215" t="s">
        <v>12999</v>
      </c>
      <c r="O105" s="1215">
        <v>8.977479991E10</v>
      </c>
      <c r="P105" s="1215" t="s">
        <v>13518</v>
      </c>
      <c r="Q105" s="1220" t="b">
        <v>1</v>
      </c>
      <c r="R105" s="1221" t="b">
        <v>1</v>
      </c>
      <c r="S105" s="1221" t="b">
        <v>1</v>
      </c>
      <c r="T105" s="1222" t="b">
        <v>0</v>
      </c>
      <c r="U105" s="1221"/>
      <c r="V105" s="1222"/>
      <c r="W105" s="1222"/>
      <c r="X105" s="1222"/>
      <c r="Y105" s="1222"/>
    </row>
    <row r="106">
      <c r="A106" s="1215">
        <v>15.0</v>
      </c>
      <c r="B106" s="1216" t="s">
        <v>13435</v>
      </c>
      <c r="C106" s="1215" t="s">
        <v>13519</v>
      </c>
      <c r="D106" s="1215" t="s">
        <v>13520</v>
      </c>
      <c r="E106" s="1215" t="s">
        <v>12433</v>
      </c>
      <c r="F106" s="1217">
        <v>40080.0</v>
      </c>
      <c r="G106" s="1215" t="s">
        <v>12872</v>
      </c>
      <c r="H106" s="1215" t="s">
        <v>13521</v>
      </c>
      <c r="I106" s="1218">
        <v>8.9104134519E10</v>
      </c>
      <c r="J106" s="1215" t="s">
        <v>13522</v>
      </c>
      <c r="K106" s="1215" t="s">
        <v>13523</v>
      </c>
      <c r="L106" s="1215"/>
      <c r="M106" s="1218">
        <v>8.9295462046E10</v>
      </c>
      <c r="N106" s="1215" t="s">
        <v>13524</v>
      </c>
      <c r="O106" s="1215">
        <v>8.9255739372E10</v>
      </c>
      <c r="P106" s="1215" t="s">
        <v>13525</v>
      </c>
      <c r="Q106" s="1220" t="b">
        <v>1</v>
      </c>
      <c r="R106" s="1221" t="b">
        <v>1</v>
      </c>
      <c r="S106" s="1222" t="b">
        <v>0</v>
      </c>
      <c r="T106" s="1221" t="b">
        <v>1</v>
      </c>
      <c r="U106" s="1221"/>
      <c r="V106" s="1222"/>
      <c r="W106" s="1222"/>
      <c r="X106" s="1222"/>
      <c r="Y106" s="1222"/>
    </row>
    <row r="107">
      <c r="A107" s="1215">
        <v>16.0</v>
      </c>
      <c r="B107" s="1216" t="s">
        <v>13435</v>
      </c>
      <c r="C107" s="1215" t="s">
        <v>13526</v>
      </c>
      <c r="D107" s="1215" t="s">
        <v>12255</v>
      </c>
      <c r="E107" s="1215" t="s">
        <v>12256</v>
      </c>
      <c r="F107" s="1217">
        <v>39899.0</v>
      </c>
      <c r="G107" s="1215" t="s">
        <v>12872</v>
      </c>
      <c r="H107" s="1215" t="s">
        <v>13527</v>
      </c>
      <c r="I107" s="1218">
        <v>8.9036827914E10</v>
      </c>
      <c r="J107" s="1215" t="s">
        <v>13528</v>
      </c>
      <c r="K107" s="1215" t="s">
        <v>13529</v>
      </c>
      <c r="L107" s="1215"/>
      <c r="M107" s="1218">
        <v>8.9036722496E10</v>
      </c>
      <c r="N107" s="1215" t="s">
        <v>13530</v>
      </c>
      <c r="O107" s="1215">
        <v>8.9036603466E10</v>
      </c>
      <c r="P107" s="1215" t="s">
        <v>13531</v>
      </c>
      <c r="Q107" s="1220" t="b">
        <v>1</v>
      </c>
      <c r="R107" s="1221" t="b">
        <v>1</v>
      </c>
      <c r="S107" s="1221" t="b">
        <v>1</v>
      </c>
      <c r="T107" s="1222" t="b">
        <v>0</v>
      </c>
      <c r="U107" s="1221"/>
      <c r="V107" s="1222"/>
      <c r="W107" s="1222"/>
      <c r="X107" s="1222"/>
      <c r="Y107" s="1222"/>
    </row>
    <row r="108">
      <c r="A108" s="1215">
        <v>17.0</v>
      </c>
      <c r="B108" s="1216" t="s">
        <v>13435</v>
      </c>
      <c r="C108" s="1215" t="s">
        <v>13532</v>
      </c>
      <c r="D108" s="1215" t="s">
        <v>13533</v>
      </c>
      <c r="E108" s="1215" t="s">
        <v>12277</v>
      </c>
      <c r="F108" s="1217">
        <v>39956.0</v>
      </c>
      <c r="G108" s="1215" t="s">
        <v>12872</v>
      </c>
      <c r="H108" s="1215" t="s">
        <v>13534</v>
      </c>
      <c r="I108" s="1218">
        <v>8.9852442124E10</v>
      </c>
      <c r="J108" s="1215" t="s">
        <v>13535</v>
      </c>
      <c r="K108" s="1215" t="s">
        <v>13536</v>
      </c>
      <c r="L108" s="1215"/>
      <c r="M108" s="1218">
        <v>8.9852630768E10</v>
      </c>
      <c r="N108" s="1215" t="s">
        <v>13537</v>
      </c>
      <c r="O108" s="1215" t="s">
        <v>13188</v>
      </c>
      <c r="P108" s="1215" t="s">
        <v>13188</v>
      </c>
      <c r="Q108" s="1220" t="b">
        <v>1</v>
      </c>
      <c r="R108" s="1221" t="b">
        <v>1</v>
      </c>
      <c r="S108" s="1221" t="b">
        <v>1</v>
      </c>
      <c r="T108" s="1222" t="b">
        <v>0</v>
      </c>
      <c r="U108" s="1221"/>
      <c r="V108" s="1222"/>
      <c r="W108" s="1222"/>
      <c r="X108" s="1222"/>
      <c r="Y108" s="1222"/>
    </row>
    <row r="109">
      <c r="A109" s="1215">
        <v>18.0</v>
      </c>
      <c r="B109" s="1216" t="s">
        <v>13435</v>
      </c>
      <c r="C109" s="1215" t="s">
        <v>13538</v>
      </c>
      <c r="D109" s="1215" t="s">
        <v>12795</v>
      </c>
      <c r="E109" s="1215" t="s">
        <v>12391</v>
      </c>
      <c r="F109" s="1217">
        <v>40426.0</v>
      </c>
      <c r="G109" s="1215" t="s">
        <v>12872</v>
      </c>
      <c r="H109" s="1215" t="s">
        <v>13539</v>
      </c>
      <c r="I109" s="1218">
        <v>8.9645829617E10</v>
      </c>
      <c r="J109" s="1215" t="s">
        <v>13540</v>
      </c>
      <c r="K109" s="1215" t="s">
        <v>13105</v>
      </c>
      <c r="L109" s="1215"/>
      <c r="M109" s="1218" t="s">
        <v>13105</v>
      </c>
      <c r="N109" s="1215" t="s">
        <v>13105</v>
      </c>
      <c r="O109" s="1215">
        <v>8.9663033611E10</v>
      </c>
      <c r="P109" s="1215" t="s">
        <v>13541</v>
      </c>
      <c r="Q109" s="1220" t="b">
        <v>1</v>
      </c>
      <c r="R109" s="1221" t="b">
        <v>1</v>
      </c>
      <c r="S109" s="1221" t="b">
        <v>1</v>
      </c>
      <c r="T109" s="1222" t="b">
        <v>0</v>
      </c>
      <c r="U109" s="1221"/>
      <c r="V109" s="1222"/>
      <c r="W109" s="1222"/>
      <c r="X109" s="1222"/>
      <c r="Y109" s="1222"/>
    </row>
    <row r="110">
      <c r="A110" s="1215">
        <v>19.0</v>
      </c>
      <c r="B110" s="1216" t="s">
        <v>13435</v>
      </c>
      <c r="C110" s="1215" t="s">
        <v>13542</v>
      </c>
      <c r="D110" s="1215" t="s">
        <v>12251</v>
      </c>
      <c r="E110" s="1215" t="s">
        <v>12433</v>
      </c>
      <c r="F110" s="1217">
        <v>40231.0</v>
      </c>
      <c r="G110" s="1215" t="s">
        <v>12861</v>
      </c>
      <c r="H110" s="1215" t="s">
        <v>13543</v>
      </c>
      <c r="I110" s="1218">
        <v>8.962987043E10</v>
      </c>
      <c r="J110" s="1215" t="s">
        <v>13544</v>
      </c>
      <c r="K110" s="1215" t="s">
        <v>13545</v>
      </c>
      <c r="L110" s="1215"/>
      <c r="M110" s="1218">
        <v>8.9857668652E10</v>
      </c>
      <c r="N110" s="1215" t="s">
        <v>13544</v>
      </c>
      <c r="O110" s="1215">
        <v>8.9588034585E10</v>
      </c>
      <c r="P110" s="1215" t="s">
        <v>13546</v>
      </c>
      <c r="Q110" s="1220" t="b">
        <v>1</v>
      </c>
      <c r="R110" s="1221" t="b">
        <v>1</v>
      </c>
      <c r="S110" s="1222" t="b">
        <v>0</v>
      </c>
      <c r="T110" s="1222" t="b">
        <v>0</v>
      </c>
      <c r="U110" s="1221"/>
      <c r="V110" s="1222"/>
      <c r="W110" s="1222"/>
      <c r="X110" s="1222"/>
      <c r="Y110" s="1222"/>
    </row>
    <row r="111">
      <c r="A111" s="1215">
        <v>20.0</v>
      </c>
      <c r="B111" s="1216" t="s">
        <v>13435</v>
      </c>
      <c r="C111" s="1215" t="s">
        <v>12173</v>
      </c>
      <c r="D111" s="1215" t="s">
        <v>13547</v>
      </c>
      <c r="E111" s="1215" t="s">
        <v>12259</v>
      </c>
      <c r="F111" s="1217">
        <v>39905.0</v>
      </c>
      <c r="G111" s="1215" t="s">
        <v>13548</v>
      </c>
      <c r="H111" s="1215" t="s">
        <v>13549</v>
      </c>
      <c r="I111" s="1218">
        <v>8.9096487256E10</v>
      </c>
      <c r="J111" s="1215" t="s">
        <v>13550</v>
      </c>
      <c r="K111" s="1215" t="s">
        <v>13551</v>
      </c>
      <c r="L111" s="1215"/>
      <c r="M111" s="1218">
        <v>8.9156855516E10</v>
      </c>
      <c r="N111" s="1215" t="s">
        <v>13552</v>
      </c>
      <c r="O111" s="1215">
        <v>8.966143594E10</v>
      </c>
      <c r="P111" s="1215" t="s">
        <v>13553</v>
      </c>
      <c r="Q111" s="1220" t="b">
        <v>1</v>
      </c>
      <c r="R111" s="1221" t="b">
        <v>1</v>
      </c>
      <c r="S111" s="1222" t="b">
        <v>0</v>
      </c>
      <c r="T111" s="1222" t="b">
        <v>0</v>
      </c>
      <c r="U111" s="1221"/>
      <c r="V111" s="1222"/>
      <c r="W111" s="1222"/>
      <c r="X111" s="1222"/>
      <c r="Y111" s="1222"/>
    </row>
    <row r="112">
      <c r="A112" s="1215">
        <v>21.0</v>
      </c>
      <c r="B112" s="1216" t="s">
        <v>13435</v>
      </c>
      <c r="C112" s="1215" t="s">
        <v>13554</v>
      </c>
      <c r="D112" s="1215" t="s">
        <v>13555</v>
      </c>
      <c r="E112" s="1215" t="s">
        <v>12433</v>
      </c>
      <c r="F112" s="1217">
        <v>39892.0</v>
      </c>
      <c r="G112" s="1215" t="s">
        <v>12872</v>
      </c>
      <c r="H112" s="1215" t="s">
        <v>13556</v>
      </c>
      <c r="I112" s="1218">
        <v>8.925225431E10</v>
      </c>
      <c r="J112" s="1215" t="s">
        <v>13557</v>
      </c>
      <c r="K112" s="1215" t="s">
        <v>13558</v>
      </c>
      <c r="L112" s="1215"/>
      <c r="M112" s="1218">
        <v>8.9163156744E10</v>
      </c>
      <c r="N112" s="1219"/>
      <c r="O112" s="1215">
        <v>8.926984369E10</v>
      </c>
      <c r="P112" s="1215" t="s">
        <v>13559</v>
      </c>
      <c r="Q112" s="1220" t="b">
        <v>1</v>
      </c>
      <c r="R112" s="1221" t="b">
        <v>1</v>
      </c>
      <c r="S112" s="1222" t="b">
        <v>0</v>
      </c>
      <c r="T112" s="1222" t="b">
        <v>0</v>
      </c>
      <c r="U112" s="1221"/>
      <c r="V112" s="1222"/>
      <c r="W112" s="1222"/>
      <c r="X112" s="1222"/>
      <c r="Y112" s="1222"/>
    </row>
    <row r="113">
      <c r="A113" s="1215">
        <v>22.0</v>
      </c>
      <c r="B113" s="1216" t="s">
        <v>13435</v>
      </c>
      <c r="C113" s="1215" t="s">
        <v>13560</v>
      </c>
      <c r="D113" s="1215" t="s">
        <v>12270</v>
      </c>
      <c r="E113" s="1215" t="s">
        <v>13561</v>
      </c>
      <c r="F113" s="1217">
        <v>40182.0</v>
      </c>
      <c r="G113" s="1215" t="s">
        <v>12872</v>
      </c>
      <c r="H113" s="1215" t="s">
        <v>13562</v>
      </c>
      <c r="I113" s="1218">
        <v>8.9167830749E10</v>
      </c>
      <c r="J113" s="1215" t="s">
        <v>13563</v>
      </c>
      <c r="K113" s="1215" t="s">
        <v>13564</v>
      </c>
      <c r="L113" s="1215"/>
      <c r="M113" s="1218">
        <v>8.9036295593E10</v>
      </c>
      <c r="N113" s="1215" t="s">
        <v>13565</v>
      </c>
      <c r="O113" s="1215">
        <v>8.9168176818E10</v>
      </c>
      <c r="P113" s="1215" t="s">
        <v>13566</v>
      </c>
      <c r="Q113" s="1220" t="b">
        <v>1</v>
      </c>
      <c r="R113" s="1221" t="b">
        <v>1</v>
      </c>
      <c r="S113" s="1222" t="b">
        <v>0</v>
      </c>
      <c r="T113" s="1222" t="b">
        <v>0</v>
      </c>
      <c r="U113" s="1221"/>
      <c r="V113" s="1222"/>
      <c r="W113" s="1222"/>
      <c r="X113" s="1222"/>
      <c r="Y113" s="1222"/>
    </row>
    <row r="114">
      <c r="A114" s="1215">
        <v>23.0</v>
      </c>
      <c r="B114" s="1216" t="s">
        <v>13435</v>
      </c>
      <c r="C114" s="1215" t="s">
        <v>13567</v>
      </c>
      <c r="D114" s="1215" t="s">
        <v>12270</v>
      </c>
      <c r="E114" s="1215" t="s">
        <v>12256</v>
      </c>
      <c r="F114" s="1217">
        <v>39844.0</v>
      </c>
      <c r="G114" s="1215" t="s">
        <v>12861</v>
      </c>
      <c r="H114" s="1215" t="s">
        <v>13568</v>
      </c>
      <c r="I114" s="1218">
        <v>7.9852396464E10</v>
      </c>
      <c r="J114" s="1215" t="s">
        <v>13569</v>
      </c>
      <c r="K114" s="1215" t="s">
        <v>13570</v>
      </c>
      <c r="L114" s="1215"/>
      <c r="M114" s="1218">
        <v>8.9163503388E10</v>
      </c>
      <c r="N114" s="1215" t="s">
        <v>13571</v>
      </c>
      <c r="O114" s="1215">
        <v>8.9699691085E10</v>
      </c>
      <c r="P114" s="1215" t="s">
        <v>13572</v>
      </c>
      <c r="Q114" s="1220" t="b">
        <v>1</v>
      </c>
      <c r="R114" s="1221" t="b">
        <v>1</v>
      </c>
      <c r="S114" s="1221" t="b">
        <v>1</v>
      </c>
      <c r="T114" s="1222" t="b">
        <v>0</v>
      </c>
      <c r="U114" s="1221"/>
      <c r="V114" s="1222"/>
      <c r="W114" s="1222"/>
      <c r="X114" s="1222"/>
      <c r="Y114" s="1222"/>
    </row>
    <row r="115">
      <c r="A115" s="1215">
        <v>24.0</v>
      </c>
      <c r="B115" s="1216" t="s">
        <v>13435</v>
      </c>
      <c r="C115" s="1215" t="s">
        <v>12565</v>
      </c>
      <c r="D115" s="1215" t="s">
        <v>13573</v>
      </c>
      <c r="E115" s="1215" t="s">
        <v>13574</v>
      </c>
      <c r="F115" s="1217">
        <v>40042.0</v>
      </c>
      <c r="G115" s="1215" t="s">
        <v>12861</v>
      </c>
      <c r="H115" s="1215" t="s">
        <v>12233</v>
      </c>
      <c r="I115" s="1218">
        <v>8.9168627647E10</v>
      </c>
      <c r="J115" s="1215" t="s">
        <v>12567</v>
      </c>
      <c r="K115" s="1215" t="s">
        <v>13575</v>
      </c>
      <c r="L115" s="1215"/>
      <c r="M115" s="1218">
        <v>8.9153807433E10</v>
      </c>
      <c r="N115" s="1215" t="s">
        <v>13576</v>
      </c>
      <c r="O115" s="1215">
        <v>8.9160554211E10</v>
      </c>
      <c r="P115" s="1215" t="s">
        <v>13577</v>
      </c>
      <c r="Q115" s="1228" t="b">
        <v>0</v>
      </c>
      <c r="R115" s="1222" t="b">
        <v>0</v>
      </c>
      <c r="S115" s="1222" t="b">
        <v>0</v>
      </c>
      <c r="T115" s="1222" t="b">
        <v>0</v>
      </c>
      <c r="U115" s="1221"/>
      <c r="V115" s="1222"/>
      <c r="W115" s="1222"/>
      <c r="X115" s="1222"/>
      <c r="Y115" s="1222"/>
    </row>
    <row r="116">
      <c r="A116" s="1215">
        <v>25.0</v>
      </c>
      <c r="B116" s="1216" t="s">
        <v>13435</v>
      </c>
      <c r="C116" s="1215" t="s">
        <v>13578</v>
      </c>
      <c r="D116" s="1215" t="s">
        <v>12276</v>
      </c>
      <c r="E116" s="1219" t="s">
        <v>12291</v>
      </c>
      <c r="F116" s="1226">
        <v>39863.0</v>
      </c>
      <c r="G116" s="1219" t="s">
        <v>12872</v>
      </c>
      <c r="H116" s="1219" t="s">
        <v>13579</v>
      </c>
      <c r="I116" s="1218">
        <v>8.9637648335E10</v>
      </c>
      <c r="J116" s="1219" t="s">
        <v>13580</v>
      </c>
      <c r="K116" s="1219" t="s">
        <v>13581</v>
      </c>
      <c r="L116" s="1219"/>
      <c r="M116" s="1218">
        <v>8.9037258219E10</v>
      </c>
      <c r="N116" s="1219" t="s">
        <v>13582</v>
      </c>
      <c r="O116" s="1219" t="s">
        <v>13583</v>
      </c>
      <c r="P116" s="1219" t="s">
        <v>13584</v>
      </c>
      <c r="Q116" s="1228" t="b">
        <v>0</v>
      </c>
      <c r="R116" s="1221" t="b">
        <v>1</v>
      </c>
      <c r="S116" s="1222" t="b">
        <v>0</v>
      </c>
      <c r="T116" s="1222" t="b">
        <v>0</v>
      </c>
      <c r="U116" s="1221"/>
      <c r="V116" s="1222"/>
      <c r="W116" s="1222"/>
      <c r="X116" s="1222"/>
      <c r="Y116" s="1222"/>
    </row>
    <row r="117">
      <c r="A117" s="1215">
        <v>26.0</v>
      </c>
      <c r="B117" s="1215" t="s">
        <v>13435</v>
      </c>
      <c r="C117" s="1215" t="s">
        <v>13585</v>
      </c>
      <c r="D117" s="1215" t="s">
        <v>12264</v>
      </c>
      <c r="E117" s="1215" t="s">
        <v>13586</v>
      </c>
      <c r="F117" s="1217">
        <v>40063.0</v>
      </c>
      <c r="G117" s="1215" t="s">
        <v>13587</v>
      </c>
      <c r="H117" s="1215" t="s">
        <v>13588</v>
      </c>
      <c r="I117" s="1218">
        <v>8.91532757E10</v>
      </c>
      <c r="J117" s="1215" t="s">
        <v>13589</v>
      </c>
      <c r="K117" s="1215" t="s">
        <v>13590</v>
      </c>
      <c r="L117" s="1215"/>
      <c r="M117" s="1218">
        <v>8.9265427354E10</v>
      </c>
      <c r="N117" s="1215" t="s">
        <v>13591</v>
      </c>
      <c r="O117" s="1215">
        <v>8.9775544274E10</v>
      </c>
      <c r="P117" s="1215" t="s">
        <v>13592</v>
      </c>
      <c r="Q117" s="1228" t="b">
        <v>0</v>
      </c>
      <c r="R117" s="1222" t="b">
        <v>0</v>
      </c>
      <c r="S117" s="1222" t="b">
        <v>0</v>
      </c>
      <c r="T117" s="1222" t="b">
        <v>0</v>
      </c>
      <c r="U117" s="1221"/>
      <c r="V117" s="1222"/>
      <c r="W117" s="1222"/>
      <c r="X117" s="1222"/>
      <c r="Y117" s="1222"/>
    </row>
    <row r="118">
      <c r="A118" s="1232">
        <v>1.0</v>
      </c>
      <c r="B118" s="1232" t="s">
        <v>4</v>
      </c>
      <c r="C118" s="1232" t="s">
        <v>13593</v>
      </c>
      <c r="D118" s="1232" t="s">
        <v>13594</v>
      </c>
      <c r="E118" s="1232" t="s">
        <v>12297</v>
      </c>
      <c r="F118" s="1233">
        <v>39655.0</v>
      </c>
      <c r="G118" s="1232" t="s">
        <v>12872</v>
      </c>
      <c r="H118" s="1232" t="s">
        <v>13595</v>
      </c>
      <c r="I118" s="1234">
        <v>8.9162334079E10</v>
      </c>
      <c r="J118" s="1232" t="s">
        <v>13596</v>
      </c>
      <c r="K118" s="1232" t="s">
        <v>13597</v>
      </c>
      <c r="L118" s="1232"/>
      <c r="M118" s="1234">
        <v>8.9162330507E10</v>
      </c>
      <c r="N118" s="1232" t="s">
        <v>13598</v>
      </c>
      <c r="O118" s="1232">
        <v>8.9588201458E10</v>
      </c>
      <c r="P118" s="1232" t="s">
        <v>13599</v>
      </c>
      <c r="Q118" s="1235" t="b">
        <v>1</v>
      </c>
      <c r="R118" s="1235" t="b">
        <v>1</v>
      </c>
      <c r="S118" s="1235" t="b">
        <v>0</v>
      </c>
      <c r="T118" s="1236" t="b">
        <v>1</v>
      </c>
      <c r="U118" s="1237"/>
      <c r="V118" s="1238"/>
      <c r="W118" s="1238"/>
      <c r="X118" s="1238"/>
      <c r="Y118" s="1238"/>
    </row>
    <row r="119">
      <c r="A119" s="1232">
        <v>2.0</v>
      </c>
      <c r="B119" s="1232" t="s">
        <v>4</v>
      </c>
      <c r="C119" s="1232" t="s">
        <v>13600</v>
      </c>
      <c r="D119" s="1232" t="s">
        <v>13601</v>
      </c>
      <c r="E119" s="1232" t="s">
        <v>13602</v>
      </c>
      <c r="F119" s="1233">
        <v>39518.0</v>
      </c>
      <c r="G119" s="1232" t="s">
        <v>12872</v>
      </c>
      <c r="H119" s="1232" t="s">
        <v>13603</v>
      </c>
      <c r="I119" s="1234">
        <v>8.9269345358E10</v>
      </c>
      <c r="J119" s="1232" t="s">
        <v>13604</v>
      </c>
      <c r="K119" s="1232" t="s">
        <v>13605</v>
      </c>
      <c r="L119" s="1232"/>
      <c r="M119" s="1234">
        <v>8.9296532543E10</v>
      </c>
      <c r="N119" s="1232" t="s">
        <v>13606</v>
      </c>
      <c r="O119" s="1232">
        <v>8.977422661E10</v>
      </c>
      <c r="P119" s="1232" t="s">
        <v>13607</v>
      </c>
      <c r="Q119" s="1236" t="b">
        <v>1</v>
      </c>
      <c r="R119" s="1235" t="b">
        <v>1</v>
      </c>
      <c r="S119" s="1236" t="b">
        <v>1</v>
      </c>
      <c r="T119" s="1236" t="b">
        <v>1</v>
      </c>
      <c r="U119" s="1237"/>
      <c r="V119" s="1238"/>
      <c r="W119" s="1238"/>
      <c r="X119" s="1238"/>
      <c r="Y119" s="1238"/>
    </row>
    <row r="120">
      <c r="A120" s="1232">
        <v>3.0</v>
      </c>
      <c r="B120" s="1232" t="s">
        <v>4</v>
      </c>
      <c r="C120" s="1232" t="s">
        <v>13608</v>
      </c>
      <c r="D120" s="1232" t="s">
        <v>12400</v>
      </c>
      <c r="E120" s="1232" t="s">
        <v>12412</v>
      </c>
      <c r="F120" s="1233">
        <v>39671.0</v>
      </c>
      <c r="G120" s="1232" t="s">
        <v>12872</v>
      </c>
      <c r="H120" s="1232" t="s">
        <v>13609</v>
      </c>
      <c r="I120" s="1234">
        <v>8.9265622231E10</v>
      </c>
      <c r="J120" s="1232" t="s">
        <v>13610</v>
      </c>
      <c r="K120" s="1232" t="s">
        <v>13611</v>
      </c>
      <c r="L120" s="1232"/>
      <c r="M120" s="1234">
        <v>8.9262032706E10</v>
      </c>
      <c r="N120" s="1239"/>
      <c r="O120" s="1232">
        <v>8.9264912973E10</v>
      </c>
      <c r="P120" s="1232" t="s">
        <v>13612</v>
      </c>
      <c r="Q120" s="1236" t="b">
        <v>1</v>
      </c>
      <c r="R120" s="1235" t="b">
        <v>1</v>
      </c>
      <c r="S120" s="1236" t="b">
        <v>1</v>
      </c>
      <c r="T120" s="1236" t="b">
        <v>1</v>
      </c>
      <c r="U120" s="1237"/>
      <c r="V120" s="1238"/>
      <c r="W120" s="1238"/>
      <c r="X120" s="1238"/>
      <c r="Y120" s="1238"/>
    </row>
    <row r="121">
      <c r="A121" s="1232">
        <v>4.0</v>
      </c>
      <c r="B121" s="1232" t="s">
        <v>4</v>
      </c>
      <c r="C121" s="1232" t="s">
        <v>13613</v>
      </c>
      <c r="D121" s="1232" t="s">
        <v>13614</v>
      </c>
      <c r="E121" s="1232" t="s">
        <v>12433</v>
      </c>
      <c r="F121" s="1233">
        <v>39320.0</v>
      </c>
      <c r="G121" s="1232" t="s">
        <v>12872</v>
      </c>
      <c r="H121" s="1232" t="s">
        <v>13615</v>
      </c>
      <c r="I121" s="1234">
        <v>8.9164098815E10</v>
      </c>
      <c r="J121" s="1232" t="s">
        <v>13616</v>
      </c>
      <c r="K121" s="1232" t="s">
        <v>13617</v>
      </c>
      <c r="L121" s="1232"/>
      <c r="M121" s="1234">
        <v>8.9164098815E10</v>
      </c>
      <c r="N121" s="1232" t="s">
        <v>13618</v>
      </c>
      <c r="O121" s="1232">
        <v>8.901367812E10</v>
      </c>
      <c r="P121" s="1232" t="s">
        <v>13619</v>
      </c>
      <c r="Q121" s="1235" t="b">
        <v>1</v>
      </c>
      <c r="R121" s="1235" t="b">
        <v>1</v>
      </c>
      <c r="S121" s="1235" t="b">
        <v>1</v>
      </c>
      <c r="T121" s="1236" t="b">
        <v>1</v>
      </c>
      <c r="U121" s="1237"/>
      <c r="V121" s="1238"/>
      <c r="W121" s="1238"/>
      <c r="X121" s="1238"/>
      <c r="Y121" s="1238"/>
    </row>
    <row r="122">
      <c r="A122" s="1232">
        <v>5.0</v>
      </c>
      <c r="B122" s="1232" t="s">
        <v>4</v>
      </c>
      <c r="C122" s="1232" t="s">
        <v>13620</v>
      </c>
      <c r="D122" s="1232" t="s">
        <v>13621</v>
      </c>
      <c r="E122" s="1232" t="s">
        <v>12271</v>
      </c>
      <c r="F122" s="1233">
        <v>39826.0</v>
      </c>
      <c r="G122" s="1232" t="s">
        <v>12861</v>
      </c>
      <c r="H122" s="1232" t="s">
        <v>13622</v>
      </c>
      <c r="I122" s="1234">
        <v>8.9258592355E10</v>
      </c>
      <c r="J122" s="1232" t="s">
        <v>13623</v>
      </c>
      <c r="K122" s="1232" t="s">
        <v>13624</v>
      </c>
      <c r="L122" s="1232"/>
      <c r="M122" s="1234">
        <v>8.9262846755E10</v>
      </c>
      <c r="N122" s="1232" t="s">
        <v>13625</v>
      </c>
      <c r="O122" s="1232">
        <v>8.9251443004E10</v>
      </c>
      <c r="P122" s="1232" t="s">
        <v>13626</v>
      </c>
      <c r="Q122" s="1235" t="b">
        <v>1</v>
      </c>
      <c r="R122" s="1235" t="b">
        <v>1</v>
      </c>
      <c r="S122" s="1235" t="b">
        <v>1</v>
      </c>
      <c r="T122" s="1236" t="b">
        <v>1</v>
      </c>
      <c r="U122" s="1237"/>
      <c r="V122" s="1238"/>
      <c r="W122" s="1238"/>
      <c r="X122" s="1238"/>
      <c r="Y122" s="1238"/>
    </row>
    <row r="123">
      <c r="A123" s="1232">
        <v>6.0</v>
      </c>
      <c r="B123" s="1232" t="s">
        <v>4</v>
      </c>
      <c r="C123" s="1232" t="s">
        <v>13627</v>
      </c>
      <c r="D123" s="1232" t="s">
        <v>13628</v>
      </c>
      <c r="E123" s="1232" t="s">
        <v>13629</v>
      </c>
      <c r="F123" s="1233">
        <v>39822.0</v>
      </c>
      <c r="G123" s="1232" t="s">
        <v>13135</v>
      </c>
      <c r="H123" s="1232" t="s">
        <v>13630</v>
      </c>
      <c r="I123" s="1234">
        <v>8.9262791569E10</v>
      </c>
      <c r="J123" s="1232" t="s">
        <v>13631</v>
      </c>
      <c r="K123" s="1232" t="s">
        <v>13632</v>
      </c>
      <c r="L123" s="1232"/>
      <c r="M123" s="1234">
        <v>8.9263804488E10</v>
      </c>
      <c r="N123" s="1232" t="s">
        <v>13633</v>
      </c>
      <c r="O123" s="1232">
        <v>8.9269010803E10</v>
      </c>
      <c r="P123" s="1232" t="s">
        <v>13634</v>
      </c>
      <c r="Q123" s="1235" t="b">
        <v>1</v>
      </c>
      <c r="R123" s="1235" t="b">
        <v>1</v>
      </c>
      <c r="S123" s="1235" t="b">
        <v>0</v>
      </c>
      <c r="T123" s="1235" t="b">
        <v>1</v>
      </c>
      <c r="U123" s="1237"/>
      <c r="V123" s="1238"/>
      <c r="W123" s="1238"/>
      <c r="X123" s="1238"/>
      <c r="Y123" s="1238"/>
    </row>
    <row r="124">
      <c r="A124" s="1232">
        <v>7.0</v>
      </c>
      <c r="B124" s="1232" t="s">
        <v>4</v>
      </c>
      <c r="C124" s="1232" t="s">
        <v>13635</v>
      </c>
      <c r="D124" s="1232" t="s">
        <v>12261</v>
      </c>
      <c r="E124" s="1232" t="s">
        <v>13636</v>
      </c>
      <c r="F124" s="1233">
        <v>39505.0</v>
      </c>
      <c r="G124" s="1232" t="s">
        <v>12872</v>
      </c>
      <c r="H124" s="1232" t="s">
        <v>13637</v>
      </c>
      <c r="I124" s="1234">
        <v>8.9175239462E10</v>
      </c>
      <c r="J124" s="1232" t="s">
        <v>13638</v>
      </c>
      <c r="K124" s="1232" t="s">
        <v>13639</v>
      </c>
      <c r="L124" s="1232"/>
      <c r="M124" s="1234">
        <v>8.9263483252E10</v>
      </c>
      <c r="N124" s="1232" t="s">
        <v>13640</v>
      </c>
      <c r="O124" s="1232">
        <v>8.9264889597E10</v>
      </c>
      <c r="P124" s="1232" t="s">
        <v>13641</v>
      </c>
      <c r="Q124" s="1235" t="b">
        <v>1</v>
      </c>
      <c r="R124" s="1235" t="b">
        <v>1</v>
      </c>
      <c r="S124" s="1236" t="b">
        <v>1</v>
      </c>
      <c r="T124" s="1236" t="b">
        <v>1</v>
      </c>
      <c r="U124" s="1237"/>
      <c r="V124" s="1238"/>
      <c r="W124" s="1238"/>
      <c r="X124" s="1238"/>
      <c r="Y124" s="1238"/>
    </row>
    <row r="125">
      <c r="A125" s="1232">
        <v>8.0</v>
      </c>
      <c r="B125" s="1232" t="s">
        <v>4</v>
      </c>
      <c r="C125" s="1232" t="s">
        <v>13642</v>
      </c>
      <c r="D125" s="1232" t="s">
        <v>13643</v>
      </c>
      <c r="E125" s="1232" t="s">
        <v>13586</v>
      </c>
      <c r="F125" s="1233">
        <v>39544.0</v>
      </c>
      <c r="G125" s="1232" t="s">
        <v>12872</v>
      </c>
      <c r="H125" s="1232" t="s">
        <v>13644</v>
      </c>
      <c r="I125" s="1234">
        <v>8.9851970986E10</v>
      </c>
      <c r="J125" s="1232" t="s">
        <v>13645</v>
      </c>
      <c r="K125" s="1232" t="s">
        <v>13646</v>
      </c>
      <c r="L125" s="1232"/>
      <c r="M125" s="1234">
        <v>8.9162086182E10</v>
      </c>
      <c r="N125" s="1232" t="s">
        <v>13647</v>
      </c>
      <c r="O125" s="1232">
        <v>8.9856817446E10</v>
      </c>
      <c r="P125" s="1232" t="s">
        <v>13648</v>
      </c>
      <c r="Q125" s="1235" t="b">
        <v>1</v>
      </c>
      <c r="R125" s="1235" t="b">
        <v>1</v>
      </c>
      <c r="S125" s="1236" t="b">
        <v>1</v>
      </c>
      <c r="T125" s="1236" t="b">
        <v>1</v>
      </c>
      <c r="U125" s="1237"/>
      <c r="V125" s="1238"/>
      <c r="W125" s="1238"/>
      <c r="X125" s="1238"/>
      <c r="Y125" s="1238"/>
    </row>
    <row r="126">
      <c r="A126" s="1232">
        <v>9.0</v>
      </c>
      <c r="B126" s="1232" t="s">
        <v>4</v>
      </c>
      <c r="C126" s="1232" t="s">
        <v>13132</v>
      </c>
      <c r="D126" s="1232" t="s">
        <v>12264</v>
      </c>
      <c r="E126" s="1232" t="s">
        <v>12265</v>
      </c>
      <c r="F126" s="1233">
        <v>39560.0</v>
      </c>
      <c r="G126" s="1232" t="s">
        <v>12872</v>
      </c>
      <c r="H126" s="1232" t="s">
        <v>13649</v>
      </c>
      <c r="I126" s="1234">
        <v>8.9164015684E10</v>
      </c>
      <c r="J126" s="1232" t="s">
        <v>13650</v>
      </c>
      <c r="K126" s="1232" t="s">
        <v>13651</v>
      </c>
      <c r="L126" s="1232"/>
      <c r="M126" s="1234">
        <v>8.9035692488E10</v>
      </c>
      <c r="N126" s="1232" t="s">
        <v>13650</v>
      </c>
      <c r="O126" s="1232">
        <v>8.9651690508E10</v>
      </c>
      <c r="P126" s="1232">
        <v>8.9651690508E10</v>
      </c>
      <c r="Q126" s="1236" t="b">
        <v>1</v>
      </c>
      <c r="R126" s="1236" t="b">
        <v>1</v>
      </c>
      <c r="S126" s="1236" t="b">
        <v>1</v>
      </c>
      <c r="T126" s="1236" t="b">
        <v>1</v>
      </c>
      <c r="U126" s="1237"/>
      <c r="V126" s="1238"/>
      <c r="W126" s="1238"/>
      <c r="X126" s="1238"/>
      <c r="Y126" s="1238"/>
    </row>
    <row r="127">
      <c r="A127" s="1232">
        <v>10.0</v>
      </c>
      <c r="B127" s="1232" t="s">
        <v>4</v>
      </c>
      <c r="C127" s="1232" t="s">
        <v>13652</v>
      </c>
      <c r="D127" s="1232" t="s">
        <v>13000</v>
      </c>
      <c r="E127" s="1232" t="s">
        <v>12277</v>
      </c>
      <c r="F127" s="1233">
        <v>39523.0</v>
      </c>
      <c r="G127" s="1232" t="s">
        <v>12872</v>
      </c>
      <c r="H127" s="1232" t="s">
        <v>13653</v>
      </c>
      <c r="I127" s="1234">
        <v>8.9645221971E10</v>
      </c>
      <c r="J127" s="1232" t="s">
        <v>13654</v>
      </c>
      <c r="K127" s="1232" t="s">
        <v>13105</v>
      </c>
      <c r="L127" s="1232"/>
      <c r="M127" s="1234" t="s">
        <v>13105</v>
      </c>
      <c r="N127" s="1232" t="s">
        <v>13105</v>
      </c>
      <c r="O127" s="1232">
        <v>8.9652909152E10</v>
      </c>
      <c r="P127" s="1232" t="s">
        <v>13655</v>
      </c>
      <c r="Q127" s="1235" t="b">
        <v>1</v>
      </c>
      <c r="R127" s="1235" t="b">
        <v>1</v>
      </c>
      <c r="S127" s="1236" t="b">
        <v>1</v>
      </c>
      <c r="T127" s="1236" t="b">
        <v>1</v>
      </c>
      <c r="U127" s="1237"/>
      <c r="V127" s="1238"/>
      <c r="W127" s="1238"/>
      <c r="X127" s="1238"/>
      <c r="Y127" s="1238"/>
    </row>
    <row r="128">
      <c r="A128" s="1232">
        <v>11.0</v>
      </c>
      <c r="B128" s="1232" t="s">
        <v>4</v>
      </c>
      <c r="C128" s="1232" t="s">
        <v>13656</v>
      </c>
      <c r="D128" s="1232" t="s">
        <v>13657</v>
      </c>
      <c r="E128" s="1232" t="s">
        <v>12268</v>
      </c>
      <c r="F128" s="1233">
        <v>39617.0</v>
      </c>
      <c r="G128" s="1232" t="s">
        <v>12872</v>
      </c>
      <c r="H128" s="1232" t="s">
        <v>13658</v>
      </c>
      <c r="I128" s="1234">
        <v>8.9167001482E10</v>
      </c>
      <c r="J128" s="1232" t="s">
        <v>13659</v>
      </c>
      <c r="K128" s="1232" t="s">
        <v>13660</v>
      </c>
      <c r="L128" s="1232"/>
      <c r="M128" s="1234">
        <v>8.9104324688E10</v>
      </c>
      <c r="N128" s="1239"/>
      <c r="O128" s="1232">
        <v>8.9104370751E10</v>
      </c>
      <c r="P128" s="1232" t="s">
        <v>13659</v>
      </c>
      <c r="Q128" s="1236" t="b">
        <v>1</v>
      </c>
      <c r="R128" s="1236" t="b">
        <v>1</v>
      </c>
      <c r="S128" s="1236" t="b">
        <v>1</v>
      </c>
      <c r="T128" s="1236" t="b">
        <v>1</v>
      </c>
      <c r="U128" s="1237"/>
      <c r="V128" s="1238"/>
      <c r="W128" s="1238"/>
      <c r="X128" s="1238"/>
      <c r="Y128" s="1238"/>
    </row>
    <row r="129">
      <c r="A129" s="1232">
        <v>12.0</v>
      </c>
      <c r="B129" s="1232" t="s">
        <v>4</v>
      </c>
      <c r="C129" s="1232" t="s">
        <v>13661</v>
      </c>
      <c r="D129" s="1232" t="s">
        <v>13662</v>
      </c>
      <c r="E129" s="1232" t="s">
        <v>13663</v>
      </c>
      <c r="F129" s="1233">
        <v>39684.0</v>
      </c>
      <c r="G129" s="1232" t="s">
        <v>12872</v>
      </c>
      <c r="H129" s="1232" t="s">
        <v>13664</v>
      </c>
      <c r="I129" s="1234">
        <v>8.9264301295E10</v>
      </c>
      <c r="J129" s="1232" t="s">
        <v>13665</v>
      </c>
      <c r="K129" s="1232" t="s">
        <v>13666</v>
      </c>
      <c r="L129" s="1232"/>
      <c r="M129" s="1234">
        <v>8.916802709E10</v>
      </c>
      <c r="N129" s="1239"/>
      <c r="O129" s="1232">
        <v>8.9266857057E10</v>
      </c>
      <c r="P129" s="1232" t="s">
        <v>13667</v>
      </c>
      <c r="Q129" s="1236" t="b">
        <v>1</v>
      </c>
      <c r="R129" s="1235" t="b">
        <v>1</v>
      </c>
      <c r="S129" s="1236" t="b">
        <v>1</v>
      </c>
      <c r="T129" s="1236" t="b">
        <v>1</v>
      </c>
      <c r="U129" s="1237"/>
      <c r="V129" s="1238"/>
      <c r="W129" s="1238"/>
      <c r="X129" s="1238"/>
      <c r="Y129" s="1238"/>
    </row>
    <row r="130">
      <c r="A130" s="1232">
        <v>13.0</v>
      </c>
      <c r="B130" s="1232" t="s">
        <v>4</v>
      </c>
      <c r="C130" s="1232" t="s">
        <v>13668</v>
      </c>
      <c r="D130" s="1232" t="s">
        <v>13410</v>
      </c>
      <c r="E130" s="1232" t="s">
        <v>12433</v>
      </c>
      <c r="F130" s="1233">
        <v>39924.0</v>
      </c>
      <c r="G130" s="1232" t="s">
        <v>12872</v>
      </c>
      <c r="H130" s="1232" t="s">
        <v>12231</v>
      </c>
      <c r="I130" s="1234">
        <v>8.9037484456E10</v>
      </c>
      <c r="J130" s="1232" t="s">
        <v>12429</v>
      </c>
      <c r="K130" s="1232" t="s">
        <v>13669</v>
      </c>
      <c r="L130" s="1232"/>
      <c r="M130" s="1234">
        <v>8.9037429953E10</v>
      </c>
      <c r="N130" s="1232" t="s">
        <v>13670</v>
      </c>
      <c r="O130" s="1232">
        <v>8.9625549073E10</v>
      </c>
      <c r="P130" s="1232" t="s">
        <v>13671</v>
      </c>
      <c r="Q130" s="1235" t="b">
        <v>1</v>
      </c>
      <c r="R130" s="1235" t="b">
        <v>1</v>
      </c>
      <c r="S130" s="1236" t="b">
        <v>1</v>
      </c>
      <c r="T130" s="1236" t="b">
        <v>1</v>
      </c>
      <c r="U130" s="1237"/>
      <c r="V130" s="1238"/>
      <c r="W130" s="1238"/>
      <c r="X130" s="1238"/>
      <c r="Y130" s="1238"/>
    </row>
    <row r="131">
      <c r="A131" s="1232">
        <v>14.0</v>
      </c>
      <c r="B131" s="1232" t="s">
        <v>4</v>
      </c>
      <c r="C131" s="1232" t="s">
        <v>13672</v>
      </c>
      <c r="D131" s="1232" t="s">
        <v>12270</v>
      </c>
      <c r="E131" s="1232" t="s">
        <v>13586</v>
      </c>
      <c r="F131" s="1233">
        <v>39679.0</v>
      </c>
      <c r="G131" s="1232" t="s">
        <v>12872</v>
      </c>
      <c r="H131" s="1232" t="s">
        <v>13673</v>
      </c>
      <c r="I131" s="1234">
        <v>8.9161246884E10</v>
      </c>
      <c r="J131" s="1232" t="s">
        <v>13674</v>
      </c>
      <c r="K131" s="1232" t="s">
        <v>13675</v>
      </c>
      <c r="L131" s="1232"/>
      <c r="M131" s="1234">
        <v>8.9265579894E10</v>
      </c>
      <c r="N131" s="1239"/>
      <c r="O131" s="1232">
        <v>8.9167620508E10</v>
      </c>
      <c r="P131" s="1232" t="s">
        <v>13676</v>
      </c>
      <c r="Q131" s="1236" t="b">
        <v>1</v>
      </c>
      <c r="R131" s="1235" t="b">
        <v>1</v>
      </c>
      <c r="S131" s="1236" t="b">
        <v>1</v>
      </c>
      <c r="T131" s="1236" t="b">
        <v>1</v>
      </c>
      <c r="U131" s="1237"/>
      <c r="V131" s="1238"/>
      <c r="W131" s="1238"/>
      <c r="X131" s="1238"/>
      <c r="Y131" s="1238"/>
    </row>
    <row r="132">
      <c r="A132" s="1232">
        <v>15.0</v>
      </c>
      <c r="B132" s="1232" t="s">
        <v>4</v>
      </c>
      <c r="C132" s="1232" t="s">
        <v>13677</v>
      </c>
      <c r="D132" s="1232" t="s">
        <v>12531</v>
      </c>
      <c r="E132" s="1232" t="s">
        <v>12888</v>
      </c>
      <c r="F132" s="1233">
        <v>39664.0</v>
      </c>
      <c r="G132" s="1232" t="s">
        <v>12872</v>
      </c>
      <c r="H132" s="1232" t="s">
        <v>13678</v>
      </c>
      <c r="I132" s="1234">
        <v>8.9164767342E10</v>
      </c>
      <c r="J132" s="1232" t="s">
        <v>13679</v>
      </c>
      <c r="K132" s="1232" t="s">
        <v>13680</v>
      </c>
      <c r="L132" s="1232"/>
      <c r="M132" s="1234">
        <v>8.9169702771E10</v>
      </c>
      <c r="N132" s="1232" t="s">
        <v>13681</v>
      </c>
      <c r="O132" s="1232">
        <v>8.9166623069E10</v>
      </c>
      <c r="P132" s="1232" t="s">
        <v>13679</v>
      </c>
      <c r="Q132" s="1235" t="b">
        <v>1</v>
      </c>
      <c r="R132" s="1235" t="b">
        <v>1</v>
      </c>
      <c r="S132" s="1236" t="b">
        <v>1</v>
      </c>
      <c r="T132" s="1236" t="b">
        <v>0</v>
      </c>
      <c r="U132" s="1237"/>
      <c r="V132" s="1238"/>
      <c r="W132" s="1238"/>
      <c r="X132" s="1238"/>
      <c r="Y132" s="1238"/>
    </row>
    <row r="133">
      <c r="A133" s="1232">
        <v>16.0</v>
      </c>
      <c r="B133" s="1232" t="s">
        <v>4</v>
      </c>
      <c r="C133" s="1232" t="s">
        <v>13682</v>
      </c>
      <c r="D133" s="1232" t="s">
        <v>12304</v>
      </c>
      <c r="E133" s="1232" t="s">
        <v>12291</v>
      </c>
      <c r="F133" s="1240">
        <v>39804.0</v>
      </c>
      <c r="G133" s="1232" t="s">
        <v>12872</v>
      </c>
      <c r="H133" s="1232" t="s">
        <v>13683</v>
      </c>
      <c r="I133" s="1234">
        <v>8.9166767155E10</v>
      </c>
      <c r="J133" s="1232" t="s">
        <v>13684</v>
      </c>
      <c r="K133" s="1232" t="s">
        <v>13685</v>
      </c>
      <c r="L133" s="1232"/>
      <c r="M133" s="1234">
        <v>8.9166700817E10</v>
      </c>
      <c r="N133" s="1232" t="s">
        <v>13686</v>
      </c>
      <c r="O133" s="1232">
        <v>8.9857403771E10</v>
      </c>
      <c r="P133" s="1232" t="s">
        <v>13687</v>
      </c>
      <c r="Q133" s="1235" t="b">
        <v>1</v>
      </c>
      <c r="R133" s="1235" t="b">
        <v>1</v>
      </c>
      <c r="S133" s="1236" t="b">
        <v>1</v>
      </c>
      <c r="T133" s="1235" t="b">
        <v>1</v>
      </c>
      <c r="U133" s="1237"/>
      <c r="V133" s="1238"/>
      <c r="W133" s="1238"/>
      <c r="X133" s="1238"/>
      <c r="Y133" s="1238"/>
    </row>
    <row r="134">
      <c r="A134" s="1232">
        <v>17.0</v>
      </c>
      <c r="B134" s="1232" t="s">
        <v>4</v>
      </c>
      <c r="C134" s="1232" t="s">
        <v>13688</v>
      </c>
      <c r="D134" s="1232" t="s">
        <v>12304</v>
      </c>
      <c r="E134" s="1232" t="s">
        <v>12307</v>
      </c>
      <c r="F134" s="1233">
        <v>39667.0</v>
      </c>
      <c r="G134" s="1232" t="s">
        <v>12872</v>
      </c>
      <c r="H134" s="1232" t="s">
        <v>13689</v>
      </c>
      <c r="I134" s="1234">
        <v>8.9262348044E10</v>
      </c>
      <c r="J134" s="1232" t="s">
        <v>13690</v>
      </c>
      <c r="K134" s="1232" t="s">
        <v>13691</v>
      </c>
      <c r="L134" s="1232"/>
      <c r="M134" s="1234">
        <v>8.9204364605E10</v>
      </c>
      <c r="N134" s="1232" t="s">
        <v>13692</v>
      </c>
      <c r="O134" s="1232">
        <v>8.9253324341E10</v>
      </c>
      <c r="P134" s="1232" t="s">
        <v>13693</v>
      </c>
      <c r="Q134" s="1235" t="b">
        <v>1</v>
      </c>
      <c r="R134" s="1235" t="b">
        <v>1</v>
      </c>
      <c r="S134" s="1236" t="b">
        <v>1</v>
      </c>
      <c r="T134" s="1236" t="b">
        <v>1</v>
      </c>
      <c r="U134" s="1237"/>
      <c r="V134" s="1238"/>
      <c r="W134" s="1238"/>
      <c r="X134" s="1238"/>
      <c r="Y134" s="1238"/>
    </row>
    <row r="135">
      <c r="A135" s="1232">
        <v>18.0</v>
      </c>
      <c r="B135" s="1232" t="s">
        <v>4</v>
      </c>
      <c r="C135" s="1232" t="s">
        <v>13694</v>
      </c>
      <c r="D135" s="1232" t="s">
        <v>12193</v>
      </c>
      <c r="E135" s="1232" t="s">
        <v>13695</v>
      </c>
      <c r="F135" s="1233">
        <v>39905.0</v>
      </c>
      <c r="G135" s="1232" t="s">
        <v>13135</v>
      </c>
      <c r="H135" s="1232" t="s">
        <v>13696</v>
      </c>
      <c r="I135" s="1241">
        <f>+79167109233</f>
        <v>79167109233</v>
      </c>
      <c r="J135" s="1232" t="s">
        <v>13697</v>
      </c>
      <c r="K135" s="1232" t="s">
        <v>13698</v>
      </c>
      <c r="L135" s="1232"/>
      <c r="M135" s="1241">
        <f>+79167014078</f>
        <v>79167014078</v>
      </c>
      <c r="N135" s="1232" t="s">
        <v>13699</v>
      </c>
      <c r="O135" s="1239">
        <f>+79151656536</f>
        <v>79151656536</v>
      </c>
      <c r="P135" s="1232" t="s">
        <v>13700</v>
      </c>
      <c r="Q135" s="1235" t="b">
        <v>0</v>
      </c>
      <c r="R135" s="1235" t="b">
        <v>0</v>
      </c>
      <c r="S135" s="1235" t="b">
        <v>0</v>
      </c>
      <c r="T135" s="1236" t="b">
        <v>1</v>
      </c>
      <c r="U135" s="1237"/>
      <c r="V135" s="1238"/>
      <c r="W135" s="1238"/>
      <c r="X135" s="1238"/>
      <c r="Y135" s="1238"/>
    </row>
    <row r="136">
      <c r="A136" s="1232">
        <v>19.0</v>
      </c>
      <c r="B136" s="1232" t="s">
        <v>4</v>
      </c>
      <c r="C136" s="1232" t="s">
        <v>12006</v>
      </c>
      <c r="D136" s="1232" t="s">
        <v>13701</v>
      </c>
      <c r="E136" s="1232" t="s">
        <v>13702</v>
      </c>
      <c r="F136" s="1233">
        <v>40019.0</v>
      </c>
      <c r="G136" s="1232" t="s">
        <v>12872</v>
      </c>
      <c r="H136" s="1232" t="s">
        <v>13703</v>
      </c>
      <c r="I136" s="1234">
        <v>8.9104462947E10</v>
      </c>
      <c r="J136" s="1232" t="s">
        <v>13704</v>
      </c>
      <c r="K136" s="1232" t="s">
        <v>13705</v>
      </c>
      <c r="L136" s="1232"/>
      <c r="M136" s="1234">
        <v>8.9957774951E10</v>
      </c>
      <c r="N136" s="1232" t="s">
        <v>13706</v>
      </c>
      <c r="O136" s="1232">
        <v>8.9166410984E10</v>
      </c>
      <c r="P136" s="1232" t="s">
        <v>13707</v>
      </c>
      <c r="Q136" s="1235" t="b">
        <v>1</v>
      </c>
      <c r="R136" s="1235" t="b">
        <v>1</v>
      </c>
      <c r="S136" s="1235" t="b">
        <v>1</v>
      </c>
      <c r="T136" s="1236" t="b">
        <v>1</v>
      </c>
      <c r="U136" s="1237"/>
      <c r="V136" s="1238"/>
      <c r="W136" s="1238"/>
      <c r="X136" s="1238"/>
      <c r="Y136" s="1238"/>
    </row>
    <row r="137">
      <c r="A137" s="1232">
        <v>20.0</v>
      </c>
      <c r="B137" s="1232" t="s">
        <v>4</v>
      </c>
      <c r="C137" s="1232" t="s">
        <v>13708</v>
      </c>
      <c r="D137" s="1232" t="s">
        <v>13643</v>
      </c>
      <c r="E137" s="1232" t="s">
        <v>12265</v>
      </c>
      <c r="F137" s="1240">
        <v>39479.0</v>
      </c>
      <c r="G137" s="1232" t="s">
        <v>12861</v>
      </c>
      <c r="H137" s="1232" t="s">
        <v>13709</v>
      </c>
      <c r="I137" s="1234">
        <v>8.9168394789E10</v>
      </c>
      <c r="J137" s="1232" t="s">
        <v>13710</v>
      </c>
      <c r="K137" s="1232" t="s">
        <v>13711</v>
      </c>
      <c r="L137" s="1232"/>
      <c r="M137" s="1234">
        <v>8.91639173E10</v>
      </c>
      <c r="N137" s="1232" t="s">
        <v>13712</v>
      </c>
      <c r="O137" s="1232">
        <v>8.9162921624E10</v>
      </c>
      <c r="P137" s="1232" t="s">
        <v>13713</v>
      </c>
      <c r="Q137" s="1236" t="b">
        <v>1</v>
      </c>
      <c r="R137" s="1236" t="b">
        <v>1</v>
      </c>
      <c r="S137" s="1236" t="b">
        <v>1</v>
      </c>
      <c r="T137" s="1236" t="b">
        <v>1</v>
      </c>
      <c r="U137" s="1237"/>
      <c r="V137" s="1238"/>
      <c r="W137" s="1238"/>
      <c r="X137" s="1238"/>
      <c r="Y137" s="1238"/>
    </row>
    <row r="138">
      <c r="A138" s="1232">
        <v>21.0</v>
      </c>
      <c r="B138" s="1232" t="s">
        <v>4</v>
      </c>
      <c r="C138" s="1232" t="s">
        <v>13714</v>
      </c>
      <c r="D138" s="1232" t="s">
        <v>12939</v>
      </c>
      <c r="E138" s="1232" t="s">
        <v>12256</v>
      </c>
      <c r="F138" s="1240">
        <v>39769.0</v>
      </c>
      <c r="G138" s="1232" t="s">
        <v>12872</v>
      </c>
      <c r="H138" s="1232" t="s">
        <v>13715</v>
      </c>
      <c r="I138" s="1234">
        <v>8.903139611E10</v>
      </c>
      <c r="J138" s="1232" t="s">
        <v>13716</v>
      </c>
      <c r="K138" s="1232" t="s">
        <v>13717</v>
      </c>
      <c r="L138" s="1232"/>
      <c r="M138" s="1234">
        <v>8.910410136E10</v>
      </c>
      <c r="N138" s="1232" t="s">
        <v>13718</v>
      </c>
      <c r="O138" s="1232">
        <v>8.9166843483E10</v>
      </c>
      <c r="P138" s="1232" t="s">
        <v>13719</v>
      </c>
      <c r="Q138" s="1235" t="b">
        <v>1</v>
      </c>
      <c r="R138" s="1235" t="b">
        <v>1</v>
      </c>
      <c r="S138" s="1236" t="b">
        <v>1</v>
      </c>
      <c r="T138" s="1236" t="b">
        <v>1</v>
      </c>
      <c r="U138" s="1237"/>
      <c r="V138" s="1238"/>
      <c r="W138" s="1238"/>
      <c r="X138" s="1238"/>
      <c r="Y138" s="1238"/>
    </row>
    <row r="139">
      <c r="A139" s="1232">
        <v>22.0</v>
      </c>
      <c r="B139" s="1232" t="s">
        <v>4</v>
      </c>
      <c r="C139" s="1232" t="s">
        <v>13720</v>
      </c>
      <c r="D139" s="1232" t="s">
        <v>13721</v>
      </c>
      <c r="E139" s="1232" t="s">
        <v>12283</v>
      </c>
      <c r="F139" s="1233">
        <v>39653.0</v>
      </c>
      <c r="G139" s="1232" t="s">
        <v>12872</v>
      </c>
      <c r="H139" s="1232" t="s">
        <v>13722</v>
      </c>
      <c r="I139" s="1234">
        <v>8.9265795568E10</v>
      </c>
      <c r="J139" s="1232" t="s">
        <v>13723</v>
      </c>
      <c r="K139" s="1232" t="s">
        <v>13724</v>
      </c>
      <c r="L139" s="1232"/>
      <c r="M139" s="1234">
        <v>8.9265795566E10</v>
      </c>
      <c r="N139" s="1232" t="s">
        <v>13725</v>
      </c>
      <c r="O139" s="1232">
        <v>8.9256610866E10</v>
      </c>
      <c r="P139" s="1232" t="s">
        <v>13726</v>
      </c>
      <c r="Q139" s="1236" t="b">
        <v>1</v>
      </c>
      <c r="R139" s="1236" t="b">
        <v>1</v>
      </c>
      <c r="S139" s="1236" t="b">
        <v>1</v>
      </c>
      <c r="T139" s="1235" t="b">
        <v>1</v>
      </c>
      <c r="U139" s="1237"/>
      <c r="V139" s="1238"/>
      <c r="W139" s="1238"/>
      <c r="X139" s="1238"/>
      <c r="Y139" s="1238"/>
    </row>
    <row r="140">
      <c r="A140" s="1232">
        <v>23.0</v>
      </c>
      <c r="B140" s="1232" t="s">
        <v>4</v>
      </c>
      <c r="C140" s="1232" t="s">
        <v>13727</v>
      </c>
      <c r="D140" s="1232" t="s">
        <v>13621</v>
      </c>
      <c r="E140" s="1232" t="s">
        <v>12259</v>
      </c>
      <c r="F140" s="1240">
        <v>39747.0</v>
      </c>
      <c r="G140" s="1232" t="s">
        <v>12872</v>
      </c>
      <c r="H140" s="1232" t="s">
        <v>13728</v>
      </c>
      <c r="I140" s="1234">
        <v>8.9035940747E10</v>
      </c>
      <c r="J140" s="1232" t="s">
        <v>13729</v>
      </c>
      <c r="K140" s="1232" t="s">
        <v>13730</v>
      </c>
      <c r="L140" s="1232"/>
      <c r="M140" s="1234">
        <v>8.9031610226E10</v>
      </c>
      <c r="N140" s="1239"/>
      <c r="O140" s="1232">
        <v>8.9032459504E10</v>
      </c>
      <c r="P140" s="1232" t="s">
        <v>13731</v>
      </c>
      <c r="Q140" s="1235" t="b">
        <v>1</v>
      </c>
      <c r="R140" s="1235" t="b">
        <v>1</v>
      </c>
      <c r="S140" s="1236" t="b">
        <v>1</v>
      </c>
      <c r="T140" s="1236" t="b">
        <v>1</v>
      </c>
      <c r="U140" s="1237"/>
      <c r="V140" s="1238"/>
      <c r="W140" s="1238"/>
      <c r="X140" s="1238"/>
      <c r="Y140" s="1238"/>
    </row>
    <row r="141">
      <c r="A141" s="1232">
        <v>24.0</v>
      </c>
      <c r="B141" s="1232" t="s">
        <v>4</v>
      </c>
      <c r="C141" s="1232" t="s">
        <v>13261</v>
      </c>
      <c r="D141" s="1232" t="s">
        <v>13461</v>
      </c>
      <c r="E141" s="1232" t="s">
        <v>13732</v>
      </c>
      <c r="F141" s="1233">
        <v>39706.0</v>
      </c>
      <c r="G141" s="1232" t="s">
        <v>12861</v>
      </c>
      <c r="H141" s="1232" t="s">
        <v>13733</v>
      </c>
      <c r="I141" s="1234">
        <v>8.9164317254E10</v>
      </c>
      <c r="J141" s="1232" t="s">
        <v>13734</v>
      </c>
      <c r="K141" s="1232" t="s">
        <v>13735</v>
      </c>
      <c r="L141" s="1232"/>
      <c r="M141" s="1234">
        <v>8.995505068E10</v>
      </c>
      <c r="N141" s="1232" t="s">
        <v>13736</v>
      </c>
      <c r="O141" s="1232">
        <v>8.9152372759E10</v>
      </c>
      <c r="P141" s="1232" t="s">
        <v>13737</v>
      </c>
      <c r="Q141" s="1235" t="b">
        <v>1</v>
      </c>
      <c r="R141" s="1235" t="b">
        <v>1</v>
      </c>
      <c r="S141" s="1236" t="b">
        <v>1</v>
      </c>
      <c r="T141" s="1236" t="b">
        <v>1</v>
      </c>
      <c r="U141" s="1237"/>
      <c r="V141" s="1238"/>
      <c r="W141" s="1238"/>
      <c r="X141" s="1238"/>
      <c r="Y141" s="1238"/>
    </row>
    <row r="142">
      <c r="A142" s="1242">
        <v>1.0</v>
      </c>
      <c r="B142" s="1242" t="s">
        <v>5</v>
      </c>
      <c r="C142" s="1242" t="s">
        <v>13738</v>
      </c>
      <c r="D142" s="1242" t="s">
        <v>13739</v>
      </c>
      <c r="E142" s="1242" t="s">
        <v>13740</v>
      </c>
      <c r="F142" s="1243">
        <v>39389.0</v>
      </c>
      <c r="G142" s="1242" t="s">
        <v>12872</v>
      </c>
      <c r="H142" s="1242" t="s">
        <v>13741</v>
      </c>
      <c r="I142" s="1244">
        <v>8.9262832228E10</v>
      </c>
      <c r="J142" s="1242" t="s">
        <v>13742</v>
      </c>
      <c r="K142" s="1242" t="s">
        <v>13743</v>
      </c>
      <c r="L142" s="1242"/>
      <c r="M142" s="1244">
        <v>8.9161538467E10</v>
      </c>
      <c r="N142" s="1242" t="s">
        <v>13744</v>
      </c>
      <c r="O142" s="1242">
        <v>8.9267970709E10</v>
      </c>
      <c r="P142" s="1242" t="s">
        <v>13745</v>
      </c>
      <c r="Q142" s="1245" t="b">
        <v>1</v>
      </c>
      <c r="R142" s="1245" t="b">
        <v>1</v>
      </c>
      <c r="S142" s="1245" t="b">
        <v>1</v>
      </c>
      <c r="T142" s="1246" t="b">
        <v>1</v>
      </c>
      <c r="U142" s="1247"/>
      <c r="V142" s="1248"/>
      <c r="W142" s="1248"/>
      <c r="X142" s="1248"/>
      <c r="Y142" s="1248"/>
    </row>
    <row r="143">
      <c r="A143" s="1242">
        <v>2.0</v>
      </c>
      <c r="B143" s="1242" t="s">
        <v>5</v>
      </c>
      <c r="C143" s="1242" t="s">
        <v>13746</v>
      </c>
      <c r="D143" s="1242" t="s">
        <v>13747</v>
      </c>
      <c r="E143" s="1242" t="s">
        <v>13748</v>
      </c>
      <c r="F143" s="1243">
        <v>39121.0</v>
      </c>
      <c r="G143" s="1242" t="s">
        <v>12861</v>
      </c>
      <c r="H143" s="1242" t="s">
        <v>13749</v>
      </c>
      <c r="I143" s="1244">
        <v>8.9165510175E10</v>
      </c>
      <c r="J143" s="1242" t="s">
        <v>13750</v>
      </c>
      <c r="K143" s="1242" t="s">
        <v>13751</v>
      </c>
      <c r="L143" s="1242"/>
      <c r="M143" s="1244">
        <v>8.9169352468E10</v>
      </c>
      <c r="N143" s="1242" t="s">
        <v>13752</v>
      </c>
      <c r="O143" s="1242">
        <v>8.9153026583E10</v>
      </c>
      <c r="P143" s="1242" t="s">
        <v>13753</v>
      </c>
      <c r="Q143" s="1245" t="b">
        <v>1</v>
      </c>
      <c r="R143" s="1245" t="b">
        <v>1</v>
      </c>
      <c r="S143" s="1245" t="b">
        <v>1</v>
      </c>
      <c r="T143" s="1246" t="b">
        <v>1</v>
      </c>
      <c r="U143" s="1247"/>
      <c r="V143" s="1248"/>
      <c r="W143" s="1248"/>
      <c r="X143" s="1248"/>
      <c r="Y143" s="1248"/>
    </row>
    <row r="144">
      <c r="A144" s="1242">
        <v>3.0</v>
      </c>
      <c r="B144" s="1242" t="s">
        <v>5</v>
      </c>
      <c r="C144" s="1242" t="s">
        <v>13754</v>
      </c>
      <c r="D144" s="1242" t="s">
        <v>12264</v>
      </c>
      <c r="E144" s="1242" t="s">
        <v>13122</v>
      </c>
      <c r="F144" s="1243">
        <v>39225.0</v>
      </c>
      <c r="G144" s="1242" t="s">
        <v>12872</v>
      </c>
      <c r="H144" s="1242" t="s">
        <v>13755</v>
      </c>
      <c r="I144" s="1244">
        <v>8.9031577261E10</v>
      </c>
      <c r="J144" s="1242" t="s">
        <v>13756</v>
      </c>
      <c r="K144" s="1242" t="s">
        <v>13757</v>
      </c>
      <c r="L144" s="1242"/>
      <c r="M144" s="1244" t="s">
        <v>13105</v>
      </c>
      <c r="N144" s="1242" t="s">
        <v>13105</v>
      </c>
      <c r="O144" s="1242">
        <v>8.9031297596E10</v>
      </c>
      <c r="P144" s="1242" t="s">
        <v>13758</v>
      </c>
      <c r="Q144" s="1246" t="b">
        <v>1</v>
      </c>
      <c r="R144" s="1245" t="b">
        <v>1</v>
      </c>
      <c r="S144" s="1246" t="b">
        <v>1</v>
      </c>
      <c r="T144" s="1246" t="b">
        <v>1</v>
      </c>
      <c r="U144" s="1247"/>
      <c r="V144" s="1248"/>
      <c r="W144" s="1248"/>
      <c r="X144" s="1248"/>
      <c r="Y144" s="1248"/>
    </row>
    <row r="145">
      <c r="A145" s="1242">
        <v>4.0</v>
      </c>
      <c r="B145" s="1242" t="s">
        <v>5</v>
      </c>
      <c r="C145" s="1242" t="s">
        <v>13759</v>
      </c>
      <c r="D145" s="1242" t="s">
        <v>13000</v>
      </c>
      <c r="E145" s="1242" t="s">
        <v>12271</v>
      </c>
      <c r="F145" s="1243">
        <v>39261.0</v>
      </c>
      <c r="G145" s="1242" t="s">
        <v>12872</v>
      </c>
      <c r="H145" s="1242" t="s">
        <v>13760</v>
      </c>
      <c r="I145" s="1244">
        <v>8.9067733397E10</v>
      </c>
      <c r="J145" s="1242" t="s">
        <v>13761</v>
      </c>
      <c r="K145" s="1242" t="s">
        <v>13762</v>
      </c>
      <c r="L145" s="1242"/>
      <c r="M145" s="1244">
        <v>8.9852118351E10</v>
      </c>
      <c r="N145" s="1249"/>
      <c r="O145" s="1242">
        <v>8.9647778919E10</v>
      </c>
      <c r="P145" s="1242" t="s">
        <v>13763</v>
      </c>
      <c r="Q145" s="1245" t="b">
        <v>1</v>
      </c>
      <c r="R145" s="1245" t="b">
        <v>1</v>
      </c>
      <c r="S145" s="1246" t="b">
        <v>1</v>
      </c>
      <c r="T145" s="1246" t="b">
        <v>1</v>
      </c>
      <c r="U145" s="1247"/>
      <c r="V145" s="1248"/>
      <c r="W145" s="1248"/>
      <c r="X145" s="1248"/>
      <c r="Y145" s="1248"/>
    </row>
    <row r="146">
      <c r="A146" s="1242">
        <v>5.0</v>
      </c>
      <c r="B146" s="1242" t="s">
        <v>5</v>
      </c>
      <c r="C146" s="1242" t="s">
        <v>13764</v>
      </c>
      <c r="D146" s="1242" t="s">
        <v>12264</v>
      </c>
      <c r="E146" s="1242" t="s">
        <v>13629</v>
      </c>
      <c r="F146" s="1243">
        <v>39093.0</v>
      </c>
      <c r="G146" s="1242" t="s">
        <v>13765</v>
      </c>
      <c r="H146" s="1242" t="s">
        <v>13766</v>
      </c>
      <c r="I146" s="1244" t="s">
        <v>13767</v>
      </c>
      <c r="J146" s="1242" t="s">
        <v>13768</v>
      </c>
      <c r="K146" s="1242" t="s">
        <v>13769</v>
      </c>
      <c r="L146" s="1242"/>
      <c r="M146" s="1244">
        <v>8.79296197879E11</v>
      </c>
      <c r="N146" s="1242" t="s">
        <v>13770</v>
      </c>
      <c r="O146" s="1242">
        <v>8.9296091887E10</v>
      </c>
      <c r="P146" s="1242" t="s">
        <v>13771</v>
      </c>
      <c r="Q146" s="1246" t="b">
        <v>1</v>
      </c>
      <c r="R146" s="1246" t="b">
        <v>1</v>
      </c>
      <c r="S146" s="1246" t="b">
        <v>1</v>
      </c>
      <c r="T146" s="1246" t="b">
        <v>1</v>
      </c>
      <c r="U146" s="1247"/>
      <c r="V146" s="1248"/>
      <c r="W146" s="1248"/>
      <c r="X146" s="1248"/>
      <c r="Y146" s="1248"/>
    </row>
    <row r="147">
      <c r="A147" s="1242">
        <v>6.0</v>
      </c>
      <c r="B147" s="1242" t="s">
        <v>5</v>
      </c>
      <c r="C147" s="1242" t="s">
        <v>13772</v>
      </c>
      <c r="D147" s="1242" t="s">
        <v>12405</v>
      </c>
      <c r="E147" s="1242" t="s">
        <v>13773</v>
      </c>
      <c r="F147" s="1243">
        <v>39133.0</v>
      </c>
      <c r="G147" s="1242" t="s">
        <v>12872</v>
      </c>
      <c r="H147" s="1242" t="s">
        <v>13774</v>
      </c>
      <c r="I147" s="1244">
        <v>8.9032406095E10</v>
      </c>
      <c r="J147" s="1242" t="s">
        <v>13775</v>
      </c>
      <c r="K147" s="1242" t="s">
        <v>13776</v>
      </c>
      <c r="L147" s="1242"/>
      <c r="M147" s="1244">
        <v>8.9636021693E10</v>
      </c>
      <c r="N147" s="1242" t="s">
        <v>13105</v>
      </c>
      <c r="O147" s="1242">
        <v>8.9057967501E10</v>
      </c>
      <c r="P147" s="1242" t="s">
        <v>13777</v>
      </c>
      <c r="Q147" s="1245" t="b">
        <v>1</v>
      </c>
      <c r="R147" s="1245" t="b">
        <v>1</v>
      </c>
      <c r="S147" s="1246" t="b">
        <v>1</v>
      </c>
      <c r="T147" s="1246" t="b">
        <v>1</v>
      </c>
      <c r="U147" s="1247"/>
      <c r="V147" s="1248"/>
      <c r="W147" s="1248"/>
      <c r="X147" s="1248"/>
      <c r="Y147" s="1248"/>
    </row>
    <row r="148">
      <c r="A148" s="1242">
        <v>7.0</v>
      </c>
      <c r="B148" s="1242" t="s">
        <v>5</v>
      </c>
      <c r="C148" s="1242" t="s">
        <v>13778</v>
      </c>
      <c r="D148" s="1242" t="s">
        <v>13621</v>
      </c>
      <c r="E148" s="1242" t="s">
        <v>12271</v>
      </c>
      <c r="F148" s="1250">
        <v>39031.0</v>
      </c>
      <c r="G148" s="1242" t="s">
        <v>12872</v>
      </c>
      <c r="H148" s="1242" t="s">
        <v>13779</v>
      </c>
      <c r="I148" s="1244">
        <v>8.9175099959E10</v>
      </c>
      <c r="J148" s="1242" t="s">
        <v>13780</v>
      </c>
      <c r="K148" s="1242" t="s">
        <v>13781</v>
      </c>
      <c r="L148" s="1242"/>
      <c r="M148" s="1244">
        <v>8.9164442303E10</v>
      </c>
      <c r="N148" s="1242" t="s">
        <v>13782</v>
      </c>
      <c r="O148" s="1242">
        <v>8.9100878707E10</v>
      </c>
      <c r="P148" s="1242" t="s">
        <v>13783</v>
      </c>
      <c r="Q148" s="1245" t="b">
        <v>1</v>
      </c>
      <c r="R148" s="1245" t="b">
        <v>1</v>
      </c>
      <c r="S148" s="1246" t="b">
        <v>1</v>
      </c>
      <c r="T148" s="1245" t="b">
        <v>0</v>
      </c>
      <c r="U148" s="1247"/>
      <c r="V148" s="1248"/>
      <c r="W148" s="1248"/>
      <c r="X148" s="1248"/>
      <c r="Y148" s="1248"/>
    </row>
    <row r="149">
      <c r="A149" s="1242">
        <v>8.0</v>
      </c>
      <c r="B149" s="1242" t="s">
        <v>5</v>
      </c>
      <c r="C149" s="1242" t="s">
        <v>13784</v>
      </c>
      <c r="D149" s="1242" t="s">
        <v>13133</v>
      </c>
      <c r="E149" s="1242" t="s">
        <v>13785</v>
      </c>
      <c r="F149" s="1243">
        <v>39311.0</v>
      </c>
      <c r="G149" s="1242" t="s">
        <v>12872</v>
      </c>
      <c r="H149" s="1242" t="s">
        <v>13786</v>
      </c>
      <c r="I149" s="1251">
        <f>+79858009515</f>
        <v>79858009515</v>
      </c>
      <c r="J149" s="1242" t="s">
        <v>13787</v>
      </c>
      <c r="K149" s="1242" t="s">
        <v>13788</v>
      </c>
      <c r="L149" s="1242"/>
      <c r="M149" s="1251">
        <f>+79153651180</f>
        <v>79153651180</v>
      </c>
      <c r="N149" s="1242" t="s">
        <v>13789</v>
      </c>
      <c r="O149" s="1249">
        <f>+79852448204</f>
        <v>79852448204</v>
      </c>
      <c r="P149" s="1242" t="s">
        <v>13790</v>
      </c>
      <c r="Q149" s="1245" t="b">
        <v>1</v>
      </c>
      <c r="R149" s="1245" t="b">
        <v>1</v>
      </c>
      <c r="S149" s="1246" t="b">
        <v>1</v>
      </c>
      <c r="T149" s="1245" t="b">
        <v>0</v>
      </c>
      <c r="U149" s="1247"/>
      <c r="V149" s="1248"/>
      <c r="W149" s="1248"/>
      <c r="X149" s="1248"/>
      <c r="Y149" s="1248"/>
    </row>
    <row r="150">
      <c r="A150" s="1242">
        <v>9.0</v>
      </c>
      <c r="B150" s="1242" t="s">
        <v>5</v>
      </c>
      <c r="C150" s="1242" t="s">
        <v>13791</v>
      </c>
      <c r="D150" s="1242" t="s">
        <v>12306</v>
      </c>
      <c r="E150" s="1242" t="s">
        <v>13629</v>
      </c>
      <c r="F150" s="1243">
        <v>39528.0</v>
      </c>
      <c r="G150" s="1252" t="s">
        <v>12872</v>
      </c>
      <c r="H150" s="1252" t="s">
        <v>13792</v>
      </c>
      <c r="I150" s="1251" t="s">
        <v>13793</v>
      </c>
      <c r="J150" s="1252" t="s">
        <v>13794</v>
      </c>
      <c r="K150" s="1252" t="s">
        <v>13795</v>
      </c>
      <c r="L150" s="1252"/>
      <c r="M150" s="1251" t="s">
        <v>13796</v>
      </c>
      <c r="N150" s="1252" t="s">
        <v>13797</v>
      </c>
      <c r="O150" s="1242">
        <v>8.9257027074E10</v>
      </c>
      <c r="P150" s="1242" t="s">
        <v>13798</v>
      </c>
      <c r="Q150" s="1246" t="b">
        <v>1</v>
      </c>
      <c r="R150" s="1246" t="b">
        <v>1</v>
      </c>
      <c r="S150" s="1246" t="b">
        <v>1</v>
      </c>
      <c r="T150" s="1245" t="b">
        <v>1</v>
      </c>
      <c r="U150" s="1247"/>
      <c r="V150" s="1248"/>
      <c r="W150" s="1248"/>
      <c r="X150" s="1248"/>
      <c r="Y150" s="1248"/>
    </row>
    <row r="151">
      <c r="A151" s="1242">
        <v>10.0</v>
      </c>
      <c r="B151" s="1242" t="s">
        <v>5</v>
      </c>
      <c r="C151" s="1242" t="s">
        <v>13799</v>
      </c>
      <c r="D151" s="1242" t="s">
        <v>13800</v>
      </c>
      <c r="E151" s="1242" t="s">
        <v>13740</v>
      </c>
      <c r="F151" s="1243">
        <v>39252.0</v>
      </c>
      <c r="G151" s="1242" t="s">
        <v>12872</v>
      </c>
      <c r="H151" s="1242" t="s">
        <v>13801</v>
      </c>
      <c r="I151" s="1244">
        <v>8.9031834073E10</v>
      </c>
      <c r="J151" s="1242" t="s">
        <v>13802</v>
      </c>
      <c r="K151" s="1242" t="s">
        <v>13803</v>
      </c>
      <c r="L151" s="1242"/>
      <c r="M151" s="1244">
        <v>8.9262449257E10</v>
      </c>
      <c r="N151" s="1242" t="s">
        <v>13804</v>
      </c>
      <c r="O151" s="1242">
        <v>8.9264078801E10</v>
      </c>
      <c r="P151" s="1242" t="s">
        <v>13805</v>
      </c>
      <c r="Q151" s="1245" t="b">
        <v>1</v>
      </c>
      <c r="R151" s="1245" t="b">
        <v>1</v>
      </c>
      <c r="S151" s="1246" t="b">
        <v>1</v>
      </c>
      <c r="T151" s="1246" t="b">
        <v>1</v>
      </c>
      <c r="U151" s="1247"/>
      <c r="V151" s="1248"/>
      <c r="W151" s="1248"/>
      <c r="X151" s="1248"/>
      <c r="Y151" s="1248"/>
    </row>
    <row r="152">
      <c r="A152" s="1242">
        <v>11.0</v>
      </c>
      <c r="B152" s="1242" t="s">
        <v>5</v>
      </c>
      <c r="C152" s="1242" t="s">
        <v>13806</v>
      </c>
      <c r="D152" s="1242" t="s">
        <v>13807</v>
      </c>
      <c r="E152" s="1242" t="s">
        <v>12271</v>
      </c>
      <c r="F152" s="1243">
        <v>39353.0</v>
      </c>
      <c r="G152" s="1242" t="s">
        <v>12872</v>
      </c>
      <c r="H152" s="1242" t="s">
        <v>13808</v>
      </c>
      <c r="I152" s="1244">
        <v>8.9268127347E10</v>
      </c>
      <c r="J152" s="1242" t="s">
        <v>13809</v>
      </c>
      <c r="K152" s="1242" t="s">
        <v>13810</v>
      </c>
      <c r="L152" s="1242"/>
      <c r="M152" s="1244">
        <v>8.9265370552E10</v>
      </c>
      <c r="N152" s="1242" t="s">
        <v>13809</v>
      </c>
      <c r="O152" s="1242">
        <v>8.9254535498E10</v>
      </c>
      <c r="P152" s="1242" t="s">
        <v>13809</v>
      </c>
      <c r="Q152" s="1245" t="b">
        <v>1</v>
      </c>
      <c r="R152" s="1245" t="b">
        <v>1</v>
      </c>
      <c r="S152" s="1246" t="b">
        <v>1</v>
      </c>
      <c r="T152" s="1246" t="b">
        <v>1</v>
      </c>
      <c r="U152" s="1247"/>
      <c r="V152" s="1248"/>
      <c r="W152" s="1248"/>
      <c r="X152" s="1248"/>
      <c r="Y152" s="1248"/>
    </row>
    <row r="153">
      <c r="A153" s="1242">
        <v>12.0</v>
      </c>
      <c r="B153" s="1242" t="s">
        <v>5</v>
      </c>
      <c r="C153" s="1242" t="s">
        <v>13811</v>
      </c>
      <c r="D153" s="1242" t="s">
        <v>12255</v>
      </c>
      <c r="E153" s="1242" t="s">
        <v>12291</v>
      </c>
      <c r="F153" s="1250">
        <v>39076.0</v>
      </c>
      <c r="G153" s="1242" t="s">
        <v>12872</v>
      </c>
      <c r="H153" s="1242" t="s">
        <v>13812</v>
      </c>
      <c r="I153" s="1244">
        <v>8.9263115533E10</v>
      </c>
      <c r="J153" s="1242" t="s">
        <v>13813</v>
      </c>
      <c r="K153" s="1242" t="s">
        <v>13814</v>
      </c>
      <c r="L153" s="1242"/>
      <c r="M153" s="1244">
        <v>8.9263111848E10</v>
      </c>
      <c r="N153" s="1242" t="s">
        <v>13813</v>
      </c>
      <c r="O153" s="1242">
        <v>8.9017070729E10</v>
      </c>
      <c r="P153" s="1242" t="s">
        <v>13815</v>
      </c>
      <c r="Q153" s="1246" t="b">
        <v>1</v>
      </c>
      <c r="R153" s="1245" t="b">
        <v>1</v>
      </c>
      <c r="S153" s="1246" t="b">
        <v>1</v>
      </c>
      <c r="T153" s="1246" t="b">
        <v>1</v>
      </c>
      <c r="U153" s="1247"/>
      <c r="V153" s="1248"/>
      <c r="W153" s="1248"/>
      <c r="X153" s="1248"/>
      <c r="Y153" s="1248"/>
    </row>
    <row r="154">
      <c r="A154" s="1242">
        <v>13.0</v>
      </c>
      <c r="B154" s="1242" t="s">
        <v>5</v>
      </c>
      <c r="C154" s="1242" t="s">
        <v>13816</v>
      </c>
      <c r="D154" s="1242" t="s">
        <v>12299</v>
      </c>
      <c r="E154" s="1242" t="s">
        <v>12281</v>
      </c>
      <c r="F154" s="1250">
        <v>39371.0</v>
      </c>
      <c r="G154" s="1242" t="s">
        <v>12872</v>
      </c>
      <c r="H154" s="1242" t="s">
        <v>13817</v>
      </c>
      <c r="I154" s="1244">
        <v>8.9266330998E10</v>
      </c>
      <c r="J154" s="1242" t="s">
        <v>13818</v>
      </c>
      <c r="K154" s="1242" t="s">
        <v>13819</v>
      </c>
      <c r="L154" s="1242"/>
      <c r="M154" s="1244">
        <v>8.926589738E10</v>
      </c>
      <c r="N154" s="1242" t="s">
        <v>13820</v>
      </c>
      <c r="O154" s="1242">
        <v>8.9269039403E10</v>
      </c>
      <c r="P154" s="1242" t="s">
        <v>13821</v>
      </c>
      <c r="Q154" s="1245" t="b">
        <v>1</v>
      </c>
      <c r="R154" s="1245" t="b">
        <v>1</v>
      </c>
      <c r="S154" s="1246" t="b">
        <v>1</v>
      </c>
      <c r="T154" s="1246" t="b">
        <v>1</v>
      </c>
      <c r="U154" s="1247"/>
      <c r="V154" s="1248"/>
      <c r="W154" s="1248"/>
      <c r="X154" s="1248"/>
      <c r="Y154" s="1248"/>
    </row>
    <row r="155">
      <c r="A155" s="1242">
        <v>14.0</v>
      </c>
      <c r="B155" s="1242" t="s">
        <v>5</v>
      </c>
      <c r="C155" s="1242" t="s">
        <v>12279</v>
      </c>
      <c r="D155" s="1242" t="s">
        <v>13208</v>
      </c>
      <c r="E155" s="1242" t="s">
        <v>13201</v>
      </c>
      <c r="F155" s="1243">
        <v>39119.0</v>
      </c>
      <c r="G155" s="1242" t="s">
        <v>12872</v>
      </c>
      <c r="H155" s="1242" t="s">
        <v>13822</v>
      </c>
      <c r="I155" s="1244">
        <v>8.9057271368E10</v>
      </c>
      <c r="J155" s="1242" t="s">
        <v>13823</v>
      </c>
      <c r="K155" s="1242" t="s">
        <v>13824</v>
      </c>
      <c r="L155" s="1242"/>
      <c r="M155" s="1244">
        <v>8.9037241977E10</v>
      </c>
      <c r="N155" s="1242" t="s">
        <v>13825</v>
      </c>
      <c r="O155" s="1242">
        <v>8.9647182459E10</v>
      </c>
      <c r="P155" s="1242" t="s">
        <v>13826</v>
      </c>
      <c r="Q155" s="1245" t="b">
        <v>1</v>
      </c>
      <c r="R155" s="1245" t="b">
        <v>1</v>
      </c>
      <c r="S155" s="1246" t="b">
        <v>1</v>
      </c>
      <c r="T155" s="1246" t="b">
        <v>1</v>
      </c>
      <c r="U155" s="1247"/>
      <c r="V155" s="1248"/>
      <c r="W155" s="1248"/>
      <c r="X155" s="1248"/>
      <c r="Y155" s="1248"/>
    </row>
    <row r="156">
      <c r="A156" s="1242">
        <v>15.0</v>
      </c>
      <c r="B156" s="1242" t="s">
        <v>5</v>
      </c>
      <c r="C156" s="1242" t="s">
        <v>13827</v>
      </c>
      <c r="D156" s="1242" t="s">
        <v>13828</v>
      </c>
      <c r="E156" s="1242" t="s">
        <v>12281</v>
      </c>
      <c r="F156" s="1250">
        <v>39385.0</v>
      </c>
      <c r="G156" s="1242" t="s">
        <v>12872</v>
      </c>
      <c r="H156" s="1242" t="s">
        <v>13829</v>
      </c>
      <c r="I156" s="1244">
        <v>8.9859702097E10</v>
      </c>
      <c r="J156" s="1242" t="s">
        <v>13830</v>
      </c>
      <c r="K156" s="1242" t="s">
        <v>13831</v>
      </c>
      <c r="L156" s="1242"/>
      <c r="M156" s="1244">
        <v>8.9267797328E10</v>
      </c>
      <c r="N156" s="1242" t="s">
        <v>13832</v>
      </c>
      <c r="O156" s="1242">
        <v>8.9851382412E10</v>
      </c>
      <c r="P156" s="1242" t="s">
        <v>13833</v>
      </c>
      <c r="Q156" s="1246" t="b">
        <v>1</v>
      </c>
      <c r="R156" s="1245" t="b">
        <v>1</v>
      </c>
      <c r="S156" s="1246" t="b">
        <v>1</v>
      </c>
      <c r="T156" s="1246" t="b">
        <v>1</v>
      </c>
      <c r="U156" s="1247"/>
      <c r="V156" s="1248"/>
      <c r="W156" s="1248"/>
      <c r="X156" s="1248"/>
      <c r="Y156" s="1248"/>
    </row>
    <row r="157">
      <c r="A157" s="1242">
        <v>16.0</v>
      </c>
      <c r="B157" s="1242" t="s">
        <v>5</v>
      </c>
      <c r="C157" s="1242" t="s">
        <v>12189</v>
      </c>
      <c r="D157" s="1242" t="s">
        <v>12251</v>
      </c>
      <c r="E157" s="1242" t="s">
        <v>13054</v>
      </c>
      <c r="F157" s="1243">
        <v>39316.0</v>
      </c>
      <c r="G157" s="1242" t="s">
        <v>13135</v>
      </c>
      <c r="H157" s="1242" t="s">
        <v>13834</v>
      </c>
      <c r="I157" s="1244">
        <v>8.9057319865E10</v>
      </c>
      <c r="J157" s="1242" t="s">
        <v>13835</v>
      </c>
      <c r="K157" s="1242" t="s">
        <v>13836</v>
      </c>
      <c r="L157" s="1242"/>
      <c r="M157" s="1244">
        <v>8.9057508052E10</v>
      </c>
      <c r="N157" s="1242" t="s">
        <v>13837</v>
      </c>
      <c r="O157" s="1242">
        <v>8.9104531142E10</v>
      </c>
      <c r="P157" s="1242" t="s">
        <v>13838</v>
      </c>
      <c r="Q157" s="1246" t="b">
        <v>1</v>
      </c>
      <c r="R157" s="1246" t="b">
        <v>1</v>
      </c>
      <c r="S157" s="1246" t="b">
        <v>1</v>
      </c>
      <c r="T157" s="1246" t="b">
        <v>1</v>
      </c>
      <c r="U157" s="1247"/>
      <c r="V157" s="1248"/>
      <c r="W157" s="1248"/>
      <c r="X157" s="1248"/>
      <c r="Y157" s="1248"/>
    </row>
    <row r="158">
      <c r="A158" s="1242">
        <v>17.0</v>
      </c>
      <c r="B158" s="1242" t="s">
        <v>5</v>
      </c>
      <c r="C158" s="1242" t="s">
        <v>13839</v>
      </c>
      <c r="D158" s="1242" t="s">
        <v>12579</v>
      </c>
      <c r="E158" s="1242" t="s">
        <v>12281</v>
      </c>
      <c r="F158" s="1243">
        <v>39220.0</v>
      </c>
      <c r="G158" s="1242" t="s">
        <v>12861</v>
      </c>
      <c r="H158" s="1242" t="s">
        <v>13839</v>
      </c>
      <c r="I158" s="1244">
        <v>8.9099761011E10</v>
      </c>
      <c r="J158" s="1242" t="s">
        <v>13840</v>
      </c>
      <c r="K158" s="1242" t="s">
        <v>13839</v>
      </c>
      <c r="L158" s="1242"/>
      <c r="M158" s="1244">
        <v>8.9258041498E10</v>
      </c>
      <c r="N158" s="1242" t="s">
        <v>13841</v>
      </c>
      <c r="O158" s="1242">
        <v>8.9057526797E10</v>
      </c>
      <c r="P158" s="1242" t="s">
        <v>13842</v>
      </c>
      <c r="Q158" s="1245" t="b">
        <v>1</v>
      </c>
      <c r="R158" s="1245" t="b">
        <v>1</v>
      </c>
      <c r="S158" s="1246" t="b">
        <v>1</v>
      </c>
      <c r="T158" s="1245" t="b">
        <v>0</v>
      </c>
      <c r="U158" s="1247"/>
      <c r="V158" s="1248"/>
      <c r="W158" s="1248"/>
      <c r="X158" s="1248"/>
      <c r="Y158" s="1248"/>
    </row>
    <row r="159">
      <c r="A159" s="1242">
        <v>18.0</v>
      </c>
      <c r="B159" s="1242" t="s">
        <v>5</v>
      </c>
      <c r="C159" s="1242" t="s">
        <v>12225</v>
      </c>
      <c r="D159" s="1242" t="s">
        <v>13485</v>
      </c>
      <c r="E159" s="1242" t="s">
        <v>13054</v>
      </c>
      <c r="F159" s="1250">
        <v>39405.0</v>
      </c>
      <c r="G159" s="1242" t="s">
        <v>12872</v>
      </c>
      <c r="H159" s="1242" t="s">
        <v>13843</v>
      </c>
      <c r="I159" s="1244">
        <v>8.9258665512E10</v>
      </c>
      <c r="J159" s="1242" t="s">
        <v>13844</v>
      </c>
      <c r="K159" s="1242" t="s">
        <v>13105</v>
      </c>
      <c r="L159" s="1242"/>
      <c r="M159" s="1244" t="s">
        <v>13105</v>
      </c>
      <c r="N159" s="1242" t="s">
        <v>13105</v>
      </c>
      <c r="O159" s="1242">
        <v>8.925237871E10</v>
      </c>
      <c r="P159" s="1242" t="s">
        <v>13845</v>
      </c>
      <c r="Q159" s="1245" t="b">
        <v>1</v>
      </c>
      <c r="R159" s="1245" t="b">
        <v>1</v>
      </c>
      <c r="S159" s="1246" t="b">
        <v>1</v>
      </c>
      <c r="T159" s="1246" t="b">
        <v>1</v>
      </c>
      <c r="U159" s="1247"/>
      <c r="V159" s="1248"/>
      <c r="W159" s="1248"/>
      <c r="X159" s="1248"/>
      <c r="Y159" s="1248"/>
    </row>
    <row r="160">
      <c r="A160" s="1242">
        <v>19.0</v>
      </c>
      <c r="B160" s="1242" t="s">
        <v>5</v>
      </c>
      <c r="C160" s="1242" t="s">
        <v>13846</v>
      </c>
      <c r="D160" s="1242" t="s">
        <v>12309</v>
      </c>
      <c r="E160" s="1242" t="s">
        <v>13847</v>
      </c>
      <c r="F160" s="1250">
        <v>39443.0</v>
      </c>
      <c r="G160" s="1242" t="s">
        <v>12872</v>
      </c>
      <c r="H160" s="1242" t="s">
        <v>13848</v>
      </c>
      <c r="I160" s="1244">
        <v>8.9031079997E10</v>
      </c>
      <c r="J160" s="1242" t="s">
        <v>13849</v>
      </c>
      <c r="K160" s="1242" t="s">
        <v>13850</v>
      </c>
      <c r="L160" s="1242"/>
      <c r="M160" s="1244">
        <v>8.926308022E10</v>
      </c>
      <c r="N160" s="1242" t="s">
        <v>13851</v>
      </c>
      <c r="O160" s="1242">
        <v>8.9150242812E10</v>
      </c>
      <c r="P160" s="1242" t="s">
        <v>13852</v>
      </c>
      <c r="Q160" s="1245" t="b">
        <v>1</v>
      </c>
      <c r="R160" s="1245" t="b">
        <v>1</v>
      </c>
      <c r="S160" s="1246" t="b">
        <v>1</v>
      </c>
      <c r="T160" s="1246" t="b">
        <v>1</v>
      </c>
      <c r="U160" s="1247"/>
      <c r="V160" s="1248"/>
      <c r="W160" s="1248"/>
      <c r="X160" s="1248"/>
      <c r="Y160" s="1248"/>
    </row>
    <row r="161">
      <c r="A161" s="1242">
        <v>20.0</v>
      </c>
      <c r="B161" s="1242" t="s">
        <v>5</v>
      </c>
      <c r="C161" s="1242" t="s">
        <v>13853</v>
      </c>
      <c r="D161" s="1242" t="s">
        <v>13000</v>
      </c>
      <c r="E161" s="1242" t="s">
        <v>12271</v>
      </c>
      <c r="F161" s="1250">
        <v>39411.0</v>
      </c>
      <c r="G161" s="1242" t="s">
        <v>12861</v>
      </c>
      <c r="H161" s="1242" t="s">
        <v>13854</v>
      </c>
      <c r="I161" s="1244">
        <v>8.915108586E10</v>
      </c>
      <c r="J161" s="1242" t="s">
        <v>13855</v>
      </c>
      <c r="K161" s="1242" t="s">
        <v>13856</v>
      </c>
      <c r="L161" s="1242"/>
      <c r="M161" s="1244">
        <v>8.9162230919E10</v>
      </c>
      <c r="N161" s="1242" t="s">
        <v>13857</v>
      </c>
      <c r="O161" s="1242">
        <v>8.985196082E10</v>
      </c>
      <c r="P161" s="1242" t="s">
        <v>13858</v>
      </c>
      <c r="Q161" s="1245" t="b">
        <v>1</v>
      </c>
      <c r="R161" s="1245" t="b">
        <v>1</v>
      </c>
      <c r="S161" s="1245" t="b">
        <v>1</v>
      </c>
      <c r="T161" s="1245" t="b">
        <v>0</v>
      </c>
      <c r="U161" s="1247"/>
      <c r="V161" s="1248"/>
      <c r="W161" s="1248"/>
      <c r="X161" s="1248"/>
      <c r="Y161" s="1248"/>
    </row>
    <row r="162">
      <c r="A162" s="1242">
        <v>21.0</v>
      </c>
      <c r="B162" s="1242" t="s">
        <v>5</v>
      </c>
      <c r="C162" s="1242" t="s">
        <v>13859</v>
      </c>
      <c r="D162" s="1242" t="s">
        <v>13573</v>
      </c>
      <c r="E162" s="1253" t="s">
        <v>13847</v>
      </c>
      <c r="F162" s="1243">
        <v>39361.0</v>
      </c>
      <c r="G162" s="1242" t="s">
        <v>12872</v>
      </c>
      <c r="H162" s="1242" t="s">
        <v>13860</v>
      </c>
      <c r="I162" s="1244">
        <v>8.9162188836E10</v>
      </c>
      <c r="J162" s="1242" t="s">
        <v>13861</v>
      </c>
      <c r="K162" s="1242" t="s">
        <v>13862</v>
      </c>
      <c r="L162" s="1242"/>
      <c r="M162" s="1244">
        <v>8.9167079138E10</v>
      </c>
      <c r="N162" s="1242" t="s">
        <v>13863</v>
      </c>
      <c r="O162" s="1242">
        <v>8.9167170381E10</v>
      </c>
      <c r="P162" s="1242" t="s">
        <v>13864</v>
      </c>
      <c r="Q162" s="1245" t="b">
        <v>1</v>
      </c>
      <c r="R162" s="1245" t="b">
        <v>1</v>
      </c>
      <c r="S162" s="1246" t="b">
        <v>1</v>
      </c>
      <c r="T162" s="1246" t="b">
        <v>1</v>
      </c>
      <c r="U162" s="1247"/>
      <c r="V162" s="1248"/>
      <c r="W162" s="1248"/>
      <c r="X162" s="1248"/>
      <c r="Y162" s="1248"/>
    </row>
    <row r="163">
      <c r="A163" s="1242">
        <v>22.0</v>
      </c>
      <c r="B163" s="1242" t="s">
        <v>5</v>
      </c>
      <c r="C163" s="1242" t="s">
        <v>13865</v>
      </c>
      <c r="D163" s="1242" t="s">
        <v>13520</v>
      </c>
      <c r="E163" s="1253" t="s">
        <v>13866</v>
      </c>
      <c r="F163" s="1243">
        <v>39338.0</v>
      </c>
      <c r="G163" s="1242" t="s">
        <v>12872</v>
      </c>
      <c r="H163" s="1242" t="s">
        <v>13867</v>
      </c>
      <c r="I163" s="1244">
        <v>8.9264545173E10</v>
      </c>
      <c r="J163" s="1242" t="s">
        <v>13868</v>
      </c>
      <c r="K163" s="1242" t="s">
        <v>13869</v>
      </c>
      <c r="L163" s="1242"/>
      <c r="M163" s="1244">
        <v>8.9037971358E10</v>
      </c>
      <c r="N163" s="1242" t="s">
        <v>13870</v>
      </c>
      <c r="O163" s="1242">
        <v>8.9253379935E10</v>
      </c>
      <c r="P163" s="1242" t="s">
        <v>13871</v>
      </c>
      <c r="Q163" s="1245" t="b">
        <v>1</v>
      </c>
      <c r="R163" s="1245" t="b">
        <v>1</v>
      </c>
      <c r="S163" s="1246" t="b">
        <v>1</v>
      </c>
      <c r="T163" s="1246" t="b">
        <v>1</v>
      </c>
      <c r="U163" s="1247"/>
      <c r="V163" s="1248"/>
      <c r="W163" s="1248"/>
      <c r="X163" s="1248"/>
      <c r="Y163" s="1248"/>
    </row>
    <row r="164">
      <c r="A164" s="1254">
        <v>1.0</v>
      </c>
      <c r="B164" s="1254" t="s">
        <v>6</v>
      </c>
      <c r="C164" s="1254" t="s">
        <v>13872</v>
      </c>
      <c r="D164" s="1254" t="s">
        <v>13395</v>
      </c>
      <c r="E164" s="1254" t="s">
        <v>13873</v>
      </c>
      <c r="F164" s="1255">
        <v>38738.0</v>
      </c>
      <c r="G164" s="1254" t="s">
        <v>12872</v>
      </c>
      <c r="H164" s="1254" t="s">
        <v>13874</v>
      </c>
      <c r="I164" s="1256">
        <v>8.9104143667E10</v>
      </c>
      <c r="J164" s="1254" t="s">
        <v>13875</v>
      </c>
      <c r="K164" s="1254" t="s">
        <v>13876</v>
      </c>
      <c r="L164" s="1254"/>
      <c r="M164" s="1256">
        <v>8.9261830889E10</v>
      </c>
      <c r="N164" s="1254" t="s">
        <v>13877</v>
      </c>
      <c r="O164" s="1254">
        <v>8.915059919E10</v>
      </c>
      <c r="P164" s="1254" t="s">
        <v>13878</v>
      </c>
      <c r="Q164" s="1257" t="b">
        <v>1</v>
      </c>
      <c r="R164" s="1257" t="b">
        <v>1</v>
      </c>
      <c r="S164" s="1257" t="b">
        <v>1</v>
      </c>
      <c r="T164" s="1257" t="b">
        <v>0</v>
      </c>
      <c r="U164" s="1258"/>
      <c r="V164" s="1259"/>
      <c r="W164" s="1259"/>
      <c r="X164" s="1259"/>
      <c r="Y164" s="1259"/>
    </row>
    <row r="165">
      <c r="A165" s="1254">
        <v>2.0</v>
      </c>
      <c r="B165" s="1254" t="s">
        <v>6</v>
      </c>
      <c r="C165" s="1254" t="s">
        <v>12410</v>
      </c>
      <c r="D165" s="1254" t="s">
        <v>13879</v>
      </c>
      <c r="E165" s="1254" t="s">
        <v>12288</v>
      </c>
      <c r="F165" s="1255">
        <v>38852.0</v>
      </c>
      <c r="G165" s="1254" t="s">
        <v>12872</v>
      </c>
      <c r="H165" s="1254" t="s">
        <v>13880</v>
      </c>
      <c r="I165" s="1256">
        <v>8.9629595406E10</v>
      </c>
      <c r="J165" s="1254" t="s">
        <v>13881</v>
      </c>
      <c r="K165" s="1254" t="s">
        <v>13882</v>
      </c>
      <c r="L165" s="1254"/>
      <c r="M165" s="1256">
        <v>8.9645327828E10</v>
      </c>
      <c r="N165" s="1254" t="s">
        <v>13883</v>
      </c>
      <c r="O165" s="1254">
        <v>8.9629589102E10</v>
      </c>
      <c r="P165" s="1254" t="s">
        <v>13884</v>
      </c>
      <c r="Q165" s="1257" t="b">
        <v>1</v>
      </c>
      <c r="R165" s="1257" t="b">
        <v>1</v>
      </c>
      <c r="S165" s="1257" t="b">
        <v>1</v>
      </c>
      <c r="T165" s="1257" t="b">
        <v>0</v>
      </c>
      <c r="U165" s="1260" t="s">
        <v>13885</v>
      </c>
      <c r="V165" s="1259"/>
      <c r="W165" s="1259"/>
      <c r="X165" s="1259"/>
      <c r="Y165" s="1259"/>
    </row>
    <row r="166">
      <c r="A166" s="1254">
        <v>3.0</v>
      </c>
      <c r="B166" s="1254" t="s">
        <v>6</v>
      </c>
      <c r="C166" s="1254" t="s">
        <v>13886</v>
      </c>
      <c r="D166" s="1254" t="s">
        <v>13256</v>
      </c>
      <c r="E166" s="1254" t="s">
        <v>12401</v>
      </c>
      <c r="F166" s="1255">
        <v>38996.0</v>
      </c>
      <c r="G166" s="1254" t="s">
        <v>12872</v>
      </c>
      <c r="H166" s="1254" t="s">
        <v>13887</v>
      </c>
      <c r="I166" s="1256" t="s">
        <v>13888</v>
      </c>
      <c r="J166" s="1254" t="s">
        <v>13889</v>
      </c>
      <c r="K166" s="1254" t="s">
        <v>13890</v>
      </c>
      <c r="L166" s="1254"/>
      <c r="M166" s="1256" t="s">
        <v>13891</v>
      </c>
      <c r="N166" s="1261"/>
      <c r="O166" s="1254" t="s">
        <v>13892</v>
      </c>
      <c r="P166" s="1254" t="s">
        <v>13893</v>
      </c>
      <c r="Q166" s="1257" t="b">
        <v>1</v>
      </c>
      <c r="R166" s="1257" t="b">
        <v>1</v>
      </c>
      <c r="S166" s="1257" t="b">
        <v>1</v>
      </c>
      <c r="T166" s="1257" t="b">
        <v>0</v>
      </c>
      <c r="U166" s="1260" t="s">
        <v>13885</v>
      </c>
      <c r="V166" s="1259"/>
      <c r="W166" s="1259"/>
      <c r="X166" s="1259"/>
      <c r="Y166" s="1259"/>
    </row>
    <row r="167">
      <c r="A167" s="1254">
        <v>4.0</v>
      </c>
      <c r="B167" s="1254" t="s">
        <v>6</v>
      </c>
      <c r="C167" s="1254" t="s">
        <v>13894</v>
      </c>
      <c r="D167" s="1254" t="s">
        <v>12255</v>
      </c>
      <c r="E167" s="1254" t="s">
        <v>13122</v>
      </c>
      <c r="F167" s="1255">
        <v>38990.0</v>
      </c>
      <c r="G167" s="1254" t="s">
        <v>13135</v>
      </c>
      <c r="H167" s="1254" t="s">
        <v>13895</v>
      </c>
      <c r="I167" s="1256">
        <v>8.9160936844E10</v>
      </c>
      <c r="J167" s="1254" t="s">
        <v>13896</v>
      </c>
      <c r="K167" s="1254" t="s">
        <v>13897</v>
      </c>
      <c r="L167" s="1254"/>
      <c r="M167" s="1256">
        <v>8.9169353833E10</v>
      </c>
      <c r="N167" s="1254" t="s">
        <v>13898</v>
      </c>
      <c r="O167" s="1254">
        <v>8.9858032649E10</v>
      </c>
      <c r="P167" s="1254" t="s">
        <v>13899</v>
      </c>
      <c r="Q167" s="1257" t="b">
        <v>1</v>
      </c>
      <c r="R167" s="1257" t="b">
        <v>1</v>
      </c>
      <c r="S167" s="1257" t="b">
        <v>1</v>
      </c>
      <c r="T167" s="1257" t="b">
        <v>0</v>
      </c>
      <c r="U167" s="1258"/>
      <c r="V167" s="1259"/>
      <c r="W167" s="1259"/>
      <c r="X167" s="1259"/>
      <c r="Y167" s="1259"/>
    </row>
    <row r="168">
      <c r="A168" s="1254">
        <v>5.0</v>
      </c>
      <c r="B168" s="1254" t="s">
        <v>6</v>
      </c>
      <c r="C168" s="1254" t="s">
        <v>13900</v>
      </c>
      <c r="D168" s="1254" t="s">
        <v>13901</v>
      </c>
      <c r="E168" s="1254" t="s">
        <v>13629</v>
      </c>
      <c r="F168" s="1255">
        <v>39030.0</v>
      </c>
      <c r="G168" s="1254" t="s">
        <v>12872</v>
      </c>
      <c r="H168" s="1254" t="s">
        <v>13902</v>
      </c>
      <c r="I168" s="1256">
        <v>8.9166593156E10</v>
      </c>
      <c r="J168" s="1254" t="s">
        <v>13903</v>
      </c>
      <c r="K168" s="1254" t="s">
        <v>13904</v>
      </c>
      <c r="L168" s="1254"/>
      <c r="M168" s="1256">
        <v>8.9265283837E10</v>
      </c>
      <c r="N168" s="1254" t="s">
        <v>13905</v>
      </c>
      <c r="O168" s="1254">
        <v>8.9104314697E10</v>
      </c>
      <c r="P168" s="1254" t="s">
        <v>13906</v>
      </c>
      <c r="Q168" s="1257" t="b">
        <v>1</v>
      </c>
      <c r="R168" s="1257" t="b">
        <v>1</v>
      </c>
      <c r="S168" s="1257" t="b">
        <v>0</v>
      </c>
      <c r="T168" s="1257" t="b">
        <v>0</v>
      </c>
      <c r="U168" s="1258"/>
      <c r="V168" s="1259"/>
      <c r="W168" s="1259"/>
      <c r="X168" s="1259"/>
      <c r="Y168" s="1259"/>
    </row>
    <row r="169">
      <c r="A169" s="1254">
        <v>6.0</v>
      </c>
      <c r="B169" s="1254" t="s">
        <v>6</v>
      </c>
      <c r="C169" s="1254" t="s">
        <v>13907</v>
      </c>
      <c r="D169" s="1254" t="s">
        <v>12251</v>
      </c>
      <c r="E169" s="1254" t="s">
        <v>12401</v>
      </c>
      <c r="F169" s="1255">
        <v>38902.0</v>
      </c>
      <c r="G169" s="1254" t="s">
        <v>12872</v>
      </c>
      <c r="H169" s="1254" t="s">
        <v>13908</v>
      </c>
      <c r="I169" s="1256">
        <v>8.9161035924E10</v>
      </c>
      <c r="J169" s="1254" t="s">
        <v>13909</v>
      </c>
      <c r="K169" s="1254" t="s">
        <v>13910</v>
      </c>
      <c r="L169" s="1254"/>
      <c r="M169" s="1256">
        <v>8.9169702852E10</v>
      </c>
      <c r="N169" s="1254" t="s">
        <v>13911</v>
      </c>
      <c r="O169" s="1254">
        <v>8.9161035864E10</v>
      </c>
      <c r="P169" s="1254" t="s">
        <v>13912</v>
      </c>
      <c r="Q169" s="1257" t="b">
        <v>1</v>
      </c>
      <c r="R169" s="1257" t="b">
        <v>1</v>
      </c>
      <c r="S169" s="1257" t="b">
        <v>1</v>
      </c>
      <c r="T169" s="1257" t="b">
        <v>0</v>
      </c>
      <c r="U169" s="1260" t="s">
        <v>13885</v>
      </c>
      <c r="V169" s="1259"/>
      <c r="W169" s="1259"/>
      <c r="X169" s="1259"/>
      <c r="Y169" s="1259"/>
    </row>
    <row r="170">
      <c r="A170" s="1254">
        <v>7.0</v>
      </c>
      <c r="B170" s="1254" t="s">
        <v>6</v>
      </c>
      <c r="C170" s="1254" t="s">
        <v>13913</v>
      </c>
      <c r="D170" s="1254" t="s">
        <v>12304</v>
      </c>
      <c r="E170" s="1254" t="s">
        <v>13914</v>
      </c>
      <c r="F170" s="1255">
        <v>38931.0</v>
      </c>
      <c r="G170" s="1254" t="s">
        <v>12872</v>
      </c>
      <c r="H170" s="1254" t="s">
        <v>13915</v>
      </c>
      <c r="I170" s="1256">
        <v>8.9104048094E10</v>
      </c>
      <c r="J170" s="1254" t="s">
        <v>13916</v>
      </c>
      <c r="K170" s="1254" t="s">
        <v>13917</v>
      </c>
      <c r="L170" s="1254"/>
      <c r="M170" s="1256">
        <v>8.9166007573E10</v>
      </c>
      <c r="N170" s="1254"/>
      <c r="O170" s="1254">
        <v>8.9264467229E10</v>
      </c>
      <c r="P170" s="1254" t="s">
        <v>13918</v>
      </c>
      <c r="Q170" s="1257" t="b">
        <v>1</v>
      </c>
      <c r="R170" s="1257" t="b">
        <v>1</v>
      </c>
      <c r="S170" s="1262" t="b">
        <v>0</v>
      </c>
      <c r="T170" s="1257" t="b">
        <v>0</v>
      </c>
      <c r="U170" s="1258"/>
      <c r="V170" s="1259"/>
      <c r="W170" s="1259"/>
      <c r="X170" s="1259"/>
      <c r="Y170" s="1259"/>
    </row>
    <row r="171">
      <c r="A171" s="1254">
        <v>8.0</v>
      </c>
      <c r="B171" s="1254" t="s">
        <v>6</v>
      </c>
      <c r="C171" s="1254" t="s">
        <v>13919</v>
      </c>
      <c r="D171" s="1254" t="s">
        <v>12400</v>
      </c>
      <c r="E171" s="1254" t="s">
        <v>13847</v>
      </c>
      <c r="F171" s="1255">
        <v>38768.0</v>
      </c>
      <c r="G171" s="1254" t="s">
        <v>12872</v>
      </c>
      <c r="H171" s="1254" t="s">
        <v>13920</v>
      </c>
      <c r="I171" s="1256">
        <v>8.9296760699E10</v>
      </c>
      <c r="J171" s="1254" t="s">
        <v>13921</v>
      </c>
      <c r="K171" s="1254" t="s">
        <v>13922</v>
      </c>
      <c r="L171" s="1254"/>
      <c r="M171" s="1256">
        <v>8.9296345945E10</v>
      </c>
      <c r="N171" s="1254" t="s">
        <v>13923</v>
      </c>
      <c r="O171" s="1254">
        <v>8.9255546105E10</v>
      </c>
      <c r="P171" s="1254" t="s">
        <v>13924</v>
      </c>
      <c r="Q171" s="1262" t="b">
        <v>1</v>
      </c>
      <c r="R171" s="1262" t="b">
        <v>1</v>
      </c>
      <c r="S171" s="1262" t="b">
        <v>1</v>
      </c>
      <c r="T171" s="1262" t="b">
        <v>0</v>
      </c>
      <c r="U171" s="1260" t="s">
        <v>13885</v>
      </c>
      <c r="V171" s="1259"/>
      <c r="W171" s="1259"/>
      <c r="X171" s="1259"/>
      <c r="Y171" s="1259"/>
    </row>
    <row r="172">
      <c r="A172" s="1254">
        <v>9.0</v>
      </c>
      <c r="B172" s="1254" t="s">
        <v>6</v>
      </c>
      <c r="C172" s="1254" t="s">
        <v>13925</v>
      </c>
      <c r="D172" s="1254" t="s">
        <v>13410</v>
      </c>
      <c r="E172" s="1254" t="s">
        <v>13417</v>
      </c>
      <c r="F172" s="1255">
        <v>38822.0</v>
      </c>
      <c r="G172" s="1254" t="s">
        <v>12861</v>
      </c>
      <c r="H172" s="1254" t="s">
        <v>13926</v>
      </c>
      <c r="I172" s="1256">
        <v>8.9255050705E10</v>
      </c>
      <c r="J172" s="1254" t="s">
        <v>13927</v>
      </c>
      <c r="K172" s="1254" t="s">
        <v>13928</v>
      </c>
      <c r="L172" s="1254"/>
      <c r="M172" s="1256">
        <v>8.9252029025E10</v>
      </c>
      <c r="N172" s="1254" t="s">
        <v>13929</v>
      </c>
      <c r="O172" s="1254">
        <v>8.9267994253E10</v>
      </c>
      <c r="P172" s="1254" t="s">
        <v>13930</v>
      </c>
      <c r="Q172" s="1257" t="b">
        <v>1</v>
      </c>
      <c r="R172" s="1257" t="b">
        <v>1</v>
      </c>
      <c r="S172" s="1257" t="b">
        <v>1</v>
      </c>
      <c r="T172" s="1262" t="b">
        <v>1</v>
      </c>
      <c r="U172" s="1260" t="s">
        <v>13885</v>
      </c>
      <c r="V172" s="1259"/>
      <c r="W172" s="1259"/>
      <c r="X172" s="1259"/>
      <c r="Y172" s="1259"/>
    </row>
    <row r="173">
      <c r="A173" s="1254">
        <v>10.0</v>
      </c>
      <c r="B173" s="1254" t="s">
        <v>6</v>
      </c>
      <c r="C173" s="1254" t="s">
        <v>13931</v>
      </c>
      <c r="D173" s="1254" t="s">
        <v>12795</v>
      </c>
      <c r="E173" s="1254" t="s">
        <v>12307</v>
      </c>
      <c r="F173" s="1255">
        <v>38958.0</v>
      </c>
      <c r="G173" s="1254" t="s">
        <v>12872</v>
      </c>
      <c r="H173" s="1254" t="s">
        <v>13932</v>
      </c>
      <c r="I173" s="1256">
        <v>8.9032033678E10</v>
      </c>
      <c r="J173" s="1254" t="s">
        <v>13933</v>
      </c>
      <c r="K173" s="1254" t="s">
        <v>13934</v>
      </c>
      <c r="L173" s="1254"/>
      <c r="M173" s="1256" t="s">
        <v>13105</v>
      </c>
      <c r="N173" s="1261"/>
      <c r="O173" s="1254">
        <v>8.9998146008E10</v>
      </c>
      <c r="P173" s="1254" t="s">
        <v>13935</v>
      </c>
      <c r="Q173" s="1257" t="b">
        <v>1</v>
      </c>
      <c r="R173" s="1257" t="b">
        <v>1</v>
      </c>
      <c r="S173" s="1257" t="b">
        <v>1</v>
      </c>
      <c r="T173" s="1257" t="b">
        <v>0</v>
      </c>
      <c r="U173" s="1260" t="s">
        <v>13885</v>
      </c>
      <c r="V173" s="1259"/>
      <c r="W173" s="1259"/>
      <c r="X173" s="1259"/>
      <c r="Y173" s="1259"/>
    </row>
    <row r="174">
      <c r="A174" s="1254">
        <v>11.0</v>
      </c>
      <c r="B174" s="1254" t="s">
        <v>6</v>
      </c>
      <c r="C174" s="1254" t="s">
        <v>13936</v>
      </c>
      <c r="D174" s="1254" t="s">
        <v>12579</v>
      </c>
      <c r="E174" s="1254" t="s">
        <v>12259</v>
      </c>
      <c r="F174" s="1255">
        <v>38932.0</v>
      </c>
      <c r="G174" s="1254" t="s">
        <v>12872</v>
      </c>
      <c r="H174" s="1254" t="s">
        <v>13937</v>
      </c>
      <c r="I174" s="1256">
        <v>8.9036103793E10</v>
      </c>
      <c r="J174" s="1254" t="s">
        <v>13938</v>
      </c>
      <c r="K174" s="1254" t="s">
        <v>13939</v>
      </c>
      <c r="L174" s="1254"/>
      <c r="M174" s="1256">
        <v>8.9036103793E10</v>
      </c>
      <c r="N174" s="1261"/>
      <c r="O174" s="1254">
        <v>8.9652718327E10</v>
      </c>
      <c r="P174" s="1254" t="s">
        <v>13940</v>
      </c>
      <c r="Q174" s="1257" t="b">
        <v>1</v>
      </c>
      <c r="R174" s="1257" t="b">
        <v>1</v>
      </c>
      <c r="S174" s="1257" t="b">
        <v>1</v>
      </c>
      <c r="T174" s="1257" t="b">
        <v>0</v>
      </c>
      <c r="U174" s="1258"/>
      <c r="V174" s="1259"/>
      <c r="W174" s="1259"/>
      <c r="X174" s="1259"/>
      <c r="Y174" s="1259"/>
    </row>
    <row r="175">
      <c r="A175" s="1254">
        <v>12.0</v>
      </c>
      <c r="B175" s="1254" t="s">
        <v>6</v>
      </c>
      <c r="C175" s="1254" t="s">
        <v>13132</v>
      </c>
      <c r="D175" s="1254" t="s">
        <v>13621</v>
      </c>
      <c r="E175" s="1254" t="s">
        <v>12268</v>
      </c>
      <c r="F175" s="1255">
        <v>38865.0</v>
      </c>
      <c r="G175" s="1254" t="s">
        <v>12872</v>
      </c>
      <c r="H175" s="1254" t="s">
        <v>13941</v>
      </c>
      <c r="I175" s="1256">
        <v>8.9778023643E10</v>
      </c>
      <c r="J175" s="1254" t="s">
        <v>13942</v>
      </c>
      <c r="K175" s="1254" t="s">
        <v>13943</v>
      </c>
      <c r="L175" s="1254"/>
      <c r="M175" s="1256">
        <v>8.9096286673E10</v>
      </c>
      <c r="N175" s="1261"/>
      <c r="O175" s="1263">
        <v>8.9778023641E10</v>
      </c>
      <c r="P175" s="1254" t="s">
        <v>13944</v>
      </c>
      <c r="Q175" s="1257" t="b">
        <v>1</v>
      </c>
      <c r="R175" s="1262" t="b">
        <v>1</v>
      </c>
      <c r="S175" s="1262" t="b">
        <v>1</v>
      </c>
      <c r="T175" s="1257" t="b">
        <v>0</v>
      </c>
      <c r="U175" s="1258"/>
      <c r="V175" s="1259"/>
      <c r="W175" s="1259"/>
      <c r="X175" s="1259"/>
      <c r="Y175" s="1259"/>
    </row>
    <row r="176">
      <c r="A176" s="1254">
        <v>13.0</v>
      </c>
      <c r="B176" s="1254" t="s">
        <v>6</v>
      </c>
      <c r="C176" s="1254" t="s">
        <v>13945</v>
      </c>
      <c r="D176" s="1254" t="s">
        <v>12304</v>
      </c>
      <c r="E176" s="1254" t="s">
        <v>12256</v>
      </c>
      <c r="F176" s="1255">
        <v>38996.0</v>
      </c>
      <c r="G176" s="1254" t="s">
        <v>12872</v>
      </c>
      <c r="H176" s="1254" t="s">
        <v>13946</v>
      </c>
      <c r="I176" s="1256">
        <v>8.9653248901E10</v>
      </c>
      <c r="J176" s="1254" t="s">
        <v>13947</v>
      </c>
      <c r="K176" s="1254" t="s">
        <v>13948</v>
      </c>
      <c r="L176" s="1254"/>
      <c r="M176" s="1256">
        <v>8.9689605531E10</v>
      </c>
      <c r="N176" s="1254" t="s">
        <v>13949</v>
      </c>
      <c r="O176" s="1254">
        <v>8.9686773978E10</v>
      </c>
      <c r="P176" s="1254" t="s">
        <v>13950</v>
      </c>
      <c r="Q176" s="1262" t="b">
        <v>1</v>
      </c>
      <c r="R176" s="1262" t="b">
        <v>1</v>
      </c>
      <c r="S176" s="1257" t="b">
        <v>0</v>
      </c>
      <c r="T176" s="1257" t="b">
        <v>0</v>
      </c>
      <c r="U176" s="1258"/>
      <c r="V176" s="1259"/>
      <c r="W176" s="1259"/>
      <c r="X176" s="1259"/>
      <c r="Y176" s="1259"/>
    </row>
    <row r="177">
      <c r="A177" s="1254">
        <v>14.0</v>
      </c>
      <c r="B177" s="1254" t="s">
        <v>6</v>
      </c>
      <c r="C177" s="1254" t="s">
        <v>13951</v>
      </c>
      <c r="D177" s="1254" t="s">
        <v>12513</v>
      </c>
      <c r="E177" s="1254" t="s">
        <v>13348</v>
      </c>
      <c r="F177" s="1264">
        <v>39038.0</v>
      </c>
      <c r="G177" s="1254" t="s">
        <v>12872</v>
      </c>
      <c r="H177" s="1254" t="s">
        <v>13952</v>
      </c>
      <c r="I177" s="1256">
        <v>8.9106784602E10</v>
      </c>
      <c r="J177" s="1254" t="s">
        <v>13953</v>
      </c>
      <c r="K177" s="1254" t="s">
        <v>13954</v>
      </c>
      <c r="L177" s="1254"/>
      <c r="M177" s="1256" t="s">
        <v>13105</v>
      </c>
      <c r="N177" s="1254" t="s">
        <v>13105</v>
      </c>
      <c r="O177" s="1254">
        <v>8.9092725454E10</v>
      </c>
      <c r="P177" s="1254" t="s">
        <v>13955</v>
      </c>
      <c r="Q177" s="1262" t="b">
        <v>1</v>
      </c>
      <c r="R177" s="1262" t="b">
        <v>1</v>
      </c>
      <c r="S177" s="1262" t="b">
        <v>1</v>
      </c>
      <c r="T177" s="1257" t="b">
        <v>0</v>
      </c>
      <c r="U177" s="1258"/>
      <c r="V177" s="1259"/>
      <c r="W177" s="1259"/>
      <c r="X177" s="1259"/>
      <c r="Y177" s="1259"/>
    </row>
    <row r="178" hidden="1">
      <c r="A178" s="1254">
        <v>15.0</v>
      </c>
      <c r="B178" s="1254" t="s">
        <v>6</v>
      </c>
      <c r="C178" s="1254" t="s">
        <v>13956</v>
      </c>
      <c r="D178" s="1254" t="s">
        <v>12390</v>
      </c>
      <c r="E178" s="1261" t="s">
        <v>12277</v>
      </c>
      <c r="F178" s="1265" t="s">
        <v>13957</v>
      </c>
      <c r="G178" s="1261" t="s">
        <v>12872</v>
      </c>
      <c r="H178" s="1261" t="s">
        <v>13958</v>
      </c>
      <c r="I178" s="1266" t="s">
        <v>13959</v>
      </c>
      <c r="J178" s="1261" t="s">
        <v>13960</v>
      </c>
      <c r="K178" s="1261" t="s">
        <v>13961</v>
      </c>
      <c r="L178" s="1261"/>
      <c r="M178" s="1266" t="s">
        <v>13962</v>
      </c>
      <c r="N178" s="1261" t="s">
        <v>13963</v>
      </c>
      <c r="O178" s="1261" t="s">
        <v>13964</v>
      </c>
      <c r="P178" s="1261" t="s">
        <v>13965</v>
      </c>
      <c r="Q178" s="1257" t="b">
        <v>1</v>
      </c>
      <c r="R178" s="1257" t="b">
        <v>1</v>
      </c>
      <c r="S178" s="1257" t="b">
        <v>1</v>
      </c>
      <c r="T178" s="1257" t="b">
        <v>0</v>
      </c>
      <c r="U178" s="1258"/>
      <c r="V178" s="1259"/>
      <c r="W178" s="1259"/>
      <c r="X178" s="1259"/>
      <c r="Y178" s="1259"/>
    </row>
    <row r="179">
      <c r="A179" s="1254">
        <v>15.0</v>
      </c>
      <c r="B179" s="1254" t="s">
        <v>6</v>
      </c>
      <c r="C179" s="1254" t="s">
        <v>13966</v>
      </c>
      <c r="D179" s="1254" t="s">
        <v>12579</v>
      </c>
      <c r="E179" s="1254" t="s">
        <v>12277</v>
      </c>
      <c r="F179" s="1255">
        <v>38811.0</v>
      </c>
      <c r="G179" s="1254" t="s">
        <v>13967</v>
      </c>
      <c r="H179" s="1254" t="s">
        <v>13968</v>
      </c>
      <c r="I179" s="1256" t="s">
        <v>13969</v>
      </c>
      <c r="J179" s="1254" t="s">
        <v>13970</v>
      </c>
      <c r="K179" s="1254" t="s">
        <v>13105</v>
      </c>
      <c r="L179" s="1254"/>
      <c r="M179" s="1256" t="s">
        <v>13105</v>
      </c>
      <c r="N179" s="1254" t="s">
        <v>13105</v>
      </c>
      <c r="O179" s="1254" t="s">
        <v>13971</v>
      </c>
      <c r="P179" s="1267" t="s">
        <v>13972</v>
      </c>
      <c r="Q179" s="1262" t="b">
        <v>1</v>
      </c>
      <c r="R179" s="1262" t="b">
        <v>1</v>
      </c>
      <c r="S179" s="1262" t="b">
        <v>1</v>
      </c>
      <c r="T179" s="1257" t="b">
        <v>0</v>
      </c>
      <c r="U179" s="1260"/>
      <c r="V179" s="1259"/>
      <c r="W179" s="1259"/>
      <c r="X179" s="1259"/>
      <c r="Y179" s="1259"/>
    </row>
    <row r="180">
      <c r="A180" s="1254">
        <v>16.0</v>
      </c>
      <c r="B180" s="1254" t="s">
        <v>6</v>
      </c>
      <c r="C180" s="1254" t="s">
        <v>13973</v>
      </c>
      <c r="D180" s="1254" t="s">
        <v>12513</v>
      </c>
      <c r="E180" s="1254" t="s">
        <v>13417</v>
      </c>
      <c r="F180" s="1255">
        <v>38977.0</v>
      </c>
      <c r="G180" s="1254" t="s">
        <v>12861</v>
      </c>
      <c r="H180" s="1254" t="s">
        <v>13974</v>
      </c>
      <c r="I180" s="1256">
        <v>8.9162626809E10</v>
      </c>
      <c r="J180" s="1254" t="s">
        <v>13975</v>
      </c>
      <c r="K180" s="1254" t="s">
        <v>13976</v>
      </c>
      <c r="L180" s="1254"/>
      <c r="M180" s="1256">
        <v>8.9161827824E10</v>
      </c>
      <c r="N180" s="1254" t="s">
        <v>13977</v>
      </c>
      <c r="O180" s="1254">
        <v>8.9164727006E10</v>
      </c>
      <c r="P180" s="1267" t="s">
        <v>13978</v>
      </c>
      <c r="Q180" s="1262" t="b">
        <v>1</v>
      </c>
      <c r="R180" s="1262" t="b">
        <v>1</v>
      </c>
      <c r="S180" s="1262" t="b">
        <v>1</v>
      </c>
      <c r="T180" s="1262" t="b">
        <v>0</v>
      </c>
      <c r="U180" s="1258"/>
      <c r="V180" s="1259"/>
      <c r="W180" s="1259"/>
      <c r="X180" s="1259"/>
      <c r="Y180" s="1259"/>
    </row>
    <row r="181">
      <c r="A181" s="1254">
        <v>17.0</v>
      </c>
      <c r="B181" s="1254" t="s">
        <v>6</v>
      </c>
      <c r="C181" s="1254" t="s">
        <v>13979</v>
      </c>
      <c r="D181" s="1254" t="s">
        <v>12251</v>
      </c>
      <c r="E181" s="1254" t="s">
        <v>12288</v>
      </c>
      <c r="F181" s="1255">
        <v>38843.0</v>
      </c>
      <c r="G181" s="1254" t="s">
        <v>12872</v>
      </c>
      <c r="H181" s="1254" t="s">
        <v>13980</v>
      </c>
      <c r="I181" s="1256">
        <v>8.9255048021E10</v>
      </c>
      <c r="J181" s="1254" t="s">
        <v>13981</v>
      </c>
      <c r="K181" s="1254" t="s">
        <v>13982</v>
      </c>
      <c r="L181" s="1254"/>
      <c r="M181" s="1266"/>
      <c r="N181" s="1254" t="s">
        <v>13983</v>
      </c>
      <c r="O181" s="1254">
        <v>8.9265299674E10</v>
      </c>
      <c r="P181" s="1254" t="s">
        <v>13984</v>
      </c>
      <c r="Q181" s="1257" t="b">
        <v>0</v>
      </c>
      <c r="R181" s="1262" t="b">
        <v>1</v>
      </c>
      <c r="S181" s="1257" t="b">
        <v>0</v>
      </c>
      <c r="T181" s="1257" t="b">
        <v>1</v>
      </c>
      <c r="U181" s="1260" t="s">
        <v>13885</v>
      </c>
      <c r="V181" s="1259"/>
      <c r="W181" s="1259"/>
      <c r="X181" s="1259"/>
      <c r="Y181" s="1259"/>
    </row>
    <row r="182">
      <c r="A182" s="1254">
        <v>18.0</v>
      </c>
      <c r="B182" s="1254" t="s">
        <v>6</v>
      </c>
      <c r="C182" s="1254" t="s">
        <v>12301</v>
      </c>
      <c r="D182" s="1254" t="s">
        <v>13985</v>
      </c>
      <c r="E182" s="1254" t="s">
        <v>13379</v>
      </c>
      <c r="F182" s="1255">
        <v>38949.0</v>
      </c>
      <c r="G182" s="1254" t="s">
        <v>12872</v>
      </c>
      <c r="H182" s="1254" t="s">
        <v>13226</v>
      </c>
      <c r="I182" s="1256">
        <v>8.9168114323E10</v>
      </c>
      <c r="J182" s="1254" t="s">
        <v>13227</v>
      </c>
      <c r="K182" s="1254" t="s">
        <v>13228</v>
      </c>
      <c r="L182" s="1254"/>
      <c r="M182" s="1256">
        <v>8.9166725755E10</v>
      </c>
      <c r="N182" s="1254" t="s">
        <v>13986</v>
      </c>
      <c r="O182" s="1254">
        <v>8.9853183518E10</v>
      </c>
      <c r="P182" s="1254" t="s">
        <v>13987</v>
      </c>
      <c r="Q182" s="1257" t="b">
        <v>1</v>
      </c>
      <c r="R182" s="1257" t="b">
        <v>1</v>
      </c>
      <c r="S182" s="1262" t="b">
        <v>0</v>
      </c>
      <c r="T182" s="1257" t="b">
        <v>0</v>
      </c>
      <c r="U182" s="1258"/>
      <c r="V182" s="1259"/>
      <c r="W182" s="1259"/>
      <c r="X182" s="1259"/>
      <c r="Y182" s="1259"/>
    </row>
    <row r="183">
      <c r="A183" s="1254">
        <v>19.0</v>
      </c>
      <c r="B183" s="1254" t="s">
        <v>6</v>
      </c>
      <c r="C183" s="1254" t="s">
        <v>13988</v>
      </c>
      <c r="D183" s="1254" t="s">
        <v>12302</v>
      </c>
      <c r="E183" s="1254" t="s">
        <v>12281</v>
      </c>
      <c r="F183" s="1255">
        <v>38765.0</v>
      </c>
      <c r="G183" s="1254" t="s">
        <v>12872</v>
      </c>
      <c r="H183" s="1254" t="s">
        <v>13989</v>
      </c>
      <c r="I183" s="1256">
        <v>8.9165170619E10</v>
      </c>
      <c r="J183" s="1254" t="s">
        <v>13990</v>
      </c>
      <c r="K183" s="1254" t="s">
        <v>13991</v>
      </c>
      <c r="L183" s="1254"/>
      <c r="M183" s="1256">
        <v>8.9035255164E10</v>
      </c>
      <c r="N183" s="1261"/>
      <c r="O183" s="1254">
        <v>8.9851885563E10</v>
      </c>
      <c r="P183" s="1254" t="s">
        <v>13992</v>
      </c>
      <c r="Q183" s="1257" t="b">
        <v>1</v>
      </c>
      <c r="R183" s="1257" t="b">
        <v>1</v>
      </c>
      <c r="S183" s="1257" t="b">
        <v>1</v>
      </c>
      <c r="T183" s="1257" t="b">
        <v>0</v>
      </c>
      <c r="U183" s="1258"/>
      <c r="V183" s="1259"/>
      <c r="W183" s="1259"/>
      <c r="X183" s="1259"/>
      <c r="Y183" s="1259"/>
    </row>
    <row r="184">
      <c r="A184" s="1254">
        <v>20.0</v>
      </c>
      <c r="B184" s="1254" t="s">
        <v>6</v>
      </c>
      <c r="C184" s="1254" t="s">
        <v>13727</v>
      </c>
      <c r="D184" s="1254" t="s">
        <v>13993</v>
      </c>
      <c r="E184" s="1254" t="s">
        <v>12259</v>
      </c>
      <c r="F184" s="1255">
        <v>38934.0</v>
      </c>
      <c r="G184" s="1254" t="s">
        <v>12872</v>
      </c>
      <c r="H184" s="1254" t="s">
        <v>13728</v>
      </c>
      <c r="I184" s="1268" t="s">
        <v>13994</v>
      </c>
      <c r="J184" s="1254" t="s">
        <v>13729</v>
      </c>
      <c r="K184" s="1254" t="s">
        <v>13730</v>
      </c>
      <c r="L184" s="1254"/>
      <c r="M184" s="1256" t="s">
        <v>13995</v>
      </c>
      <c r="N184" s="1254" t="s">
        <v>13105</v>
      </c>
      <c r="O184" s="1254" t="s">
        <v>13996</v>
      </c>
      <c r="P184" s="1254" t="s">
        <v>13997</v>
      </c>
      <c r="Q184" s="1257" t="b">
        <v>1</v>
      </c>
      <c r="R184" s="1257" t="b">
        <v>1</v>
      </c>
      <c r="S184" s="1257" t="b">
        <v>1</v>
      </c>
      <c r="T184" s="1262" t="b">
        <v>1</v>
      </c>
      <c r="U184" s="1258"/>
      <c r="V184" s="1259"/>
      <c r="W184" s="1259"/>
      <c r="X184" s="1259"/>
      <c r="Y184" s="1259"/>
    </row>
    <row r="185">
      <c r="A185" s="1254">
        <v>21.0</v>
      </c>
      <c r="B185" s="1254" t="s">
        <v>6</v>
      </c>
      <c r="C185" s="1254" t="s">
        <v>13998</v>
      </c>
      <c r="D185" s="1254" t="s">
        <v>12531</v>
      </c>
      <c r="E185" s="1254" t="s">
        <v>12256</v>
      </c>
      <c r="F185" s="1255">
        <v>38846.0</v>
      </c>
      <c r="G185" s="1254" t="s">
        <v>12872</v>
      </c>
      <c r="H185" s="1254" t="s">
        <v>13999</v>
      </c>
      <c r="I185" s="1256">
        <v>8.9035054252E10</v>
      </c>
      <c r="J185" s="1254" t="s">
        <v>14000</v>
      </c>
      <c r="K185" s="1254" t="s">
        <v>14001</v>
      </c>
      <c r="L185" s="1254"/>
      <c r="M185" s="1256">
        <v>8.9773565805E10</v>
      </c>
      <c r="N185" s="1261"/>
      <c r="O185" s="1254">
        <v>8.9911035081E10</v>
      </c>
      <c r="P185" s="1254" t="s">
        <v>14002</v>
      </c>
      <c r="Q185" s="1257" t="b">
        <v>1</v>
      </c>
      <c r="R185" s="1257" t="b">
        <v>1</v>
      </c>
      <c r="S185" s="1257" t="b">
        <v>1</v>
      </c>
      <c r="T185" s="1257" t="b">
        <v>0</v>
      </c>
      <c r="U185" s="1258"/>
      <c r="V185" s="1259"/>
      <c r="W185" s="1259"/>
      <c r="X185" s="1259"/>
      <c r="Y185" s="1259"/>
    </row>
    <row r="186">
      <c r="A186" s="1254">
        <v>22.0</v>
      </c>
      <c r="B186" s="1254" t="s">
        <v>6</v>
      </c>
      <c r="C186" s="1254" t="s">
        <v>13261</v>
      </c>
      <c r="D186" s="1254" t="s">
        <v>14003</v>
      </c>
      <c r="E186" s="1254" t="s">
        <v>13732</v>
      </c>
      <c r="F186" s="1264">
        <v>39038.0</v>
      </c>
      <c r="G186" s="1254" t="s">
        <v>12861</v>
      </c>
      <c r="H186" s="1254" t="s">
        <v>13733</v>
      </c>
      <c r="I186" s="1256">
        <v>8.9164317254E10</v>
      </c>
      <c r="J186" s="1254" t="s">
        <v>13734</v>
      </c>
      <c r="K186" s="1254" t="s">
        <v>14004</v>
      </c>
      <c r="L186" s="1254"/>
      <c r="M186" s="1256">
        <v>8.995505068E10</v>
      </c>
      <c r="N186" s="1254" t="s">
        <v>14005</v>
      </c>
      <c r="O186" s="1254">
        <v>8.915330835E10</v>
      </c>
      <c r="P186" s="1254" t="s">
        <v>14006</v>
      </c>
      <c r="Q186" s="1262" t="b">
        <v>1</v>
      </c>
      <c r="R186" s="1262" t="b">
        <v>1</v>
      </c>
      <c r="S186" s="1262" t="b">
        <v>1</v>
      </c>
      <c r="T186" s="1262" t="b">
        <v>1</v>
      </c>
      <c r="U186" s="1258"/>
      <c r="V186" s="1259"/>
      <c r="W186" s="1259"/>
      <c r="X186" s="1259"/>
      <c r="Y186" s="1259"/>
    </row>
    <row r="187">
      <c r="A187" s="1254">
        <v>23.0</v>
      </c>
      <c r="B187" s="1254" t="s">
        <v>6</v>
      </c>
      <c r="C187" s="1254" t="s">
        <v>14007</v>
      </c>
      <c r="D187" s="1254" t="s">
        <v>12261</v>
      </c>
      <c r="E187" s="1254" t="s">
        <v>12281</v>
      </c>
      <c r="F187" s="1264">
        <v>38967.0</v>
      </c>
      <c r="G187" s="1254" t="s">
        <v>12872</v>
      </c>
      <c r="H187" s="1254" t="s">
        <v>14008</v>
      </c>
      <c r="I187" s="1256">
        <v>7.9169117123E10</v>
      </c>
      <c r="J187" s="1254" t="s">
        <v>14009</v>
      </c>
      <c r="K187" s="1254" t="s">
        <v>13105</v>
      </c>
      <c r="L187" s="1254"/>
      <c r="M187" s="1256" t="s">
        <v>13105</v>
      </c>
      <c r="N187" s="1254" t="s">
        <v>13105</v>
      </c>
      <c r="O187" s="1254">
        <v>8.9858067223E10</v>
      </c>
      <c r="P187" s="1254" t="s">
        <v>14010</v>
      </c>
      <c r="Q187" s="1262" t="b">
        <v>1</v>
      </c>
      <c r="R187" s="1262" t="b">
        <v>1</v>
      </c>
      <c r="S187" s="1262" t="b">
        <v>1</v>
      </c>
      <c r="T187" s="1262" t="b">
        <v>1</v>
      </c>
      <c r="U187" s="1258"/>
      <c r="V187" s="1259"/>
      <c r="W187" s="1259"/>
      <c r="X187" s="1259"/>
      <c r="Y187" s="1259"/>
    </row>
    <row r="188">
      <c r="A188" s="1269">
        <v>1.0</v>
      </c>
      <c r="B188" s="1269" t="s">
        <v>7</v>
      </c>
      <c r="C188" s="1270" t="s">
        <v>14011</v>
      </c>
      <c r="D188" s="1270" t="s">
        <v>12273</v>
      </c>
      <c r="E188" s="1270" t="s">
        <v>14012</v>
      </c>
      <c r="F188" s="1271" t="s">
        <v>14013</v>
      </c>
      <c r="G188" s="1272" t="s">
        <v>13135</v>
      </c>
      <c r="H188" s="1273" t="s">
        <v>14014</v>
      </c>
      <c r="I188" s="1274" t="s">
        <v>14015</v>
      </c>
      <c r="J188" s="1273" t="s">
        <v>14016</v>
      </c>
      <c r="K188" s="1273" t="s">
        <v>14017</v>
      </c>
      <c r="L188" s="1273"/>
      <c r="M188" s="1274" t="s">
        <v>14018</v>
      </c>
      <c r="N188" s="1273" t="s">
        <v>14019</v>
      </c>
      <c r="O188" s="1273" t="s">
        <v>14020</v>
      </c>
      <c r="P188" s="1273" t="s">
        <v>14021</v>
      </c>
      <c r="Q188" s="1275" t="b">
        <v>1</v>
      </c>
      <c r="R188" s="1275" t="b">
        <v>1</v>
      </c>
      <c r="S188" s="1275" t="b">
        <v>0</v>
      </c>
      <c r="T188" s="1275" t="b">
        <v>0</v>
      </c>
      <c r="U188" s="1276"/>
      <c r="V188" s="1277"/>
      <c r="W188" s="1277"/>
      <c r="X188" s="1277"/>
      <c r="Y188" s="1277"/>
    </row>
    <row r="189">
      <c r="A189" s="1269">
        <v>2.0</v>
      </c>
      <c r="B189" s="1269" t="s">
        <v>7</v>
      </c>
      <c r="C189" s="1270" t="s">
        <v>14022</v>
      </c>
      <c r="D189" s="1270" t="s">
        <v>12285</v>
      </c>
      <c r="E189" s="1270" t="s">
        <v>12307</v>
      </c>
      <c r="F189" s="1271" t="s">
        <v>14023</v>
      </c>
      <c r="G189" s="1272" t="s">
        <v>12872</v>
      </c>
      <c r="H189" s="1273" t="s">
        <v>14024</v>
      </c>
      <c r="I189" s="1274" t="s">
        <v>14025</v>
      </c>
      <c r="J189" s="1273" t="s">
        <v>14026</v>
      </c>
      <c r="K189" s="1273" t="s">
        <v>14027</v>
      </c>
      <c r="L189" s="1273"/>
      <c r="M189" s="1274" t="s">
        <v>14028</v>
      </c>
      <c r="N189" s="1273" t="s">
        <v>14029</v>
      </c>
      <c r="O189" s="1273" t="s">
        <v>14030</v>
      </c>
      <c r="P189" s="1273" t="s">
        <v>14031</v>
      </c>
      <c r="Q189" s="1275" t="b">
        <v>1</v>
      </c>
      <c r="R189" s="1275" t="b">
        <v>1</v>
      </c>
      <c r="S189" s="1275" t="b">
        <v>0</v>
      </c>
      <c r="T189" s="1275" t="b">
        <v>0</v>
      </c>
      <c r="U189" s="1276"/>
      <c r="V189" s="1277"/>
      <c r="W189" s="1277"/>
      <c r="X189" s="1277"/>
      <c r="Y189" s="1277"/>
    </row>
    <row r="190">
      <c r="A190" s="1269">
        <v>3.0</v>
      </c>
      <c r="B190" s="1269" t="s">
        <v>7</v>
      </c>
      <c r="C190" s="1270" t="s">
        <v>14032</v>
      </c>
      <c r="D190" s="1270" t="s">
        <v>14033</v>
      </c>
      <c r="E190" s="1270" t="s">
        <v>12271</v>
      </c>
      <c r="F190" s="1271" t="s">
        <v>14034</v>
      </c>
      <c r="G190" s="1272" t="s">
        <v>13135</v>
      </c>
      <c r="H190" s="1273" t="s">
        <v>14035</v>
      </c>
      <c r="I190" s="1274" t="s">
        <v>14036</v>
      </c>
      <c r="J190" s="1273" t="s">
        <v>14037</v>
      </c>
      <c r="K190" s="1273" t="s">
        <v>14038</v>
      </c>
      <c r="L190" s="1273"/>
      <c r="M190" s="1274" t="s">
        <v>14039</v>
      </c>
      <c r="N190" s="1273" t="s">
        <v>14040</v>
      </c>
      <c r="O190" s="1273" t="s">
        <v>14041</v>
      </c>
      <c r="P190" s="1273" t="s">
        <v>14042</v>
      </c>
      <c r="Q190" s="1275" t="b">
        <v>1</v>
      </c>
      <c r="R190" s="1275" t="b">
        <v>1</v>
      </c>
      <c r="S190" s="1275" t="b">
        <v>0</v>
      </c>
      <c r="T190" s="1275" t="b">
        <v>1</v>
      </c>
      <c r="U190" s="1276"/>
      <c r="V190" s="1277"/>
      <c r="W190" s="1277"/>
      <c r="X190" s="1277"/>
      <c r="Y190" s="1277"/>
    </row>
    <row r="191">
      <c r="A191" s="1269">
        <v>4.0</v>
      </c>
      <c r="B191" s="1269" t="s">
        <v>7</v>
      </c>
      <c r="C191" s="1270" t="s">
        <v>14043</v>
      </c>
      <c r="D191" s="1270" t="s">
        <v>13133</v>
      </c>
      <c r="E191" s="1270" t="s">
        <v>14044</v>
      </c>
      <c r="F191" s="1271" t="s">
        <v>14045</v>
      </c>
      <c r="G191" s="1272" t="s">
        <v>12872</v>
      </c>
      <c r="H191" s="1273" t="s">
        <v>14046</v>
      </c>
      <c r="I191" s="1274" t="s">
        <v>14047</v>
      </c>
      <c r="J191" s="1273" t="s">
        <v>14048</v>
      </c>
      <c r="K191" s="1273" t="s">
        <v>14049</v>
      </c>
      <c r="L191" s="1273"/>
      <c r="M191" s="1274" t="s">
        <v>14050</v>
      </c>
      <c r="N191" s="1273" t="s">
        <v>14051</v>
      </c>
      <c r="O191" s="1273" t="s">
        <v>14052</v>
      </c>
      <c r="P191" s="1273" t="s">
        <v>14053</v>
      </c>
      <c r="Q191" s="1275" t="b">
        <v>1</v>
      </c>
      <c r="R191" s="1275" t="b">
        <v>1</v>
      </c>
      <c r="S191" s="1278" t="b">
        <v>1</v>
      </c>
      <c r="T191" s="1275" t="b">
        <v>0</v>
      </c>
      <c r="U191" s="1276"/>
      <c r="V191" s="1277"/>
      <c r="W191" s="1277"/>
      <c r="X191" s="1277"/>
      <c r="Y191" s="1277"/>
    </row>
    <row r="192">
      <c r="A192" s="1269">
        <v>5.0</v>
      </c>
      <c r="B192" s="1269" t="s">
        <v>7</v>
      </c>
      <c r="C192" s="1270" t="s">
        <v>14054</v>
      </c>
      <c r="D192" s="1270" t="s">
        <v>14055</v>
      </c>
      <c r="E192" s="1270" t="s">
        <v>13054</v>
      </c>
      <c r="F192" s="1271" t="s">
        <v>14056</v>
      </c>
      <c r="G192" s="1272" t="s">
        <v>12872</v>
      </c>
      <c r="H192" s="1273" t="s">
        <v>14057</v>
      </c>
      <c r="I192" s="1274" t="s">
        <v>14058</v>
      </c>
      <c r="J192" s="1273" t="s">
        <v>14059</v>
      </c>
      <c r="K192" s="1273" t="s">
        <v>14060</v>
      </c>
      <c r="L192" s="1273"/>
      <c r="M192" s="1274" t="s">
        <v>14061</v>
      </c>
      <c r="N192" s="1273" t="s">
        <v>14062</v>
      </c>
      <c r="O192" s="1273" t="s">
        <v>14063</v>
      </c>
      <c r="P192" s="1273" t="s">
        <v>14064</v>
      </c>
      <c r="Q192" s="1275" t="b">
        <v>1</v>
      </c>
      <c r="R192" s="1275" t="b">
        <v>1</v>
      </c>
      <c r="S192" s="1275" t="b">
        <v>1</v>
      </c>
      <c r="T192" s="1275" t="b">
        <v>0</v>
      </c>
      <c r="U192" s="1276"/>
      <c r="V192" s="1277"/>
      <c r="W192" s="1277"/>
      <c r="X192" s="1277"/>
      <c r="Y192" s="1277"/>
    </row>
    <row r="193">
      <c r="A193" s="1269">
        <v>6.0</v>
      </c>
      <c r="B193" s="1269" t="s">
        <v>7</v>
      </c>
      <c r="C193" s="1270" t="s">
        <v>13791</v>
      </c>
      <c r="D193" s="1270" t="s">
        <v>12264</v>
      </c>
      <c r="E193" s="1270" t="s">
        <v>13629</v>
      </c>
      <c r="F193" s="1271" t="s">
        <v>14065</v>
      </c>
      <c r="G193" s="1272" t="s">
        <v>12872</v>
      </c>
      <c r="H193" s="1273" t="s">
        <v>13792</v>
      </c>
      <c r="I193" s="1274" t="s">
        <v>13793</v>
      </c>
      <c r="J193" s="1273" t="s">
        <v>13794</v>
      </c>
      <c r="K193" s="1273" t="s">
        <v>13795</v>
      </c>
      <c r="L193" s="1273"/>
      <c r="M193" s="1274" t="s">
        <v>13796</v>
      </c>
      <c r="N193" s="1273" t="s">
        <v>13797</v>
      </c>
      <c r="O193" s="1273" t="s">
        <v>14066</v>
      </c>
      <c r="P193" s="1273" t="s">
        <v>14067</v>
      </c>
      <c r="Q193" s="1275" t="b">
        <v>0</v>
      </c>
      <c r="R193" s="1275" t="b">
        <v>1</v>
      </c>
      <c r="S193" s="1275" t="b">
        <v>0</v>
      </c>
      <c r="T193" s="1278" t="b">
        <v>1</v>
      </c>
      <c r="U193" s="1276"/>
      <c r="V193" s="1277"/>
      <c r="W193" s="1277"/>
      <c r="X193" s="1277"/>
      <c r="Y193" s="1277"/>
    </row>
    <row r="194">
      <c r="A194" s="1269">
        <v>7.0</v>
      </c>
      <c r="B194" s="1269" t="s">
        <v>7</v>
      </c>
      <c r="C194" s="1270" t="s">
        <v>14068</v>
      </c>
      <c r="D194" s="1270" t="s">
        <v>14069</v>
      </c>
      <c r="E194" s="1270" t="s">
        <v>12277</v>
      </c>
      <c r="F194" s="1271" t="s">
        <v>14070</v>
      </c>
      <c r="G194" s="1272" t="s">
        <v>12872</v>
      </c>
      <c r="H194" s="1273" t="s">
        <v>14071</v>
      </c>
      <c r="I194" s="1274" t="s">
        <v>14072</v>
      </c>
      <c r="J194" s="1273" t="s">
        <v>12484</v>
      </c>
      <c r="K194" s="1273" t="s">
        <v>14073</v>
      </c>
      <c r="L194" s="1273"/>
      <c r="M194" s="1274" t="s">
        <v>14074</v>
      </c>
      <c r="N194" s="1273" t="s">
        <v>14075</v>
      </c>
      <c r="O194" s="1273" t="s">
        <v>14076</v>
      </c>
      <c r="P194" s="1273" t="s">
        <v>14077</v>
      </c>
      <c r="Q194" s="1275" t="b">
        <v>1</v>
      </c>
      <c r="R194" s="1275" t="b">
        <v>1</v>
      </c>
      <c r="S194" s="1275" t="b">
        <v>0</v>
      </c>
      <c r="T194" s="1275" t="b">
        <v>0</v>
      </c>
      <c r="U194" s="1276"/>
      <c r="V194" s="1277"/>
      <c r="W194" s="1277"/>
      <c r="X194" s="1277"/>
      <c r="Y194" s="1277"/>
    </row>
    <row r="195">
      <c r="A195" s="1269">
        <v>8.0</v>
      </c>
      <c r="B195" s="1269" t="s">
        <v>7</v>
      </c>
      <c r="C195" s="1270" t="s">
        <v>14078</v>
      </c>
      <c r="D195" s="1270" t="s">
        <v>13485</v>
      </c>
      <c r="E195" s="1270" t="s">
        <v>13295</v>
      </c>
      <c r="F195" s="1271" t="s">
        <v>14079</v>
      </c>
      <c r="G195" s="1272" t="s">
        <v>12872</v>
      </c>
      <c r="H195" s="1273" t="s">
        <v>13326</v>
      </c>
      <c r="I195" s="1274" t="s">
        <v>14080</v>
      </c>
      <c r="J195" s="1273" t="s">
        <v>13327</v>
      </c>
      <c r="K195" s="1273" t="s">
        <v>13328</v>
      </c>
      <c r="L195" s="1273"/>
      <c r="M195" s="1274" t="s">
        <v>14081</v>
      </c>
      <c r="N195" s="1273" t="s">
        <v>13329</v>
      </c>
      <c r="O195" s="1273" t="s">
        <v>14082</v>
      </c>
      <c r="P195" s="1273" t="s">
        <v>14083</v>
      </c>
      <c r="Q195" s="1278" t="b">
        <v>1</v>
      </c>
      <c r="R195" s="1278" t="b">
        <v>1</v>
      </c>
      <c r="S195" s="1278" t="b">
        <v>1</v>
      </c>
      <c r="T195" s="1275" t="b">
        <v>0</v>
      </c>
      <c r="U195" s="1276"/>
      <c r="V195" s="1277"/>
      <c r="W195" s="1277"/>
      <c r="X195" s="1277"/>
      <c r="Y195" s="1277"/>
    </row>
    <row r="196">
      <c r="A196" s="1269">
        <v>9.0</v>
      </c>
      <c r="B196" s="1269" t="s">
        <v>7</v>
      </c>
      <c r="C196" s="1270" t="s">
        <v>13132</v>
      </c>
      <c r="D196" s="1270" t="s">
        <v>12304</v>
      </c>
      <c r="E196" s="1270" t="s">
        <v>13325</v>
      </c>
      <c r="F196" s="1271" t="s">
        <v>14084</v>
      </c>
      <c r="G196" s="1272" t="s">
        <v>12872</v>
      </c>
      <c r="H196" s="1273" t="s">
        <v>14085</v>
      </c>
      <c r="I196" s="1274" t="s">
        <v>14086</v>
      </c>
      <c r="J196" s="1273" t="s">
        <v>14087</v>
      </c>
      <c r="K196" s="1273" t="s">
        <v>14088</v>
      </c>
      <c r="L196" s="1273"/>
      <c r="M196" s="1274" t="s">
        <v>14089</v>
      </c>
      <c r="N196" s="1273" t="s">
        <v>14087</v>
      </c>
      <c r="O196" s="1273" t="s">
        <v>14090</v>
      </c>
      <c r="P196" s="1273" t="s">
        <v>14091</v>
      </c>
      <c r="Q196" s="1275" t="b">
        <v>1</v>
      </c>
      <c r="R196" s="1275" t="b">
        <v>1</v>
      </c>
      <c r="S196" s="1275" t="b">
        <v>0</v>
      </c>
      <c r="T196" s="1275" t="b">
        <v>0</v>
      </c>
      <c r="U196" s="1276"/>
      <c r="V196" s="1277"/>
      <c r="W196" s="1277"/>
      <c r="X196" s="1277"/>
      <c r="Y196" s="1277"/>
    </row>
    <row r="197">
      <c r="A197" s="1269">
        <v>10.0</v>
      </c>
      <c r="B197" s="1269" t="s">
        <v>7</v>
      </c>
      <c r="C197" s="1270" t="s">
        <v>14092</v>
      </c>
      <c r="D197" s="1270" t="s">
        <v>13643</v>
      </c>
      <c r="E197" s="1270" t="s">
        <v>12281</v>
      </c>
      <c r="F197" s="1271" t="s">
        <v>14093</v>
      </c>
      <c r="G197" s="1272" t="s">
        <v>12872</v>
      </c>
      <c r="H197" s="1273" t="s">
        <v>14094</v>
      </c>
      <c r="I197" s="1274" t="s">
        <v>14095</v>
      </c>
      <c r="J197" s="1273" t="s">
        <v>14096</v>
      </c>
      <c r="K197" s="1273" t="s">
        <v>14097</v>
      </c>
      <c r="L197" s="1273"/>
      <c r="M197" s="1274" t="s">
        <v>14098</v>
      </c>
      <c r="N197" s="1273" t="s">
        <v>14096</v>
      </c>
      <c r="O197" s="1273" t="s">
        <v>14099</v>
      </c>
      <c r="P197" s="1273" t="s">
        <v>14100</v>
      </c>
      <c r="Q197" s="1275" t="b">
        <v>1</v>
      </c>
      <c r="R197" s="1275" t="b">
        <v>1</v>
      </c>
      <c r="S197" s="1275" t="b">
        <v>0</v>
      </c>
      <c r="T197" s="1275" t="b">
        <v>0</v>
      </c>
      <c r="U197" s="1276"/>
      <c r="V197" s="1277"/>
      <c r="W197" s="1277"/>
      <c r="X197" s="1277"/>
      <c r="Y197" s="1277"/>
    </row>
    <row r="198">
      <c r="A198" s="1269">
        <v>11.0</v>
      </c>
      <c r="B198" s="1269" t="s">
        <v>7</v>
      </c>
      <c r="C198" s="1270" t="s">
        <v>14101</v>
      </c>
      <c r="D198" s="1270" t="s">
        <v>13628</v>
      </c>
      <c r="E198" s="1270" t="s">
        <v>12281</v>
      </c>
      <c r="F198" s="1279">
        <v>38560.0</v>
      </c>
      <c r="G198" s="1280" t="s">
        <v>12872</v>
      </c>
      <c r="H198" s="1273" t="s">
        <v>14102</v>
      </c>
      <c r="I198" s="1274">
        <f>79169536651</f>
        <v>79169536651</v>
      </c>
      <c r="J198" s="1273"/>
      <c r="K198" s="1273"/>
      <c r="L198" s="1273"/>
      <c r="M198" s="1274"/>
      <c r="N198" s="1273"/>
      <c r="O198" s="1273"/>
      <c r="P198" s="1273" t="s">
        <v>14103</v>
      </c>
      <c r="Q198" s="1275" t="b">
        <v>1</v>
      </c>
      <c r="R198" s="1275" t="b">
        <v>1</v>
      </c>
      <c r="S198" s="1275" t="b">
        <v>0</v>
      </c>
      <c r="T198" s="1275" t="b">
        <v>0</v>
      </c>
      <c r="U198" s="1276"/>
      <c r="V198" s="1277"/>
      <c r="W198" s="1277"/>
      <c r="X198" s="1277"/>
      <c r="Y198" s="1277"/>
    </row>
    <row r="199">
      <c r="A199" s="1269">
        <v>12.0</v>
      </c>
      <c r="B199" s="1269" t="s">
        <v>7</v>
      </c>
      <c r="C199" s="1269" t="s">
        <v>14104</v>
      </c>
      <c r="D199" s="1269" t="s">
        <v>12287</v>
      </c>
      <c r="E199" s="1269" t="s">
        <v>13773</v>
      </c>
      <c r="F199" s="1271" t="s">
        <v>14105</v>
      </c>
      <c r="G199" s="1272" t="s">
        <v>12872</v>
      </c>
      <c r="H199" s="1273" t="s">
        <v>14106</v>
      </c>
      <c r="I199" s="1281">
        <v>8.9166264332E10</v>
      </c>
      <c r="J199" s="1282"/>
      <c r="K199" s="1269" t="s">
        <v>13105</v>
      </c>
      <c r="L199" s="1269"/>
      <c r="M199" s="1283" t="s">
        <v>13105</v>
      </c>
      <c r="N199" s="1269" t="s">
        <v>13105</v>
      </c>
      <c r="O199" s="1282">
        <f>79151360481</f>
        <v>79151360481</v>
      </c>
      <c r="P199" s="1282"/>
      <c r="Q199" s="1275" t="b">
        <v>1</v>
      </c>
      <c r="R199" s="1275" t="b">
        <v>1</v>
      </c>
      <c r="S199" s="1278" t="b">
        <v>1</v>
      </c>
      <c r="T199" s="1275" t="b">
        <v>0</v>
      </c>
      <c r="U199" s="1276"/>
      <c r="V199" s="1277"/>
      <c r="W199" s="1277"/>
      <c r="X199" s="1277"/>
      <c r="Y199" s="1277"/>
    </row>
    <row r="200">
      <c r="A200" s="1269">
        <v>13.0</v>
      </c>
      <c r="B200" s="1269" t="s">
        <v>7</v>
      </c>
      <c r="C200" s="1270" t="s">
        <v>14107</v>
      </c>
      <c r="D200" s="1270" t="s">
        <v>12438</v>
      </c>
      <c r="E200" s="1270" t="s">
        <v>12277</v>
      </c>
      <c r="F200" s="1271" t="s">
        <v>14108</v>
      </c>
      <c r="G200" s="1272" t="s">
        <v>12861</v>
      </c>
      <c r="H200" s="1273" t="s">
        <v>14109</v>
      </c>
      <c r="I200" s="1284" t="s">
        <v>14110</v>
      </c>
      <c r="J200" s="1273" t="s">
        <v>14111</v>
      </c>
      <c r="K200" s="1273" t="s">
        <v>14112</v>
      </c>
      <c r="L200" s="1273"/>
      <c r="M200" s="1274" t="s">
        <v>14113</v>
      </c>
      <c r="N200" s="1273" t="s">
        <v>14114</v>
      </c>
      <c r="O200" s="1285" t="s">
        <v>14115</v>
      </c>
      <c r="P200" s="1273" t="s">
        <v>14116</v>
      </c>
      <c r="Q200" s="1275" t="b">
        <v>0</v>
      </c>
      <c r="R200" s="1275" t="b">
        <v>1</v>
      </c>
      <c r="S200" s="1275" t="b">
        <v>0</v>
      </c>
      <c r="T200" s="1275" t="b">
        <v>0</v>
      </c>
      <c r="U200" s="1276"/>
      <c r="V200" s="1277"/>
      <c r="W200" s="1277"/>
      <c r="X200" s="1277"/>
      <c r="Y200" s="1277"/>
    </row>
    <row r="201">
      <c r="A201" s="1269">
        <v>14.0</v>
      </c>
      <c r="B201" s="1269" t="s">
        <v>7</v>
      </c>
      <c r="C201" s="1286" t="s">
        <v>13668</v>
      </c>
      <c r="D201" s="1286" t="s">
        <v>14117</v>
      </c>
      <c r="E201" s="1286" t="s">
        <v>12433</v>
      </c>
      <c r="F201" s="1271"/>
      <c r="G201" s="1272"/>
      <c r="H201" s="1273"/>
      <c r="I201" s="1284"/>
      <c r="J201" s="1273"/>
      <c r="K201" s="1273"/>
      <c r="L201" s="1273"/>
      <c r="M201" s="1274"/>
      <c r="N201" s="1273"/>
      <c r="O201" s="1285"/>
      <c r="P201" s="1287"/>
      <c r="Q201" s="1278" t="b">
        <v>0</v>
      </c>
      <c r="R201" s="1278" t="b">
        <v>1</v>
      </c>
      <c r="S201" s="1278" t="b">
        <v>1</v>
      </c>
      <c r="T201" s="1278" t="b">
        <v>1</v>
      </c>
      <c r="U201" s="1288"/>
      <c r="V201" s="1277"/>
      <c r="W201" s="1277"/>
      <c r="X201" s="1277"/>
      <c r="Y201" s="1277"/>
    </row>
    <row r="202">
      <c r="A202" s="1269">
        <v>15.0</v>
      </c>
      <c r="B202" s="1269" t="s">
        <v>7</v>
      </c>
      <c r="C202" s="1270" t="s">
        <v>14118</v>
      </c>
      <c r="D202" s="1270" t="s">
        <v>14119</v>
      </c>
      <c r="E202" s="1270" t="s">
        <v>14120</v>
      </c>
      <c r="F202" s="1271" t="s">
        <v>14121</v>
      </c>
      <c r="G202" s="1272" t="s">
        <v>12872</v>
      </c>
      <c r="H202" s="1273" t="s">
        <v>14122</v>
      </c>
      <c r="I202" s="1284" t="s">
        <v>14123</v>
      </c>
      <c r="J202" s="1273" t="s">
        <v>14124</v>
      </c>
      <c r="K202" s="1273" t="s">
        <v>14125</v>
      </c>
      <c r="L202" s="1273"/>
      <c r="M202" s="1274" t="s">
        <v>14126</v>
      </c>
      <c r="N202" s="1273" t="s">
        <v>14127</v>
      </c>
      <c r="O202" s="1285" t="s">
        <v>14128</v>
      </c>
      <c r="P202" s="1287" t="s">
        <v>14129</v>
      </c>
      <c r="Q202" s="1275" t="b">
        <v>0</v>
      </c>
      <c r="R202" s="1275" t="b">
        <v>0</v>
      </c>
      <c r="S202" s="1275" t="b">
        <v>0</v>
      </c>
      <c r="T202" s="1275" t="b">
        <v>0</v>
      </c>
      <c r="U202" s="1276"/>
      <c r="V202" s="1277"/>
      <c r="W202" s="1277"/>
      <c r="X202" s="1277"/>
      <c r="Y202" s="1277"/>
    </row>
    <row r="203">
      <c r="A203" s="1269">
        <v>16.0</v>
      </c>
      <c r="B203" s="1269" t="s">
        <v>7</v>
      </c>
      <c r="C203" s="1270" t="s">
        <v>14130</v>
      </c>
      <c r="D203" s="1270" t="s">
        <v>12481</v>
      </c>
      <c r="E203" s="1270" t="s">
        <v>12310</v>
      </c>
      <c r="F203" s="1289" t="s">
        <v>14131</v>
      </c>
      <c r="G203" s="1272" t="s">
        <v>12872</v>
      </c>
      <c r="H203" s="1273" t="s">
        <v>14132</v>
      </c>
      <c r="I203" s="1284" t="s">
        <v>14133</v>
      </c>
      <c r="J203" s="1273" t="s">
        <v>14134</v>
      </c>
      <c r="K203" s="1273" t="s">
        <v>14135</v>
      </c>
      <c r="L203" s="1273"/>
      <c r="M203" s="1274" t="s">
        <v>14136</v>
      </c>
      <c r="N203" s="1273" t="s">
        <v>12909</v>
      </c>
      <c r="O203" s="1285" t="s">
        <v>14137</v>
      </c>
      <c r="P203" s="1273" t="s">
        <v>14138</v>
      </c>
      <c r="Q203" s="1275" t="b">
        <v>1</v>
      </c>
      <c r="R203" s="1275" t="b">
        <v>1</v>
      </c>
      <c r="S203" s="1275" t="b">
        <v>0</v>
      </c>
      <c r="T203" s="1275" t="b">
        <v>0</v>
      </c>
      <c r="U203" s="1276"/>
      <c r="V203" s="1277"/>
      <c r="W203" s="1277"/>
      <c r="X203" s="1277"/>
      <c r="Y203" s="1277"/>
    </row>
    <row r="204">
      <c r="A204" s="1269">
        <v>17.0</v>
      </c>
      <c r="B204" s="1269" t="s">
        <v>7</v>
      </c>
      <c r="C204" s="1270" t="s">
        <v>13542</v>
      </c>
      <c r="D204" s="1270" t="s">
        <v>13643</v>
      </c>
      <c r="E204" s="1270" t="s">
        <v>12281</v>
      </c>
      <c r="F204" s="1289" t="s">
        <v>14139</v>
      </c>
      <c r="G204" s="1272" t="s">
        <v>12861</v>
      </c>
      <c r="H204" s="1273" t="s">
        <v>13543</v>
      </c>
      <c r="I204" s="1284" t="s">
        <v>14140</v>
      </c>
      <c r="J204" s="1273" t="s">
        <v>13544</v>
      </c>
      <c r="K204" s="1273" t="s">
        <v>13545</v>
      </c>
      <c r="L204" s="1273"/>
      <c r="M204" s="1274" t="s">
        <v>14141</v>
      </c>
      <c r="N204" s="1273" t="s">
        <v>13544</v>
      </c>
      <c r="O204" s="1285" t="s">
        <v>14142</v>
      </c>
      <c r="P204" s="1273" t="s">
        <v>14143</v>
      </c>
      <c r="Q204" s="1275" t="b">
        <v>0</v>
      </c>
      <c r="R204" s="1275" t="b">
        <v>0</v>
      </c>
      <c r="S204" s="1275" t="b">
        <v>0</v>
      </c>
      <c r="T204" s="1275" t="b">
        <v>0</v>
      </c>
      <c r="U204" s="1276"/>
      <c r="V204" s="1277"/>
      <c r="W204" s="1277"/>
      <c r="X204" s="1277"/>
      <c r="Y204" s="1277"/>
    </row>
    <row r="205">
      <c r="A205" s="1269">
        <v>18.0</v>
      </c>
      <c r="B205" s="1269" t="s">
        <v>7</v>
      </c>
      <c r="C205" s="1270" t="s">
        <v>14144</v>
      </c>
      <c r="D205" s="1270" t="s">
        <v>12270</v>
      </c>
      <c r="E205" s="1270" t="s">
        <v>12391</v>
      </c>
      <c r="F205" s="1289" t="s">
        <v>14145</v>
      </c>
      <c r="G205" s="1272" t="s">
        <v>14146</v>
      </c>
      <c r="H205" s="1273" t="s">
        <v>13105</v>
      </c>
      <c r="I205" s="1284" t="s">
        <v>13105</v>
      </c>
      <c r="J205" s="1273" t="s">
        <v>13105</v>
      </c>
      <c r="K205" s="1273" t="s">
        <v>13105</v>
      </c>
      <c r="L205" s="1273"/>
      <c r="M205" s="1274" t="s">
        <v>13105</v>
      </c>
      <c r="N205" s="1273" t="s">
        <v>13105</v>
      </c>
      <c r="O205" s="1285" t="s">
        <v>13105</v>
      </c>
      <c r="P205" s="1273" t="s">
        <v>14147</v>
      </c>
      <c r="Q205" s="1275" t="b">
        <v>1</v>
      </c>
      <c r="R205" s="1275" t="b">
        <v>1</v>
      </c>
      <c r="S205" s="1275" t="b">
        <v>0</v>
      </c>
      <c r="T205" s="1275" t="b">
        <v>0</v>
      </c>
      <c r="U205" s="1276"/>
      <c r="V205" s="1277"/>
      <c r="W205" s="1277"/>
      <c r="X205" s="1277"/>
      <c r="Y205" s="1277"/>
    </row>
    <row r="206">
      <c r="A206" s="1269">
        <v>19.0</v>
      </c>
      <c r="B206" s="1269" t="s">
        <v>7</v>
      </c>
      <c r="C206" s="1270" t="s">
        <v>14148</v>
      </c>
      <c r="D206" s="1270" t="s">
        <v>12421</v>
      </c>
      <c r="E206" s="1270" t="s">
        <v>12433</v>
      </c>
      <c r="F206" s="1289" t="s">
        <v>14149</v>
      </c>
      <c r="G206" s="1272" t="s">
        <v>12872</v>
      </c>
      <c r="H206" s="1273" t="s">
        <v>14150</v>
      </c>
      <c r="I206" s="1284" t="s">
        <v>14151</v>
      </c>
      <c r="J206" s="1273" t="s">
        <v>14152</v>
      </c>
      <c r="K206" s="1273" t="s">
        <v>14153</v>
      </c>
      <c r="L206" s="1273"/>
      <c r="M206" s="1274" t="s">
        <v>14154</v>
      </c>
      <c r="N206" s="1273" t="s">
        <v>14155</v>
      </c>
      <c r="O206" s="1285" t="s">
        <v>14156</v>
      </c>
      <c r="P206" s="1273" t="s">
        <v>14157</v>
      </c>
      <c r="Q206" s="1275" t="b">
        <v>0</v>
      </c>
      <c r="R206" s="1275" t="b">
        <v>0</v>
      </c>
      <c r="S206" s="1275" t="b">
        <v>0</v>
      </c>
      <c r="T206" s="1275" t="b">
        <v>0</v>
      </c>
      <c r="U206" s="1276"/>
      <c r="V206" s="1277"/>
      <c r="W206" s="1277"/>
      <c r="X206" s="1277"/>
      <c r="Y206" s="1277"/>
    </row>
    <row r="207">
      <c r="A207" s="1269">
        <v>20.0</v>
      </c>
      <c r="B207" s="1269" t="s">
        <v>7</v>
      </c>
      <c r="C207" s="1270" t="s">
        <v>14158</v>
      </c>
      <c r="D207" s="1270" t="s">
        <v>14159</v>
      </c>
      <c r="E207" s="1270" t="s">
        <v>12252</v>
      </c>
      <c r="F207" s="1290">
        <v>38433.0</v>
      </c>
      <c r="G207" s="1280" t="s">
        <v>12872</v>
      </c>
      <c r="H207" s="1286" t="s">
        <v>14160</v>
      </c>
      <c r="I207" s="1274">
        <f>79161022222</f>
        <v>79161022222</v>
      </c>
      <c r="J207" s="1273" t="s">
        <v>14161</v>
      </c>
      <c r="K207" s="1273"/>
      <c r="L207" s="1273"/>
      <c r="M207" s="1274"/>
      <c r="N207" s="1273"/>
      <c r="O207" s="1273"/>
      <c r="P207" s="1273"/>
      <c r="Q207" s="1275" t="b">
        <v>0</v>
      </c>
      <c r="R207" s="1275" t="b">
        <v>0</v>
      </c>
      <c r="S207" s="1275" t="b">
        <v>0</v>
      </c>
      <c r="T207" s="1275" t="b">
        <v>0</v>
      </c>
      <c r="U207" s="1276"/>
      <c r="V207" s="1277"/>
      <c r="W207" s="1277"/>
      <c r="X207" s="1277"/>
      <c r="Y207" s="1277"/>
    </row>
    <row r="208">
      <c r="A208" s="1269">
        <v>21.0</v>
      </c>
      <c r="B208" s="1269" t="s">
        <v>7</v>
      </c>
      <c r="C208" s="1270" t="s">
        <v>14162</v>
      </c>
      <c r="D208" s="1270" t="s">
        <v>12390</v>
      </c>
      <c r="E208" s="1270" t="s">
        <v>12256</v>
      </c>
      <c r="F208" s="1289" t="s">
        <v>14163</v>
      </c>
      <c r="G208" s="1272" t="s">
        <v>12872</v>
      </c>
      <c r="H208" s="1273" t="s">
        <v>14164</v>
      </c>
      <c r="I208" s="1284" t="s">
        <v>14165</v>
      </c>
      <c r="J208" s="1273" t="s">
        <v>14166</v>
      </c>
      <c r="K208" s="1273" t="s">
        <v>14167</v>
      </c>
      <c r="L208" s="1273"/>
      <c r="M208" s="1274" t="s">
        <v>14168</v>
      </c>
      <c r="N208" s="1273" t="s">
        <v>14169</v>
      </c>
      <c r="O208" s="1285" t="s">
        <v>14170</v>
      </c>
      <c r="P208" s="1291" t="s">
        <v>14171</v>
      </c>
      <c r="Q208" s="1275" t="b">
        <v>1</v>
      </c>
      <c r="R208" s="1275" t="b">
        <v>1</v>
      </c>
      <c r="S208" s="1275" t="b">
        <v>0</v>
      </c>
      <c r="T208" s="1275" t="b">
        <v>0</v>
      </c>
      <c r="U208" s="1276"/>
      <c r="V208" s="1277"/>
      <c r="W208" s="1277"/>
      <c r="X208" s="1277"/>
      <c r="Y208" s="1277"/>
    </row>
    <row r="209">
      <c r="A209" s="1269">
        <v>22.0</v>
      </c>
      <c r="B209" s="1269" t="s">
        <v>7</v>
      </c>
      <c r="C209" s="1270" t="s">
        <v>14172</v>
      </c>
      <c r="D209" s="1270" t="s">
        <v>12261</v>
      </c>
      <c r="E209" s="1270" t="s">
        <v>12291</v>
      </c>
      <c r="F209" s="1289">
        <v>38885.0</v>
      </c>
      <c r="G209" s="1280" t="s">
        <v>14173</v>
      </c>
      <c r="H209" s="1286" t="s">
        <v>14174</v>
      </c>
      <c r="I209" s="1274">
        <f>79168498128</f>
        <v>79168498128</v>
      </c>
      <c r="J209" s="1273"/>
      <c r="K209" s="1273"/>
      <c r="L209" s="1273"/>
      <c r="M209" s="1274"/>
      <c r="N209" s="1273"/>
      <c r="O209" s="1273"/>
      <c r="P209" s="1273" t="s">
        <v>14175</v>
      </c>
      <c r="Q209" s="1275" t="b">
        <v>0</v>
      </c>
      <c r="R209" s="1275" t="b">
        <v>0</v>
      </c>
      <c r="S209" s="1275" t="b">
        <v>0</v>
      </c>
      <c r="T209" s="1275" t="b">
        <v>0</v>
      </c>
      <c r="U209" s="1276"/>
      <c r="V209" s="1277"/>
      <c r="W209" s="1277"/>
      <c r="X209" s="1277"/>
      <c r="Y209" s="1277"/>
    </row>
    <row r="210">
      <c r="A210" s="1269">
        <v>23.0</v>
      </c>
      <c r="B210" s="1269" t="s">
        <v>7</v>
      </c>
      <c r="C210" s="1270" t="s">
        <v>14176</v>
      </c>
      <c r="D210" s="1270" t="s">
        <v>13437</v>
      </c>
      <c r="E210" s="1270" t="s">
        <v>12307</v>
      </c>
      <c r="F210" s="1289">
        <v>38420.0</v>
      </c>
      <c r="G210" s="1280" t="s">
        <v>12872</v>
      </c>
      <c r="H210" s="1286" t="s">
        <v>14177</v>
      </c>
      <c r="I210" s="1274">
        <v>8.9165057797E10</v>
      </c>
      <c r="J210" s="1273" t="s">
        <v>14178</v>
      </c>
      <c r="K210" s="1273"/>
      <c r="L210" s="1273"/>
      <c r="M210" s="1274"/>
      <c r="N210" s="1273"/>
      <c r="O210" s="1273">
        <f>79163769924</f>
        <v>79163769924</v>
      </c>
      <c r="P210" s="1273" t="s">
        <v>14179</v>
      </c>
      <c r="Q210" s="1275" t="b">
        <v>0</v>
      </c>
      <c r="R210" s="1275" t="b">
        <v>0</v>
      </c>
      <c r="S210" s="1275" t="b">
        <v>0</v>
      </c>
      <c r="T210" s="1275" t="b">
        <v>0</v>
      </c>
      <c r="U210" s="1276"/>
      <c r="V210" s="1277"/>
      <c r="W210" s="1277"/>
      <c r="X210" s="1277"/>
      <c r="Y210" s="1277"/>
    </row>
    <row r="211">
      <c r="A211" s="1269">
        <v>24.0</v>
      </c>
      <c r="B211" s="1269" t="s">
        <v>7</v>
      </c>
      <c r="C211" s="1270" t="s">
        <v>13694</v>
      </c>
      <c r="D211" s="1270" t="s">
        <v>14180</v>
      </c>
      <c r="E211" s="1270" t="s">
        <v>13695</v>
      </c>
      <c r="F211" s="1289" t="s">
        <v>14181</v>
      </c>
      <c r="G211" s="1272" t="s">
        <v>13135</v>
      </c>
      <c r="H211" s="1273" t="s">
        <v>13696</v>
      </c>
      <c r="I211" s="1284" t="s">
        <v>14182</v>
      </c>
      <c r="J211" s="1273" t="s">
        <v>13697</v>
      </c>
      <c r="K211" s="1273" t="s">
        <v>13698</v>
      </c>
      <c r="L211" s="1273"/>
      <c r="M211" s="1274" t="s">
        <v>14183</v>
      </c>
      <c r="N211" s="1273" t="s">
        <v>13699</v>
      </c>
      <c r="O211" s="1285" t="s">
        <v>14184</v>
      </c>
      <c r="P211" s="1273" t="s">
        <v>14185</v>
      </c>
      <c r="Q211" s="1275" t="b">
        <v>0</v>
      </c>
      <c r="R211" s="1275" t="b">
        <v>0</v>
      </c>
      <c r="S211" s="1275" t="b">
        <v>0</v>
      </c>
      <c r="T211" s="1278" t="b">
        <v>1</v>
      </c>
      <c r="U211" s="1276"/>
      <c r="V211" s="1277"/>
      <c r="W211" s="1277"/>
      <c r="X211" s="1277"/>
      <c r="Y211" s="1277"/>
    </row>
    <row r="212">
      <c r="A212" s="1269">
        <v>25.0</v>
      </c>
      <c r="B212" s="1269" t="s">
        <v>7</v>
      </c>
      <c r="C212" s="1270" t="s">
        <v>14186</v>
      </c>
      <c r="D212" s="1292" t="s">
        <v>12251</v>
      </c>
      <c r="E212" s="1270" t="s">
        <v>14187</v>
      </c>
      <c r="F212" s="1289" t="s">
        <v>14188</v>
      </c>
      <c r="G212" s="1272" t="s">
        <v>12872</v>
      </c>
      <c r="H212" s="1273" t="s">
        <v>14189</v>
      </c>
      <c r="I212" s="1284" t="s">
        <v>14190</v>
      </c>
      <c r="J212" s="1273" t="s">
        <v>14191</v>
      </c>
      <c r="K212" s="1273" t="s">
        <v>14192</v>
      </c>
      <c r="L212" s="1273"/>
      <c r="M212" s="1274" t="s">
        <v>14193</v>
      </c>
      <c r="N212" s="1273" t="s">
        <v>14194</v>
      </c>
      <c r="O212" s="1285" t="s">
        <v>14195</v>
      </c>
      <c r="P212" s="1273" t="s">
        <v>14196</v>
      </c>
      <c r="Q212" s="1275" t="b">
        <v>1</v>
      </c>
      <c r="R212" s="1275" t="b">
        <v>1</v>
      </c>
      <c r="S212" s="1275" t="b">
        <v>0</v>
      </c>
      <c r="T212" s="1275" t="b">
        <v>0</v>
      </c>
      <c r="U212" s="1276"/>
      <c r="V212" s="1277"/>
      <c r="W212" s="1277"/>
      <c r="X212" s="1277"/>
      <c r="Y212" s="1277"/>
    </row>
    <row r="213">
      <c r="A213" s="1269">
        <v>26.0</v>
      </c>
      <c r="B213" s="1269" t="s">
        <v>7</v>
      </c>
      <c r="C213" s="1270" t="s">
        <v>14197</v>
      </c>
      <c r="D213" s="1270" t="s">
        <v>12579</v>
      </c>
      <c r="E213" s="1270" t="s">
        <v>12256</v>
      </c>
      <c r="F213" s="1289" t="s">
        <v>14198</v>
      </c>
      <c r="G213" s="1272" t="s">
        <v>12861</v>
      </c>
      <c r="H213" s="1273" t="s">
        <v>14199</v>
      </c>
      <c r="I213" s="1284" t="s">
        <v>14200</v>
      </c>
      <c r="J213" s="1273" t="s">
        <v>14201</v>
      </c>
      <c r="K213" s="1273" t="s">
        <v>14202</v>
      </c>
      <c r="L213" s="1273"/>
      <c r="M213" s="1274" t="s">
        <v>14203</v>
      </c>
      <c r="N213" s="1273" t="s">
        <v>14204</v>
      </c>
      <c r="O213" s="1285" t="s">
        <v>14205</v>
      </c>
      <c r="P213" s="1273" t="s">
        <v>14206</v>
      </c>
      <c r="Q213" s="1275" t="b">
        <v>1</v>
      </c>
      <c r="R213" s="1275" t="b">
        <v>1</v>
      </c>
      <c r="S213" s="1275" t="b">
        <v>0</v>
      </c>
      <c r="T213" s="1275" t="b">
        <v>1</v>
      </c>
      <c r="U213" s="1276"/>
      <c r="V213" s="1277"/>
      <c r="W213" s="1277"/>
      <c r="X213" s="1277"/>
      <c r="Y213" s="1277"/>
    </row>
    <row r="214">
      <c r="A214" s="1269">
        <v>27.0</v>
      </c>
      <c r="B214" s="1269" t="s">
        <v>7</v>
      </c>
      <c r="C214" s="1270" t="s">
        <v>14207</v>
      </c>
      <c r="D214" s="1270" t="s">
        <v>14208</v>
      </c>
      <c r="E214" s="1270" t="s">
        <v>13873</v>
      </c>
      <c r="F214" s="1289">
        <v>38498.0</v>
      </c>
      <c r="G214" s="1280" t="s">
        <v>12872</v>
      </c>
      <c r="H214" s="1286" t="s">
        <v>14209</v>
      </c>
      <c r="I214" s="1274">
        <f>79164225209</f>
        <v>79164225209</v>
      </c>
      <c r="J214" s="1273" t="s">
        <v>14210</v>
      </c>
      <c r="K214" s="1286" t="s">
        <v>13105</v>
      </c>
      <c r="L214" s="1286"/>
      <c r="M214" s="1293" t="s">
        <v>13105</v>
      </c>
      <c r="N214" s="1286" t="s">
        <v>13105</v>
      </c>
      <c r="O214" s="1273">
        <f>79154093107</f>
        <v>79154093107</v>
      </c>
      <c r="P214" s="1273" t="s">
        <v>14211</v>
      </c>
      <c r="Q214" s="1275" t="b">
        <v>1</v>
      </c>
      <c r="R214" s="1275" t="b">
        <v>1</v>
      </c>
      <c r="S214" s="1275" t="b">
        <v>0</v>
      </c>
      <c r="T214" s="1275" t="b">
        <v>0</v>
      </c>
      <c r="U214" s="1276"/>
      <c r="V214" s="1277"/>
      <c r="W214" s="1277"/>
      <c r="X214" s="1277"/>
      <c r="Y214" s="1277"/>
    </row>
  </sheetData>
  <autoFilter ref="$A$1:$Y$214"/>
  <printOptions gridLines="1" horizontalCentered="1"/>
  <pageMargins bottom="0.75" footer="0.0" header="0.0" left="0.7" right="0.7" top="0.75"/>
  <pageSetup fitToWidth="0" paperSize="9" cellComments="atEnd" orientation="landscape" pageOrder="overThenDown"/>
  <drawing r:id="rId2"/>
  <legacyDrawing r:id="rId3"/>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outlineLevelRow="1"/>
  <cols>
    <col customWidth="1" min="1" max="1" width="10.88"/>
    <col customWidth="1" min="2" max="2" width="14.63"/>
    <col customWidth="1" min="3" max="10" width="20.88"/>
    <col customWidth="1" min="11" max="12" width="24.63"/>
  </cols>
  <sheetData>
    <row r="1">
      <c r="A1" s="1294" t="s">
        <v>12586</v>
      </c>
      <c r="B1" s="1295" t="s">
        <v>14212</v>
      </c>
      <c r="C1" s="1296" t="s">
        <v>1</v>
      </c>
      <c r="D1" s="1297" t="s">
        <v>2792</v>
      </c>
      <c r="E1" s="1297" t="s">
        <v>2793</v>
      </c>
      <c r="F1" s="1298" t="s">
        <v>4</v>
      </c>
      <c r="G1" s="1298" t="s">
        <v>5</v>
      </c>
      <c r="H1" s="1297" t="s">
        <v>6</v>
      </c>
      <c r="I1" s="1297" t="s">
        <v>7</v>
      </c>
      <c r="J1" s="1296" t="s">
        <v>14213</v>
      </c>
      <c r="K1" s="1299"/>
      <c r="L1" s="1299"/>
    </row>
    <row r="2" hidden="1">
      <c r="A2" s="1300" t="s">
        <v>14214</v>
      </c>
      <c r="B2" s="36"/>
      <c r="C2" s="36"/>
      <c r="D2" s="36"/>
      <c r="E2" s="36"/>
      <c r="F2" s="36"/>
      <c r="G2" s="36"/>
      <c r="H2" s="36"/>
      <c r="I2" s="36"/>
      <c r="J2" s="13"/>
      <c r="K2" s="1301"/>
      <c r="L2" s="1301"/>
      <c r="M2" s="1302"/>
      <c r="N2" s="1302"/>
      <c r="O2" s="1302"/>
      <c r="P2" s="1302"/>
      <c r="Q2" s="1302"/>
      <c r="R2" s="1302"/>
      <c r="S2" s="1302"/>
      <c r="T2" s="1302"/>
      <c r="U2" s="1302"/>
      <c r="V2" s="1302"/>
      <c r="W2" s="1302"/>
      <c r="X2" s="1302"/>
      <c r="Y2" s="1302"/>
      <c r="Z2" s="1302"/>
      <c r="AA2" s="1302"/>
    </row>
    <row r="3" hidden="1">
      <c r="A3" s="1303"/>
      <c r="B3" s="1304"/>
      <c r="C3" s="1304"/>
      <c r="D3" s="1304"/>
      <c r="E3" s="1305" t="s">
        <v>14215</v>
      </c>
      <c r="F3" s="36"/>
      <c r="G3" s="36"/>
      <c r="H3" s="36"/>
      <c r="I3" s="13"/>
      <c r="J3" s="1304"/>
      <c r="K3" s="1306"/>
      <c r="L3" s="1306"/>
      <c r="M3" s="1302"/>
      <c r="N3" s="1302"/>
      <c r="O3" s="1302"/>
      <c r="P3" s="1302"/>
      <c r="Q3" s="1302"/>
      <c r="R3" s="1302"/>
      <c r="S3" s="1302"/>
      <c r="T3" s="1302"/>
      <c r="U3" s="1302"/>
      <c r="V3" s="1302"/>
      <c r="W3" s="1302"/>
      <c r="X3" s="1302"/>
      <c r="Y3" s="1302"/>
      <c r="Z3" s="1302"/>
      <c r="AA3" s="1302"/>
    </row>
    <row r="4" hidden="1">
      <c r="A4" s="1307"/>
      <c r="B4" s="1304"/>
      <c r="C4" s="1304"/>
      <c r="D4" s="1308"/>
      <c r="E4" s="36"/>
      <c r="F4" s="36"/>
      <c r="G4" s="36"/>
      <c r="H4" s="13"/>
      <c r="I4" s="1304"/>
      <c r="J4" s="1309" t="s">
        <v>14216</v>
      </c>
      <c r="K4" s="1306"/>
      <c r="L4" s="1306"/>
      <c r="M4" s="1302"/>
      <c r="N4" s="1302"/>
      <c r="O4" s="1302"/>
      <c r="P4" s="1302"/>
      <c r="Q4" s="1302"/>
      <c r="R4" s="1302"/>
      <c r="S4" s="1302"/>
      <c r="T4" s="1302"/>
      <c r="U4" s="1302"/>
      <c r="V4" s="1302"/>
      <c r="W4" s="1302"/>
      <c r="X4" s="1302"/>
      <c r="Y4" s="1302"/>
      <c r="Z4" s="1302"/>
      <c r="AA4" s="1302"/>
    </row>
    <row r="5" hidden="1">
      <c r="A5" s="1310" t="s">
        <v>14217</v>
      </c>
      <c r="B5" s="36"/>
      <c r="C5" s="36"/>
      <c r="D5" s="36"/>
      <c r="E5" s="36"/>
      <c r="F5" s="36"/>
      <c r="G5" s="36"/>
      <c r="H5" s="36"/>
      <c r="I5" s="36"/>
      <c r="J5" s="13"/>
      <c r="K5" s="1311"/>
      <c r="L5" s="1311"/>
    </row>
    <row r="6" hidden="1">
      <c r="A6" s="1312"/>
      <c r="B6" s="1313"/>
      <c r="C6" s="1314" t="s">
        <v>14218</v>
      </c>
      <c r="D6" s="1315" t="s">
        <v>14218</v>
      </c>
      <c r="E6" s="1316"/>
      <c r="F6" s="1316"/>
      <c r="G6" s="1316"/>
      <c r="H6" s="1317" t="s">
        <v>14219</v>
      </c>
      <c r="I6" s="1317"/>
      <c r="J6" s="1315"/>
      <c r="K6" s="1318"/>
      <c r="L6" s="1318"/>
    </row>
    <row r="7" hidden="1">
      <c r="A7" s="1312"/>
      <c r="B7" s="1313"/>
      <c r="C7" s="1319" t="s">
        <v>14220</v>
      </c>
      <c r="D7" s="1315"/>
      <c r="E7" s="1316"/>
      <c r="F7" s="1316"/>
      <c r="G7" s="1316"/>
      <c r="H7" s="1316"/>
      <c r="I7" s="1316"/>
      <c r="J7" s="1315"/>
      <c r="K7" s="1318"/>
      <c r="L7" s="1318"/>
    </row>
    <row r="8" hidden="1">
      <c r="A8" s="1320">
        <v>44835.0</v>
      </c>
      <c r="B8" s="1313"/>
      <c r="C8" s="1321" t="s">
        <v>14221</v>
      </c>
      <c r="D8" s="64"/>
      <c r="E8" s="64"/>
      <c r="F8" s="64"/>
      <c r="G8" s="64"/>
      <c r="H8" s="64"/>
      <c r="I8" s="72"/>
      <c r="J8" s="1315"/>
      <c r="K8" s="1318"/>
      <c r="L8" s="1318"/>
    </row>
    <row r="9" hidden="1">
      <c r="A9" s="1322">
        <v>10.0</v>
      </c>
      <c r="B9" s="1313"/>
      <c r="C9" s="1323"/>
      <c r="D9" s="1315"/>
      <c r="E9" s="1316"/>
      <c r="F9" s="1316"/>
      <c r="G9" s="1324"/>
      <c r="H9" s="1325" t="s">
        <v>14222</v>
      </c>
      <c r="I9" s="1325"/>
      <c r="J9" s="1315"/>
      <c r="K9" s="1318"/>
      <c r="L9" s="1318"/>
    </row>
    <row r="10" hidden="1">
      <c r="A10" s="1312"/>
      <c r="B10" s="1313"/>
      <c r="C10" s="1323" t="s">
        <v>14223</v>
      </c>
      <c r="D10" s="1315" t="s">
        <v>14224</v>
      </c>
      <c r="E10" s="1326" t="s">
        <v>14225</v>
      </c>
      <c r="F10" s="13"/>
      <c r="G10" s="1324" t="s">
        <v>14226</v>
      </c>
      <c r="H10" s="1316"/>
      <c r="I10" s="1316"/>
      <c r="J10" s="1315"/>
      <c r="K10" s="1318"/>
      <c r="L10" s="1318"/>
    </row>
    <row r="11" hidden="1">
      <c r="A11" s="1312"/>
      <c r="B11" s="1315"/>
      <c r="C11" s="1315"/>
      <c r="D11" s="1327" t="s">
        <v>14227</v>
      </c>
      <c r="E11" s="36"/>
      <c r="F11" s="36"/>
      <c r="G11" s="1328"/>
      <c r="H11" s="1315"/>
      <c r="I11" s="1315"/>
      <c r="J11" s="1315"/>
      <c r="K11" s="1318"/>
      <c r="L11" s="1318"/>
    </row>
    <row r="12" hidden="1">
      <c r="A12" s="1312"/>
      <c r="B12" s="1315"/>
      <c r="C12" s="1315"/>
      <c r="D12" s="1329"/>
      <c r="E12" s="1315"/>
      <c r="F12" s="1327" t="s">
        <v>14228</v>
      </c>
      <c r="G12" s="13"/>
      <c r="H12" s="1315"/>
      <c r="I12" s="1315"/>
      <c r="J12" s="1315"/>
      <c r="K12" s="1318"/>
      <c r="L12" s="1318"/>
    </row>
    <row r="13" hidden="1">
      <c r="A13" s="1312"/>
      <c r="B13" s="1315"/>
      <c r="C13" s="1330" t="s">
        <v>14229</v>
      </c>
      <c r="D13" s="8"/>
      <c r="E13" s="8"/>
      <c r="F13" s="8"/>
      <c r="G13" s="8"/>
      <c r="H13" s="4"/>
      <c r="I13" s="1315"/>
      <c r="J13" s="1315"/>
      <c r="K13" s="1318"/>
      <c r="L13" s="1318"/>
    </row>
    <row r="14" hidden="1">
      <c r="A14" s="1312"/>
      <c r="B14" s="1315"/>
      <c r="C14" s="224"/>
      <c r="H14" s="139"/>
      <c r="I14" s="1315"/>
      <c r="J14" s="1315"/>
      <c r="K14" s="1318"/>
      <c r="L14" s="1318"/>
    </row>
    <row r="15" hidden="1">
      <c r="A15" s="1312"/>
      <c r="B15" s="1329"/>
      <c r="C15" s="104"/>
      <c r="D15" s="64"/>
      <c r="E15" s="64"/>
      <c r="F15" s="64"/>
      <c r="G15" s="64"/>
      <c r="H15" s="72"/>
      <c r="I15" s="1315"/>
      <c r="J15" s="1315"/>
      <c r="K15" s="1318"/>
      <c r="L15" s="1318"/>
    </row>
    <row r="16" hidden="1">
      <c r="A16" s="1312"/>
      <c r="B16" s="1315"/>
      <c r="C16" s="1315"/>
      <c r="D16" s="1315"/>
      <c r="E16" s="1315"/>
      <c r="F16" s="1315"/>
      <c r="G16" s="1315"/>
      <c r="H16" s="1331"/>
      <c r="I16" s="1331"/>
      <c r="J16" s="1332" t="s">
        <v>14230</v>
      </c>
      <c r="K16" s="1333"/>
      <c r="L16" s="1333"/>
    </row>
    <row r="17" hidden="1">
      <c r="A17" s="1312"/>
      <c r="B17" s="1317"/>
      <c r="C17" s="1317"/>
      <c r="D17" s="1317"/>
      <c r="E17" s="1317"/>
      <c r="F17" s="1317"/>
      <c r="G17" s="1317"/>
      <c r="H17" s="1317" t="s">
        <v>14231</v>
      </c>
      <c r="I17" s="1317"/>
      <c r="J17" s="1317"/>
      <c r="K17" s="1334"/>
      <c r="L17" s="1334"/>
    </row>
    <row r="18" hidden="1">
      <c r="A18" s="1335"/>
      <c r="B18" s="1315"/>
      <c r="C18" s="1327" t="s">
        <v>14232</v>
      </c>
      <c r="D18" s="36"/>
      <c r="E18" s="36"/>
      <c r="F18" s="36"/>
      <c r="G18" s="36"/>
      <c r="H18" s="13"/>
      <c r="I18" s="1315"/>
      <c r="J18" s="1315"/>
      <c r="K18" s="1318"/>
      <c r="L18" s="1318"/>
    </row>
    <row r="19" hidden="1">
      <c r="A19" s="1335"/>
      <c r="B19" s="1315"/>
      <c r="C19" s="1327" t="s">
        <v>14233</v>
      </c>
      <c r="D19" s="36"/>
      <c r="E19" s="36"/>
      <c r="F19" s="36"/>
      <c r="G19" s="36"/>
      <c r="H19" s="13"/>
      <c r="I19" s="1315"/>
      <c r="J19" s="1336" t="s">
        <v>14234</v>
      </c>
      <c r="K19" s="1337"/>
      <c r="L19" s="1337"/>
    </row>
    <row r="20" hidden="1" outlineLevel="1">
      <c r="A20" s="1312"/>
      <c r="B20" s="1315" t="s">
        <v>14235</v>
      </c>
      <c r="C20" s="1327" t="s">
        <v>14236</v>
      </c>
      <c r="D20" s="36"/>
      <c r="E20" s="36"/>
      <c r="F20" s="36"/>
      <c r="G20" s="36"/>
      <c r="H20" s="13"/>
      <c r="I20" s="1315"/>
      <c r="J20" s="1338" t="s">
        <v>14237</v>
      </c>
      <c r="K20" s="1339"/>
      <c r="L20" s="1339"/>
    </row>
    <row r="21" hidden="1" outlineLevel="1">
      <c r="A21" s="1312"/>
      <c r="B21" s="1328"/>
      <c r="C21" s="1328"/>
      <c r="D21" s="1315"/>
      <c r="E21" s="1315" t="s">
        <v>14238</v>
      </c>
      <c r="F21" s="1315"/>
      <c r="G21" s="1315"/>
      <c r="H21" s="1315"/>
      <c r="I21" s="1315"/>
      <c r="J21" s="1338"/>
      <c r="K21" s="1339"/>
      <c r="L21" s="1339"/>
    </row>
    <row r="22" hidden="1" outlineLevel="1">
      <c r="A22" s="1312"/>
      <c r="B22" s="1340"/>
      <c r="C22" s="1328" t="s">
        <v>14239</v>
      </c>
      <c r="D22" s="1315"/>
      <c r="E22" s="1315"/>
      <c r="F22" s="1315"/>
      <c r="G22" s="1315"/>
      <c r="H22" s="1315"/>
      <c r="I22" s="1315"/>
      <c r="J22" s="1315" t="s">
        <v>14239</v>
      </c>
      <c r="K22" s="1318"/>
      <c r="L22" s="1318"/>
    </row>
    <row r="23" hidden="1">
      <c r="A23" s="1341" t="s">
        <v>14240</v>
      </c>
      <c r="B23" s="36"/>
      <c r="C23" s="36"/>
      <c r="D23" s="36"/>
      <c r="E23" s="36"/>
      <c r="F23" s="36"/>
      <c r="G23" s="36"/>
      <c r="H23" s="36"/>
      <c r="I23" s="36"/>
      <c r="J23" s="13"/>
      <c r="K23" s="1301"/>
      <c r="L23" s="1301"/>
    </row>
    <row r="24" hidden="1">
      <c r="A24" s="1303"/>
      <c r="B24" s="1304" t="s">
        <v>14241</v>
      </c>
      <c r="C24" s="1342"/>
      <c r="D24" s="1342"/>
      <c r="E24" s="1342"/>
      <c r="F24" s="1342"/>
      <c r="G24" s="1342"/>
      <c r="H24" s="1342"/>
      <c r="I24" s="1342"/>
      <c r="J24" s="1342"/>
      <c r="K24" s="1343"/>
      <c r="L24" s="1343"/>
    </row>
    <row r="25" hidden="1">
      <c r="A25" s="1303"/>
      <c r="B25" s="1304"/>
      <c r="C25" s="1344" t="s">
        <v>14242</v>
      </c>
      <c r="D25" s="36"/>
      <c r="E25" s="36"/>
      <c r="F25" s="36"/>
      <c r="G25" s="36"/>
      <c r="H25" s="36"/>
      <c r="I25" s="36"/>
      <c r="J25" s="13"/>
      <c r="K25" s="1343"/>
      <c r="L25" s="1343"/>
    </row>
    <row r="26" hidden="1">
      <c r="A26" s="1303"/>
      <c r="B26" s="1304"/>
      <c r="C26" s="1342" t="s">
        <v>14243</v>
      </c>
      <c r="D26" s="1345"/>
      <c r="E26" s="1304"/>
      <c r="F26" s="1345" t="s">
        <v>14244</v>
      </c>
      <c r="G26" s="1346"/>
      <c r="H26" s="1304" t="s">
        <v>14245</v>
      </c>
      <c r="I26" s="1304"/>
      <c r="J26" s="1342" t="s">
        <v>14246</v>
      </c>
      <c r="K26" s="1343"/>
      <c r="L26" s="1343"/>
    </row>
    <row r="27" hidden="1">
      <c r="A27" s="1307"/>
      <c r="B27" s="1342"/>
      <c r="C27" s="1344" t="s">
        <v>14247</v>
      </c>
      <c r="D27" s="36"/>
      <c r="E27" s="13"/>
      <c r="F27" s="1342"/>
      <c r="G27" s="1342"/>
      <c r="H27" s="1342" t="s">
        <v>14248</v>
      </c>
      <c r="I27" s="1342"/>
      <c r="J27" s="1347"/>
      <c r="K27" s="1348"/>
      <c r="L27" s="1348"/>
    </row>
    <row r="28" hidden="1">
      <c r="A28" s="1307"/>
      <c r="B28" s="1342"/>
      <c r="C28" s="1344"/>
      <c r="D28" s="1342"/>
      <c r="E28" s="1342"/>
      <c r="F28" s="1342"/>
      <c r="G28" s="1342"/>
      <c r="H28" s="1349" t="s">
        <v>14249</v>
      </c>
      <c r="I28" s="1349"/>
      <c r="J28" s="1347"/>
      <c r="K28" s="1348"/>
      <c r="L28" s="1348"/>
    </row>
    <row r="29" hidden="1">
      <c r="A29" s="1307"/>
      <c r="B29" s="1342"/>
      <c r="C29" s="1344"/>
      <c r="D29" s="1346" t="s">
        <v>14250</v>
      </c>
      <c r="E29" s="1346" t="s">
        <v>14251</v>
      </c>
      <c r="F29" s="1346" t="s">
        <v>14252</v>
      </c>
      <c r="G29" s="1346" t="s">
        <v>14253</v>
      </c>
      <c r="H29" s="1349"/>
      <c r="I29" s="1349"/>
      <c r="J29" s="1304"/>
      <c r="K29" s="1306"/>
      <c r="L29" s="1306"/>
    </row>
    <row r="30" hidden="1">
      <c r="A30" s="1303"/>
      <c r="B30" s="1304"/>
      <c r="C30" s="1304"/>
      <c r="D30" s="1304"/>
      <c r="E30" s="1304"/>
      <c r="F30" s="1350" t="s">
        <v>14254</v>
      </c>
      <c r="G30" s="13"/>
      <c r="H30" s="1304"/>
      <c r="I30" s="1304"/>
      <c r="J30" s="1304"/>
      <c r="K30" s="1306"/>
      <c r="L30" s="1306"/>
    </row>
    <row r="31" hidden="1">
      <c r="A31" s="1303"/>
      <c r="B31" s="1304"/>
      <c r="C31" s="1304"/>
      <c r="D31" s="1304"/>
      <c r="E31" s="1304"/>
      <c r="F31" s="1345"/>
      <c r="G31" s="1345"/>
      <c r="H31" s="1304" t="s">
        <v>14255</v>
      </c>
      <c r="I31" s="1304"/>
      <c r="J31" s="1304"/>
      <c r="K31" s="1306"/>
      <c r="L31" s="1306"/>
    </row>
    <row r="32" hidden="1">
      <c r="A32" s="1307"/>
      <c r="B32" s="1304"/>
      <c r="C32" s="1308" t="s">
        <v>14256</v>
      </c>
      <c r="D32" s="13"/>
      <c r="E32" s="1342"/>
      <c r="F32" s="1344"/>
      <c r="G32" s="13"/>
      <c r="H32" s="1342"/>
      <c r="I32" s="1342"/>
      <c r="J32" s="1304"/>
      <c r="K32" s="1306"/>
      <c r="L32" s="1306"/>
    </row>
    <row r="33" hidden="1">
      <c r="A33" s="1307"/>
      <c r="B33" s="1304"/>
      <c r="C33" s="1304"/>
      <c r="D33" s="1304"/>
      <c r="E33" s="1308" t="s">
        <v>14257</v>
      </c>
      <c r="F33" s="36"/>
      <c r="G33" s="36"/>
      <c r="H33" s="13"/>
      <c r="I33" s="1304"/>
      <c r="J33" s="1304"/>
      <c r="K33" s="1306"/>
      <c r="L33" s="1306"/>
    </row>
    <row r="34" hidden="1">
      <c r="A34" s="1307"/>
      <c r="B34" s="1304"/>
      <c r="C34" s="1304"/>
      <c r="D34" s="1304"/>
      <c r="E34" s="1304" t="s">
        <v>14238</v>
      </c>
      <c r="F34" s="1304"/>
      <c r="G34" s="1304" t="s">
        <v>14238</v>
      </c>
      <c r="H34" s="1304"/>
      <c r="I34" s="1304"/>
      <c r="J34" s="1304"/>
      <c r="K34" s="1306"/>
      <c r="L34" s="1306"/>
    </row>
    <row r="35" hidden="1">
      <c r="A35" s="1307"/>
      <c r="B35" s="1304"/>
      <c r="C35" s="1304"/>
      <c r="D35" s="1304"/>
      <c r="E35" s="1304"/>
      <c r="F35" s="1304"/>
      <c r="G35" s="1304"/>
      <c r="H35" s="1304" t="s">
        <v>14249</v>
      </c>
      <c r="I35" s="1304"/>
      <c r="J35" s="1304"/>
      <c r="K35" s="1306"/>
      <c r="L35" s="1306"/>
    </row>
    <row r="36" hidden="1">
      <c r="A36" s="1307"/>
      <c r="B36" s="1304"/>
      <c r="C36" s="1304"/>
      <c r="D36" s="1308" t="s">
        <v>14258</v>
      </c>
      <c r="E36" s="13"/>
      <c r="F36" s="1304"/>
      <c r="G36" s="1304"/>
      <c r="H36" s="1304"/>
      <c r="I36" s="1304"/>
      <c r="J36" s="1304"/>
      <c r="K36" s="1306"/>
      <c r="L36" s="1306"/>
    </row>
    <row r="37" hidden="1">
      <c r="A37" s="1307"/>
      <c r="B37" s="1304"/>
      <c r="C37" s="1304"/>
      <c r="D37" s="1304"/>
      <c r="E37" s="1342"/>
      <c r="F37" s="1344" t="s">
        <v>14259</v>
      </c>
      <c r="G37" s="13"/>
      <c r="H37" s="1342"/>
      <c r="I37" s="1342"/>
      <c r="J37" s="1304"/>
      <c r="K37" s="1306"/>
      <c r="L37" s="1306"/>
    </row>
    <row r="38" hidden="1">
      <c r="A38" s="1307"/>
      <c r="B38" s="1342"/>
      <c r="C38" s="1342"/>
      <c r="D38" s="1342" t="s">
        <v>14260</v>
      </c>
      <c r="E38" s="1308" t="s">
        <v>14261</v>
      </c>
      <c r="F38" s="36"/>
      <c r="G38" s="36"/>
      <c r="H38" s="13"/>
      <c r="I38" s="1304"/>
      <c r="J38" s="1304"/>
      <c r="K38" s="1306"/>
      <c r="L38" s="1306"/>
    </row>
    <row r="39" hidden="1">
      <c r="A39" s="1307"/>
      <c r="B39" s="1342"/>
      <c r="C39" s="1308" t="s">
        <v>14262</v>
      </c>
      <c r="D39" s="13"/>
      <c r="E39" s="1344"/>
      <c r="F39" s="1351"/>
      <c r="G39" s="1351"/>
      <c r="H39" s="1349"/>
      <c r="I39" s="1349"/>
      <c r="J39" s="1304"/>
      <c r="K39" s="1306"/>
      <c r="L39" s="1306"/>
    </row>
    <row r="40" hidden="1">
      <c r="A40" s="1303"/>
      <c r="B40" s="1304"/>
      <c r="C40" s="1304"/>
      <c r="D40" s="1304"/>
      <c r="E40" s="1304"/>
      <c r="F40" s="1345"/>
      <c r="G40" s="1345"/>
      <c r="H40" s="1304"/>
      <c r="I40" s="1304"/>
      <c r="J40" s="1304" t="s">
        <v>14263</v>
      </c>
      <c r="K40" s="1306"/>
      <c r="L40" s="1306"/>
    </row>
    <row r="41" hidden="1">
      <c r="A41" s="1307"/>
      <c r="B41" s="1304"/>
      <c r="C41" s="1308" t="s">
        <v>14264</v>
      </c>
      <c r="D41" s="36"/>
      <c r="E41" s="36"/>
      <c r="F41" s="36"/>
      <c r="G41" s="36"/>
      <c r="H41" s="13"/>
      <c r="I41" s="1304"/>
      <c r="J41" s="1304"/>
      <c r="K41" s="1306"/>
      <c r="L41" s="1306"/>
    </row>
    <row r="42" hidden="1">
      <c r="A42" s="1307"/>
      <c r="B42" s="1304"/>
      <c r="C42" s="1308" t="s">
        <v>14265</v>
      </c>
      <c r="D42" s="36"/>
      <c r="E42" s="36"/>
      <c r="F42" s="36"/>
      <c r="G42" s="36"/>
      <c r="H42" s="36"/>
      <c r="I42" s="36"/>
      <c r="J42" s="13"/>
      <c r="K42" s="1306"/>
      <c r="L42" s="1306"/>
    </row>
    <row r="43" hidden="1">
      <c r="A43" s="1307"/>
      <c r="B43" s="1308" t="s">
        <v>14266</v>
      </c>
      <c r="C43" s="36"/>
      <c r="D43" s="36"/>
      <c r="E43" s="36"/>
      <c r="F43" s="36"/>
      <c r="G43" s="36"/>
      <c r="H43" s="36"/>
      <c r="I43" s="36"/>
      <c r="J43" s="13"/>
      <c r="K43" s="1306"/>
      <c r="L43" s="1306"/>
    </row>
    <row r="44" hidden="1">
      <c r="A44" s="1307"/>
      <c r="B44" s="1304"/>
      <c r="C44" s="1308" t="s">
        <v>14267</v>
      </c>
      <c r="D44" s="36"/>
      <c r="E44" s="36"/>
      <c r="F44" s="36"/>
      <c r="G44" s="36"/>
      <c r="H44" s="36"/>
      <c r="I44" s="36"/>
      <c r="J44" s="13"/>
      <c r="K44" s="1306"/>
      <c r="L44" s="1306"/>
    </row>
    <row r="45" hidden="1">
      <c r="A45" s="1310" t="s">
        <v>14268</v>
      </c>
      <c r="B45" s="36"/>
      <c r="C45" s="36"/>
      <c r="D45" s="36"/>
      <c r="E45" s="36"/>
      <c r="F45" s="36"/>
      <c r="G45" s="36"/>
      <c r="H45" s="36"/>
      <c r="I45" s="36"/>
      <c r="J45" s="13"/>
      <c r="K45" s="1311"/>
      <c r="L45" s="1311"/>
    </row>
    <row r="46" hidden="1">
      <c r="A46" s="1352"/>
      <c r="B46" s="1353"/>
      <c r="C46" s="1354"/>
      <c r="D46" s="1354"/>
      <c r="E46" s="1354"/>
      <c r="F46" s="1354"/>
      <c r="G46" s="1354"/>
      <c r="H46" s="1354" t="s">
        <v>14269</v>
      </c>
      <c r="I46" s="1354"/>
      <c r="J46" s="1354"/>
      <c r="K46" s="1355"/>
      <c r="L46" s="1355"/>
    </row>
    <row r="47" hidden="1">
      <c r="A47" s="1312"/>
      <c r="B47" s="1353"/>
      <c r="C47" s="1354"/>
      <c r="D47" s="1354"/>
      <c r="E47" s="1354" t="s">
        <v>14270</v>
      </c>
      <c r="F47" s="1354"/>
      <c r="G47" s="1354"/>
      <c r="H47" s="1354" t="s">
        <v>14270</v>
      </c>
      <c r="I47" s="1354"/>
      <c r="J47" s="1354"/>
      <c r="K47" s="1355"/>
      <c r="L47" s="1355"/>
    </row>
    <row r="48" hidden="1">
      <c r="A48" s="1312"/>
      <c r="B48" s="1353"/>
      <c r="C48" s="1356" t="s">
        <v>14271</v>
      </c>
      <c r="D48" s="36"/>
      <c r="E48" s="36"/>
      <c r="F48" s="36"/>
      <c r="G48" s="36"/>
      <c r="H48" s="13"/>
      <c r="I48" s="1353"/>
      <c r="J48" s="1315"/>
      <c r="K48" s="1318"/>
      <c r="L48" s="1318"/>
    </row>
    <row r="49" hidden="1">
      <c r="A49" s="1335"/>
      <c r="B49" s="1315"/>
      <c r="C49" s="1315"/>
      <c r="D49" s="1327" t="s">
        <v>14272</v>
      </c>
      <c r="E49" s="36"/>
      <c r="F49" s="36"/>
      <c r="G49" s="36"/>
      <c r="H49" s="13"/>
      <c r="I49" s="1315"/>
      <c r="J49" s="1315"/>
      <c r="K49" s="1318"/>
      <c r="L49" s="1318"/>
    </row>
    <row r="50" hidden="1">
      <c r="A50" s="1341" t="s">
        <v>14273</v>
      </c>
      <c r="B50" s="36"/>
      <c r="C50" s="36"/>
      <c r="D50" s="36"/>
      <c r="E50" s="36"/>
      <c r="F50" s="36"/>
      <c r="G50" s="36"/>
      <c r="H50" s="36"/>
      <c r="I50" s="36"/>
      <c r="J50" s="13"/>
      <c r="K50" s="1301"/>
      <c r="L50" s="1301"/>
    </row>
    <row r="51" hidden="1">
      <c r="A51" s="1303"/>
      <c r="B51" s="1304"/>
      <c r="C51" s="1308" t="s">
        <v>14274</v>
      </c>
      <c r="D51" s="36"/>
      <c r="E51" s="36"/>
      <c r="F51" s="36"/>
      <c r="G51" s="36"/>
      <c r="H51" s="13"/>
      <c r="I51" s="1304"/>
      <c r="J51" s="1304"/>
      <c r="K51" s="1306"/>
      <c r="L51" s="1306"/>
    </row>
    <row r="52" hidden="1">
      <c r="A52" s="1357"/>
      <c r="B52" s="1304"/>
      <c r="C52" s="1304"/>
      <c r="D52" s="1304"/>
      <c r="E52" s="1304"/>
      <c r="F52" s="1308" t="s">
        <v>14275</v>
      </c>
      <c r="G52" s="1358"/>
      <c r="H52" s="1304"/>
      <c r="I52" s="1304"/>
      <c r="J52" s="1304"/>
      <c r="K52" s="1306"/>
      <c r="L52" s="1306"/>
    </row>
    <row r="53" hidden="1">
      <c r="A53" s="1307"/>
      <c r="B53" s="1304"/>
      <c r="C53" s="1304" t="s">
        <v>14276</v>
      </c>
      <c r="D53" s="1304"/>
      <c r="E53" s="1304" t="s">
        <v>12519</v>
      </c>
      <c r="F53" s="1308" t="s">
        <v>14277</v>
      </c>
      <c r="G53" s="1358" t="s">
        <v>12519</v>
      </c>
      <c r="H53" s="1308" t="s">
        <v>14277</v>
      </c>
      <c r="I53" s="1308"/>
      <c r="J53" s="1304"/>
      <c r="K53" s="1306"/>
      <c r="L53" s="1306"/>
    </row>
    <row r="54" hidden="1">
      <c r="A54" s="1307"/>
      <c r="B54" s="1304" t="s">
        <v>14278</v>
      </c>
      <c r="C54" s="1304"/>
      <c r="D54" s="1304" t="s">
        <v>14279</v>
      </c>
      <c r="E54" s="1304"/>
      <c r="F54" s="1304"/>
      <c r="G54" s="1304"/>
      <c r="H54" s="1304"/>
      <c r="I54" s="1304"/>
      <c r="J54" s="1304" t="s">
        <v>14280</v>
      </c>
      <c r="K54" s="1306"/>
      <c r="L54" s="1306"/>
    </row>
    <row r="55" hidden="1">
      <c r="A55" s="1303"/>
      <c r="B55" s="1304"/>
      <c r="C55" s="1304"/>
      <c r="D55" s="1308" t="s">
        <v>14281</v>
      </c>
      <c r="E55" s="36"/>
      <c r="F55" s="36"/>
      <c r="G55" s="36"/>
      <c r="H55" s="13"/>
      <c r="I55" s="1304"/>
      <c r="J55" s="1304"/>
      <c r="K55" s="1306"/>
      <c r="L55" s="1306"/>
    </row>
    <row r="56" hidden="1">
      <c r="A56" s="1303"/>
      <c r="B56" s="1304"/>
      <c r="C56" s="1304"/>
      <c r="D56" s="1308" t="s">
        <v>14282</v>
      </c>
      <c r="E56" s="36"/>
      <c r="F56" s="13"/>
      <c r="G56" s="1304"/>
      <c r="H56" s="1304"/>
      <c r="I56" s="1304"/>
      <c r="J56" s="1304"/>
      <c r="K56" s="1306"/>
      <c r="L56" s="1306"/>
    </row>
    <row r="57" hidden="1">
      <c r="A57" s="1303"/>
      <c r="B57" s="1304"/>
      <c r="C57" s="1308" t="s">
        <v>14283</v>
      </c>
      <c r="D57" s="36"/>
      <c r="E57" s="36"/>
      <c r="F57" s="36"/>
      <c r="G57" s="36"/>
      <c r="H57" s="36"/>
      <c r="I57" s="36"/>
      <c r="J57" s="13"/>
      <c r="K57" s="1306"/>
      <c r="L57" s="1306"/>
    </row>
    <row r="58" hidden="1">
      <c r="A58" s="1303"/>
      <c r="B58" s="1304"/>
      <c r="C58" s="1304"/>
      <c r="D58" s="1308" t="s">
        <v>14284</v>
      </c>
      <c r="E58" s="13"/>
      <c r="F58" s="1304"/>
      <c r="G58" s="1304"/>
      <c r="H58" s="1304"/>
      <c r="I58" s="1304"/>
      <c r="J58" s="1304"/>
      <c r="K58" s="1306"/>
      <c r="L58" s="1306"/>
    </row>
    <row r="59" hidden="1">
      <c r="A59" s="1303"/>
      <c r="B59" s="1304"/>
      <c r="C59" s="1308" t="s">
        <v>14285</v>
      </c>
      <c r="D59" s="36"/>
      <c r="E59" s="36"/>
      <c r="F59" s="36"/>
      <c r="G59" s="36"/>
      <c r="H59" s="36"/>
      <c r="I59" s="36"/>
      <c r="J59" s="13"/>
      <c r="K59" s="1306"/>
      <c r="L59" s="1306"/>
    </row>
    <row r="60" hidden="1">
      <c r="A60" s="1303"/>
      <c r="B60" s="1308" t="s">
        <v>14286</v>
      </c>
      <c r="C60" s="36"/>
      <c r="D60" s="36"/>
      <c r="E60" s="36"/>
      <c r="F60" s="36"/>
      <c r="G60" s="36"/>
      <c r="H60" s="13"/>
      <c r="I60" s="1304"/>
      <c r="J60" s="1304"/>
      <c r="K60" s="1306"/>
      <c r="L60" s="1306"/>
    </row>
    <row r="61" hidden="1">
      <c r="A61" s="1303"/>
      <c r="B61" s="1359"/>
      <c r="C61" s="1360" t="s">
        <v>14287</v>
      </c>
      <c r="D61" s="36"/>
      <c r="E61" s="36"/>
      <c r="F61" s="36"/>
      <c r="G61" s="36"/>
      <c r="H61" s="36"/>
      <c r="I61" s="36"/>
      <c r="J61" s="13"/>
      <c r="K61" s="1361"/>
      <c r="L61" s="1361"/>
    </row>
    <row r="62" hidden="1">
      <c r="A62" s="1303"/>
      <c r="B62" s="1304"/>
      <c r="C62" s="1308"/>
      <c r="D62" s="1308"/>
      <c r="E62" s="13"/>
      <c r="F62" s="1304"/>
      <c r="G62" s="1304"/>
      <c r="H62" s="1304"/>
      <c r="I62" s="1304"/>
      <c r="J62" s="1304" t="s">
        <v>14288</v>
      </c>
      <c r="K62" s="1306"/>
      <c r="L62" s="1306"/>
    </row>
    <row r="63" hidden="1">
      <c r="A63" s="1310" t="s">
        <v>14289</v>
      </c>
      <c r="B63" s="36"/>
      <c r="C63" s="36"/>
      <c r="D63" s="36"/>
      <c r="E63" s="36"/>
      <c r="F63" s="36"/>
      <c r="G63" s="36"/>
      <c r="H63" s="36"/>
      <c r="I63" s="36"/>
      <c r="J63" s="13"/>
      <c r="K63" s="1311"/>
      <c r="L63" s="1311"/>
    </row>
    <row r="64" hidden="1">
      <c r="A64" s="1352"/>
      <c r="B64" s="1315"/>
      <c r="C64" s="1315"/>
      <c r="D64" s="1362" t="s">
        <v>14290</v>
      </c>
      <c r="E64" s="36"/>
      <c r="F64" s="36"/>
      <c r="G64" s="36"/>
      <c r="H64" s="13"/>
      <c r="I64" s="1317"/>
      <c r="J64" s="1315"/>
      <c r="K64" s="1318"/>
      <c r="L64" s="1318"/>
    </row>
    <row r="65" hidden="1">
      <c r="A65" s="1312"/>
      <c r="B65" s="1315"/>
      <c r="C65" s="1327" t="s">
        <v>14291</v>
      </c>
      <c r="D65" s="36"/>
      <c r="E65" s="36"/>
      <c r="F65" s="36"/>
      <c r="G65" s="36"/>
      <c r="H65" s="36"/>
      <c r="I65" s="36"/>
      <c r="J65" s="13"/>
      <c r="K65" s="1318"/>
      <c r="L65" s="1318"/>
    </row>
    <row r="66" hidden="1">
      <c r="A66" s="1312"/>
      <c r="B66" s="1315"/>
      <c r="C66" s="1315"/>
      <c r="D66" s="1315"/>
      <c r="E66" s="1315"/>
      <c r="F66" s="1315"/>
      <c r="G66" s="1315" t="s">
        <v>14292</v>
      </c>
      <c r="H66" s="1315"/>
      <c r="I66" s="1315"/>
      <c r="J66" s="1315"/>
      <c r="K66" s="1318"/>
      <c r="L66" s="1318"/>
    </row>
    <row r="67" hidden="1">
      <c r="A67" s="1312"/>
      <c r="B67" s="1315"/>
      <c r="C67" s="1315" t="s">
        <v>14293</v>
      </c>
      <c r="D67" s="1315" t="s">
        <v>14294</v>
      </c>
      <c r="E67" s="1315" t="s">
        <v>14295</v>
      </c>
      <c r="F67" s="1315"/>
      <c r="G67" s="1315"/>
      <c r="H67" s="1315"/>
      <c r="I67" s="1315"/>
      <c r="J67" s="1315"/>
      <c r="K67" s="1318"/>
      <c r="L67" s="1318"/>
    </row>
    <row r="68" hidden="1">
      <c r="A68" s="1312"/>
      <c r="B68" s="1315"/>
      <c r="C68" s="1315"/>
      <c r="D68" s="1315"/>
      <c r="E68" s="1315"/>
      <c r="F68" s="1315"/>
      <c r="G68" s="1315"/>
      <c r="H68" s="1315"/>
      <c r="I68" s="1315"/>
      <c r="J68" s="1315" t="s">
        <v>14288</v>
      </c>
      <c r="K68" s="1318"/>
      <c r="L68" s="1318"/>
    </row>
    <row r="69" hidden="1">
      <c r="A69" s="1312"/>
      <c r="B69" s="1315"/>
      <c r="C69" s="1315" t="s">
        <v>14296</v>
      </c>
      <c r="D69" s="1315"/>
      <c r="E69" s="1315"/>
      <c r="F69" s="1315"/>
      <c r="G69" s="1315"/>
      <c r="H69" s="1315"/>
      <c r="I69" s="1315"/>
      <c r="J69" s="1315"/>
      <c r="K69" s="1318"/>
      <c r="L69" s="1318"/>
    </row>
    <row r="70" hidden="1">
      <c r="A70" s="1312"/>
      <c r="B70" s="1315"/>
      <c r="C70" s="1315"/>
      <c r="D70" s="1315"/>
      <c r="E70" s="1315"/>
      <c r="F70" s="1315"/>
      <c r="G70" s="1315" t="s">
        <v>14297</v>
      </c>
      <c r="H70" s="1315"/>
      <c r="I70" s="1315"/>
      <c r="J70" s="1315"/>
      <c r="K70" s="1318"/>
      <c r="L70" s="1318"/>
    </row>
    <row r="71" hidden="1">
      <c r="A71" s="1312"/>
      <c r="B71" s="1315"/>
      <c r="C71" s="1327" t="s">
        <v>14298</v>
      </c>
      <c r="D71" s="36"/>
      <c r="E71" s="36"/>
      <c r="F71" s="36"/>
      <c r="G71" s="36"/>
      <c r="H71" s="36"/>
      <c r="I71" s="36"/>
      <c r="J71" s="13"/>
      <c r="K71" s="1318"/>
      <c r="L71" s="1318"/>
    </row>
    <row r="72" hidden="1">
      <c r="A72" s="1312"/>
      <c r="B72" s="1315"/>
      <c r="C72" s="1315"/>
      <c r="D72" s="1315"/>
      <c r="E72" s="1327"/>
      <c r="F72" s="36"/>
      <c r="G72" s="13"/>
      <c r="H72" s="1315" t="s">
        <v>14299</v>
      </c>
      <c r="I72" s="1315"/>
      <c r="J72" s="1315"/>
      <c r="K72" s="1318"/>
      <c r="L72" s="1318"/>
    </row>
    <row r="73" hidden="1">
      <c r="A73" s="1363"/>
      <c r="B73" s="1315"/>
      <c r="C73" s="1327" t="s">
        <v>14300</v>
      </c>
      <c r="D73" s="36"/>
      <c r="E73" s="36"/>
      <c r="F73" s="36"/>
      <c r="G73" s="13"/>
      <c r="H73" s="1315" t="s">
        <v>14301</v>
      </c>
      <c r="I73" s="1315"/>
      <c r="J73" s="1315"/>
      <c r="K73" s="1318"/>
      <c r="L73" s="1318"/>
    </row>
    <row r="74" hidden="1">
      <c r="A74" s="1352"/>
      <c r="B74" s="1315"/>
      <c r="C74" s="1315"/>
      <c r="D74" s="1315"/>
      <c r="E74" s="1327" t="s">
        <v>14302</v>
      </c>
      <c r="F74" s="36"/>
      <c r="G74" s="36"/>
      <c r="H74" s="13"/>
      <c r="I74" s="1315"/>
      <c r="J74" s="1315"/>
      <c r="K74" s="1318"/>
      <c r="L74" s="1318"/>
    </row>
    <row r="75" hidden="1">
      <c r="A75" s="1312"/>
      <c r="B75" s="1315"/>
      <c r="C75" s="1315"/>
      <c r="D75" s="1315"/>
      <c r="E75" s="1329"/>
      <c r="F75" s="1315"/>
      <c r="G75" s="1315"/>
      <c r="H75" s="1315"/>
      <c r="I75" s="1315"/>
      <c r="J75" s="1315"/>
      <c r="K75" s="1318"/>
      <c r="L75" s="1318"/>
    </row>
    <row r="76" hidden="1">
      <c r="A76" s="1312"/>
      <c r="B76" s="1315"/>
      <c r="C76" s="1315"/>
      <c r="D76" s="1315"/>
      <c r="E76" s="1329"/>
      <c r="F76" s="1315"/>
      <c r="G76" s="1315"/>
      <c r="H76" s="1315"/>
      <c r="I76" s="1315"/>
      <c r="J76" s="1315"/>
      <c r="K76" s="1318"/>
      <c r="L76" s="1318"/>
    </row>
    <row r="77" hidden="1">
      <c r="A77" s="1312"/>
      <c r="B77" s="1315"/>
      <c r="C77" s="1327"/>
      <c r="D77" s="36"/>
      <c r="E77" s="36"/>
      <c r="F77" s="36"/>
      <c r="G77" s="36"/>
      <c r="H77" s="13"/>
      <c r="I77" s="1315"/>
      <c r="J77" s="1315"/>
      <c r="K77" s="1318"/>
      <c r="L77" s="1318"/>
    </row>
    <row r="78" hidden="1">
      <c r="A78" s="1312"/>
      <c r="B78" s="1336"/>
      <c r="C78" s="1364"/>
      <c r="D78" s="36"/>
      <c r="E78" s="36"/>
      <c r="F78" s="36"/>
      <c r="G78" s="36"/>
      <c r="H78" s="13"/>
      <c r="I78" s="1336"/>
      <c r="J78" s="1315"/>
      <c r="K78" s="1318"/>
      <c r="L78" s="1318"/>
    </row>
    <row r="79" hidden="1">
      <c r="A79" s="1312"/>
      <c r="B79" s="1315"/>
      <c r="C79" s="1315"/>
      <c r="D79" s="1329"/>
      <c r="E79" s="1315"/>
      <c r="F79" s="1315"/>
      <c r="G79" s="1315"/>
      <c r="H79" s="1315"/>
      <c r="I79" s="1315"/>
      <c r="J79" s="1315"/>
      <c r="K79" s="1318"/>
      <c r="L79" s="1318"/>
    </row>
    <row r="80" hidden="1">
      <c r="A80" s="1312"/>
      <c r="B80" s="1315"/>
      <c r="C80" s="1365" t="s">
        <v>14303</v>
      </c>
      <c r="D80" s="36"/>
      <c r="E80" s="36"/>
      <c r="F80" s="36"/>
      <c r="G80" s="13"/>
      <c r="H80" s="1315"/>
      <c r="I80" s="1315"/>
      <c r="J80" s="1315"/>
      <c r="K80" s="1318"/>
      <c r="L80" s="1318"/>
    </row>
    <row r="81" hidden="1">
      <c r="A81" s="1335"/>
      <c r="B81" s="1315"/>
      <c r="C81" s="1315"/>
      <c r="D81" s="1315"/>
      <c r="E81" s="1315"/>
      <c r="F81" s="1329"/>
      <c r="G81" s="1315"/>
      <c r="H81" s="1315" t="s">
        <v>14304</v>
      </c>
      <c r="I81" s="1315"/>
      <c r="J81" s="1315"/>
      <c r="K81" s="1318"/>
      <c r="L81" s="1318"/>
    </row>
    <row r="82" hidden="1">
      <c r="A82" s="1335"/>
      <c r="B82" s="1315"/>
      <c r="C82" s="1315"/>
      <c r="D82" s="1315"/>
      <c r="E82" s="1315"/>
      <c r="F82" s="1329" t="s">
        <v>14305</v>
      </c>
      <c r="G82" s="1315"/>
      <c r="H82" s="1315"/>
      <c r="I82" s="1315"/>
      <c r="J82" s="1315"/>
      <c r="K82" s="1318"/>
      <c r="L82" s="1318"/>
    </row>
    <row r="83" hidden="1">
      <c r="A83" s="1335"/>
      <c r="B83" s="1315"/>
      <c r="C83" s="1315"/>
      <c r="D83" s="1315"/>
      <c r="E83" s="1315"/>
      <c r="F83" s="1315" t="s">
        <v>14306</v>
      </c>
      <c r="G83" s="1315"/>
      <c r="H83" s="1315"/>
      <c r="I83" s="1315"/>
      <c r="J83" s="1315"/>
      <c r="K83" s="1318"/>
      <c r="L83" s="1318"/>
    </row>
    <row r="84" hidden="1">
      <c r="A84" s="1312"/>
      <c r="B84" s="1317"/>
      <c r="C84" s="1362" t="s">
        <v>14307</v>
      </c>
      <c r="D84" s="36"/>
      <c r="E84" s="36"/>
      <c r="F84" s="36"/>
      <c r="G84" s="13"/>
      <c r="H84" s="1315"/>
      <c r="I84" s="1315"/>
      <c r="J84" s="1315"/>
      <c r="K84" s="1318"/>
      <c r="L84" s="1318"/>
    </row>
    <row r="85" hidden="1">
      <c r="A85" s="1335"/>
      <c r="B85" s="1315"/>
      <c r="C85" s="1315"/>
      <c r="D85" s="1317"/>
      <c r="E85" s="1317"/>
      <c r="F85" s="1317" t="s">
        <v>14308</v>
      </c>
      <c r="G85" s="1317"/>
      <c r="H85" s="1315"/>
      <c r="I85" s="1315"/>
      <c r="J85" s="1315"/>
      <c r="K85" s="1318"/>
      <c r="L85" s="1318"/>
    </row>
    <row r="86" hidden="1">
      <c r="A86" s="1341" t="s">
        <v>14309</v>
      </c>
      <c r="B86" s="36"/>
      <c r="C86" s="36"/>
      <c r="D86" s="36"/>
      <c r="E86" s="36"/>
      <c r="F86" s="36"/>
      <c r="G86" s="36"/>
      <c r="H86" s="36"/>
      <c r="I86" s="36"/>
      <c r="J86" s="13"/>
      <c r="K86" s="1301"/>
      <c r="L86" s="1301"/>
    </row>
    <row r="87" hidden="1">
      <c r="A87" s="1303"/>
      <c r="B87" s="1304"/>
      <c r="C87" s="1308"/>
      <c r="D87" s="36"/>
      <c r="E87" s="36"/>
      <c r="F87" s="13"/>
      <c r="G87" s="1304"/>
      <c r="H87" s="1304"/>
      <c r="I87" s="1304"/>
      <c r="J87" s="1304"/>
      <c r="K87" s="1306"/>
      <c r="L87" s="1306"/>
    </row>
    <row r="88" hidden="1">
      <c r="A88" s="1366"/>
      <c r="B88" s="1304"/>
      <c r="C88" s="1308"/>
      <c r="D88" s="1367"/>
      <c r="E88" s="1367"/>
      <c r="F88" s="1358"/>
      <c r="G88" s="1304"/>
      <c r="H88" s="1304"/>
      <c r="I88" s="1304"/>
      <c r="J88" s="1304"/>
      <c r="K88" s="1306"/>
      <c r="L88" s="1306"/>
    </row>
    <row r="89" hidden="1">
      <c r="A89" s="1366"/>
      <c r="B89" s="1304"/>
      <c r="C89" s="1308"/>
      <c r="D89" s="1367"/>
      <c r="E89" s="1367"/>
      <c r="F89" s="1358"/>
      <c r="G89" s="1304"/>
      <c r="H89" s="1304"/>
      <c r="I89" s="1304"/>
      <c r="J89" s="1304"/>
      <c r="K89" s="1306"/>
      <c r="L89" s="1306"/>
    </row>
    <row r="90" hidden="1">
      <c r="A90" s="1368"/>
      <c r="B90" s="1304"/>
      <c r="C90" s="1304"/>
      <c r="D90" s="1369" t="s">
        <v>14310</v>
      </c>
      <c r="E90" s="36"/>
      <c r="F90" s="13"/>
      <c r="G90" s="1358"/>
      <c r="H90" s="1304"/>
      <c r="I90" s="1304"/>
      <c r="J90" s="1304"/>
      <c r="K90" s="1306"/>
      <c r="L90" s="1306"/>
    </row>
    <row r="91" hidden="1">
      <c r="A91" s="1368"/>
      <c r="B91" s="1304"/>
      <c r="C91" s="1304"/>
      <c r="D91" s="1304"/>
      <c r="E91" s="1308"/>
      <c r="F91" s="1367"/>
      <c r="G91" s="1370" t="s">
        <v>14311</v>
      </c>
      <c r="H91" s="1304"/>
      <c r="I91" s="1304"/>
      <c r="J91" s="1304"/>
      <c r="K91" s="1306"/>
      <c r="L91" s="1306"/>
    </row>
    <row r="92" hidden="1">
      <c r="A92" s="1310" t="s">
        <v>14312</v>
      </c>
      <c r="B92" s="36"/>
      <c r="C92" s="36"/>
      <c r="D92" s="36"/>
      <c r="E92" s="36"/>
      <c r="F92" s="36"/>
      <c r="G92" s="36"/>
      <c r="H92" s="36"/>
      <c r="I92" s="36"/>
      <c r="J92" s="13"/>
      <c r="K92" s="1311"/>
      <c r="L92" s="1311"/>
    </row>
    <row r="93" hidden="1">
      <c r="A93" s="1335"/>
      <c r="B93" s="1315"/>
      <c r="C93" s="1327" t="s">
        <v>14313</v>
      </c>
      <c r="D93" s="36"/>
      <c r="E93" s="36"/>
      <c r="F93" s="36"/>
      <c r="G93" s="36"/>
      <c r="H93" s="13"/>
      <c r="I93" s="1315"/>
      <c r="J93" s="1336"/>
      <c r="K93" s="1337"/>
      <c r="L93" s="1337"/>
    </row>
    <row r="94" hidden="1">
      <c r="A94" s="1312"/>
      <c r="B94" s="1315"/>
      <c r="C94" s="1327" t="s">
        <v>14314</v>
      </c>
      <c r="D94" s="36"/>
      <c r="E94" s="36"/>
      <c r="F94" s="13"/>
      <c r="G94" s="1315"/>
      <c r="H94" s="1315"/>
      <c r="I94" s="1315"/>
      <c r="J94" s="1315"/>
      <c r="K94" s="1318"/>
      <c r="L94" s="1318"/>
    </row>
    <row r="95" hidden="1">
      <c r="A95" s="1335"/>
      <c r="B95" s="1315"/>
      <c r="C95" s="1327" t="s">
        <v>14315</v>
      </c>
      <c r="D95" s="36"/>
      <c r="E95" s="13"/>
      <c r="F95" s="1315"/>
      <c r="G95" s="1315"/>
      <c r="H95" s="1315"/>
      <c r="I95" s="1315"/>
      <c r="J95" s="1315"/>
      <c r="K95" s="1318"/>
      <c r="L95" s="1318"/>
    </row>
    <row r="96" hidden="1">
      <c r="A96" s="1335"/>
      <c r="B96" s="1315"/>
      <c r="C96" s="1315"/>
      <c r="D96" s="1315"/>
      <c r="E96" s="1315"/>
      <c r="F96" s="1327" t="s">
        <v>14316</v>
      </c>
      <c r="G96" s="13"/>
      <c r="H96" s="1315"/>
      <c r="I96" s="1315"/>
      <c r="J96" s="1315"/>
      <c r="K96" s="1318"/>
      <c r="L96" s="1318"/>
    </row>
    <row r="97" hidden="1">
      <c r="A97" s="1335"/>
      <c r="B97" s="1371"/>
      <c r="C97" s="1372" t="s">
        <v>14317</v>
      </c>
      <c r="D97" s="36"/>
      <c r="E97" s="36"/>
      <c r="F97" s="36"/>
      <c r="G97" s="13"/>
      <c r="H97" s="1315"/>
      <c r="I97" s="1315"/>
      <c r="J97" s="1315"/>
      <c r="K97" s="1318"/>
      <c r="L97" s="1318"/>
    </row>
    <row r="98" hidden="1">
      <c r="A98" s="1335"/>
      <c r="B98" s="1315"/>
      <c r="C98" s="1315"/>
      <c r="D98" s="1315"/>
      <c r="E98" s="1315"/>
      <c r="F98" s="1315"/>
      <c r="G98" s="1315"/>
      <c r="H98" s="1315"/>
      <c r="I98" s="1315"/>
      <c r="J98" s="1332" t="s">
        <v>14318</v>
      </c>
      <c r="K98" s="1333"/>
      <c r="L98" s="1333"/>
    </row>
    <row r="99" hidden="1">
      <c r="A99" s="1335"/>
      <c r="B99" s="1315"/>
      <c r="C99" s="1315"/>
      <c r="D99" s="1315"/>
      <c r="E99" s="1327" t="s">
        <v>14319</v>
      </c>
      <c r="F99" s="13"/>
      <c r="G99" s="1315"/>
      <c r="H99" s="1315" t="s">
        <v>14319</v>
      </c>
      <c r="I99" s="1315"/>
      <c r="J99" s="1315"/>
      <c r="K99" s="1318"/>
      <c r="L99" s="1318"/>
    </row>
    <row r="100" hidden="1">
      <c r="A100" s="1335"/>
      <c r="B100" s="1315"/>
      <c r="C100" s="1315"/>
      <c r="D100" s="1315"/>
      <c r="E100" s="1315"/>
      <c r="F100" s="1364" t="s">
        <v>14320</v>
      </c>
      <c r="G100" s="13"/>
      <c r="H100" s="1315"/>
      <c r="I100" s="1315"/>
      <c r="J100" s="1315"/>
      <c r="K100" s="1318"/>
      <c r="L100" s="1318"/>
    </row>
    <row r="101" hidden="1">
      <c r="A101" s="1335"/>
      <c r="B101" s="1315"/>
      <c r="C101" s="1315"/>
      <c r="D101" s="1315"/>
      <c r="E101" s="1315"/>
      <c r="F101" s="1315"/>
      <c r="G101" s="1315"/>
      <c r="H101" s="1315" t="s">
        <v>14321</v>
      </c>
      <c r="I101" s="1315"/>
      <c r="J101" s="1315"/>
      <c r="K101" s="1318"/>
      <c r="L101" s="1318"/>
    </row>
    <row r="102" hidden="1">
      <c r="A102" s="1335"/>
      <c r="B102" s="1315"/>
      <c r="C102" s="1315" t="s">
        <v>14322</v>
      </c>
      <c r="D102" s="1373" t="s">
        <v>14323</v>
      </c>
      <c r="E102" s="36"/>
      <c r="F102" s="13"/>
      <c r="G102" s="1315"/>
      <c r="H102" s="1315"/>
      <c r="I102" s="1315"/>
      <c r="J102" s="1315"/>
      <c r="K102" s="1318"/>
      <c r="L102" s="1318"/>
    </row>
    <row r="103" hidden="1">
      <c r="A103" s="1300" t="s">
        <v>14324</v>
      </c>
      <c r="B103" s="36"/>
      <c r="C103" s="36"/>
      <c r="D103" s="36"/>
      <c r="E103" s="36"/>
      <c r="F103" s="36"/>
      <c r="G103" s="36"/>
      <c r="H103" s="36"/>
      <c r="I103" s="36"/>
      <c r="J103" s="13"/>
      <c r="K103" s="1301"/>
      <c r="L103" s="1301"/>
      <c r="M103" s="1302"/>
      <c r="N103" s="1302"/>
      <c r="O103" s="1302"/>
      <c r="P103" s="1302"/>
      <c r="Q103" s="1302"/>
      <c r="R103" s="1302"/>
      <c r="S103" s="1302"/>
      <c r="T103" s="1302"/>
      <c r="U103" s="1302"/>
      <c r="V103" s="1302"/>
      <c r="W103" s="1302"/>
      <c r="X103" s="1302"/>
      <c r="Y103" s="1302"/>
      <c r="Z103" s="1302"/>
      <c r="AA103" s="1302"/>
    </row>
    <row r="104" hidden="1">
      <c r="A104" s="1374"/>
      <c r="B104" s="1375"/>
      <c r="C104" s="1375"/>
      <c r="D104" s="1375"/>
      <c r="E104" s="1375"/>
      <c r="F104" s="1376" t="s">
        <v>14325</v>
      </c>
      <c r="G104" s="1375"/>
      <c r="H104" s="1375"/>
      <c r="I104" s="1375"/>
      <c r="J104" s="1375"/>
      <c r="K104" s="1377"/>
      <c r="L104" s="1377"/>
      <c r="M104" s="1302"/>
      <c r="N104" s="1302"/>
      <c r="O104" s="1302"/>
      <c r="P104" s="1302"/>
      <c r="Q104" s="1302"/>
      <c r="R104" s="1302"/>
      <c r="S104" s="1302"/>
      <c r="T104" s="1302"/>
      <c r="U104" s="1302"/>
      <c r="V104" s="1302"/>
      <c r="W104" s="1302"/>
      <c r="X104" s="1302"/>
      <c r="Y104" s="1302"/>
      <c r="Z104" s="1302"/>
      <c r="AA104" s="1302"/>
    </row>
    <row r="105" hidden="1">
      <c r="A105" s="1378"/>
      <c r="B105" s="1375"/>
      <c r="C105" s="1375"/>
      <c r="D105" s="1375"/>
      <c r="E105" s="1375"/>
      <c r="F105" s="1375"/>
      <c r="G105" s="1379" t="s">
        <v>14326</v>
      </c>
      <c r="H105" s="13"/>
      <c r="I105" s="1376"/>
      <c r="J105" s="1375"/>
      <c r="K105" s="1377"/>
      <c r="L105" s="1377"/>
      <c r="M105" s="1302"/>
      <c r="N105" s="1302"/>
      <c r="O105" s="1302"/>
      <c r="P105" s="1302"/>
      <c r="Q105" s="1302"/>
      <c r="R105" s="1302"/>
      <c r="S105" s="1302"/>
      <c r="T105" s="1302"/>
      <c r="U105" s="1302"/>
      <c r="V105" s="1302"/>
      <c r="W105" s="1302"/>
      <c r="X105" s="1302"/>
      <c r="Y105" s="1302"/>
      <c r="Z105" s="1302"/>
      <c r="AA105" s="1302"/>
    </row>
    <row r="106" hidden="1">
      <c r="A106" s="1380"/>
      <c r="B106" s="1379" t="s">
        <v>14327</v>
      </c>
      <c r="C106" s="36"/>
      <c r="D106" s="36"/>
      <c r="E106" s="36"/>
      <c r="F106" s="36"/>
      <c r="G106" s="36"/>
      <c r="H106" s="13"/>
      <c r="I106" s="1376"/>
      <c r="J106" s="1375"/>
      <c r="K106" s="1377"/>
      <c r="L106" s="1377"/>
      <c r="M106" s="1302"/>
      <c r="N106" s="1302"/>
      <c r="O106" s="1302"/>
      <c r="P106" s="1302"/>
      <c r="Q106" s="1302"/>
      <c r="R106" s="1302"/>
      <c r="S106" s="1302"/>
      <c r="T106" s="1302"/>
      <c r="U106" s="1302"/>
      <c r="V106" s="1302"/>
      <c r="W106" s="1302"/>
      <c r="X106" s="1302"/>
      <c r="Y106" s="1302"/>
      <c r="Z106" s="1302"/>
      <c r="AA106" s="1302"/>
    </row>
    <row r="107" hidden="1">
      <c r="A107" s="1381"/>
      <c r="B107" s="1382"/>
      <c r="C107" s="1382"/>
      <c r="D107" s="1383" t="s">
        <v>14328</v>
      </c>
      <c r="E107" s="36"/>
      <c r="F107" s="13"/>
      <c r="G107" s="1382"/>
      <c r="H107" s="1382"/>
      <c r="I107" s="1382"/>
      <c r="J107" s="1382"/>
      <c r="K107" s="1384"/>
      <c r="L107" s="1384"/>
      <c r="M107" s="1302"/>
      <c r="N107" s="1302"/>
      <c r="O107" s="1302"/>
      <c r="P107" s="1302"/>
      <c r="Q107" s="1302"/>
      <c r="R107" s="1302"/>
      <c r="S107" s="1302"/>
      <c r="T107" s="1302"/>
      <c r="U107" s="1302"/>
      <c r="V107" s="1302"/>
      <c r="W107" s="1302"/>
      <c r="X107" s="1302"/>
      <c r="Y107" s="1302"/>
      <c r="Z107" s="1302"/>
      <c r="AA107" s="1302"/>
    </row>
    <row r="108" hidden="1">
      <c r="A108" s="1381"/>
      <c r="B108" s="1382"/>
      <c r="C108" s="1382"/>
      <c r="D108" s="1382"/>
      <c r="E108" s="1382"/>
      <c r="F108" s="1382"/>
      <c r="G108" s="1382"/>
      <c r="H108" s="1382"/>
      <c r="I108" s="1382"/>
      <c r="J108" s="1382"/>
      <c r="K108" s="1384"/>
      <c r="L108" s="1384"/>
      <c r="M108" s="1302"/>
      <c r="N108" s="1302"/>
      <c r="O108" s="1302"/>
      <c r="P108" s="1302"/>
      <c r="Q108" s="1302"/>
      <c r="R108" s="1302"/>
      <c r="S108" s="1302"/>
      <c r="T108" s="1302"/>
      <c r="U108" s="1302"/>
      <c r="V108" s="1302"/>
      <c r="W108" s="1302"/>
      <c r="X108" s="1302"/>
      <c r="Y108" s="1302"/>
      <c r="Z108" s="1302"/>
      <c r="AA108" s="1302"/>
    </row>
    <row r="109" hidden="1">
      <c r="A109" s="1381"/>
      <c r="B109" s="1382"/>
      <c r="C109" s="1382"/>
      <c r="D109" s="1382" t="s">
        <v>14329</v>
      </c>
      <c r="E109" s="1382"/>
      <c r="F109" s="1382"/>
      <c r="G109" s="1382"/>
      <c r="H109" s="1382"/>
      <c r="I109" s="1382"/>
      <c r="J109" s="1382"/>
      <c r="K109" s="1384"/>
      <c r="L109" s="1384"/>
      <c r="M109" s="1302"/>
      <c r="N109" s="1302"/>
      <c r="O109" s="1302"/>
      <c r="P109" s="1302"/>
      <c r="Q109" s="1302"/>
      <c r="R109" s="1302"/>
      <c r="S109" s="1302"/>
      <c r="T109" s="1302"/>
      <c r="U109" s="1302"/>
      <c r="V109" s="1302"/>
      <c r="W109" s="1302"/>
      <c r="X109" s="1302"/>
      <c r="Y109" s="1302"/>
      <c r="Z109" s="1302"/>
      <c r="AA109" s="1302"/>
    </row>
    <row r="110" hidden="1">
      <c r="A110" s="1381"/>
      <c r="B110" s="1382"/>
      <c r="C110" s="1382"/>
      <c r="D110" s="1382"/>
      <c r="E110" s="1382"/>
      <c r="F110" s="1382"/>
      <c r="G110" s="1382"/>
      <c r="H110" s="1382"/>
      <c r="I110" s="1382"/>
      <c r="J110" s="1382"/>
      <c r="K110" s="1384"/>
      <c r="L110" s="1384"/>
      <c r="M110" s="1302"/>
      <c r="N110" s="1302"/>
      <c r="O110" s="1302"/>
      <c r="P110" s="1302"/>
      <c r="Q110" s="1302"/>
      <c r="R110" s="1302"/>
      <c r="S110" s="1302"/>
      <c r="T110" s="1302"/>
      <c r="U110" s="1302"/>
      <c r="V110" s="1302"/>
      <c r="W110" s="1302"/>
      <c r="X110" s="1302"/>
      <c r="Y110" s="1302"/>
      <c r="Z110" s="1302"/>
      <c r="AA110" s="1302"/>
    </row>
    <row r="111" hidden="1">
      <c r="A111" s="1385"/>
      <c r="B111" s="1382"/>
      <c r="C111" s="1386" t="s">
        <v>14330</v>
      </c>
      <c r="D111" s="36"/>
      <c r="E111" s="36"/>
      <c r="F111" s="36"/>
      <c r="G111" s="36"/>
      <c r="H111" s="13"/>
      <c r="I111" s="1382"/>
      <c r="J111" s="1382"/>
      <c r="K111" s="1384"/>
      <c r="L111" s="1384"/>
      <c r="M111" s="1302"/>
      <c r="N111" s="1302"/>
      <c r="O111" s="1302"/>
      <c r="P111" s="1302"/>
      <c r="Q111" s="1302"/>
      <c r="R111" s="1302"/>
      <c r="S111" s="1302"/>
      <c r="T111" s="1302"/>
      <c r="U111" s="1302"/>
      <c r="V111" s="1302"/>
      <c r="W111" s="1302"/>
      <c r="X111" s="1302"/>
      <c r="Y111" s="1302"/>
      <c r="Z111" s="1302"/>
      <c r="AA111" s="1302"/>
    </row>
    <row r="112" hidden="1">
      <c r="A112" s="173"/>
      <c r="B112" s="1382"/>
      <c r="C112" s="1382"/>
      <c r="D112" s="1382"/>
      <c r="E112" s="1382" t="s">
        <v>14331</v>
      </c>
      <c r="F112" s="1382"/>
      <c r="G112" s="1382"/>
      <c r="H112" s="1382"/>
      <c r="I112" s="1382"/>
      <c r="J112" s="1382"/>
      <c r="K112" s="1384"/>
      <c r="L112" s="1384"/>
      <c r="M112" s="1302"/>
      <c r="N112" s="1302"/>
      <c r="O112" s="1302"/>
      <c r="P112" s="1302"/>
      <c r="Q112" s="1302"/>
      <c r="R112" s="1302"/>
      <c r="S112" s="1302"/>
      <c r="T112" s="1302"/>
      <c r="U112" s="1302"/>
      <c r="V112" s="1302"/>
      <c r="W112" s="1302"/>
      <c r="X112" s="1302"/>
      <c r="Y112" s="1302"/>
      <c r="Z112" s="1302"/>
      <c r="AA112" s="1302"/>
    </row>
    <row r="113" hidden="1">
      <c r="A113" s="1381"/>
      <c r="B113" s="1382"/>
      <c r="C113" s="1382"/>
      <c r="D113" s="1382" t="s">
        <v>14332</v>
      </c>
      <c r="E113" s="1382"/>
      <c r="F113" s="1382"/>
      <c r="G113" s="1382"/>
      <c r="H113" s="1382"/>
      <c r="I113" s="1382"/>
      <c r="J113" s="1382"/>
      <c r="K113" s="1384"/>
      <c r="L113" s="1384"/>
      <c r="M113" s="1302"/>
      <c r="N113" s="1302"/>
      <c r="O113" s="1302"/>
      <c r="P113" s="1302"/>
      <c r="Q113" s="1302"/>
      <c r="R113" s="1302"/>
      <c r="S113" s="1302"/>
      <c r="T113" s="1302"/>
      <c r="U113" s="1302"/>
      <c r="V113" s="1302"/>
      <c r="W113" s="1302"/>
      <c r="X113" s="1302"/>
      <c r="Y113" s="1302"/>
      <c r="Z113" s="1302"/>
      <c r="AA113" s="1302"/>
    </row>
    <row r="114" hidden="1">
      <c r="A114" s="1381"/>
      <c r="B114" s="1382"/>
      <c r="C114" s="1382"/>
      <c r="D114" s="1382"/>
      <c r="E114" s="1382"/>
      <c r="F114" s="1382"/>
      <c r="G114" s="1382"/>
      <c r="H114" s="1382" t="s">
        <v>14333</v>
      </c>
      <c r="I114" s="1382"/>
      <c r="J114" s="1382"/>
      <c r="K114" s="1384"/>
      <c r="L114" s="1384"/>
      <c r="M114" s="1302"/>
      <c r="N114" s="1302"/>
      <c r="O114" s="1302"/>
      <c r="P114" s="1302"/>
      <c r="Q114" s="1302"/>
      <c r="R114" s="1302"/>
      <c r="S114" s="1302"/>
      <c r="T114" s="1302"/>
      <c r="U114" s="1302"/>
      <c r="V114" s="1302"/>
      <c r="W114" s="1302"/>
      <c r="X114" s="1302"/>
      <c r="Y114" s="1302"/>
      <c r="Z114" s="1302"/>
      <c r="AA114" s="1302"/>
    </row>
    <row r="115" hidden="1">
      <c r="A115" s="1381"/>
      <c r="B115" s="1382"/>
      <c r="C115" s="1382"/>
      <c r="D115" s="1382"/>
      <c r="E115" s="1382" t="s">
        <v>14334</v>
      </c>
      <c r="F115" s="1382"/>
      <c r="G115" s="1382"/>
      <c r="H115" s="1382"/>
      <c r="I115" s="1382"/>
      <c r="J115" s="1382"/>
      <c r="K115" s="1384"/>
      <c r="L115" s="1384"/>
      <c r="M115" s="1302"/>
      <c r="N115" s="1302"/>
      <c r="O115" s="1302"/>
      <c r="P115" s="1302"/>
      <c r="Q115" s="1302"/>
      <c r="R115" s="1302"/>
      <c r="S115" s="1302"/>
      <c r="T115" s="1302"/>
      <c r="U115" s="1302"/>
      <c r="V115" s="1302"/>
      <c r="W115" s="1302"/>
      <c r="X115" s="1302"/>
      <c r="Y115" s="1302"/>
      <c r="Z115" s="1302"/>
      <c r="AA115" s="1302"/>
    </row>
    <row r="116" hidden="1">
      <c r="A116" s="1387" t="s">
        <v>14335</v>
      </c>
      <c r="B116" s="36"/>
      <c r="C116" s="36"/>
      <c r="D116" s="36"/>
      <c r="E116" s="36"/>
      <c r="F116" s="36"/>
      <c r="G116" s="36"/>
      <c r="H116" s="36"/>
      <c r="I116" s="36"/>
      <c r="J116" s="13"/>
      <c r="K116" s="1311"/>
      <c r="L116" s="1311"/>
      <c r="M116" s="1277"/>
      <c r="N116" s="1277"/>
      <c r="O116" s="1277"/>
      <c r="P116" s="1277"/>
      <c r="Q116" s="1277"/>
      <c r="R116" s="1277"/>
      <c r="S116" s="1277"/>
      <c r="T116" s="1277"/>
      <c r="U116" s="1277"/>
      <c r="V116" s="1277"/>
      <c r="W116" s="1277"/>
      <c r="X116" s="1277"/>
      <c r="Y116" s="1277"/>
      <c r="Z116" s="1277"/>
      <c r="AA116" s="1277"/>
    </row>
    <row r="117" hidden="1">
      <c r="A117" s="1335"/>
      <c r="B117" s="1388" t="s">
        <v>14336</v>
      </c>
      <c r="C117" s="1336"/>
      <c r="D117" s="1336"/>
      <c r="E117" s="1336"/>
      <c r="F117" s="1336"/>
      <c r="G117" s="1336"/>
      <c r="H117" s="1336"/>
      <c r="I117" s="1336"/>
      <c r="J117" s="1336"/>
      <c r="K117" s="1336"/>
      <c r="L117" s="1336"/>
      <c r="M117" s="1277"/>
      <c r="N117" s="1277"/>
      <c r="O117" s="1277"/>
      <c r="P117" s="1277"/>
      <c r="Q117" s="1277"/>
      <c r="R117" s="1277"/>
      <c r="S117" s="1277"/>
      <c r="T117" s="1277"/>
      <c r="U117" s="1277"/>
      <c r="V117" s="1277"/>
      <c r="W117" s="1277"/>
      <c r="X117" s="1277"/>
      <c r="Y117" s="1277"/>
      <c r="Z117" s="1277"/>
      <c r="AA117" s="1277"/>
    </row>
    <row r="118" hidden="1">
      <c r="A118" s="1335"/>
      <c r="B118" s="1389"/>
      <c r="C118" s="1336"/>
      <c r="D118" s="1390" t="s">
        <v>14337</v>
      </c>
      <c r="E118" s="8"/>
      <c r="F118" s="4"/>
      <c r="G118" s="1336"/>
      <c r="H118" s="1336"/>
      <c r="I118" s="1336"/>
      <c r="J118" s="1336"/>
      <c r="K118" s="1336"/>
      <c r="L118" s="1336"/>
      <c r="M118" s="1277"/>
      <c r="N118" s="1277"/>
      <c r="O118" s="1277"/>
      <c r="P118" s="1277"/>
      <c r="Q118" s="1277"/>
      <c r="R118" s="1277"/>
      <c r="S118" s="1277"/>
      <c r="T118" s="1277"/>
      <c r="U118" s="1277"/>
      <c r="V118" s="1277"/>
      <c r="W118" s="1277"/>
      <c r="X118" s="1277"/>
      <c r="Y118" s="1277"/>
      <c r="Z118" s="1277"/>
      <c r="AA118" s="1277"/>
    </row>
    <row r="119" hidden="1">
      <c r="A119" s="1335"/>
      <c r="B119" s="1389"/>
      <c r="C119" s="1336"/>
      <c r="D119" s="224"/>
      <c r="F119" s="139"/>
      <c r="G119" s="1336"/>
      <c r="H119" s="1336"/>
      <c r="I119" s="1336"/>
      <c r="J119" s="1336"/>
      <c r="K119" s="1336"/>
      <c r="L119" s="1336"/>
      <c r="M119" s="1277"/>
      <c r="N119" s="1277"/>
      <c r="O119" s="1277"/>
      <c r="P119" s="1277"/>
      <c r="Q119" s="1277"/>
      <c r="R119" s="1277"/>
      <c r="S119" s="1277"/>
      <c r="T119" s="1277"/>
      <c r="U119" s="1277"/>
      <c r="V119" s="1277"/>
      <c r="W119" s="1277"/>
      <c r="X119" s="1277"/>
      <c r="Y119" s="1277"/>
      <c r="Z119" s="1277"/>
      <c r="AA119" s="1277"/>
    </row>
    <row r="120" hidden="1">
      <c r="A120" s="1335"/>
      <c r="B120" s="1391"/>
      <c r="C120" s="1336"/>
      <c r="D120" s="224"/>
      <c r="F120" s="139"/>
      <c r="G120" s="1336"/>
      <c r="H120" s="1336"/>
      <c r="I120" s="1336"/>
      <c r="J120" s="1336"/>
      <c r="K120" s="1336"/>
      <c r="L120" s="1336"/>
      <c r="M120" s="1277"/>
      <c r="N120" s="1277"/>
      <c r="O120" s="1277"/>
      <c r="P120" s="1277"/>
      <c r="Q120" s="1277"/>
      <c r="R120" s="1277"/>
      <c r="S120" s="1277"/>
      <c r="T120" s="1277"/>
      <c r="U120" s="1277"/>
      <c r="V120" s="1277"/>
      <c r="W120" s="1277"/>
      <c r="X120" s="1277"/>
      <c r="Y120" s="1277"/>
      <c r="Z120" s="1277"/>
      <c r="AA120" s="1277"/>
    </row>
    <row r="121" hidden="1">
      <c r="A121" s="1335"/>
      <c r="B121" s="1392" t="s">
        <v>14338</v>
      </c>
      <c r="C121" s="1336"/>
      <c r="D121" s="224"/>
      <c r="F121" s="139"/>
      <c r="G121" s="1336"/>
      <c r="H121" s="1336"/>
      <c r="I121" s="1336"/>
      <c r="J121" s="1336"/>
      <c r="K121" s="1336"/>
      <c r="L121" s="1336"/>
      <c r="M121" s="1277"/>
      <c r="N121" s="1277"/>
      <c r="O121" s="1277"/>
      <c r="P121" s="1277"/>
      <c r="Q121" s="1277"/>
      <c r="R121" s="1277"/>
      <c r="S121" s="1277"/>
      <c r="T121" s="1277"/>
      <c r="U121" s="1277"/>
      <c r="V121" s="1277"/>
      <c r="W121" s="1277"/>
      <c r="X121" s="1277"/>
      <c r="Y121" s="1277"/>
      <c r="Z121" s="1277"/>
      <c r="AA121" s="1277"/>
    </row>
    <row r="122" hidden="1">
      <c r="A122" s="1393"/>
      <c r="B122" s="1394"/>
      <c r="C122" s="1394"/>
      <c r="D122" s="224"/>
      <c r="F122" s="139"/>
      <c r="G122" s="1394"/>
      <c r="H122" s="1394"/>
      <c r="I122" s="1394"/>
      <c r="J122" s="1394"/>
      <c r="K122" s="1337"/>
      <c r="L122" s="1337"/>
      <c r="M122" s="1277"/>
      <c r="N122" s="1277"/>
      <c r="O122" s="1277"/>
      <c r="P122" s="1277"/>
      <c r="Q122" s="1277"/>
      <c r="R122" s="1277"/>
      <c r="S122" s="1277"/>
      <c r="T122" s="1277"/>
      <c r="U122" s="1277"/>
      <c r="V122" s="1277"/>
      <c r="W122" s="1277"/>
      <c r="X122" s="1277"/>
      <c r="Y122" s="1277"/>
      <c r="Z122" s="1277"/>
      <c r="AA122" s="1277"/>
    </row>
    <row r="123" hidden="1">
      <c r="A123" s="1335"/>
      <c r="B123" s="1336"/>
      <c r="C123" s="1336"/>
      <c r="D123" s="224"/>
      <c r="F123" s="139"/>
      <c r="G123" s="1336"/>
      <c r="H123" s="1336"/>
      <c r="I123" s="1336"/>
      <c r="J123" s="1336"/>
      <c r="K123" s="1337"/>
      <c r="L123" s="1337"/>
      <c r="M123" s="1277"/>
      <c r="N123" s="1277"/>
      <c r="O123" s="1277"/>
      <c r="P123" s="1277"/>
      <c r="Q123" s="1277"/>
      <c r="R123" s="1277"/>
      <c r="S123" s="1277"/>
      <c r="T123" s="1277"/>
      <c r="U123" s="1277"/>
      <c r="V123" s="1277"/>
      <c r="W123" s="1277"/>
      <c r="X123" s="1277"/>
      <c r="Y123" s="1277"/>
      <c r="Z123" s="1277"/>
      <c r="AA123" s="1277"/>
    </row>
    <row r="124" hidden="1">
      <c r="A124" s="1335"/>
      <c r="B124" s="1392" t="s">
        <v>14339</v>
      </c>
      <c r="C124" s="1336"/>
      <c r="D124" s="224"/>
      <c r="F124" s="139"/>
      <c r="G124" s="1395"/>
      <c r="H124" s="1336"/>
      <c r="I124" s="1336"/>
      <c r="J124" s="1336"/>
      <c r="K124" s="1337"/>
      <c r="L124" s="1337"/>
      <c r="M124" s="1277"/>
      <c r="N124" s="1277"/>
      <c r="O124" s="1277"/>
      <c r="P124" s="1277"/>
      <c r="Q124" s="1277"/>
      <c r="R124" s="1277"/>
      <c r="S124" s="1277"/>
      <c r="T124" s="1277"/>
      <c r="U124" s="1277"/>
      <c r="V124" s="1277"/>
      <c r="W124" s="1277"/>
      <c r="X124" s="1277"/>
      <c r="Y124" s="1277"/>
      <c r="Z124" s="1277"/>
      <c r="AA124" s="1277"/>
    </row>
    <row r="125" hidden="1">
      <c r="A125" s="1335"/>
      <c r="B125" s="1336"/>
      <c r="C125" s="1336"/>
      <c r="D125" s="104"/>
      <c r="E125" s="64"/>
      <c r="F125" s="72"/>
      <c r="G125" s="1395"/>
      <c r="H125" s="1364" t="s">
        <v>14340</v>
      </c>
      <c r="I125" s="36"/>
      <c r="J125" s="13"/>
      <c r="K125" s="1337"/>
      <c r="L125" s="1337"/>
      <c r="M125" s="1277"/>
      <c r="N125" s="1277"/>
      <c r="O125" s="1277"/>
      <c r="P125" s="1277"/>
      <c r="Q125" s="1277"/>
      <c r="R125" s="1277"/>
      <c r="S125" s="1277"/>
      <c r="T125" s="1277"/>
      <c r="U125" s="1277"/>
      <c r="V125" s="1277"/>
      <c r="W125" s="1277"/>
      <c r="X125" s="1277"/>
      <c r="Y125" s="1277"/>
      <c r="Z125" s="1277"/>
      <c r="AA125" s="1277"/>
    </row>
    <row r="126" hidden="1">
      <c r="A126" s="1335"/>
      <c r="B126" s="1336"/>
      <c r="C126" s="1336"/>
      <c r="D126" s="1336"/>
      <c r="E126" s="1395" t="s">
        <v>14341</v>
      </c>
      <c r="F126" s="1336"/>
      <c r="G126" s="1336"/>
      <c r="H126" s="1336"/>
      <c r="I126" s="1336"/>
      <c r="J126" s="1336"/>
      <c r="K126" s="1337"/>
      <c r="L126" s="1337"/>
      <c r="M126" s="1277"/>
      <c r="N126" s="1277"/>
      <c r="O126" s="1277"/>
      <c r="P126" s="1277"/>
      <c r="Q126" s="1277"/>
      <c r="R126" s="1277"/>
      <c r="S126" s="1277"/>
      <c r="T126" s="1277"/>
      <c r="U126" s="1277"/>
      <c r="V126" s="1277"/>
      <c r="W126" s="1277"/>
      <c r="X126" s="1277"/>
      <c r="Y126" s="1277"/>
      <c r="Z126" s="1277"/>
      <c r="AA126" s="1277"/>
    </row>
    <row r="127" hidden="1">
      <c r="A127" s="1335"/>
      <c r="B127" s="1336"/>
      <c r="C127" s="1336"/>
      <c r="D127" s="1336"/>
      <c r="E127" s="1336"/>
      <c r="F127" s="1336"/>
      <c r="G127" s="1396" t="s">
        <v>14342</v>
      </c>
      <c r="H127" s="13"/>
      <c r="I127" s="1397"/>
      <c r="J127" s="1336"/>
      <c r="K127" s="1337"/>
      <c r="L127" s="1337"/>
      <c r="M127" s="1277"/>
      <c r="N127" s="1277"/>
      <c r="O127" s="1277"/>
      <c r="P127" s="1277"/>
      <c r="Q127" s="1277"/>
      <c r="R127" s="1277"/>
      <c r="S127" s="1277"/>
      <c r="T127" s="1277"/>
      <c r="U127" s="1277"/>
      <c r="V127" s="1277"/>
      <c r="W127" s="1277"/>
      <c r="X127" s="1277"/>
      <c r="Y127" s="1277"/>
      <c r="Z127" s="1277"/>
      <c r="AA127" s="1277"/>
    </row>
    <row r="128" ht="19.5" hidden="1" customHeight="1">
      <c r="A128" s="1335"/>
      <c r="B128" s="1336"/>
      <c r="C128" s="1336"/>
      <c r="D128" s="1336"/>
      <c r="E128" s="1336"/>
      <c r="F128" s="1336"/>
      <c r="G128" s="1336"/>
      <c r="H128" s="1336"/>
      <c r="I128" s="1336"/>
      <c r="J128" s="1336"/>
      <c r="K128" s="1337"/>
      <c r="L128" s="1337"/>
      <c r="M128" s="1277"/>
      <c r="N128" s="1277"/>
      <c r="O128" s="1277"/>
      <c r="P128" s="1277"/>
      <c r="Q128" s="1277"/>
      <c r="R128" s="1277"/>
      <c r="S128" s="1277"/>
      <c r="T128" s="1277"/>
      <c r="U128" s="1277"/>
      <c r="V128" s="1277"/>
      <c r="W128" s="1277"/>
      <c r="X128" s="1277"/>
      <c r="Y128" s="1277"/>
      <c r="Z128" s="1277"/>
      <c r="AA128" s="1277"/>
    </row>
    <row r="129" ht="38.25" hidden="1" customHeight="1">
      <c r="A129" s="1335"/>
      <c r="B129" s="1364"/>
      <c r="C129" s="1364" t="s">
        <v>14343</v>
      </c>
      <c r="D129" s="36"/>
      <c r="E129" s="13"/>
      <c r="F129" s="1395" t="s">
        <v>14344</v>
      </c>
      <c r="G129" s="1364" t="s">
        <v>14345</v>
      </c>
      <c r="H129" s="36"/>
      <c r="I129" s="36"/>
      <c r="J129" s="13"/>
      <c r="K129" s="1337"/>
      <c r="L129" s="1337"/>
      <c r="M129" s="1277"/>
      <c r="N129" s="1277"/>
      <c r="O129" s="1277"/>
      <c r="P129" s="1277"/>
      <c r="Q129" s="1277"/>
      <c r="R129" s="1277"/>
      <c r="S129" s="1277"/>
      <c r="T129" s="1277"/>
      <c r="U129" s="1277"/>
      <c r="V129" s="1277"/>
      <c r="W129" s="1277"/>
      <c r="X129" s="1277"/>
      <c r="Y129" s="1277"/>
      <c r="Z129" s="1277"/>
      <c r="AA129" s="1277"/>
    </row>
    <row r="130" ht="40.5" hidden="1" customHeight="1">
      <c r="A130" s="1335"/>
      <c r="B130" s="1336"/>
      <c r="C130" s="1336"/>
      <c r="D130" s="1336"/>
      <c r="E130" s="1336"/>
      <c r="F130" s="1336"/>
      <c r="G130" s="1336" t="s">
        <v>14346</v>
      </c>
      <c r="H130" s="1336"/>
      <c r="I130" s="1336"/>
      <c r="J130" s="1336"/>
      <c r="K130" s="1337"/>
      <c r="L130" s="1337"/>
      <c r="M130" s="1277"/>
      <c r="N130" s="1277"/>
      <c r="O130" s="1277"/>
      <c r="P130" s="1277"/>
      <c r="Q130" s="1277"/>
      <c r="R130" s="1277"/>
      <c r="S130" s="1277"/>
      <c r="T130" s="1277"/>
      <c r="U130" s="1277"/>
      <c r="V130" s="1277"/>
      <c r="W130" s="1277"/>
      <c r="X130" s="1277"/>
      <c r="Y130" s="1277"/>
      <c r="Z130" s="1277"/>
      <c r="AA130" s="1277"/>
    </row>
    <row r="131" ht="35.25" hidden="1" customHeight="1">
      <c r="A131" s="1335"/>
      <c r="B131" s="1336"/>
      <c r="C131" s="1364" t="s">
        <v>14347</v>
      </c>
      <c r="D131" s="36"/>
      <c r="E131" s="36"/>
      <c r="F131" s="36"/>
      <c r="G131" s="36"/>
      <c r="H131" s="13"/>
      <c r="I131" s="1336"/>
      <c r="J131" s="1336" t="s">
        <v>14348</v>
      </c>
      <c r="K131" s="1337"/>
      <c r="L131" s="1337"/>
      <c r="M131" s="1277"/>
      <c r="N131" s="1277"/>
      <c r="O131" s="1277"/>
      <c r="P131" s="1277"/>
      <c r="Q131" s="1277"/>
      <c r="R131" s="1277"/>
      <c r="S131" s="1277"/>
      <c r="T131" s="1277"/>
      <c r="U131" s="1277"/>
      <c r="V131" s="1277"/>
      <c r="W131" s="1277"/>
      <c r="X131" s="1277"/>
      <c r="Y131" s="1277"/>
      <c r="Z131" s="1277"/>
      <c r="AA131" s="1277"/>
    </row>
    <row r="132" ht="39.0" hidden="1" customHeight="1">
      <c r="A132" s="1335"/>
      <c r="B132" s="1336"/>
      <c r="C132" s="1336"/>
      <c r="D132" s="1336"/>
      <c r="E132" s="1336"/>
      <c r="F132" s="1336"/>
      <c r="G132" s="1395" t="s">
        <v>14349</v>
      </c>
      <c r="H132" s="1336"/>
      <c r="I132" s="1336"/>
      <c r="J132" s="1336"/>
      <c r="K132" s="1337" t="s">
        <v>14350</v>
      </c>
      <c r="L132" s="1337"/>
      <c r="M132" s="1277"/>
      <c r="N132" s="1277"/>
      <c r="O132" s="1277"/>
      <c r="P132" s="1277"/>
      <c r="Q132" s="1277"/>
      <c r="R132" s="1277"/>
      <c r="S132" s="1277"/>
      <c r="T132" s="1277"/>
      <c r="U132" s="1277"/>
      <c r="V132" s="1277"/>
      <c r="W132" s="1277"/>
      <c r="X132" s="1277"/>
      <c r="Y132" s="1277"/>
      <c r="Z132" s="1277"/>
      <c r="AA132" s="1277"/>
    </row>
    <row r="133" ht="37.5" hidden="1" customHeight="1">
      <c r="A133" s="1335"/>
      <c r="B133" s="1336"/>
      <c r="C133" s="1336"/>
      <c r="D133" s="1396" t="s">
        <v>14351</v>
      </c>
      <c r="E133" s="36"/>
      <c r="F133" s="13"/>
      <c r="G133" s="1395" t="s">
        <v>14352</v>
      </c>
      <c r="H133" s="1336"/>
      <c r="I133" s="1336"/>
      <c r="J133" s="1336"/>
      <c r="K133" s="1337"/>
      <c r="L133" s="1337"/>
      <c r="M133" s="1277"/>
      <c r="N133" s="1277"/>
      <c r="O133" s="1277"/>
      <c r="P133" s="1277"/>
      <c r="Q133" s="1277"/>
      <c r="R133" s="1277"/>
      <c r="S133" s="1277"/>
      <c r="T133" s="1277"/>
      <c r="U133" s="1277"/>
      <c r="V133" s="1277"/>
      <c r="W133" s="1277"/>
      <c r="X133" s="1277"/>
      <c r="Y133" s="1277"/>
      <c r="Z133" s="1277"/>
      <c r="AA133" s="1277"/>
    </row>
    <row r="134" ht="17.25" hidden="1" customHeight="1">
      <c r="A134" s="1335"/>
      <c r="B134" s="1336"/>
      <c r="C134" s="1336"/>
      <c r="D134" s="1336"/>
      <c r="E134" s="1336"/>
      <c r="F134" s="1336"/>
      <c r="G134" s="1336"/>
      <c r="H134" s="1336"/>
      <c r="I134" s="1336"/>
      <c r="J134" s="1336"/>
      <c r="K134" s="1337"/>
      <c r="L134" s="1337"/>
      <c r="M134" s="1277"/>
      <c r="N134" s="1277"/>
      <c r="O134" s="1277"/>
      <c r="P134" s="1277"/>
      <c r="Q134" s="1277"/>
      <c r="R134" s="1277"/>
      <c r="S134" s="1277"/>
      <c r="T134" s="1277"/>
      <c r="U134" s="1277"/>
      <c r="V134" s="1277"/>
      <c r="W134" s="1277"/>
      <c r="X134" s="1277"/>
      <c r="Y134" s="1277"/>
      <c r="Z134" s="1277"/>
      <c r="AA134" s="1277"/>
    </row>
    <row r="135" hidden="1">
      <c r="A135" s="1335"/>
      <c r="B135" s="1392" t="s">
        <v>14353</v>
      </c>
      <c r="C135" s="1336"/>
      <c r="D135" s="1336"/>
      <c r="E135" s="1336"/>
      <c r="F135" s="1336"/>
      <c r="G135" s="1336"/>
      <c r="H135" s="1395"/>
      <c r="I135" s="1395"/>
      <c r="J135" s="1336"/>
      <c r="K135" s="1337"/>
      <c r="L135" s="1337"/>
      <c r="M135" s="1277"/>
      <c r="N135" s="1277"/>
      <c r="O135" s="1277"/>
      <c r="P135" s="1277"/>
      <c r="Q135" s="1277"/>
      <c r="R135" s="1277"/>
      <c r="S135" s="1277"/>
      <c r="T135" s="1277"/>
      <c r="U135" s="1277"/>
      <c r="V135" s="1277"/>
      <c r="W135" s="1277"/>
      <c r="X135" s="1277"/>
      <c r="Y135" s="1277"/>
      <c r="Z135" s="1277"/>
      <c r="AA135" s="1277"/>
    </row>
    <row r="136" hidden="1">
      <c r="A136" s="1335"/>
      <c r="B136" s="1336"/>
      <c r="C136" s="1398" t="s">
        <v>14354</v>
      </c>
      <c r="D136" s="8"/>
      <c r="E136" s="8"/>
      <c r="F136" s="8"/>
      <c r="G136" s="1399" t="s">
        <v>14355</v>
      </c>
      <c r="H136" s="1398" t="s">
        <v>14354</v>
      </c>
      <c r="I136" s="8"/>
      <c r="J136" s="8"/>
      <c r="K136" s="1337"/>
      <c r="L136" s="1337"/>
      <c r="M136" s="1277"/>
      <c r="N136" s="1277"/>
      <c r="O136" s="1277"/>
      <c r="P136" s="1277"/>
      <c r="Q136" s="1277"/>
      <c r="R136" s="1277"/>
      <c r="S136" s="1277"/>
      <c r="T136" s="1277"/>
      <c r="U136" s="1277"/>
      <c r="V136" s="1277"/>
      <c r="W136" s="1277"/>
      <c r="X136" s="1277"/>
      <c r="Y136" s="1277"/>
      <c r="Z136" s="1277"/>
      <c r="AA136" s="1277"/>
    </row>
    <row r="137" hidden="1">
      <c r="A137" s="1335"/>
      <c r="B137" s="1336"/>
      <c r="C137" s="224"/>
      <c r="G137" s="1400"/>
      <c r="H137" s="224"/>
      <c r="K137" s="1337"/>
      <c r="L137" s="1337"/>
      <c r="M137" s="1277"/>
      <c r="N137" s="1277"/>
      <c r="O137" s="1277"/>
      <c r="P137" s="1277"/>
      <c r="Q137" s="1277"/>
      <c r="R137" s="1277"/>
      <c r="S137" s="1277"/>
      <c r="T137" s="1277"/>
      <c r="U137" s="1277"/>
      <c r="V137" s="1277"/>
      <c r="W137" s="1277"/>
      <c r="X137" s="1277"/>
      <c r="Y137" s="1277"/>
      <c r="Z137" s="1277"/>
      <c r="AA137" s="1277"/>
    </row>
    <row r="138" hidden="1">
      <c r="A138" s="1335"/>
      <c r="B138" s="1336"/>
      <c r="C138" s="224"/>
      <c r="G138" s="1400"/>
      <c r="H138" s="224"/>
      <c r="K138" s="1337" t="s">
        <v>14356</v>
      </c>
      <c r="L138" s="1337"/>
      <c r="M138" s="1277"/>
      <c r="N138" s="1277"/>
      <c r="O138" s="1277"/>
      <c r="P138" s="1277"/>
      <c r="Q138" s="1277"/>
      <c r="R138" s="1277"/>
      <c r="S138" s="1277"/>
      <c r="T138" s="1277"/>
      <c r="U138" s="1277"/>
      <c r="V138" s="1277"/>
      <c r="W138" s="1277"/>
      <c r="X138" s="1277"/>
      <c r="Y138" s="1277"/>
      <c r="Z138" s="1277"/>
      <c r="AA138" s="1277"/>
    </row>
    <row r="139" hidden="1">
      <c r="A139" s="1335"/>
      <c r="B139" s="1336"/>
      <c r="C139" s="1401"/>
      <c r="D139" s="1402"/>
      <c r="E139" s="1402"/>
      <c r="F139" s="1403" t="s">
        <v>14357</v>
      </c>
      <c r="G139" s="1400"/>
      <c r="H139" s="224"/>
      <c r="K139" s="1337"/>
      <c r="L139" s="1337"/>
      <c r="M139" s="1277"/>
      <c r="N139" s="1277"/>
      <c r="O139" s="1277"/>
      <c r="P139" s="1277"/>
      <c r="Q139" s="1277"/>
      <c r="R139" s="1277"/>
      <c r="S139" s="1277"/>
      <c r="T139" s="1277"/>
      <c r="U139" s="1277"/>
      <c r="V139" s="1277"/>
      <c r="W139" s="1277"/>
      <c r="X139" s="1277"/>
      <c r="Y139" s="1277"/>
      <c r="Z139" s="1277"/>
      <c r="AA139" s="1277"/>
    </row>
    <row r="140" hidden="1">
      <c r="A140" s="1335"/>
      <c r="B140" s="1336"/>
      <c r="C140" s="1404"/>
      <c r="D140" s="1405"/>
      <c r="E140" s="1405"/>
      <c r="F140" s="1405"/>
      <c r="G140" s="1399" t="s">
        <v>14358</v>
      </c>
      <c r="H140" s="104"/>
      <c r="I140" s="64"/>
      <c r="J140" s="64"/>
      <c r="K140" s="1337"/>
      <c r="L140" s="1337"/>
      <c r="M140" s="1277"/>
      <c r="N140" s="1277"/>
      <c r="O140" s="1277"/>
      <c r="P140" s="1277"/>
      <c r="Q140" s="1277"/>
      <c r="R140" s="1277"/>
      <c r="S140" s="1277"/>
      <c r="T140" s="1277"/>
      <c r="U140" s="1277"/>
      <c r="V140" s="1277"/>
      <c r="W140" s="1277"/>
      <c r="X140" s="1277"/>
      <c r="Y140" s="1277"/>
      <c r="Z140" s="1277"/>
      <c r="AA140" s="1277"/>
    </row>
    <row r="141" hidden="1">
      <c r="A141" s="1335"/>
      <c r="B141" s="1392" t="s">
        <v>14359</v>
      </c>
      <c r="C141" s="1406" t="s">
        <v>14360</v>
      </c>
      <c r="D141" s="64"/>
      <c r="E141" s="64"/>
      <c r="F141" s="64"/>
      <c r="G141" s="64"/>
      <c r="H141" s="72"/>
      <c r="I141" s="1407"/>
      <c r="J141" s="1336"/>
      <c r="K141" s="1337"/>
      <c r="L141" s="1337"/>
      <c r="M141" s="1277"/>
      <c r="N141" s="1277"/>
      <c r="O141" s="1277"/>
      <c r="P141" s="1277"/>
      <c r="Q141" s="1277"/>
      <c r="R141" s="1277"/>
      <c r="S141" s="1277"/>
      <c r="T141" s="1277"/>
      <c r="U141" s="1277"/>
      <c r="V141" s="1277"/>
      <c r="W141" s="1277"/>
      <c r="X141" s="1277"/>
      <c r="Y141" s="1277"/>
      <c r="Z141" s="1277"/>
      <c r="AA141" s="1277"/>
    </row>
    <row r="142" hidden="1">
      <c r="A142" s="1300" t="s">
        <v>14361</v>
      </c>
      <c r="B142" s="36"/>
      <c r="C142" s="36"/>
      <c r="D142" s="36"/>
      <c r="E142" s="36"/>
      <c r="F142" s="36"/>
      <c r="G142" s="36"/>
      <c r="H142" s="36"/>
      <c r="I142" s="36"/>
      <c r="J142" s="13"/>
      <c r="K142" s="1301"/>
      <c r="L142" s="1301"/>
      <c r="M142" s="1302"/>
      <c r="N142" s="1302"/>
      <c r="O142" s="1302"/>
      <c r="P142" s="1302"/>
      <c r="Q142" s="1302"/>
      <c r="R142" s="1302"/>
      <c r="S142" s="1302"/>
      <c r="T142" s="1302"/>
      <c r="U142" s="1302"/>
      <c r="V142" s="1302"/>
      <c r="W142" s="1302"/>
      <c r="X142" s="1302"/>
      <c r="Y142" s="1302"/>
      <c r="Z142" s="1302"/>
      <c r="AA142" s="1302"/>
    </row>
    <row r="143" hidden="1">
      <c r="A143" s="1307"/>
      <c r="B143" s="1347"/>
      <c r="C143" s="1347"/>
      <c r="D143" s="1408" t="s">
        <v>14362</v>
      </c>
      <c r="E143" s="13"/>
      <c r="F143" s="1347"/>
      <c r="G143" s="1409"/>
      <c r="H143" s="1410" t="s">
        <v>14363</v>
      </c>
      <c r="I143" s="8"/>
      <c r="J143" s="8"/>
      <c r="K143" s="1348" t="s">
        <v>14364</v>
      </c>
      <c r="L143" s="1348"/>
      <c r="M143" s="1302"/>
      <c r="N143" s="1302"/>
      <c r="O143" s="1302"/>
      <c r="P143" s="1302"/>
      <c r="Q143" s="1302"/>
      <c r="R143" s="1302"/>
      <c r="S143" s="1302"/>
      <c r="T143" s="1302"/>
      <c r="U143" s="1302"/>
      <c r="V143" s="1302"/>
      <c r="W143" s="1302"/>
      <c r="X143" s="1302"/>
      <c r="Y143" s="1302"/>
      <c r="Z143" s="1302"/>
      <c r="AA143" s="1302"/>
    </row>
    <row r="144" hidden="1">
      <c r="A144" s="1307"/>
      <c r="B144" s="1411"/>
      <c r="C144" s="1410" t="s">
        <v>14363</v>
      </c>
      <c r="D144" s="8"/>
      <c r="E144" s="8"/>
      <c r="F144" s="8"/>
      <c r="G144" s="1347"/>
      <c r="H144" s="224"/>
      <c r="K144" s="1348"/>
      <c r="L144" s="1348"/>
      <c r="M144" s="1302"/>
      <c r="N144" s="1302"/>
      <c r="O144" s="1302"/>
      <c r="P144" s="1302"/>
      <c r="Q144" s="1302"/>
      <c r="R144" s="1302"/>
      <c r="S144" s="1302"/>
      <c r="T144" s="1302"/>
      <c r="U144" s="1302"/>
      <c r="V144" s="1302"/>
      <c r="W144" s="1302"/>
      <c r="X144" s="1302"/>
      <c r="Y144" s="1302"/>
      <c r="Z144" s="1302"/>
      <c r="AA144" s="1302"/>
    </row>
    <row r="145" hidden="1">
      <c r="A145" s="1341"/>
      <c r="B145" s="1412"/>
      <c r="C145" s="224"/>
      <c r="G145" s="1412"/>
      <c r="H145" s="224"/>
      <c r="K145" s="1301"/>
      <c r="L145" s="1301"/>
      <c r="M145" s="1302"/>
      <c r="N145" s="1302"/>
      <c r="O145" s="1302"/>
      <c r="P145" s="1302"/>
      <c r="Q145" s="1302"/>
      <c r="R145" s="1302"/>
      <c r="S145" s="1302"/>
      <c r="T145" s="1302"/>
      <c r="U145" s="1302"/>
      <c r="V145" s="1302"/>
      <c r="W145" s="1302"/>
      <c r="X145" s="1302"/>
      <c r="Y145" s="1302"/>
      <c r="Z145" s="1302"/>
      <c r="AA145" s="1302"/>
    </row>
    <row r="146" hidden="1">
      <c r="A146" s="1307"/>
      <c r="B146" s="1307"/>
      <c r="C146" s="224"/>
      <c r="G146" s="1413" t="s">
        <v>14365</v>
      </c>
      <c r="H146" s="224"/>
      <c r="K146" s="1414"/>
      <c r="L146" s="1414"/>
      <c r="M146" s="1302"/>
      <c r="N146" s="1302"/>
      <c r="O146" s="1302"/>
      <c r="P146" s="1302"/>
      <c r="Q146" s="1302"/>
      <c r="R146" s="1302"/>
      <c r="S146" s="1302"/>
      <c r="T146" s="1302"/>
      <c r="U146" s="1302"/>
      <c r="V146" s="1302"/>
      <c r="W146" s="1302"/>
      <c r="X146" s="1302"/>
      <c r="Y146" s="1302"/>
      <c r="Z146" s="1302"/>
      <c r="AA146" s="1302"/>
    </row>
    <row r="147" hidden="1">
      <c r="A147" s="1307"/>
      <c r="B147" s="1307"/>
      <c r="C147" s="224"/>
      <c r="G147" s="1415"/>
      <c r="H147" s="224"/>
      <c r="K147" s="1414"/>
      <c r="L147" s="1414"/>
      <c r="M147" s="1302"/>
      <c r="N147" s="1302"/>
      <c r="O147" s="1302"/>
      <c r="P147" s="1302"/>
      <c r="Q147" s="1302"/>
      <c r="R147" s="1302"/>
      <c r="S147" s="1302"/>
      <c r="T147" s="1302"/>
      <c r="U147" s="1302"/>
      <c r="V147" s="1302"/>
      <c r="W147" s="1302"/>
      <c r="X147" s="1302"/>
      <c r="Y147" s="1302"/>
      <c r="Z147" s="1302"/>
      <c r="AA147" s="1302"/>
    </row>
    <row r="148" hidden="1">
      <c r="A148" s="1307"/>
      <c r="B148" s="1307"/>
      <c r="C148" s="224"/>
      <c r="G148" s="1415"/>
      <c r="H148" s="224"/>
      <c r="K148" s="1414"/>
      <c r="L148" s="1414"/>
      <c r="M148" s="1302"/>
      <c r="N148" s="1302"/>
      <c r="O148" s="1302"/>
      <c r="P148" s="1302"/>
      <c r="Q148" s="1302"/>
      <c r="R148" s="1302"/>
      <c r="S148" s="1302"/>
      <c r="T148" s="1302"/>
      <c r="U148" s="1302"/>
      <c r="V148" s="1302"/>
      <c r="W148" s="1302"/>
      <c r="X148" s="1302"/>
      <c r="Y148" s="1302"/>
      <c r="Z148" s="1302"/>
      <c r="AA148" s="1302"/>
    </row>
    <row r="149" hidden="1">
      <c r="A149" s="1307"/>
      <c r="B149" s="1307"/>
      <c r="C149" s="224"/>
      <c r="G149" s="1415"/>
      <c r="H149" s="224"/>
      <c r="K149" s="1414"/>
      <c r="L149" s="1414"/>
      <c r="M149" s="1302"/>
      <c r="N149" s="1302"/>
      <c r="O149" s="1302"/>
      <c r="P149" s="1302"/>
      <c r="Q149" s="1302"/>
      <c r="R149" s="1302"/>
      <c r="S149" s="1302"/>
      <c r="T149" s="1302"/>
      <c r="U149" s="1302"/>
      <c r="V149" s="1302"/>
      <c r="W149" s="1302"/>
      <c r="X149" s="1302"/>
      <c r="Y149" s="1302"/>
      <c r="Z149" s="1302"/>
      <c r="AA149" s="1302"/>
    </row>
    <row r="150" hidden="1">
      <c r="A150" s="1307"/>
      <c r="B150" s="1307"/>
      <c r="C150" s="224"/>
      <c r="G150" s="1415"/>
      <c r="H150" s="224"/>
      <c r="K150" s="1414"/>
      <c r="L150" s="1414"/>
      <c r="M150" s="1302"/>
      <c r="N150" s="1302"/>
      <c r="O150" s="1302"/>
      <c r="P150" s="1302"/>
      <c r="Q150" s="1302"/>
      <c r="R150" s="1302"/>
      <c r="S150" s="1302"/>
      <c r="T150" s="1302"/>
      <c r="U150" s="1302"/>
      <c r="V150" s="1302"/>
      <c r="W150" s="1302"/>
      <c r="X150" s="1302"/>
      <c r="Y150" s="1302"/>
      <c r="Z150" s="1302"/>
      <c r="AA150" s="1302"/>
    </row>
    <row r="151" hidden="1">
      <c r="A151" s="1307"/>
      <c r="B151" s="1307"/>
      <c r="C151" s="224"/>
      <c r="G151" s="1415"/>
      <c r="H151" s="224"/>
      <c r="K151" s="1414"/>
      <c r="L151" s="1414"/>
      <c r="M151" s="1302"/>
      <c r="N151" s="1302"/>
      <c r="O151" s="1302"/>
      <c r="P151" s="1302"/>
      <c r="Q151" s="1302"/>
      <c r="R151" s="1302"/>
      <c r="S151" s="1302"/>
      <c r="T151" s="1302"/>
      <c r="U151" s="1302"/>
      <c r="V151" s="1302"/>
      <c r="W151" s="1302"/>
      <c r="X151" s="1302"/>
      <c r="Y151" s="1302"/>
      <c r="Z151" s="1302"/>
      <c r="AA151" s="1302"/>
    </row>
    <row r="152" hidden="1">
      <c r="A152" s="1307"/>
      <c r="B152" s="1307"/>
      <c r="C152" s="224"/>
      <c r="G152" s="1413" t="s">
        <v>14366</v>
      </c>
      <c r="H152" s="224"/>
      <c r="K152" s="1414"/>
      <c r="L152" s="1414"/>
      <c r="M152" s="1302"/>
      <c r="N152" s="1302"/>
      <c r="O152" s="1302"/>
      <c r="P152" s="1302"/>
      <c r="Q152" s="1302"/>
      <c r="R152" s="1302"/>
      <c r="S152" s="1302"/>
      <c r="T152" s="1302"/>
      <c r="U152" s="1302"/>
      <c r="V152" s="1302"/>
      <c r="W152" s="1302"/>
      <c r="X152" s="1302"/>
      <c r="Y152" s="1302"/>
      <c r="Z152" s="1302"/>
      <c r="AA152" s="1302"/>
    </row>
    <row r="153" hidden="1">
      <c r="A153" s="1307"/>
      <c r="B153" s="1307"/>
      <c r="C153" s="224"/>
      <c r="G153" s="1415"/>
      <c r="H153" s="224"/>
      <c r="K153" s="1414"/>
      <c r="L153" s="1414"/>
      <c r="M153" s="1302"/>
      <c r="N153" s="1302"/>
      <c r="O153" s="1302"/>
      <c r="P153" s="1302"/>
      <c r="Q153" s="1302"/>
      <c r="R153" s="1302"/>
      <c r="S153" s="1302"/>
      <c r="T153" s="1302"/>
      <c r="U153" s="1302"/>
      <c r="V153" s="1302"/>
      <c r="W153" s="1302"/>
      <c r="X153" s="1302"/>
      <c r="Y153" s="1302"/>
      <c r="Z153" s="1302"/>
      <c r="AA153" s="1302"/>
    </row>
    <row r="154" hidden="1">
      <c r="A154" s="1307"/>
      <c r="B154" s="1307"/>
      <c r="C154" s="104"/>
      <c r="D154" s="64"/>
      <c r="E154" s="64"/>
      <c r="F154" s="64"/>
      <c r="G154" s="1415"/>
      <c r="H154" s="104"/>
      <c r="I154" s="64"/>
      <c r="J154" s="64"/>
      <c r="K154" s="1348"/>
      <c r="L154" s="1414"/>
      <c r="M154" s="1302"/>
      <c r="N154" s="1302"/>
      <c r="O154" s="1302"/>
      <c r="P154" s="1302"/>
      <c r="Q154" s="1302"/>
      <c r="R154" s="1302"/>
      <c r="S154" s="1302"/>
      <c r="T154" s="1302"/>
      <c r="U154" s="1302"/>
      <c r="V154" s="1302"/>
      <c r="W154" s="1302"/>
      <c r="X154" s="1302"/>
      <c r="Y154" s="1302"/>
      <c r="Z154" s="1302"/>
      <c r="AA154" s="1302"/>
    </row>
    <row r="155" hidden="1">
      <c r="A155" s="1307"/>
      <c r="B155" s="1307"/>
      <c r="C155" s="1305" t="s">
        <v>14367</v>
      </c>
      <c r="D155" s="36"/>
      <c r="E155" s="36"/>
      <c r="F155" s="36"/>
      <c r="G155" s="36"/>
      <c r="H155" s="36"/>
      <c r="I155" s="36"/>
      <c r="J155" s="13"/>
      <c r="K155" s="1414"/>
      <c r="L155" s="1414"/>
      <c r="M155" s="1302"/>
      <c r="N155" s="1302"/>
      <c r="O155" s="1302"/>
      <c r="P155" s="1302"/>
      <c r="Q155" s="1302"/>
      <c r="R155" s="1302"/>
      <c r="S155" s="1302"/>
      <c r="T155" s="1302"/>
      <c r="U155" s="1302"/>
      <c r="V155" s="1302"/>
      <c r="W155" s="1302"/>
      <c r="X155" s="1302"/>
      <c r="Y155" s="1302"/>
      <c r="Z155" s="1302"/>
      <c r="AA155" s="1302"/>
    </row>
    <row r="156" hidden="1">
      <c r="A156" s="1307"/>
      <c r="B156" s="1307"/>
      <c r="C156" s="1416" t="s">
        <v>14368</v>
      </c>
      <c r="D156" s="8"/>
      <c r="E156" s="8"/>
      <c r="F156" s="4"/>
      <c r="G156" s="1307"/>
      <c r="H156" s="1416" t="s">
        <v>14368</v>
      </c>
      <c r="I156" s="8"/>
      <c r="J156" s="4"/>
      <c r="K156" s="1411"/>
      <c r="L156" s="1411"/>
      <c r="M156" s="1302"/>
      <c r="N156" s="1302"/>
      <c r="O156" s="1302"/>
      <c r="P156" s="1302"/>
      <c r="Q156" s="1302"/>
      <c r="R156" s="1302"/>
      <c r="S156" s="1302"/>
      <c r="T156" s="1302"/>
      <c r="U156" s="1302"/>
      <c r="V156" s="1302"/>
      <c r="W156" s="1302"/>
      <c r="X156" s="1302"/>
      <c r="Y156" s="1302"/>
      <c r="Z156" s="1302"/>
      <c r="AA156" s="1302"/>
    </row>
    <row r="157" hidden="1">
      <c r="A157" s="1307"/>
      <c r="B157" s="1307"/>
      <c r="C157" s="224"/>
      <c r="F157" s="139"/>
      <c r="G157" s="1359" t="s">
        <v>14369</v>
      </c>
      <c r="H157" s="224"/>
      <c r="J157" s="139"/>
      <c r="K157" s="1411"/>
      <c r="L157" s="1411"/>
      <c r="M157" s="1302"/>
      <c r="N157" s="1302"/>
      <c r="O157" s="1302"/>
      <c r="P157" s="1302"/>
      <c r="Q157" s="1302"/>
      <c r="R157" s="1302"/>
      <c r="S157" s="1302"/>
      <c r="T157" s="1302"/>
      <c r="U157" s="1302"/>
      <c r="V157" s="1302"/>
      <c r="W157" s="1302"/>
      <c r="X157" s="1302"/>
      <c r="Y157" s="1302"/>
      <c r="Z157" s="1302"/>
      <c r="AA157" s="1302"/>
    </row>
    <row r="158" hidden="1">
      <c r="A158" s="1307"/>
      <c r="B158" s="1307"/>
      <c r="C158" s="224"/>
      <c r="F158" s="139"/>
      <c r="G158" s="1307"/>
      <c r="H158" s="224"/>
      <c r="J158" s="139"/>
      <c r="K158" s="1307"/>
      <c r="L158" s="1411"/>
      <c r="M158" s="1302"/>
      <c r="N158" s="1302"/>
      <c r="O158" s="1302"/>
      <c r="P158" s="1302"/>
      <c r="Q158" s="1302"/>
      <c r="R158" s="1302"/>
      <c r="S158" s="1302"/>
      <c r="T158" s="1302"/>
      <c r="U158" s="1302"/>
      <c r="V158" s="1302"/>
      <c r="W158" s="1302"/>
      <c r="X158" s="1302"/>
      <c r="Y158" s="1302"/>
      <c r="Z158" s="1302"/>
      <c r="AA158" s="1302"/>
    </row>
    <row r="159" hidden="1">
      <c r="A159" s="1307"/>
      <c r="B159" s="1417"/>
      <c r="C159" s="104"/>
      <c r="D159" s="64"/>
      <c r="E159" s="64"/>
      <c r="F159" s="72"/>
      <c r="G159" s="1417"/>
      <c r="H159" s="104"/>
      <c r="I159" s="64"/>
      <c r="J159" s="72"/>
      <c r="K159" s="1301"/>
      <c r="L159" s="1301"/>
      <c r="M159" s="1302"/>
      <c r="N159" s="1302"/>
      <c r="O159" s="1302"/>
      <c r="P159" s="1302"/>
      <c r="Q159" s="1302"/>
      <c r="R159" s="1302"/>
      <c r="S159" s="1302"/>
      <c r="T159" s="1302"/>
      <c r="U159" s="1302"/>
      <c r="V159" s="1302"/>
      <c r="W159" s="1302"/>
      <c r="X159" s="1302"/>
      <c r="Y159" s="1302"/>
      <c r="Z159" s="1302"/>
      <c r="AA159" s="1302"/>
    </row>
    <row r="160" hidden="1">
      <c r="A160" s="1307"/>
      <c r="B160" s="1417"/>
      <c r="C160" s="1417"/>
      <c r="D160" s="1417"/>
      <c r="E160" s="1417"/>
      <c r="F160" s="1417"/>
      <c r="G160" s="1417"/>
      <c r="H160" s="1417"/>
      <c r="I160" s="1417"/>
      <c r="J160" s="1417"/>
      <c r="K160" s="1301"/>
      <c r="L160" s="1301"/>
      <c r="M160" s="1302"/>
      <c r="N160" s="1302"/>
      <c r="O160" s="1302"/>
      <c r="P160" s="1302"/>
      <c r="Q160" s="1302"/>
      <c r="R160" s="1302"/>
      <c r="S160" s="1302"/>
      <c r="T160" s="1302"/>
      <c r="U160" s="1302"/>
      <c r="V160" s="1302"/>
      <c r="W160" s="1302"/>
      <c r="X160" s="1302"/>
      <c r="Y160" s="1302"/>
      <c r="Z160" s="1302"/>
      <c r="AA160" s="1302"/>
    </row>
    <row r="161" hidden="1">
      <c r="A161" s="1307"/>
      <c r="B161" s="1417"/>
      <c r="C161" s="1417"/>
      <c r="D161" s="1417"/>
      <c r="E161" s="1417"/>
      <c r="F161" s="1417"/>
      <c r="G161" s="1417"/>
      <c r="H161" s="1417"/>
      <c r="I161" s="1417"/>
      <c r="J161" s="1417"/>
      <c r="K161" s="1301"/>
      <c r="L161" s="1301"/>
      <c r="M161" s="1302"/>
      <c r="N161" s="1302"/>
      <c r="O161" s="1302"/>
      <c r="P161" s="1302"/>
      <c r="Q161" s="1302"/>
      <c r="R161" s="1302"/>
      <c r="S161" s="1302"/>
      <c r="T161" s="1302"/>
      <c r="U161" s="1302"/>
      <c r="V161" s="1302"/>
      <c r="W161" s="1302"/>
      <c r="X161" s="1302"/>
      <c r="Y161" s="1302"/>
      <c r="Z161" s="1302"/>
      <c r="AA161" s="1302"/>
    </row>
    <row r="162" hidden="1">
      <c r="A162" s="1307"/>
      <c r="B162" s="1417"/>
      <c r="C162" s="1417"/>
      <c r="D162" s="1417"/>
      <c r="E162" s="1417"/>
      <c r="F162" s="1417"/>
      <c r="G162" s="1417"/>
      <c r="H162" s="1417"/>
      <c r="I162" s="1417"/>
      <c r="J162" s="1347" t="s">
        <v>14370</v>
      </c>
      <c r="K162" s="1301"/>
      <c r="L162" s="1301"/>
      <c r="M162" s="1302"/>
      <c r="N162" s="1302"/>
      <c r="O162" s="1302"/>
      <c r="P162" s="1302"/>
      <c r="Q162" s="1302"/>
      <c r="R162" s="1302"/>
      <c r="S162" s="1302"/>
      <c r="T162" s="1302"/>
      <c r="U162" s="1302"/>
      <c r="V162" s="1302"/>
      <c r="W162" s="1302"/>
      <c r="X162" s="1302"/>
      <c r="Y162" s="1302"/>
      <c r="Z162" s="1302"/>
      <c r="AA162" s="1302"/>
    </row>
    <row r="163" hidden="1">
      <c r="A163" s="1307"/>
      <c r="B163" s="1417"/>
      <c r="C163" s="1417"/>
      <c r="D163" s="1417"/>
      <c r="E163" s="1417"/>
      <c r="F163" s="1417"/>
      <c r="G163" s="1381"/>
      <c r="H163" s="1417"/>
      <c r="I163" s="1417"/>
      <c r="J163" s="1417"/>
      <c r="K163" s="1301"/>
      <c r="L163" s="1301"/>
      <c r="M163" s="1302"/>
      <c r="N163" s="1302"/>
      <c r="O163" s="1302"/>
      <c r="P163" s="1302"/>
      <c r="Q163" s="1302"/>
      <c r="R163" s="1302"/>
      <c r="S163" s="1302"/>
      <c r="T163" s="1302"/>
      <c r="U163" s="1302"/>
      <c r="V163" s="1302"/>
      <c r="W163" s="1302"/>
      <c r="X163" s="1302"/>
      <c r="Y163" s="1302"/>
      <c r="Z163" s="1302"/>
      <c r="AA163" s="1302"/>
    </row>
    <row r="164" hidden="1">
      <c r="A164" s="1307"/>
      <c r="B164" s="1417"/>
      <c r="C164" s="1417"/>
      <c r="D164" s="1417"/>
      <c r="E164" s="1417"/>
      <c r="F164" s="1417"/>
      <c r="G164" s="1413" t="s">
        <v>14371</v>
      </c>
      <c r="H164" s="1417"/>
      <c r="I164" s="1417"/>
      <c r="J164" s="1417"/>
      <c r="K164" s="1301"/>
      <c r="L164" s="1301"/>
      <c r="M164" s="1302"/>
      <c r="N164" s="1302"/>
      <c r="O164" s="1302"/>
      <c r="P164" s="1302"/>
      <c r="Q164" s="1302"/>
      <c r="R164" s="1302"/>
      <c r="S164" s="1302"/>
      <c r="T164" s="1302"/>
      <c r="U164" s="1302"/>
      <c r="V164" s="1302"/>
      <c r="W164" s="1302"/>
      <c r="X164" s="1302"/>
      <c r="Y164" s="1302"/>
      <c r="Z164" s="1302"/>
      <c r="AA164" s="1302"/>
    </row>
    <row r="165" hidden="1">
      <c r="A165" s="1418" t="s">
        <v>14372</v>
      </c>
      <c r="B165" s="36"/>
      <c r="C165" s="36"/>
      <c r="D165" s="36"/>
      <c r="E165" s="36"/>
      <c r="F165" s="36"/>
      <c r="G165" s="36"/>
      <c r="H165" s="36"/>
      <c r="I165" s="36"/>
      <c r="J165" s="13"/>
      <c r="K165" s="1419"/>
      <c r="L165" s="1419"/>
      <c r="M165" s="1420"/>
      <c r="N165" s="1420"/>
      <c r="O165" s="1420"/>
      <c r="P165" s="1420"/>
      <c r="Q165" s="1420"/>
      <c r="R165" s="1420"/>
      <c r="S165" s="1420"/>
      <c r="T165" s="1420"/>
      <c r="U165" s="1420"/>
      <c r="V165" s="1420"/>
      <c r="W165" s="1420"/>
      <c r="X165" s="1420"/>
      <c r="Y165" s="1420"/>
      <c r="Z165" s="1420"/>
      <c r="AA165" s="1420"/>
    </row>
    <row r="166" hidden="1">
      <c r="A166" s="1421"/>
      <c r="B166" s="1422"/>
      <c r="C166" s="1423" t="s">
        <v>14373</v>
      </c>
      <c r="D166" s="36"/>
      <c r="E166" s="36"/>
      <c r="F166" s="36"/>
      <c r="G166" s="36"/>
      <c r="H166" s="36"/>
      <c r="I166" s="36"/>
      <c r="J166" s="13"/>
      <c r="K166" s="1424"/>
      <c r="L166" s="1424"/>
      <c r="M166" s="1420"/>
      <c r="N166" s="1420"/>
      <c r="O166" s="1420"/>
      <c r="P166" s="1420"/>
      <c r="Q166" s="1420"/>
      <c r="R166" s="1420"/>
      <c r="S166" s="1420"/>
      <c r="T166" s="1420"/>
      <c r="U166" s="1420"/>
      <c r="V166" s="1420"/>
      <c r="W166" s="1420"/>
      <c r="X166" s="1420"/>
      <c r="Y166" s="1420"/>
      <c r="Z166" s="1420"/>
      <c r="AA166" s="1420"/>
    </row>
    <row r="167" hidden="1">
      <c r="A167" s="1425" t="s">
        <v>14374</v>
      </c>
      <c r="B167" s="36"/>
      <c r="C167" s="36"/>
      <c r="D167" s="36"/>
      <c r="E167" s="36"/>
      <c r="F167" s="36"/>
      <c r="G167" s="36"/>
      <c r="H167" s="36"/>
      <c r="I167" s="36"/>
      <c r="J167" s="13"/>
      <c r="K167" s="1426"/>
      <c r="L167" s="1426"/>
      <c r="M167" s="1078"/>
      <c r="N167" s="1078"/>
      <c r="O167" s="1078"/>
      <c r="P167" s="1078"/>
      <c r="Q167" s="1078"/>
      <c r="R167" s="1078"/>
      <c r="S167" s="1078"/>
      <c r="T167" s="1078"/>
      <c r="U167" s="1078"/>
      <c r="V167" s="1078"/>
      <c r="W167" s="1078"/>
      <c r="X167" s="1078"/>
      <c r="Y167" s="1078"/>
      <c r="Z167" s="1078"/>
      <c r="AA167" s="1078"/>
    </row>
    <row r="168" hidden="1">
      <c r="A168" s="1427"/>
      <c r="B168" s="1428"/>
      <c r="C168" s="1428"/>
      <c r="D168" s="1428"/>
      <c r="E168" s="1428"/>
      <c r="F168" s="1428"/>
      <c r="G168" s="1428"/>
      <c r="H168" s="1428"/>
      <c r="I168" s="1428"/>
      <c r="J168" s="1428"/>
      <c r="K168" s="1426"/>
      <c r="L168" s="1426"/>
      <c r="M168" s="1078"/>
      <c r="N168" s="1078"/>
      <c r="O168" s="1078"/>
      <c r="P168" s="1078"/>
      <c r="Q168" s="1078"/>
      <c r="R168" s="1078"/>
      <c r="S168" s="1078"/>
      <c r="T168" s="1078"/>
      <c r="U168" s="1078"/>
      <c r="V168" s="1078"/>
      <c r="W168" s="1078"/>
      <c r="X168" s="1078"/>
      <c r="Y168" s="1078"/>
      <c r="Z168" s="1078"/>
      <c r="AA168" s="1078"/>
    </row>
    <row r="169" hidden="1">
      <c r="A169" s="1427"/>
      <c r="B169" s="1428"/>
      <c r="C169" s="1428"/>
      <c r="D169" s="1428"/>
      <c r="E169" s="1428"/>
      <c r="F169" s="1428"/>
      <c r="G169" s="1428"/>
      <c r="H169" s="1428"/>
      <c r="I169" s="1428"/>
      <c r="J169" s="1428"/>
      <c r="K169" s="1426"/>
      <c r="L169" s="1426"/>
      <c r="M169" s="1078"/>
      <c r="N169" s="1078"/>
      <c r="O169" s="1078"/>
      <c r="P169" s="1078"/>
      <c r="Q169" s="1078"/>
      <c r="R169" s="1078"/>
      <c r="S169" s="1078"/>
      <c r="T169" s="1078"/>
      <c r="U169" s="1078"/>
      <c r="V169" s="1078"/>
      <c r="W169" s="1078"/>
      <c r="X169" s="1078"/>
      <c r="Y169" s="1078"/>
      <c r="Z169" s="1078"/>
      <c r="AA169" s="1078"/>
    </row>
    <row r="170" ht="51.0" hidden="1" customHeight="1">
      <c r="A170" s="1427">
        <v>26.0</v>
      </c>
      <c r="B170" s="1429" t="s">
        <v>14375</v>
      </c>
      <c r="C170" s="1428"/>
      <c r="D170" s="1428"/>
      <c r="E170" s="1428"/>
      <c r="F170" s="1428"/>
      <c r="G170" s="1428"/>
      <c r="H170" s="1428"/>
      <c r="I170" s="1428"/>
      <c r="J170" s="1428"/>
      <c r="K170" s="1426"/>
      <c r="L170" s="1426"/>
      <c r="M170" s="1078"/>
      <c r="N170" s="1078"/>
      <c r="O170" s="1078"/>
      <c r="P170" s="1078"/>
      <c r="Q170" s="1078"/>
      <c r="R170" s="1078"/>
      <c r="S170" s="1078"/>
      <c r="T170" s="1078"/>
      <c r="U170" s="1078"/>
      <c r="V170" s="1078"/>
      <c r="W170" s="1078"/>
      <c r="X170" s="1078"/>
      <c r="Y170" s="1078"/>
      <c r="Z170" s="1078"/>
      <c r="AA170" s="1078"/>
    </row>
    <row r="171" ht="62.25" hidden="1" customHeight="1">
      <c r="A171" s="1427">
        <v>27.0</v>
      </c>
      <c r="B171" s="1430"/>
      <c r="C171" s="1431" t="s">
        <v>14376</v>
      </c>
      <c r="D171" s="1428"/>
      <c r="E171" s="1428"/>
      <c r="F171" s="1428"/>
      <c r="G171" s="1428"/>
      <c r="H171" s="1428"/>
      <c r="I171" s="1432" t="s">
        <v>14377</v>
      </c>
      <c r="J171" s="1428"/>
      <c r="K171" s="1426"/>
      <c r="L171" s="1426"/>
      <c r="M171" s="1078"/>
      <c r="N171" s="1078"/>
      <c r="O171" s="1078"/>
      <c r="P171" s="1078"/>
      <c r="Q171" s="1078"/>
      <c r="R171" s="1078"/>
      <c r="S171" s="1078"/>
      <c r="T171" s="1078"/>
      <c r="U171" s="1078"/>
      <c r="V171" s="1078"/>
      <c r="W171" s="1078"/>
      <c r="X171" s="1078"/>
      <c r="Y171" s="1078"/>
      <c r="Z171" s="1078"/>
      <c r="AA171" s="1078"/>
    </row>
    <row r="172" hidden="1">
      <c r="A172" s="1433">
        <v>29.0</v>
      </c>
      <c r="B172" s="1428"/>
      <c r="C172" s="1428"/>
      <c r="D172" s="1428"/>
      <c r="E172" s="1431" t="s">
        <v>14378</v>
      </c>
      <c r="F172" s="1428"/>
      <c r="G172" s="1428"/>
      <c r="H172" s="1428"/>
      <c r="I172" s="1428"/>
      <c r="J172" s="1434" t="s">
        <v>14379</v>
      </c>
      <c r="K172" s="1426"/>
      <c r="L172" s="1426"/>
      <c r="M172" s="1078"/>
      <c r="N172" s="1078"/>
      <c r="O172" s="1078"/>
      <c r="P172" s="1078"/>
      <c r="Q172" s="1078"/>
      <c r="R172" s="1078"/>
      <c r="S172" s="1078"/>
      <c r="T172" s="1078"/>
      <c r="U172" s="1078"/>
      <c r="V172" s="1078"/>
      <c r="W172" s="1078"/>
      <c r="X172" s="1078"/>
      <c r="Y172" s="1078"/>
      <c r="Z172" s="1078"/>
      <c r="AA172" s="1078"/>
    </row>
    <row r="173" hidden="1">
      <c r="A173" s="173"/>
      <c r="B173" s="1435"/>
      <c r="C173" s="1435"/>
      <c r="D173" s="1435"/>
      <c r="E173" s="1436" t="s">
        <v>14380</v>
      </c>
      <c r="F173" s="72"/>
      <c r="G173" s="1430"/>
      <c r="H173" s="1430"/>
      <c r="I173" s="1430"/>
      <c r="J173" s="1435"/>
      <c r="K173" s="1437"/>
      <c r="L173" s="1437"/>
      <c r="M173" s="1438"/>
      <c r="N173" s="1438"/>
      <c r="O173" s="1438"/>
      <c r="P173" s="1438"/>
      <c r="Q173" s="1438"/>
      <c r="R173" s="1438"/>
      <c r="S173" s="1438"/>
      <c r="T173" s="1438"/>
      <c r="U173" s="1438"/>
      <c r="V173" s="1438"/>
      <c r="W173" s="1438"/>
      <c r="X173" s="1438"/>
      <c r="Y173" s="1438"/>
      <c r="Z173" s="1438"/>
      <c r="AA173" s="1438"/>
    </row>
    <row r="174" hidden="1">
      <c r="A174" s="1427">
        <v>30.0</v>
      </c>
      <c r="B174" s="1428"/>
      <c r="C174" s="1428"/>
      <c r="D174" s="1428"/>
      <c r="E174" s="1439" t="s">
        <v>14381</v>
      </c>
      <c r="F174" s="72"/>
      <c r="G174" s="1440" t="s">
        <v>14382</v>
      </c>
      <c r="H174" s="64"/>
      <c r="I174" s="72"/>
      <c r="J174" s="1434" t="s">
        <v>14383</v>
      </c>
      <c r="K174" s="1426"/>
      <c r="L174" s="1426"/>
      <c r="M174" s="1078"/>
      <c r="N174" s="1078"/>
      <c r="O174" s="1078"/>
      <c r="P174" s="1078"/>
      <c r="Q174" s="1078"/>
      <c r="R174" s="1078"/>
      <c r="S174" s="1078"/>
      <c r="T174" s="1078"/>
      <c r="U174" s="1078"/>
      <c r="V174" s="1078"/>
      <c r="W174" s="1078"/>
      <c r="X174" s="1078"/>
      <c r="Y174" s="1078"/>
      <c r="Z174" s="1078"/>
      <c r="AA174" s="1078"/>
    </row>
    <row r="175" hidden="1">
      <c r="A175" s="1427">
        <v>31.0</v>
      </c>
      <c r="B175" s="1441"/>
      <c r="C175" s="1441"/>
      <c r="D175" s="1441"/>
      <c r="E175" s="1436" t="s">
        <v>14384</v>
      </c>
      <c r="F175" s="72"/>
      <c r="G175" s="1441"/>
      <c r="H175" s="1441"/>
      <c r="I175" s="1441"/>
      <c r="J175" s="1434" t="s">
        <v>14385</v>
      </c>
      <c r="K175" s="1442"/>
      <c r="L175" s="1442"/>
    </row>
    <row r="176" hidden="1">
      <c r="A176" s="1443" t="s">
        <v>14386</v>
      </c>
      <c r="B176" s="36"/>
      <c r="C176" s="36"/>
      <c r="D176" s="36"/>
      <c r="E176" s="36"/>
      <c r="F176" s="36"/>
      <c r="G176" s="36"/>
      <c r="H176" s="36"/>
      <c r="I176" s="36"/>
      <c r="J176" s="13"/>
      <c r="K176" s="1442"/>
      <c r="L176" s="1442"/>
    </row>
    <row r="177" hidden="1">
      <c r="A177" s="1444">
        <v>1.0</v>
      </c>
      <c r="B177" s="1445"/>
      <c r="C177" s="342" t="s">
        <v>14387</v>
      </c>
      <c r="D177" s="36"/>
      <c r="E177" s="36"/>
      <c r="F177" s="36"/>
      <c r="G177" s="36"/>
      <c r="H177" s="36"/>
      <c r="I177" s="36"/>
      <c r="J177" s="13"/>
      <c r="K177" s="1442"/>
      <c r="L177" s="1442"/>
    </row>
    <row r="178" hidden="1">
      <c r="A178" s="1444">
        <v>2.0</v>
      </c>
      <c r="B178" s="1445"/>
      <c r="C178" s="1445"/>
      <c r="D178" s="1445"/>
      <c r="E178" s="1445"/>
      <c r="F178" s="1445"/>
      <c r="G178" s="1445"/>
      <c r="H178" s="1445"/>
      <c r="I178" s="1445"/>
      <c r="J178" s="1445"/>
      <c r="K178" s="1442"/>
      <c r="L178" s="1442"/>
    </row>
    <row r="179" hidden="1">
      <c r="A179" s="1444">
        <v>3.0</v>
      </c>
      <c r="B179" s="1445"/>
      <c r="C179" s="1446" t="s">
        <v>14388</v>
      </c>
      <c r="D179" s="1447" t="s">
        <v>14389</v>
      </c>
      <c r="E179" s="36"/>
      <c r="F179" s="36"/>
      <c r="G179" s="36"/>
      <c r="H179" s="36"/>
      <c r="I179" s="13"/>
      <c r="J179" s="1445"/>
      <c r="K179" s="1442"/>
      <c r="L179" s="1442"/>
    </row>
    <row r="180" hidden="1">
      <c r="A180" s="1444">
        <v>4.0</v>
      </c>
      <c r="B180" s="1445"/>
      <c r="C180" s="1445"/>
      <c r="D180" s="1445"/>
      <c r="E180" s="1445"/>
      <c r="F180" s="1445"/>
      <c r="G180" s="1445"/>
      <c r="H180" s="1445"/>
      <c r="I180" s="1445"/>
      <c r="J180" s="1445"/>
      <c r="K180" s="1442"/>
      <c r="L180" s="1442"/>
    </row>
    <row r="181" hidden="1">
      <c r="A181" s="1444">
        <v>5.0</v>
      </c>
      <c r="B181" s="1445"/>
      <c r="C181" s="1448" t="s">
        <v>14221</v>
      </c>
      <c r="D181" s="36"/>
      <c r="E181" s="36"/>
      <c r="F181" s="36"/>
      <c r="G181" s="36"/>
      <c r="H181" s="36"/>
      <c r="I181" s="13"/>
      <c r="J181" s="1445"/>
      <c r="K181" s="1442"/>
      <c r="L181" s="1442"/>
    </row>
    <row r="182" hidden="1">
      <c r="A182" s="1444">
        <v>6.0</v>
      </c>
      <c r="B182" s="1445"/>
      <c r="C182" s="1445"/>
      <c r="D182" s="1445"/>
      <c r="E182" s="1445"/>
      <c r="F182" s="1431" t="s">
        <v>14390</v>
      </c>
      <c r="G182" s="1445"/>
      <c r="H182" s="1445"/>
      <c r="I182" s="1445"/>
      <c r="J182" s="1445"/>
      <c r="K182" s="1442"/>
      <c r="L182" s="1442"/>
    </row>
    <row r="183" hidden="1">
      <c r="A183" s="1444">
        <v>7.0</v>
      </c>
      <c r="B183" s="1445"/>
      <c r="C183" s="1445"/>
      <c r="D183" s="1431" t="s">
        <v>14391</v>
      </c>
      <c r="E183" s="1448" t="s">
        <v>14392</v>
      </c>
      <c r="F183" s="13"/>
      <c r="G183" s="1431" t="s">
        <v>14393</v>
      </c>
      <c r="H183" s="1445"/>
      <c r="I183" s="1445"/>
      <c r="J183" s="1445"/>
      <c r="K183" s="1442"/>
      <c r="L183" s="1442"/>
    </row>
    <row r="184" hidden="1">
      <c r="A184" s="1444">
        <v>8.0</v>
      </c>
      <c r="B184" s="1445"/>
      <c r="C184" s="1445"/>
      <c r="D184" s="1445"/>
      <c r="E184" s="1445"/>
      <c r="F184" s="1445"/>
      <c r="G184" s="1445"/>
      <c r="H184" s="1431" t="s">
        <v>14394</v>
      </c>
      <c r="I184" s="1445"/>
      <c r="J184" s="1445"/>
      <c r="K184" s="1442"/>
      <c r="L184" s="1442"/>
    </row>
    <row r="185" hidden="1">
      <c r="A185" s="1449">
        <v>9.0</v>
      </c>
      <c r="B185" s="1450"/>
      <c r="C185" s="1451" t="s">
        <v>14395</v>
      </c>
      <c r="D185" s="36"/>
      <c r="E185" s="36"/>
      <c r="F185" s="36"/>
      <c r="G185" s="36"/>
      <c r="H185" s="36"/>
      <c r="I185" s="36"/>
      <c r="J185" s="13"/>
      <c r="K185" s="1442"/>
      <c r="L185" s="1442"/>
    </row>
    <row r="186" hidden="1">
      <c r="A186" s="173"/>
      <c r="B186" s="173"/>
      <c r="C186" s="1452" t="s">
        <v>14396</v>
      </c>
      <c r="D186" s="1452" t="s">
        <v>14397</v>
      </c>
      <c r="E186" s="1452" t="s">
        <v>14398</v>
      </c>
      <c r="F186" s="1452" t="s">
        <v>14399</v>
      </c>
      <c r="G186" s="1452" t="s">
        <v>14400</v>
      </c>
      <c r="H186" s="1452" t="s">
        <v>14401</v>
      </c>
      <c r="I186" s="1452" t="s">
        <v>14402</v>
      </c>
      <c r="J186" s="1445"/>
      <c r="K186" s="1442"/>
      <c r="L186" s="1442"/>
    </row>
    <row r="187" hidden="1">
      <c r="A187" s="1444">
        <v>10.0</v>
      </c>
      <c r="B187" s="1445"/>
      <c r="C187" s="1445"/>
      <c r="D187" s="1445"/>
      <c r="E187" s="1445"/>
      <c r="F187" s="1445"/>
      <c r="G187" s="1445"/>
      <c r="H187" s="1445"/>
      <c r="I187" s="1445"/>
      <c r="J187" s="1445"/>
      <c r="K187" s="1442"/>
      <c r="L187" s="1442"/>
    </row>
    <row r="188" hidden="1">
      <c r="A188" s="1444">
        <v>11.0</v>
      </c>
      <c r="B188" s="1445"/>
      <c r="C188" s="1445"/>
      <c r="D188" s="1445"/>
      <c r="E188" s="1445"/>
      <c r="F188" s="1445"/>
      <c r="G188" s="1445"/>
      <c r="H188" s="1445"/>
      <c r="I188" s="1445"/>
      <c r="J188" s="1445"/>
      <c r="K188" s="1442"/>
      <c r="L188" s="1442"/>
    </row>
    <row r="189" hidden="1">
      <c r="A189" s="1444">
        <v>12.0</v>
      </c>
      <c r="B189" s="1445"/>
      <c r="C189" s="1445"/>
      <c r="D189" s="1445"/>
      <c r="E189" s="1445"/>
      <c r="F189" s="1445"/>
      <c r="G189" s="1445"/>
      <c r="H189" s="1445"/>
      <c r="I189" s="1445"/>
      <c r="J189" s="1445"/>
      <c r="K189" s="1442"/>
      <c r="L189" s="1442"/>
    </row>
    <row r="190" hidden="1">
      <c r="A190" s="1444">
        <v>13.0</v>
      </c>
      <c r="B190" s="1445"/>
      <c r="C190" s="1445"/>
      <c r="D190" s="1445"/>
      <c r="E190" s="1445"/>
      <c r="F190" s="1445"/>
      <c r="G190" s="1445"/>
      <c r="H190" s="1445"/>
      <c r="I190" s="1445"/>
      <c r="J190" s="1445"/>
      <c r="K190" s="1442"/>
      <c r="L190" s="1442"/>
    </row>
    <row r="191" hidden="1">
      <c r="A191" s="1444">
        <v>14.0</v>
      </c>
      <c r="B191" s="1445"/>
      <c r="C191" s="1445"/>
      <c r="D191" s="1445"/>
      <c r="E191" s="1445"/>
      <c r="F191" s="1445"/>
      <c r="G191" s="1445"/>
      <c r="H191" s="1445"/>
      <c r="I191" s="1445"/>
      <c r="J191" s="1445"/>
      <c r="K191" s="1442"/>
      <c r="L191" s="1442"/>
    </row>
    <row r="192" hidden="1">
      <c r="A192" s="1444">
        <v>15.0</v>
      </c>
      <c r="B192" s="1445"/>
      <c r="C192" s="1445"/>
      <c r="D192" s="1445"/>
      <c r="E192" s="1445"/>
      <c r="F192" s="1445"/>
      <c r="G192" s="1445"/>
      <c r="H192" s="1445"/>
      <c r="I192" s="1445"/>
      <c r="J192" s="1445"/>
      <c r="K192" s="1442"/>
      <c r="L192" s="1442"/>
    </row>
    <row r="193" hidden="1">
      <c r="A193" s="1444">
        <v>16.0</v>
      </c>
      <c r="B193" s="1445"/>
      <c r="C193" s="1445"/>
      <c r="D193" s="1445"/>
      <c r="E193" s="1445"/>
      <c r="F193" s="1445"/>
      <c r="G193" s="1445"/>
      <c r="H193" s="1445"/>
      <c r="I193" s="1445"/>
      <c r="J193" s="1445"/>
      <c r="K193" s="1442"/>
      <c r="L193" s="1442"/>
    </row>
    <row r="194" hidden="1">
      <c r="A194" s="1444">
        <v>17.0</v>
      </c>
      <c r="B194" s="1445"/>
      <c r="C194" s="1445"/>
      <c r="D194" s="1445"/>
      <c r="E194" s="1445"/>
      <c r="F194" s="1445"/>
      <c r="G194" s="1445"/>
      <c r="H194" s="1445"/>
      <c r="I194" s="1445"/>
      <c r="J194" s="1445"/>
      <c r="K194" s="1442"/>
      <c r="L194" s="1442"/>
    </row>
    <row r="195" hidden="1">
      <c r="A195" s="1444">
        <v>18.0</v>
      </c>
      <c r="B195" s="1445"/>
      <c r="C195" s="1445"/>
      <c r="D195" s="1445"/>
      <c r="E195" s="1445"/>
      <c r="F195" s="1445"/>
      <c r="G195" s="1445"/>
      <c r="H195" s="1445"/>
      <c r="I195" s="1445"/>
      <c r="J195" s="1445"/>
      <c r="K195" s="1442"/>
      <c r="L195" s="1442"/>
    </row>
    <row r="196" hidden="1">
      <c r="A196" s="1444">
        <v>19.0</v>
      </c>
      <c r="B196" s="1445"/>
      <c r="C196" s="1445"/>
      <c r="D196" s="1453" t="s">
        <v>14403</v>
      </c>
      <c r="E196" s="1445"/>
      <c r="F196" s="1445"/>
      <c r="G196" s="1445"/>
      <c r="H196" s="1445"/>
      <c r="I196" s="1445"/>
      <c r="J196" s="1445"/>
      <c r="K196" s="1442"/>
      <c r="L196" s="1442"/>
    </row>
    <row r="197" hidden="1">
      <c r="A197" s="1444">
        <v>20.0</v>
      </c>
      <c r="B197" s="1445"/>
      <c r="C197" s="1454"/>
      <c r="D197" s="1455"/>
      <c r="E197" s="1445"/>
      <c r="F197" s="1445"/>
      <c r="G197" s="1445"/>
      <c r="H197" s="1445"/>
      <c r="I197" s="1456" t="s">
        <v>14404</v>
      </c>
      <c r="J197" s="1445"/>
      <c r="K197" s="1442"/>
      <c r="L197" s="1442"/>
    </row>
    <row r="198" hidden="1">
      <c r="A198" s="1444">
        <v>21.0</v>
      </c>
      <c r="B198" s="1445"/>
      <c r="C198" s="1445"/>
      <c r="D198" s="1457" t="s">
        <v>14403</v>
      </c>
      <c r="E198" s="1445"/>
      <c r="F198" s="1445"/>
      <c r="G198" s="1445"/>
      <c r="H198" s="1445"/>
      <c r="I198" s="1445"/>
      <c r="J198" s="1445"/>
      <c r="K198" s="1442"/>
      <c r="L198" s="1442"/>
    </row>
    <row r="199" hidden="1">
      <c r="A199" s="1444">
        <v>22.0</v>
      </c>
      <c r="B199" s="1445"/>
      <c r="C199" s="1445"/>
      <c r="D199" s="1295"/>
      <c r="E199" s="1445"/>
      <c r="F199" s="1445"/>
      <c r="G199" s="1445"/>
      <c r="H199" s="1445"/>
      <c r="I199" s="1445"/>
      <c r="J199" s="1445"/>
      <c r="K199" s="1442"/>
      <c r="L199" s="1442"/>
    </row>
    <row r="200" hidden="1">
      <c r="A200" s="1444">
        <v>23.0</v>
      </c>
      <c r="B200" s="1445"/>
      <c r="C200" s="1445"/>
      <c r="D200" s="1295"/>
      <c r="E200" s="1445"/>
      <c r="F200" s="1458" t="s">
        <v>14405</v>
      </c>
      <c r="G200" s="36"/>
      <c r="H200" s="36"/>
      <c r="I200" s="13"/>
      <c r="J200" s="1445"/>
      <c r="K200" s="1442"/>
      <c r="L200" s="1442"/>
    </row>
    <row r="201" hidden="1">
      <c r="A201" s="1444">
        <v>24.0</v>
      </c>
      <c r="B201" s="1445"/>
      <c r="C201" s="1459" t="s">
        <v>14406</v>
      </c>
      <c r="D201" s="1460"/>
      <c r="E201" s="1445"/>
      <c r="F201" s="1445"/>
      <c r="G201" s="1445"/>
      <c r="H201" s="1445"/>
      <c r="I201" s="1445"/>
      <c r="J201" s="1445"/>
      <c r="K201" s="1442"/>
      <c r="L201" s="1442"/>
    </row>
    <row r="202" hidden="1">
      <c r="A202" s="1444">
        <v>25.0</v>
      </c>
      <c r="B202" s="1445"/>
      <c r="C202" s="1445"/>
      <c r="D202" s="1445"/>
      <c r="E202" s="1445"/>
      <c r="F202" s="1445"/>
      <c r="G202" s="1445"/>
      <c r="H202" s="1445"/>
      <c r="I202" s="1445"/>
      <c r="J202" s="1445"/>
      <c r="K202" s="1442"/>
      <c r="L202" s="1442"/>
    </row>
    <row r="203" hidden="1">
      <c r="A203" s="1444">
        <v>26.0</v>
      </c>
      <c r="B203" s="1445"/>
      <c r="C203" s="1445"/>
      <c r="D203" s="1445"/>
      <c r="E203" s="1445"/>
      <c r="F203" s="1445"/>
      <c r="G203" s="1445"/>
      <c r="H203" s="1445"/>
      <c r="I203" s="1445"/>
      <c r="J203" s="1445"/>
      <c r="K203" s="1442"/>
      <c r="L203" s="1442"/>
    </row>
    <row r="204" hidden="1">
      <c r="A204" s="1444">
        <v>27.0</v>
      </c>
      <c r="B204" s="1445"/>
      <c r="C204" s="1445"/>
      <c r="D204" s="1445"/>
      <c r="E204" s="1445"/>
      <c r="F204" s="1456" t="s">
        <v>14407</v>
      </c>
      <c r="G204" s="1445"/>
      <c r="H204" s="1445"/>
      <c r="I204" s="1445"/>
      <c r="J204" s="1445"/>
      <c r="K204" s="1442"/>
      <c r="L204" s="1442"/>
    </row>
    <row r="205" hidden="1">
      <c r="A205" s="1444">
        <v>28.0</v>
      </c>
      <c r="B205" s="1445"/>
      <c r="C205" s="1445"/>
      <c r="D205" s="1445"/>
      <c r="E205" s="1445"/>
      <c r="F205" s="1445"/>
      <c r="G205" s="1445"/>
      <c r="H205" s="1445"/>
      <c r="I205" s="1445"/>
      <c r="J205" s="1445"/>
      <c r="K205" s="1442"/>
      <c r="L205" s="1442"/>
    </row>
    <row r="206" hidden="1">
      <c r="A206" s="1444">
        <v>29.0</v>
      </c>
      <c r="B206" s="1445"/>
      <c r="C206" s="1445"/>
      <c r="D206" s="1445"/>
      <c r="E206" s="1445"/>
      <c r="F206" s="1445"/>
      <c r="G206" s="1445"/>
      <c r="H206" s="1445"/>
      <c r="I206" s="1445"/>
      <c r="J206" s="1445"/>
      <c r="K206" s="1442"/>
      <c r="L206" s="1442"/>
    </row>
    <row r="207" hidden="1">
      <c r="A207" s="1444">
        <v>30.0</v>
      </c>
      <c r="B207" s="1445"/>
      <c r="C207" s="1461" t="s">
        <v>14408</v>
      </c>
      <c r="D207" s="1445"/>
      <c r="E207" s="1445"/>
      <c r="F207" s="1445"/>
      <c r="G207" s="1445"/>
      <c r="H207" s="1445"/>
      <c r="I207" s="1445"/>
      <c r="J207" s="1445"/>
      <c r="K207" s="1442"/>
      <c r="L207" s="1442"/>
    </row>
    <row r="208" hidden="1">
      <c r="A208" s="1443" t="s">
        <v>14409</v>
      </c>
      <c r="B208" s="36"/>
      <c r="C208" s="36"/>
      <c r="D208" s="36"/>
      <c r="E208" s="36"/>
      <c r="F208" s="36"/>
      <c r="G208" s="36"/>
      <c r="H208" s="36"/>
      <c r="I208" s="36"/>
      <c r="J208" s="13"/>
      <c r="K208" s="1442"/>
      <c r="L208" s="1442"/>
    </row>
    <row r="209" hidden="1">
      <c r="A209" s="1444">
        <v>1.0</v>
      </c>
      <c r="B209" s="1445"/>
      <c r="C209" s="1445"/>
      <c r="D209" s="1445"/>
      <c r="E209" s="1445"/>
      <c r="F209" s="1445"/>
      <c r="G209" s="1445"/>
      <c r="H209" s="1445"/>
      <c r="I209" s="1445"/>
      <c r="J209" s="1445"/>
      <c r="K209" s="1442"/>
      <c r="L209" s="1442"/>
    </row>
    <row r="210" ht="16.5" hidden="1" customHeight="1">
      <c r="A210" s="1444">
        <v>2.0</v>
      </c>
      <c r="B210" s="1445"/>
      <c r="C210" s="1445"/>
      <c r="D210" s="1445"/>
      <c r="E210" s="1445"/>
      <c r="F210" s="1445"/>
      <c r="G210" s="1445"/>
      <c r="H210" s="1445"/>
      <c r="I210" s="1445"/>
      <c r="J210" s="1445"/>
      <c r="K210" s="1442"/>
      <c r="L210" s="1442"/>
    </row>
    <row r="211" hidden="1">
      <c r="A211" s="1444">
        <v>3.0</v>
      </c>
      <c r="B211" s="1445"/>
      <c r="C211" s="1445"/>
      <c r="D211" s="1445"/>
      <c r="E211" s="1445"/>
      <c r="F211" s="1445"/>
      <c r="G211" s="1445"/>
      <c r="H211" s="1445"/>
      <c r="I211" s="1445"/>
      <c r="J211" s="1445"/>
      <c r="K211" s="1442"/>
      <c r="L211" s="1442"/>
    </row>
    <row r="212" hidden="1">
      <c r="A212" s="1444">
        <v>4.0</v>
      </c>
      <c r="B212" s="1445"/>
      <c r="C212" s="1445"/>
      <c r="D212" s="1445"/>
      <c r="E212" s="1445"/>
      <c r="F212" s="1445"/>
      <c r="G212" s="1445"/>
      <c r="H212" s="1445"/>
      <c r="I212" s="1445"/>
      <c r="J212" s="1445"/>
      <c r="K212" s="1442"/>
      <c r="L212" s="1442"/>
    </row>
    <row r="213" hidden="1">
      <c r="A213" s="1444">
        <v>5.0</v>
      </c>
      <c r="B213" s="1445"/>
      <c r="C213" s="609" t="s">
        <v>14410</v>
      </c>
      <c r="D213" s="36"/>
      <c r="E213" s="36"/>
      <c r="F213" s="36"/>
      <c r="G213" s="36"/>
      <c r="H213" s="36"/>
      <c r="I213" s="13"/>
      <c r="J213" s="1445"/>
      <c r="K213" s="1442"/>
      <c r="L213" s="1442"/>
    </row>
    <row r="214" hidden="1">
      <c r="A214" s="1444">
        <v>6.0</v>
      </c>
      <c r="B214" s="1445"/>
      <c r="C214" s="1445"/>
      <c r="D214" s="1445"/>
      <c r="E214" s="1445"/>
      <c r="F214" s="1445"/>
      <c r="G214" s="1445"/>
      <c r="H214" s="1445"/>
      <c r="I214" s="1445"/>
      <c r="J214" s="1445"/>
      <c r="K214" s="1442"/>
      <c r="L214" s="1442"/>
    </row>
    <row r="215" hidden="1">
      <c r="A215" s="1444">
        <v>7.0</v>
      </c>
      <c r="B215" s="1445"/>
      <c r="C215" s="1445"/>
      <c r="D215" s="1445"/>
      <c r="E215" s="1445"/>
      <c r="F215" s="1445"/>
      <c r="G215" s="1445"/>
      <c r="H215" s="1445"/>
      <c r="I215" s="1445"/>
      <c r="J215" s="1445"/>
      <c r="K215" s="1442"/>
      <c r="L215" s="1442"/>
    </row>
    <row r="216" hidden="1">
      <c r="A216" s="1444">
        <v>8.0</v>
      </c>
      <c r="B216" s="1445"/>
      <c r="C216" s="1445"/>
      <c r="D216" s="1445"/>
      <c r="E216" s="1462" t="s">
        <v>2791</v>
      </c>
      <c r="F216" s="1445"/>
      <c r="G216" s="1445"/>
      <c r="H216" s="1445"/>
      <c r="I216" s="1445"/>
      <c r="J216" s="1445"/>
      <c r="K216" s="1442"/>
      <c r="L216" s="1442"/>
    </row>
    <row r="217" hidden="1">
      <c r="A217" s="1444">
        <v>9.0</v>
      </c>
      <c r="B217" s="1445"/>
      <c r="C217" s="1445"/>
      <c r="D217" s="1445"/>
      <c r="E217" s="1445"/>
      <c r="F217" s="1445"/>
      <c r="G217" s="1463"/>
      <c r="H217" s="1445"/>
      <c r="I217" s="1445"/>
      <c r="J217" s="1445"/>
      <c r="K217" s="1442"/>
      <c r="L217" s="1442"/>
    </row>
    <row r="218" hidden="1">
      <c r="A218" s="1444">
        <v>10.0</v>
      </c>
      <c r="B218" s="1445"/>
      <c r="C218" s="1445"/>
      <c r="D218" s="1445"/>
      <c r="E218" s="1445"/>
      <c r="F218" s="1445"/>
      <c r="G218" s="1445"/>
      <c r="H218" s="1445"/>
      <c r="I218" s="1445"/>
      <c r="J218" s="1445"/>
      <c r="K218" s="1442"/>
      <c r="L218" s="1442"/>
    </row>
    <row r="219" hidden="1">
      <c r="A219" s="1444">
        <v>11.0</v>
      </c>
      <c r="B219" s="1445"/>
      <c r="C219" s="1445"/>
      <c r="D219" s="1445"/>
      <c r="E219" s="1445"/>
      <c r="F219" s="1445"/>
      <c r="G219" s="1464" t="s">
        <v>14411</v>
      </c>
      <c r="H219" s="1445"/>
      <c r="I219" s="1445"/>
      <c r="J219" s="1445"/>
      <c r="K219" s="1442"/>
      <c r="L219" s="1442"/>
    </row>
    <row r="220" hidden="1">
      <c r="A220" s="1444">
        <v>12.0</v>
      </c>
      <c r="B220" s="1445"/>
      <c r="C220" s="1445"/>
      <c r="D220" s="1445"/>
      <c r="E220" s="1445"/>
      <c r="F220" s="1445"/>
      <c r="G220" s="1445"/>
      <c r="H220" s="1465" t="s">
        <v>14412</v>
      </c>
      <c r="I220" s="1445"/>
      <c r="J220" s="1445"/>
      <c r="K220" s="1442"/>
      <c r="L220" s="1442"/>
    </row>
    <row r="221" hidden="1">
      <c r="A221" s="1444">
        <v>13.0</v>
      </c>
      <c r="B221" s="1445"/>
      <c r="C221" s="1445"/>
      <c r="D221" s="1445"/>
      <c r="E221" s="1445"/>
      <c r="F221" s="1445"/>
      <c r="G221" s="1445"/>
      <c r="H221" s="1445"/>
      <c r="I221" s="1445"/>
      <c r="J221" s="1445"/>
      <c r="K221" s="1442"/>
      <c r="L221" s="1442"/>
    </row>
    <row r="222" hidden="1">
      <c r="A222" s="1444">
        <v>14.0</v>
      </c>
      <c r="B222" s="1445"/>
      <c r="C222" s="1445"/>
      <c r="D222" s="1445"/>
      <c r="E222" s="1459" t="s">
        <v>14413</v>
      </c>
      <c r="F222" s="1445"/>
      <c r="G222" s="1445"/>
      <c r="H222" s="1445"/>
      <c r="I222" s="1466" t="s">
        <v>14414</v>
      </c>
      <c r="J222" s="13"/>
      <c r="K222" s="1442"/>
      <c r="L222" s="1442"/>
    </row>
    <row r="223" hidden="1">
      <c r="A223" s="1444">
        <v>15.0</v>
      </c>
      <c r="B223" s="1445"/>
      <c r="C223" s="1445"/>
      <c r="D223" s="1453" t="s">
        <v>14415</v>
      </c>
      <c r="E223" s="1445"/>
      <c r="F223" s="1445"/>
      <c r="G223" s="1463" t="s">
        <v>14416</v>
      </c>
      <c r="H223" s="1465" t="s">
        <v>14417</v>
      </c>
      <c r="I223" s="1445"/>
      <c r="J223" s="1445"/>
      <c r="K223" s="1442"/>
      <c r="L223" s="1442"/>
    </row>
    <row r="224" hidden="1">
      <c r="A224" s="1444">
        <v>16.0</v>
      </c>
      <c r="B224" s="1445"/>
      <c r="C224" s="1445"/>
      <c r="D224" s="1445"/>
      <c r="E224" s="1445"/>
      <c r="F224" s="1445"/>
      <c r="G224" s="1445"/>
      <c r="H224" s="1445"/>
      <c r="I224" s="1445"/>
      <c r="J224" s="1445"/>
      <c r="K224" s="1442"/>
      <c r="L224" s="1442"/>
    </row>
    <row r="225" hidden="1">
      <c r="A225" s="1444">
        <v>17.0</v>
      </c>
      <c r="B225" s="1445"/>
      <c r="C225" s="1467" t="s">
        <v>14418</v>
      </c>
      <c r="J225" s="139"/>
      <c r="K225" s="1442"/>
      <c r="L225" s="1442"/>
    </row>
    <row r="226" hidden="1">
      <c r="A226" s="1444">
        <v>18.0</v>
      </c>
      <c r="B226" s="1445"/>
      <c r="J226" s="139"/>
      <c r="K226" s="1442"/>
      <c r="L226" s="1442"/>
    </row>
    <row r="227" hidden="1">
      <c r="A227" s="1444">
        <v>19.0</v>
      </c>
      <c r="B227" s="1445"/>
      <c r="J227" s="139"/>
      <c r="K227" s="1442"/>
      <c r="L227" s="1442"/>
    </row>
    <row r="228" hidden="1">
      <c r="A228" s="1444">
        <v>20.0</v>
      </c>
      <c r="B228" s="1445"/>
      <c r="J228" s="139"/>
      <c r="K228" s="1442"/>
      <c r="L228" s="1442"/>
    </row>
    <row r="229" hidden="1">
      <c r="A229" s="1444">
        <v>21.0</v>
      </c>
      <c r="B229" s="1445"/>
      <c r="J229" s="139"/>
      <c r="K229" s="1442"/>
      <c r="L229" s="1442"/>
    </row>
    <row r="230" hidden="1">
      <c r="A230" s="1444">
        <v>22.0</v>
      </c>
      <c r="B230" s="1445"/>
      <c r="J230" s="139"/>
      <c r="K230" s="1442"/>
      <c r="L230" s="1442"/>
    </row>
    <row r="231" hidden="1">
      <c r="A231" s="1444">
        <v>23.0</v>
      </c>
      <c r="B231" s="1445"/>
      <c r="C231" s="64"/>
      <c r="D231" s="64"/>
      <c r="E231" s="64"/>
      <c r="F231" s="64"/>
      <c r="G231" s="64"/>
      <c r="H231" s="64"/>
      <c r="I231" s="64"/>
      <c r="J231" s="72"/>
      <c r="K231" s="1442"/>
      <c r="L231" s="1442"/>
    </row>
    <row r="232" hidden="1">
      <c r="A232" s="1444">
        <v>24.0</v>
      </c>
      <c r="B232" s="1445"/>
      <c r="C232" s="1468" t="s">
        <v>14419</v>
      </c>
      <c r="J232" s="139"/>
      <c r="K232" s="1442"/>
      <c r="L232" s="1442"/>
    </row>
    <row r="233" hidden="1">
      <c r="A233" s="1444">
        <v>25.0</v>
      </c>
      <c r="B233" s="1445"/>
      <c r="J233" s="139"/>
      <c r="K233" s="1442"/>
      <c r="L233" s="1442"/>
    </row>
    <row r="234" hidden="1">
      <c r="A234" s="1444">
        <v>26.0</v>
      </c>
      <c r="B234" s="1445"/>
      <c r="C234" s="1468"/>
      <c r="H234" s="1464" t="s">
        <v>14411</v>
      </c>
      <c r="I234" s="1468"/>
      <c r="J234" s="139"/>
      <c r="K234" s="1442"/>
      <c r="L234" s="1442"/>
    </row>
    <row r="235" hidden="1">
      <c r="A235" s="1444">
        <v>27.0</v>
      </c>
      <c r="B235" s="1445"/>
      <c r="H235" s="1468"/>
      <c r="J235" s="139"/>
      <c r="K235" s="1442"/>
      <c r="L235" s="1442"/>
    </row>
    <row r="236" hidden="1">
      <c r="A236" s="1444">
        <v>28.0</v>
      </c>
      <c r="B236" s="1445"/>
      <c r="J236" s="139"/>
      <c r="K236" s="1442"/>
      <c r="L236" s="1442"/>
    </row>
    <row r="237" hidden="1">
      <c r="A237" s="1444">
        <v>29.0</v>
      </c>
      <c r="B237" s="1445"/>
      <c r="C237" s="1469" t="s">
        <v>14420</v>
      </c>
      <c r="D237" s="64"/>
      <c r="E237" s="64"/>
      <c r="F237" s="64"/>
      <c r="G237" s="64"/>
      <c r="H237" s="64"/>
      <c r="I237" s="64"/>
      <c r="J237" s="72"/>
      <c r="K237" s="1442"/>
      <c r="L237" s="1442"/>
    </row>
    <row r="238" hidden="1">
      <c r="A238" s="1444">
        <v>30.0</v>
      </c>
      <c r="B238" s="1445"/>
      <c r="C238" s="1470" t="s">
        <v>14421</v>
      </c>
      <c r="I238" s="139"/>
      <c r="J238" s="1445"/>
      <c r="K238" s="1442"/>
      <c r="L238" s="1442"/>
    </row>
    <row r="239" hidden="1">
      <c r="A239" s="1444">
        <v>31.0</v>
      </c>
      <c r="B239" s="1445"/>
      <c r="C239" s="64"/>
      <c r="D239" s="64"/>
      <c r="E239" s="64"/>
      <c r="F239" s="64"/>
      <c r="G239" s="64"/>
      <c r="H239" s="64"/>
      <c r="I239" s="72"/>
      <c r="J239" s="1445"/>
      <c r="K239" s="1442"/>
      <c r="L239" s="1442"/>
    </row>
    <row r="240" hidden="1">
      <c r="A240" s="1443" t="s">
        <v>14422</v>
      </c>
      <c r="B240" s="36"/>
      <c r="C240" s="36"/>
      <c r="D240" s="36"/>
      <c r="E240" s="36"/>
      <c r="F240" s="36"/>
      <c r="G240" s="36"/>
      <c r="H240" s="36"/>
      <c r="I240" s="36"/>
      <c r="J240" s="13"/>
      <c r="K240" s="1442"/>
      <c r="L240" s="1442"/>
    </row>
    <row r="241" hidden="1">
      <c r="A241" s="1444">
        <v>1.0</v>
      </c>
      <c r="B241" s="1445"/>
      <c r="C241" s="1470" t="s">
        <v>14423</v>
      </c>
      <c r="I241" s="139"/>
      <c r="J241" s="1445"/>
      <c r="K241" s="1442"/>
      <c r="L241" s="1442"/>
    </row>
    <row r="242" hidden="1">
      <c r="A242" s="1444">
        <v>2.0</v>
      </c>
      <c r="B242" s="1445"/>
      <c r="I242" s="139"/>
      <c r="J242" s="1445"/>
      <c r="K242" s="1442"/>
      <c r="L242" s="1442"/>
    </row>
    <row r="243" hidden="1">
      <c r="A243" s="1444">
        <v>3.0</v>
      </c>
      <c r="B243" s="1445"/>
      <c r="I243" s="139"/>
      <c r="J243" s="1445"/>
      <c r="K243" s="1442"/>
      <c r="L243" s="1442"/>
    </row>
    <row r="244" hidden="1">
      <c r="A244" s="1444">
        <v>4.0</v>
      </c>
      <c r="B244" s="1445"/>
      <c r="I244" s="139"/>
      <c r="J244" s="1445"/>
      <c r="K244" s="1442"/>
      <c r="L244" s="1442"/>
    </row>
    <row r="245" hidden="1">
      <c r="A245" s="1444">
        <v>5.0</v>
      </c>
      <c r="B245" s="1445"/>
      <c r="I245" s="139"/>
      <c r="J245" s="1445"/>
      <c r="K245" s="1442"/>
      <c r="L245" s="1442"/>
    </row>
    <row r="246" hidden="1">
      <c r="A246" s="1444">
        <v>6.0</v>
      </c>
      <c r="B246" s="1445"/>
      <c r="I246" s="139"/>
      <c r="J246" s="1445"/>
      <c r="K246" s="1442"/>
      <c r="L246" s="1442"/>
    </row>
    <row r="247" hidden="1">
      <c r="A247" s="1444">
        <v>7.0</v>
      </c>
      <c r="B247" s="1445"/>
      <c r="C247" s="64"/>
      <c r="D247" s="64"/>
      <c r="E247" s="64"/>
      <c r="F247" s="64"/>
      <c r="G247" s="64"/>
      <c r="H247" s="64"/>
      <c r="I247" s="72"/>
      <c r="J247" s="1445"/>
      <c r="K247" s="1442"/>
      <c r="L247" s="1442"/>
    </row>
    <row r="248" hidden="1">
      <c r="A248" s="1444">
        <v>8.0</v>
      </c>
      <c r="B248" s="1445"/>
      <c r="C248" s="1445"/>
      <c r="D248" s="1471" t="s">
        <v>14424</v>
      </c>
      <c r="E248" s="8"/>
      <c r="F248" s="4"/>
      <c r="G248" s="1445"/>
      <c r="H248" s="1445"/>
      <c r="I248" s="1445"/>
      <c r="J248" s="1445"/>
      <c r="K248" s="1442"/>
      <c r="L248" s="1442"/>
    </row>
    <row r="249" hidden="1">
      <c r="A249" s="1444">
        <v>9.0</v>
      </c>
      <c r="B249" s="1445"/>
      <c r="C249" s="1445"/>
      <c r="D249" s="224"/>
      <c r="F249" s="139"/>
      <c r="G249" s="1445"/>
      <c r="H249" s="1445"/>
      <c r="I249" s="1445"/>
      <c r="J249" s="1445"/>
      <c r="K249" s="1442"/>
      <c r="L249" s="1442"/>
    </row>
    <row r="250" hidden="1">
      <c r="A250" s="1444">
        <v>10.0</v>
      </c>
      <c r="B250" s="1445"/>
      <c r="C250" s="1445"/>
      <c r="D250" s="224"/>
      <c r="F250" s="139"/>
      <c r="G250" s="1445"/>
      <c r="H250" s="1445"/>
      <c r="I250" s="1445"/>
      <c r="J250" s="1445"/>
      <c r="K250" s="1442"/>
      <c r="L250" s="1442"/>
    </row>
    <row r="251" hidden="1">
      <c r="A251" s="1444">
        <v>11.0</v>
      </c>
      <c r="B251" s="1445"/>
      <c r="C251" s="1445"/>
      <c r="D251" s="224"/>
      <c r="F251" s="139"/>
      <c r="G251" s="1445"/>
      <c r="H251" s="1445"/>
      <c r="I251" s="1445"/>
      <c r="J251" s="1445"/>
      <c r="K251" s="1442"/>
      <c r="L251" s="1442"/>
    </row>
    <row r="252" hidden="1">
      <c r="A252" s="1444">
        <v>12.0</v>
      </c>
      <c r="B252" s="1445"/>
      <c r="C252" s="1445"/>
      <c r="D252" s="104"/>
      <c r="E252" s="64"/>
      <c r="F252" s="72"/>
      <c r="G252" s="1445"/>
      <c r="H252" s="1445"/>
      <c r="I252" s="1445"/>
      <c r="J252" s="1445"/>
      <c r="K252" s="1442"/>
      <c r="L252" s="1442"/>
    </row>
    <row r="253" hidden="1">
      <c r="A253" s="1444">
        <v>13.0</v>
      </c>
      <c r="B253" s="1445"/>
      <c r="C253" s="1445"/>
      <c r="D253" s="1445"/>
      <c r="E253" s="1445"/>
      <c r="F253" s="1445"/>
      <c r="G253" s="1445"/>
      <c r="H253" s="1445"/>
      <c r="I253" s="1445"/>
      <c r="J253" s="1445"/>
      <c r="K253" s="1442"/>
      <c r="L253" s="1442"/>
    </row>
    <row r="254" hidden="1">
      <c r="A254" s="1444">
        <v>14.0</v>
      </c>
      <c r="B254" s="1445"/>
      <c r="C254" s="1445"/>
      <c r="D254" s="1445"/>
      <c r="E254" s="1445"/>
      <c r="F254" s="1445"/>
      <c r="G254" s="1445"/>
      <c r="H254" s="1445"/>
      <c r="I254" s="1445"/>
      <c r="J254" s="1445"/>
      <c r="K254" s="1442"/>
      <c r="L254" s="1442"/>
    </row>
    <row r="255" hidden="1">
      <c r="A255" s="1444">
        <v>15.0</v>
      </c>
      <c r="B255" s="1445"/>
      <c r="C255" s="1445"/>
      <c r="D255" s="1445"/>
      <c r="E255" s="1445"/>
      <c r="F255" s="1445"/>
      <c r="G255" s="1445"/>
      <c r="H255" s="1445"/>
      <c r="I255" s="1445"/>
      <c r="J255" s="1445"/>
      <c r="K255" s="1442"/>
      <c r="L255" s="1442"/>
    </row>
    <row r="256" hidden="1">
      <c r="A256" s="1444">
        <v>16.0</v>
      </c>
      <c r="B256" s="1445"/>
      <c r="C256" s="1445"/>
      <c r="D256" s="1445"/>
      <c r="E256" s="1445"/>
      <c r="F256" s="1445"/>
      <c r="G256" s="1445"/>
      <c r="H256" s="1445"/>
      <c r="I256" s="1445"/>
      <c r="J256" s="1445"/>
      <c r="K256" s="1442"/>
      <c r="L256" s="1442"/>
    </row>
    <row r="257" hidden="1">
      <c r="A257" s="1444">
        <v>17.0</v>
      </c>
      <c r="B257" s="1445"/>
      <c r="C257" s="1445"/>
      <c r="D257" s="1445"/>
      <c r="E257" s="1445"/>
      <c r="F257" s="1445"/>
      <c r="G257" s="1445"/>
      <c r="H257" s="1445"/>
      <c r="I257" s="1445"/>
      <c r="J257" s="1445"/>
      <c r="K257" s="1442"/>
      <c r="L257" s="1442"/>
    </row>
    <row r="258" hidden="1">
      <c r="A258" s="1444">
        <v>18.0</v>
      </c>
      <c r="B258" s="1445"/>
      <c r="C258" s="1472" t="s">
        <v>14425</v>
      </c>
      <c r="D258" s="1445"/>
      <c r="E258" s="1445"/>
      <c r="F258" s="1473" t="s">
        <v>14426</v>
      </c>
      <c r="G258" s="1445"/>
      <c r="H258" s="1445"/>
      <c r="I258" s="1445"/>
      <c r="J258" s="1445"/>
      <c r="K258" s="1442"/>
      <c r="L258" s="1442"/>
    </row>
    <row r="259" hidden="1">
      <c r="A259" s="1444">
        <v>19.0</v>
      </c>
      <c r="B259" s="1445"/>
      <c r="C259" s="1445"/>
      <c r="D259" s="1474" t="s">
        <v>14427</v>
      </c>
      <c r="E259" s="1445"/>
      <c r="F259" s="1445"/>
      <c r="G259" s="1445"/>
      <c r="H259" s="1445"/>
      <c r="I259" s="1445"/>
      <c r="J259" s="1445"/>
      <c r="K259" s="1442"/>
      <c r="L259" s="1442"/>
    </row>
    <row r="260" hidden="1">
      <c r="A260" s="1444">
        <v>20.0</v>
      </c>
      <c r="B260" s="1445"/>
      <c r="C260" s="1445"/>
      <c r="D260" s="1445"/>
      <c r="E260" s="1445"/>
      <c r="F260" s="1445"/>
      <c r="G260" s="1445"/>
      <c r="H260" s="1445"/>
      <c r="I260" s="1445"/>
      <c r="J260" s="1445"/>
      <c r="K260" s="1442"/>
      <c r="L260" s="1442"/>
    </row>
    <row r="261" hidden="1">
      <c r="A261" s="1444">
        <v>21.0</v>
      </c>
      <c r="B261" s="1445"/>
      <c r="C261" s="1445"/>
      <c r="D261" s="1445"/>
      <c r="E261" s="1475" t="s">
        <v>14428</v>
      </c>
      <c r="F261" s="36"/>
      <c r="G261" s="36"/>
      <c r="H261" s="13"/>
      <c r="I261" s="1445"/>
      <c r="J261" s="1445"/>
      <c r="K261" s="1442"/>
      <c r="L261" s="1442"/>
    </row>
    <row r="262" hidden="1">
      <c r="A262" s="1444">
        <v>22.0</v>
      </c>
      <c r="B262" s="1445"/>
      <c r="C262" s="1445"/>
      <c r="D262" s="1445"/>
      <c r="E262" s="1445"/>
      <c r="F262" s="1445"/>
      <c r="G262" s="1445"/>
      <c r="H262" s="1445"/>
      <c r="I262" s="1445"/>
      <c r="J262" s="1445"/>
      <c r="K262" s="1442"/>
      <c r="L262" s="1442"/>
    </row>
    <row r="263" hidden="1">
      <c r="A263" s="1444">
        <v>23.0</v>
      </c>
      <c r="B263" s="1445"/>
      <c r="C263" s="1445"/>
      <c r="D263" s="1445"/>
      <c r="E263" s="1445"/>
      <c r="F263" s="1445"/>
      <c r="G263" s="1445"/>
      <c r="H263" s="1445"/>
      <c r="I263" s="1445"/>
      <c r="J263" s="1445"/>
      <c r="K263" s="1442"/>
      <c r="L263" s="1442"/>
    </row>
    <row r="264" hidden="1">
      <c r="A264" s="1444">
        <v>24.0</v>
      </c>
      <c r="B264" s="1445"/>
      <c r="C264" s="1445"/>
      <c r="D264" s="1445"/>
      <c r="E264" s="1445"/>
      <c r="F264" s="1445"/>
      <c r="G264" s="1445"/>
      <c r="H264" s="1445"/>
      <c r="I264" s="1445"/>
      <c r="J264" s="1445"/>
      <c r="K264" s="1442"/>
      <c r="L264" s="1442"/>
    </row>
    <row r="265" hidden="1">
      <c r="A265" s="1444">
        <v>25.0</v>
      </c>
      <c r="B265" s="1445"/>
      <c r="C265" s="1445"/>
      <c r="D265" s="1476"/>
      <c r="E265" s="1445"/>
      <c r="F265" s="1445"/>
      <c r="G265" s="1445"/>
      <c r="H265" s="1445"/>
      <c r="I265" s="1445"/>
      <c r="J265" s="1445"/>
      <c r="K265" s="1442"/>
      <c r="L265" s="1442"/>
    </row>
    <row r="266" hidden="1">
      <c r="A266" s="1444">
        <v>26.0</v>
      </c>
      <c r="B266" s="1445"/>
      <c r="C266" s="1476"/>
      <c r="D266" s="1445"/>
      <c r="E266" s="1445"/>
      <c r="F266" s="1445"/>
      <c r="G266" s="1445"/>
      <c r="H266" s="1445"/>
      <c r="I266" s="1477" t="s">
        <v>14429</v>
      </c>
      <c r="J266" s="1445"/>
      <c r="K266" s="1442"/>
      <c r="L266" s="1442"/>
    </row>
    <row r="267" hidden="1">
      <c r="A267" s="1444">
        <v>27.0</v>
      </c>
      <c r="B267" s="1445"/>
      <c r="C267" s="1445"/>
      <c r="D267" s="1445"/>
      <c r="E267" s="1445"/>
      <c r="F267" s="1445"/>
      <c r="G267" s="1445"/>
      <c r="H267" s="1445"/>
      <c r="I267" s="1445"/>
      <c r="J267" s="1445"/>
      <c r="K267" s="1442"/>
      <c r="L267" s="1442"/>
    </row>
    <row r="268" hidden="1">
      <c r="A268" s="1444">
        <v>28.0</v>
      </c>
      <c r="B268" s="1445"/>
      <c r="C268" s="1445"/>
      <c r="D268" s="1445"/>
      <c r="E268" s="1445"/>
      <c r="F268" s="1445"/>
      <c r="G268" s="1478" t="s">
        <v>14430</v>
      </c>
      <c r="H268" s="1445"/>
      <c r="I268" s="1445"/>
      <c r="J268" s="1445"/>
      <c r="K268" s="1442"/>
      <c r="L268" s="1442"/>
    </row>
    <row r="269" hidden="1">
      <c r="A269" s="1444">
        <v>29.0</v>
      </c>
      <c r="B269" s="1445"/>
      <c r="C269" s="1445"/>
      <c r="D269" s="1445"/>
      <c r="E269" s="1445"/>
      <c r="F269" s="1445"/>
      <c r="G269" s="222"/>
      <c r="H269" s="1445"/>
      <c r="I269" s="1445"/>
      <c r="J269" s="1445"/>
      <c r="K269" s="1442"/>
      <c r="L269" s="1442"/>
    </row>
    <row r="270" ht="25.5" hidden="1" customHeight="1">
      <c r="A270" s="1444">
        <v>30.0</v>
      </c>
      <c r="B270" s="1445"/>
      <c r="C270" s="1445"/>
      <c r="D270" s="1445"/>
      <c r="E270" s="1445"/>
      <c r="F270" s="1445"/>
      <c r="G270" s="173"/>
      <c r="H270" s="1445"/>
      <c r="I270" s="1445"/>
      <c r="J270" s="1445"/>
      <c r="K270" s="1442"/>
      <c r="L270" s="1442"/>
    </row>
    <row r="271" ht="25.5" hidden="1" customHeight="1">
      <c r="A271" s="1443" t="s">
        <v>14431</v>
      </c>
      <c r="B271" s="36"/>
      <c r="C271" s="36"/>
      <c r="D271" s="36"/>
      <c r="E271" s="36"/>
      <c r="F271" s="36"/>
      <c r="G271" s="36"/>
      <c r="H271" s="36"/>
      <c r="I271" s="36"/>
      <c r="J271" s="13"/>
      <c r="K271" s="1442"/>
      <c r="L271" s="1442"/>
    </row>
    <row r="272" ht="16.5" hidden="1" customHeight="1">
      <c r="A272" s="1444">
        <v>1.0</v>
      </c>
      <c r="B272" s="1445"/>
      <c r="C272" s="1445"/>
      <c r="D272" s="1445"/>
      <c r="E272" s="1479" t="s">
        <v>14432</v>
      </c>
      <c r="F272" s="13"/>
      <c r="G272" s="1478" t="s">
        <v>14433</v>
      </c>
      <c r="H272" s="1445"/>
      <c r="I272" s="1445"/>
      <c r="J272" s="1445"/>
      <c r="K272" s="1442"/>
      <c r="L272" s="1442"/>
    </row>
    <row r="273" ht="16.5" hidden="1" customHeight="1">
      <c r="A273" s="1444">
        <v>2.0</v>
      </c>
      <c r="B273" s="1445"/>
      <c r="C273" s="1445"/>
      <c r="D273" s="1445"/>
      <c r="E273" s="1445"/>
      <c r="F273" s="1445"/>
      <c r="G273" s="222"/>
      <c r="H273" s="1445"/>
      <c r="I273" s="1445"/>
      <c r="J273" s="1445"/>
      <c r="K273" s="1442"/>
      <c r="L273" s="1442"/>
    </row>
    <row r="274" ht="16.5" hidden="1" customHeight="1">
      <c r="A274" s="1444">
        <v>3.0</v>
      </c>
      <c r="B274" s="1445"/>
      <c r="C274" s="1445"/>
      <c r="D274" s="1445"/>
      <c r="E274" s="1445"/>
      <c r="F274" s="1445"/>
      <c r="G274" s="222"/>
      <c r="H274" s="1445"/>
      <c r="I274" s="1445"/>
      <c r="J274" s="1445"/>
      <c r="K274" s="1442"/>
      <c r="L274" s="1442"/>
    </row>
    <row r="275" ht="16.5" hidden="1" customHeight="1">
      <c r="A275" s="1444">
        <v>4.0</v>
      </c>
      <c r="B275" s="1445"/>
      <c r="C275" s="1445"/>
      <c r="D275" s="1445"/>
      <c r="E275" s="1445"/>
      <c r="F275" s="1445"/>
      <c r="G275" s="222"/>
      <c r="H275" s="1445"/>
      <c r="I275" s="1445"/>
      <c r="J275" s="1445"/>
      <c r="K275" s="1442"/>
      <c r="L275" s="1442"/>
    </row>
    <row r="276" ht="16.5" hidden="1" customHeight="1">
      <c r="A276" s="1444">
        <v>5.0</v>
      </c>
      <c r="B276" s="1445"/>
      <c r="C276" s="1445"/>
      <c r="D276" s="1445"/>
      <c r="E276" s="1445"/>
      <c r="F276" s="1445"/>
      <c r="G276" s="173"/>
      <c r="H276" s="1445"/>
      <c r="I276" s="1445"/>
      <c r="J276" s="1445"/>
      <c r="K276" s="1442"/>
      <c r="L276" s="1442"/>
    </row>
    <row r="277" ht="16.5" hidden="1" customHeight="1">
      <c r="A277" s="1444">
        <v>6.0</v>
      </c>
      <c r="B277" s="1445"/>
      <c r="C277" s="1445"/>
      <c r="D277" s="1445"/>
      <c r="E277" s="1445"/>
      <c r="F277" s="1445"/>
      <c r="G277" s="1445"/>
      <c r="H277" s="1445"/>
      <c r="I277" s="1445"/>
      <c r="J277" s="1445"/>
      <c r="K277" s="1442"/>
      <c r="L277" s="1442"/>
    </row>
    <row r="278" ht="16.5" hidden="1" customHeight="1">
      <c r="A278" s="1444">
        <v>7.0</v>
      </c>
      <c r="B278" s="1445"/>
      <c r="C278" s="1445"/>
      <c r="D278" s="1445"/>
      <c r="E278" s="1445"/>
      <c r="F278" s="1445"/>
      <c r="G278" s="1445"/>
      <c r="H278" s="1445"/>
      <c r="I278" s="1445"/>
      <c r="J278" s="1445"/>
      <c r="K278" s="1442"/>
      <c r="L278" s="1442"/>
    </row>
    <row r="279" ht="16.5" hidden="1" customHeight="1">
      <c r="A279" s="1444">
        <v>8.0</v>
      </c>
      <c r="B279" s="1445"/>
      <c r="C279" s="1445"/>
      <c r="D279" s="1445"/>
      <c r="E279" s="1445"/>
      <c r="F279" s="1445"/>
      <c r="G279" s="1445"/>
      <c r="H279" s="1445"/>
      <c r="I279" s="1445"/>
      <c r="J279" s="1445"/>
      <c r="K279" s="1442"/>
      <c r="L279" s="1442"/>
    </row>
    <row r="280" ht="16.5" hidden="1" customHeight="1">
      <c r="A280" s="1444">
        <v>9.0</v>
      </c>
      <c r="B280" s="1445"/>
      <c r="C280" s="1445"/>
      <c r="D280" s="1445"/>
      <c r="E280" s="1445"/>
      <c r="F280" s="1445"/>
      <c r="G280" s="1445"/>
      <c r="H280" s="1445"/>
      <c r="I280" s="1445"/>
      <c r="J280" s="1445"/>
      <c r="K280" s="1442"/>
      <c r="L280" s="1442"/>
    </row>
    <row r="281" ht="16.5" hidden="1" customHeight="1">
      <c r="A281" s="1444">
        <v>10.0</v>
      </c>
      <c r="B281" s="1445"/>
      <c r="C281" s="1445"/>
      <c r="D281" s="1445"/>
      <c r="E281" s="1475" t="s">
        <v>14434</v>
      </c>
      <c r="F281" s="36"/>
      <c r="G281" s="36"/>
      <c r="H281" s="36"/>
      <c r="I281" s="36"/>
      <c r="J281" s="13"/>
      <c r="K281" s="1442"/>
      <c r="L281" s="1442"/>
    </row>
    <row r="282" ht="16.5" hidden="1" customHeight="1">
      <c r="A282" s="1444">
        <v>11.0</v>
      </c>
      <c r="B282" s="1445"/>
      <c r="C282" s="1445"/>
      <c r="D282" s="1445"/>
      <c r="E282" s="1445"/>
      <c r="F282" s="1445"/>
      <c r="G282" s="1445"/>
      <c r="H282" s="1445"/>
      <c r="I282" s="1445"/>
      <c r="J282" s="1445"/>
      <c r="K282" s="1442"/>
      <c r="L282" s="1442"/>
    </row>
    <row r="283" ht="16.5" hidden="1" customHeight="1">
      <c r="A283" s="1444">
        <v>12.0</v>
      </c>
      <c r="B283" s="1445"/>
      <c r="C283" s="1445"/>
      <c r="D283" s="1445"/>
      <c r="E283" s="1445"/>
      <c r="F283" s="1445"/>
      <c r="G283" s="1445"/>
      <c r="H283" s="1445"/>
      <c r="I283" s="1445"/>
      <c r="J283" s="1445"/>
      <c r="K283" s="1442"/>
      <c r="L283" s="1442"/>
    </row>
    <row r="284" ht="16.5" hidden="1" customHeight="1">
      <c r="A284" s="1444">
        <v>13.0</v>
      </c>
      <c r="B284" s="1445"/>
      <c r="C284" s="1445"/>
      <c r="D284" s="1445"/>
      <c r="E284" s="1445"/>
      <c r="F284" s="1445"/>
      <c r="G284" s="1445"/>
      <c r="H284" s="1445"/>
      <c r="I284" s="1445"/>
      <c r="J284" s="1445"/>
      <c r="K284" s="1442"/>
      <c r="L284" s="1442"/>
    </row>
    <row r="285" ht="16.5" hidden="1" customHeight="1">
      <c r="A285" s="1444">
        <v>14.0</v>
      </c>
      <c r="B285" s="1445"/>
      <c r="C285" s="1445"/>
      <c r="D285" s="1445"/>
      <c r="E285" s="1445"/>
      <c r="F285" s="1445"/>
      <c r="G285" s="1445"/>
      <c r="H285" s="1445"/>
      <c r="I285" s="1445"/>
      <c r="J285" s="1445"/>
      <c r="K285" s="1442"/>
      <c r="L285" s="1442"/>
    </row>
    <row r="286" ht="16.5" hidden="1" customHeight="1">
      <c r="A286" s="1444">
        <v>15.0</v>
      </c>
      <c r="B286" s="1445"/>
      <c r="C286" s="1445"/>
      <c r="D286" s="1445"/>
      <c r="E286" s="1445"/>
      <c r="F286" s="1445"/>
      <c r="G286" s="1445"/>
      <c r="H286" s="1445"/>
      <c r="I286" s="1445"/>
      <c r="J286" s="1445"/>
      <c r="K286" s="1442"/>
      <c r="L286" s="1442"/>
    </row>
    <row r="287" ht="16.5" hidden="1" customHeight="1">
      <c r="A287" s="1444">
        <v>16.0</v>
      </c>
      <c r="B287" s="1445"/>
      <c r="C287" s="1445"/>
      <c r="D287" s="1445"/>
      <c r="E287" s="1445"/>
      <c r="F287" s="1445"/>
      <c r="G287" s="1445"/>
      <c r="H287" s="1445"/>
      <c r="I287" s="1445"/>
      <c r="J287" s="1445"/>
      <c r="K287" s="1442"/>
      <c r="L287" s="1442"/>
    </row>
    <row r="288" ht="16.5" hidden="1" customHeight="1">
      <c r="A288" s="1444">
        <v>17.0</v>
      </c>
      <c r="B288" s="1445"/>
      <c r="C288" s="1445"/>
      <c r="D288" s="1445"/>
      <c r="E288" s="1445"/>
      <c r="F288" s="1445"/>
      <c r="G288" s="1445"/>
      <c r="H288" s="1445"/>
      <c r="I288" s="1445"/>
      <c r="J288" s="1445"/>
      <c r="K288" s="1442"/>
      <c r="L288" s="1442"/>
    </row>
    <row r="289" ht="16.5" hidden="1" customHeight="1">
      <c r="A289" s="1444">
        <v>18.0</v>
      </c>
      <c r="B289" s="1445"/>
      <c r="C289" s="1445"/>
      <c r="D289" s="1445"/>
      <c r="E289" s="1445"/>
      <c r="F289" s="1445"/>
      <c r="G289" s="1445"/>
      <c r="H289" s="1445"/>
      <c r="I289" s="1445"/>
      <c r="J289" s="1445"/>
      <c r="K289" s="1442"/>
      <c r="L289" s="1442"/>
    </row>
    <row r="290" ht="16.5" hidden="1" customHeight="1">
      <c r="A290" s="1444">
        <v>19.0</v>
      </c>
      <c r="B290" s="1445"/>
      <c r="C290" s="1445"/>
      <c r="D290" s="1445"/>
      <c r="E290" s="1445"/>
      <c r="F290" s="1445"/>
      <c r="G290" s="1445"/>
      <c r="H290" s="1445"/>
      <c r="I290" s="1445"/>
      <c r="J290" s="1445"/>
      <c r="K290" s="1442"/>
      <c r="L290" s="1442"/>
    </row>
    <row r="291" ht="34.5" hidden="1" customHeight="1">
      <c r="A291" s="1444">
        <v>20.0</v>
      </c>
      <c r="B291" s="1445"/>
      <c r="C291" s="1474" t="s">
        <v>14435</v>
      </c>
      <c r="D291" s="1445"/>
      <c r="E291" s="1445"/>
      <c r="F291" s="1445"/>
      <c r="G291" s="1445"/>
      <c r="H291" s="1445"/>
      <c r="I291" s="1445"/>
      <c r="J291" s="1445"/>
      <c r="K291" s="1442"/>
      <c r="L291" s="1442"/>
    </row>
    <row r="292" ht="16.5" hidden="1" customHeight="1">
      <c r="A292" s="1444">
        <v>21.0</v>
      </c>
      <c r="B292" s="1445"/>
      <c r="C292" s="1480" t="s">
        <v>14436</v>
      </c>
      <c r="D292" s="8"/>
      <c r="E292" s="8"/>
      <c r="F292" s="8"/>
      <c r="G292" s="8"/>
      <c r="H292" s="8"/>
      <c r="I292" s="8"/>
      <c r="J292" s="4"/>
      <c r="K292" s="1442"/>
      <c r="L292" s="1442"/>
    </row>
    <row r="293" hidden="1">
      <c r="A293" s="1444">
        <v>22.0</v>
      </c>
      <c r="B293" s="1445"/>
      <c r="C293" s="104"/>
      <c r="D293" s="64"/>
      <c r="E293" s="64"/>
      <c r="F293" s="64"/>
      <c r="G293" s="64"/>
      <c r="H293" s="64"/>
      <c r="I293" s="64"/>
      <c r="J293" s="72"/>
      <c r="K293" s="1442"/>
      <c r="L293" s="1442"/>
    </row>
    <row r="294" hidden="1">
      <c r="A294" s="1444">
        <v>23.0</v>
      </c>
      <c r="B294" s="1445"/>
      <c r="C294" s="1451" t="s">
        <v>14437</v>
      </c>
      <c r="D294" s="36"/>
      <c r="E294" s="36"/>
      <c r="F294" s="36"/>
      <c r="G294" s="36"/>
      <c r="H294" s="36"/>
      <c r="I294" s="36"/>
      <c r="J294" s="13"/>
      <c r="K294" s="1442"/>
      <c r="L294" s="1442"/>
    </row>
    <row r="295" hidden="1">
      <c r="A295" s="1444">
        <v>24.0</v>
      </c>
      <c r="B295" s="1445"/>
      <c r="C295" s="1445"/>
      <c r="D295" s="1476"/>
      <c r="E295" s="1476"/>
      <c r="F295" s="1445"/>
      <c r="G295" s="1445"/>
      <c r="H295" s="1445"/>
      <c r="I295" s="1445"/>
      <c r="J295" s="1445"/>
      <c r="K295" s="1442"/>
      <c r="L295" s="1442"/>
    </row>
    <row r="296" hidden="1">
      <c r="A296" s="1444">
        <v>25.0</v>
      </c>
      <c r="B296" s="1481" t="s">
        <v>14438</v>
      </c>
      <c r="C296" s="36"/>
      <c r="D296" s="36"/>
      <c r="E296" s="36"/>
      <c r="F296" s="36"/>
      <c r="G296" s="36"/>
      <c r="H296" s="36"/>
      <c r="I296" s="36"/>
      <c r="J296" s="13"/>
      <c r="K296" s="1442"/>
      <c r="L296" s="1442"/>
    </row>
    <row r="297" hidden="1">
      <c r="A297" s="1444">
        <v>26.0</v>
      </c>
      <c r="B297" s="1445"/>
      <c r="C297" s="1480" t="s">
        <v>14439</v>
      </c>
      <c r="D297" s="8"/>
      <c r="E297" s="8"/>
      <c r="F297" s="8"/>
      <c r="G297" s="8"/>
      <c r="H297" s="8"/>
      <c r="I297" s="8"/>
      <c r="J297" s="4"/>
      <c r="K297" s="1442"/>
      <c r="L297" s="1442"/>
    </row>
    <row r="298" hidden="1">
      <c r="A298" s="1444">
        <v>27.0</v>
      </c>
      <c r="B298" s="1445"/>
      <c r="C298" s="224"/>
      <c r="J298" s="139"/>
      <c r="K298" s="1442"/>
      <c r="L298" s="1442"/>
    </row>
    <row r="299" hidden="1">
      <c r="A299" s="1444">
        <v>28.0</v>
      </c>
      <c r="B299" s="1445"/>
      <c r="C299" s="224"/>
      <c r="J299" s="139"/>
      <c r="K299" s="1442"/>
      <c r="L299" s="1442"/>
    </row>
    <row r="300" hidden="1">
      <c r="A300" s="1444">
        <v>29.0</v>
      </c>
      <c r="B300" s="1445"/>
      <c r="C300" s="104"/>
      <c r="D300" s="64"/>
      <c r="E300" s="64"/>
      <c r="F300" s="64"/>
      <c r="G300" s="64"/>
      <c r="H300" s="64"/>
      <c r="I300" s="64"/>
      <c r="J300" s="72"/>
      <c r="K300" s="1442"/>
      <c r="L300" s="1442"/>
    </row>
    <row r="301" hidden="1">
      <c r="A301" s="1444">
        <v>30.0</v>
      </c>
      <c r="B301" s="1445"/>
      <c r="C301" s="1445"/>
      <c r="D301" s="617"/>
      <c r="E301" s="619"/>
      <c r="F301" s="1445"/>
      <c r="G301" s="1445"/>
      <c r="H301" s="1445"/>
      <c r="I301" s="1445"/>
      <c r="J301" s="1445"/>
      <c r="K301" s="1442"/>
      <c r="L301" s="1442"/>
    </row>
    <row r="302" hidden="1">
      <c r="A302" s="1482" t="s">
        <v>14440</v>
      </c>
      <c r="B302" s="1451" t="s">
        <v>14441</v>
      </c>
      <c r="C302" s="36"/>
      <c r="D302" s="36"/>
      <c r="E302" s="36"/>
      <c r="F302" s="36"/>
      <c r="G302" s="36"/>
      <c r="H302" s="36"/>
      <c r="I302" s="36"/>
      <c r="J302" s="13"/>
      <c r="K302" s="1442"/>
      <c r="L302" s="1442"/>
    </row>
    <row r="303" hidden="1">
      <c r="A303" s="1443" t="s">
        <v>14442</v>
      </c>
      <c r="B303" s="36"/>
      <c r="C303" s="36"/>
      <c r="D303" s="36"/>
      <c r="E303" s="36"/>
      <c r="F303" s="36"/>
      <c r="G303" s="36"/>
      <c r="H303" s="36"/>
      <c r="I303" s="36"/>
      <c r="J303" s="13"/>
      <c r="K303" s="1442"/>
      <c r="L303" s="1442"/>
    </row>
    <row r="304" hidden="1">
      <c r="A304" s="1482" t="s">
        <v>14440</v>
      </c>
      <c r="B304" s="1451" t="s">
        <v>14441</v>
      </c>
      <c r="C304" s="36"/>
      <c r="D304" s="36"/>
      <c r="E304" s="36"/>
      <c r="F304" s="36"/>
      <c r="G304" s="36"/>
      <c r="H304" s="36"/>
      <c r="I304" s="36"/>
      <c r="J304" s="13"/>
      <c r="K304" s="1442"/>
      <c r="L304" s="1442"/>
    </row>
    <row r="305" hidden="1">
      <c r="A305" s="1444">
        <v>9.0</v>
      </c>
      <c r="B305" s="1483"/>
      <c r="C305" s="1483"/>
      <c r="D305" s="1483"/>
      <c r="E305" s="1483"/>
      <c r="F305" s="1483"/>
      <c r="G305" s="1483"/>
      <c r="H305" s="1483"/>
      <c r="I305" s="1483"/>
      <c r="J305" s="1483"/>
      <c r="K305" s="1442"/>
      <c r="L305" s="1442"/>
      <c r="M305" s="489"/>
      <c r="N305" s="489"/>
      <c r="O305" s="489"/>
      <c r="P305" s="489"/>
      <c r="Q305" s="489"/>
      <c r="R305" s="489"/>
      <c r="S305" s="489"/>
      <c r="T305" s="489"/>
      <c r="U305" s="489"/>
      <c r="V305" s="489"/>
      <c r="W305" s="489"/>
      <c r="X305" s="489"/>
      <c r="Y305" s="489"/>
      <c r="Z305" s="489"/>
      <c r="AA305" s="489"/>
    </row>
    <row r="306" hidden="1">
      <c r="A306" s="1444">
        <v>10.0</v>
      </c>
      <c r="B306" s="1483"/>
      <c r="C306" s="1483"/>
      <c r="D306" s="1483"/>
      <c r="E306" s="1483"/>
      <c r="F306" s="1483"/>
      <c r="G306" s="1483"/>
      <c r="H306" s="1483"/>
      <c r="I306" s="1483"/>
      <c r="J306" s="1483"/>
      <c r="K306" s="1442"/>
      <c r="L306" s="1442"/>
      <c r="M306" s="489"/>
      <c r="N306" s="489"/>
      <c r="O306" s="489"/>
      <c r="P306" s="489"/>
      <c r="Q306" s="489"/>
      <c r="R306" s="489"/>
      <c r="S306" s="489"/>
      <c r="T306" s="489"/>
      <c r="U306" s="489"/>
      <c r="V306" s="489"/>
      <c r="W306" s="489"/>
      <c r="X306" s="489"/>
      <c r="Y306" s="489"/>
      <c r="Z306" s="489"/>
      <c r="AA306" s="489"/>
    </row>
    <row r="307" hidden="1">
      <c r="A307" s="1444">
        <v>11.0</v>
      </c>
      <c r="B307" s="1483"/>
      <c r="C307" s="1483"/>
      <c r="D307" s="1483"/>
      <c r="E307" s="1483"/>
      <c r="F307" s="1483"/>
      <c r="G307" s="1483"/>
      <c r="H307" s="1483"/>
      <c r="I307" s="1483"/>
      <c r="J307" s="1483"/>
      <c r="K307" s="1442"/>
      <c r="L307" s="1442"/>
      <c r="M307" s="489"/>
      <c r="N307" s="489"/>
      <c r="O307" s="489"/>
      <c r="P307" s="489"/>
      <c r="Q307" s="489"/>
      <c r="R307" s="489"/>
      <c r="S307" s="489"/>
      <c r="T307" s="489"/>
      <c r="U307" s="489"/>
      <c r="V307" s="489"/>
      <c r="W307" s="489"/>
      <c r="X307" s="489"/>
      <c r="Y307" s="489"/>
      <c r="Z307" s="489"/>
      <c r="AA307" s="489"/>
    </row>
    <row r="308" hidden="1">
      <c r="A308" s="1444">
        <v>12.0</v>
      </c>
      <c r="B308" s="1483"/>
      <c r="C308" s="1483"/>
      <c r="D308" s="1483"/>
      <c r="E308" s="1483"/>
      <c r="F308" s="1483"/>
      <c r="G308" s="1483"/>
      <c r="H308" s="1483"/>
      <c r="I308" s="1483"/>
      <c r="J308" s="1483"/>
      <c r="K308" s="1442"/>
      <c r="L308" s="1442"/>
      <c r="M308" s="489"/>
      <c r="N308" s="489"/>
      <c r="O308" s="489"/>
      <c r="P308" s="489"/>
      <c r="Q308" s="489"/>
      <c r="R308" s="489"/>
      <c r="S308" s="489"/>
      <c r="T308" s="489"/>
      <c r="U308" s="489"/>
      <c r="V308" s="489"/>
      <c r="W308" s="489"/>
      <c r="X308" s="489"/>
      <c r="Y308" s="489"/>
      <c r="Z308" s="489"/>
      <c r="AA308" s="489"/>
    </row>
    <row r="309" hidden="1">
      <c r="A309" s="1444">
        <v>13.0</v>
      </c>
      <c r="B309" s="1483"/>
      <c r="C309" s="1483"/>
      <c r="D309" s="1483"/>
      <c r="E309" s="1483"/>
      <c r="F309" s="1483"/>
      <c r="G309" s="1483"/>
      <c r="H309" s="1483"/>
      <c r="I309" s="1483"/>
      <c r="J309" s="1483"/>
      <c r="K309" s="1442"/>
      <c r="L309" s="1442"/>
      <c r="M309" s="489"/>
      <c r="N309" s="489"/>
      <c r="O309" s="489"/>
      <c r="P309" s="489"/>
      <c r="Q309" s="489"/>
      <c r="R309" s="489"/>
      <c r="S309" s="489"/>
      <c r="T309" s="489"/>
      <c r="U309" s="489"/>
      <c r="V309" s="489"/>
      <c r="W309" s="489"/>
      <c r="X309" s="489"/>
      <c r="Y309" s="489"/>
      <c r="Z309" s="489"/>
      <c r="AA309" s="489"/>
    </row>
    <row r="310" hidden="1">
      <c r="A310" s="1444">
        <v>14.0</v>
      </c>
      <c r="B310" s="1483"/>
      <c r="C310" s="1483"/>
      <c r="D310" s="1483"/>
      <c r="E310" s="1483"/>
      <c r="F310" s="1483"/>
      <c r="G310" s="1483"/>
      <c r="H310" s="1483"/>
      <c r="I310" s="1483"/>
      <c r="J310" s="1483"/>
      <c r="K310" s="1442"/>
      <c r="L310" s="1442"/>
      <c r="M310" s="489"/>
      <c r="N310" s="489"/>
      <c r="O310" s="489"/>
      <c r="P310" s="489"/>
      <c r="Q310" s="489"/>
      <c r="R310" s="489"/>
      <c r="S310" s="489"/>
      <c r="T310" s="489"/>
      <c r="U310" s="489"/>
      <c r="V310" s="489"/>
      <c r="W310" s="489"/>
      <c r="X310" s="489"/>
      <c r="Y310" s="489"/>
      <c r="Z310" s="489"/>
      <c r="AA310" s="489"/>
    </row>
    <row r="311" hidden="1">
      <c r="A311" s="1444">
        <v>15.0</v>
      </c>
      <c r="B311" s="1483"/>
      <c r="C311" s="1483"/>
      <c r="D311" s="1483"/>
      <c r="E311" s="1483"/>
      <c r="F311" s="1483"/>
      <c r="G311" s="1483"/>
      <c r="H311" s="1483"/>
      <c r="I311" s="1483"/>
      <c r="J311" s="1483"/>
      <c r="K311" s="1442"/>
      <c r="L311" s="1442"/>
      <c r="M311" s="489"/>
      <c r="N311" s="489"/>
      <c r="O311" s="489"/>
      <c r="P311" s="489"/>
      <c r="Q311" s="489"/>
      <c r="R311" s="489"/>
      <c r="S311" s="489"/>
      <c r="T311" s="489"/>
      <c r="U311" s="489"/>
      <c r="V311" s="489"/>
      <c r="W311" s="489"/>
      <c r="X311" s="489"/>
      <c r="Y311" s="489"/>
      <c r="Z311" s="489"/>
      <c r="AA311" s="489"/>
    </row>
    <row r="312" hidden="1">
      <c r="A312" s="1444">
        <v>16.0</v>
      </c>
      <c r="B312" s="1483"/>
      <c r="C312" s="1483"/>
      <c r="D312" s="1483"/>
      <c r="E312" s="1483"/>
      <c r="F312" s="1483"/>
      <c r="G312" s="1483"/>
      <c r="H312" s="1483"/>
      <c r="I312" s="1483"/>
      <c r="J312" s="1483"/>
      <c r="K312" s="1442"/>
      <c r="L312" s="1442"/>
      <c r="M312" s="489"/>
      <c r="N312" s="489"/>
      <c r="O312" s="489"/>
      <c r="P312" s="489"/>
      <c r="Q312" s="489"/>
      <c r="R312" s="489"/>
      <c r="S312" s="489"/>
      <c r="T312" s="489"/>
      <c r="U312" s="489"/>
      <c r="V312" s="489"/>
      <c r="W312" s="489"/>
      <c r="X312" s="489"/>
      <c r="Y312" s="489"/>
      <c r="Z312" s="489"/>
      <c r="AA312" s="489"/>
    </row>
    <row r="313" hidden="1">
      <c r="A313" s="1444">
        <v>17.0</v>
      </c>
      <c r="B313" s="1483"/>
      <c r="C313" s="1483"/>
      <c r="D313" s="1483"/>
      <c r="E313" s="1483"/>
      <c r="F313" s="1483"/>
      <c r="G313" s="1483"/>
      <c r="H313" s="1483"/>
      <c r="I313" s="1483"/>
      <c r="J313" s="1483"/>
      <c r="K313" s="1442"/>
      <c r="L313" s="1442"/>
      <c r="M313" s="489"/>
      <c r="N313" s="489"/>
      <c r="O313" s="489"/>
      <c r="P313" s="489"/>
      <c r="Q313" s="489"/>
      <c r="R313" s="489"/>
      <c r="S313" s="489"/>
      <c r="T313" s="489"/>
      <c r="U313" s="489"/>
      <c r="V313" s="489"/>
      <c r="W313" s="489"/>
      <c r="X313" s="489"/>
      <c r="Y313" s="489"/>
      <c r="Z313" s="489"/>
      <c r="AA313" s="489"/>
    </row>
    <row r="314" hidden="1">
      <c r="A314" s="1444">
        <v>18.0</v>
      </c>
      <c r="B314" s="1483"/>
      <c r="C314" s="1483"/>
      <c r="D314" s="1483"/>
      <c r="E314" s="1483"/>
      <c r="F314" s="1483"/>
      <c r="G314" s="1483"/>
      <c r="H314" s="1483"/>
      <c r="I314" s="1483"/>
      <c r="J314" s="1483"/>
      <c r="K314" s="1442"/>
      <c r="L314" s="1442"/>
      <c r="M314" s="489"/>
      <c r="N314" s="489"/>
      <c r="O314" s="489"/>
      <c r="P314" s="489"/>
      <c r="Q314" s="489"/>
      <c r="R314" s="489"/>
      <c r="S314" s="489"/>
      <c r="T314" s="489"/>
      <c r="U314" s="489"/>
      <c r="V314" s="489"/>
      <c r="W314" s="489"/>
      <c r="X314" s="489"/>
      <c r="Y314" s="489"/>
      <c r="Z314" s="489"/>
      <c r="AA314" s="489"/>
    </row>
    <row r="315" hidden="1">
      <c r="A315" s="1444">
        <v>19.0</v>
      </c>
      <c r="B315" s="1483"/>
      <c r="C315" s="1483"/>
      <c r="D315" s="1483"/>
      <c r="E315" s="1483"/>
      <c r="F315" s="1483"/>
      <c r="G315" s="1483"/>
      <c r="H315" s="1483"/>
      <c r="I315" s="1483"/>
      <c r="J315" s="1483"/>
      <c r="K315" s="1442"/>
      <c r="L315" s="1442"/>
      <c r="M315" s="489"/>
      <c r="N315" s="489"/>
      <c r="O315" s="489"/>
      <c r="P315" s="489"/>
      <c r="Q315" s="489"/>
      <c r="R315" s="489"/>
      <c r="S315" s="489"/>
      <c r="T315" s="489"/>
      <c r="U315" s="489"/>
      <c r="V315" s="489"/>
      <c r="W315" s="489"/>
      <c r="X315" s="489"/>
      <c r="Y315" s="489"/>
      <c r="Z315" s="489"/>
      <c r="AA315" s="489"/>
    </row>
    <row r="316" hidden="1">
      <c r="A316" s="1444">
        <v>20.0</v>
      </c>
      <c r="B316" s="1483"/>
      <c r="C316" s="1483"/>
      <c r="D316" s="1483"/>
      <c r="E316" s="1483"/>
      <c r="F316" s="1483"/>
      <c r="G316" s="1483"/>
      <c r="H316" s="1483"/>
      <c r="I316" s="1483"/>
      <c r="J316" s="1483"/>
      <c r="K316" s="1442"/>
      <c r="L316" s="1442"/>
      <c r="M316" s="489"/>
      <c r="N316" s="489"/>
      <c r="O316" s="489"/>
      <c r="P316" s="489"/>
      <c r="Q316" s="489"/>
      <c r="R316" s="489"/>
      <c r="S316" s="489"/>
      <c r="T316" s="489"/>
      <c r="U316" s="489"/>
      <c r="V316" s="489"/>
      <c r="W316" s="489"/>
      <c r="X316" s="489"/>
      <c r="Y316" s="489"/>
      <c r="Z316" s="489"/>
      <c r="AA316" s="489"/>
    </row>
    <row r="317" hidden="1">
      <c r="A317" s="1444">
        <v>21.0</v>
      </c>
      <c r="B317" s="1483"/>
      <c r="C317" s="1483"/>
      <c r="D317" s="1483"/>
      <c r="E317" s="1483"/>
      <c r="F317" s="1483"/>
      <c r="G317" s="1483"/>
      <c r="H317" s="1483"/>
      <c r="I317" s="1483"/>
      <c r="J317" s="1483"/>
      <c r="K317" s="1442"/>
      <c r="L317" s="1442"/>
      <c r="M317" s="489"/>
      <c r="N317" s="489"/>
      <c r="O317" s="489"/>
      <c r="P317" s="489"/>
      <c r="Q317" s="489"/>
      <c r="R317" s="489"/>
      <c r="S317" s="489"/>
      <c r="T317" s="489"/>
      <c r="U317" s="489"/>
      <c r="V317" s="489"/>
      <c r="W317" s="489"/>
      <c r="X317" s="489"/>
      <c r="Y317" s="489"/>
      <c r="Z317" s="489"/>
      <c r="AA317" s="489"/>
    </row>
    <row r="318" hidden="1">
      <c r="A318" s="1444">
        <v>22.0</v>
      </c>
      <c r="B318" s="1483"/>
      <c r="C318" s="1484" t="s">
        <v>14443</v>
      </c>
      <c r="D318" s="36"/>
      <c r="E318" s="13"/>
      <c r="F318" s="1483"/>
      <c r="G318" s="1483"/>
      <c r="H318" s="1483"/>
      <c r="I318" s="1483"/>
      <c r="J318" s="1483"/>
      <c r="K318" s="1442"/>
      <c r="L318" s="1442"/>
      <c r="M318" s="489"/>
      <c r="N318" s="489"/>
      <c r="O318" s="489"/>
      <c r="P318" s="489"/>
      <c r="Q318" s="489"/>
      <c r="R318" s="489"/>
      <c r="S318" s="489"/>
      <c r="T318" s="489"/>
      <c r="U318" s="489"/>
      <c r="V318" s="489"/>
      <c r="W318" s="489"/>
      <c r="X318" s="489"/>
      <c r="Y318" s="489"/>
      <c r="Z318" s="489"/>
      <c r="AA318" s="489"/>
    </row>
    <row r="319" hidden="1">
      <c r="A319" s="1444">
        <v>23.0</v>
      </c>
      <c r="B319" s="1483"/>
      <c r="C319" s="1483"/>
      <c r="D319" s="1483"/>
      <c r="E319" s="1483"/>
      <c r="F319" s="1483"/>
      <c r="G319" s="1483"/>
      <c r="H319" s="1483"/>
      <c r="I319" s="1483"/>
      <c r="J319" s="1483"/>
      <c r="K319" s="1442"/>
      <c r="L319" s="1442"/>
      <c r="M319" s="489"/>
      <c r="N319" s="489"/>
      <c r="O319" s="489"/>
      <c r="P319" s="489"/>
      <c r="Q319" s="489"/>
      <c r="R319" s="489"/>
      <c r="S319" s="489"/>
      <c r="T319" s="489"/>
      <c r="U319" s="489"/>
      <c r="V319" s="489"/>
      <c r="W319" s="489"/>
      <c r="X319" s="489"/>
      <c r="Y319" s="489"/>
      <c r="Z319" s="489"/>
      <c r="AA319" s="489"/>
    </row>
    <row r="320" hidden="1">
      <c r="A320" s="1444">
        <v>24.0</v>
      </c>
      <c r="B320" s="1483"/>
      <c r="C320" s="1483"/>
      <c r="D320" s="1483"/>
      <c r="E320" s="1483"/>
      <c r="F320" s="1483"/>
      <c r="G320" s="1483"/>
      <c r="H320" s="1483"/>
      <c r="I320" s="1483"/>
      <c r="J320" s="1483"/>
      <c r="K320" s="1442"/>
      <c r="L320" s="1442"/>
      <c r="M320" s="489"/>
      <c r="N320" s="489"/>
      <c r="O320" s="489"/>
      <c r="P320" s="489"/>
      <c r="Q320" s="489"/>
      <c r="R320" s="489"/>
      <c r="S320" s="489"/>
      <c r="T320" s="489"/>
      <c r="U320" s="489"/>
      <c r="V320" s="489"/>
      <c r="W320" s="489"/>
      <c r="X320" s="489"/>
      <c r="Y320" s="489"/>
      <c r="Z320" s="489"/>
      <c r="AA320" s="489"/>
    </row>
    <row r="321" hidden="1">
      <c r="A321" s="1444">
        <v>25.0</v>
      </c>
      <c r="B321" s="1483"/>
      <c r="C321" s="1483"/>
      <c r="D321" s="1483"/>
      <c r="E321" s="1483"/>
      <c r="F321" s="1483"/>
      <c r="G321" s="1483"/>
      <c r="H321" s="1483"/>
      <c r="I321" s="1483"/>
      <c r="J321" s="1483"/>
      <c r="K321" s="1442"/>
      <c r="L321" s="1442"/>
      <c r="M321" s="489"/>
      <c r="N321" s="489"/>
      <c r="O321" s="489"/>
      <c r="P321" s="489"/>
      <c r="Q321" s="489"/>
      <c r="R321" s="489"/>
      <c r="S321" s="489"/>
      <c r="T321" s="489"/>
      <c r="U321" s="489"/>
      <c r="V321" s="489"/>
      <c r="W321" s="489"/>
      <c r="X321" s="489"/>
      <c r="Y321" s="489"/>
      <c r="Z321" s="489"/>
      <c r="AA321" s="489"/>
    </row>
    <row r="322" hidden="1">
      <c r="A322" s="1444">
        <v>26.0</v>
      </c>
      <c r="B322" s="1483"/>
      <c r="C322" s="1483"/>
      <c r="D322" s="1483"/>
      <c r="E322" s="1483"/>
      <c r="F322" s="1483"/>
      <c r="G322" s="1483"/>
      <c r="H322" s="1483"/>
      <c r="I322" s="1483"/>
      <c r="J322" s="1483"/>
      <c r="K322" s="1442"/>
      <c r="L322" s="1442"/>
      <c r="M322" s="489"/>
      <c r="N322" s="489"/>
      <c r="O322" s="489"/>
      <c r="P322" s="489"/>
      <c r="Q322" s="489"/>
      <c r="R322" s="489"/>
      <c r="S322" s="489"/>
      <c r="T322" s="489"/>
      <c r="U322" s="489"/>
      <c r="V322" s="489"/>
      <c r="W322" s="489"/>
      <c r="X322" s="489"/>
      <c r="Y322" s="489"/>
      <c r="Z322" s="489"/>
      <c r="AA322" s="489"/>
    </row>
    <row r="323" hidden="1">
      <c r="A323" s="1444">
        <v>27.0</v>
      </c>
      <c r="B323" s="1483"/>
      <c r="C323" s="1483"/>
      <c r="D323" s="1483"/>
      <c r="E323" s="1483"/>
      <c r="F323" s="1483"/>
      <c r="G323" s="1483"/>
      <c r="H323" s="1483"/>
      <c r="I323" s="1483"/>
      <c r="J323" s="1483"/>
      <c r="K323" s="1442"/>
      <c r="L323" s="1442"/>
      <c r="M323" s="489"/>
      <c r="N323" s="489"/>
      <c r="O323" s="489"/>
      <c r="P323" s="489"/>
      <c r="Q323" s="489"/>
      <c r="R323" s="489"/>
      <c r="S323" s="489"/>
      <c r="T323" s="489"/>
      <c r="U323" s="489"/>
      <c r="V323" s="489"/>
      <c r="W323" s="489"/>
      <c r="X323" s="489"/>
      <c r="Y323" s="489"/>
      <c r="Z323" s="489"/>
      <c r="AA323" s="489"/>
    </row>
    <row r="324" hidden="1">
      <c r="A324" s="1444">
        <v>28.0</v>
      </c>
      <c r="B324" s="1483"/>
      <c r="C324" s="1483"/>
      <c r="D324" s="1483"/>
      <c r="E324" s="1483"/>
      <c r="F324" s="1483"/>
      <c r="G324" s="1483"/>
      <c r="H324" s="1483"/>
      <c r="I324" s="1483"/>
      <c r="J324" s="1483"/>
      <c r="K324" s="1442"/>
      <c r="L324" s="1442"/>
      <c r="M324" s="489"/>
      <c r="N324" s="489"/>
      <c r="O324" s="489"/>
      <c r="P324" s="489"/>
      <c r="Q324" s="489"/>
      <c r="R324" s="489"/>
      <c r="S324" s="489"/>
      <c r="T324" s="489"/>
      <c r="U324" s="489"/>
      <c r="V324" s="489"/>
      <c r="W324" s="489"/>
      <c r="X324" s="489"/>
      <c r="Y324" s="489"/>
      <c r="Z324" s="489"/>
      <c r="AA324" s="489"/>
    </row>
    <row r="325" hidden="1">
      <c r="A325" s="1444">
        <v>29.0</v>
      </c>
      <c r="B325" s="1483"/>
      <c r="C325" s="1483"/>
      <c r="D325" s="1483"/>
      <c r="E325" s="1483"/>
      <c r="F325" s="1483"/>
      <c r="G325" s="1483"/>
      <c r="H325" s="1483"/>
      <c r="I325" s="1483"/>
      <c r="J325" s="1483"/>
      <c r="K325" s="1442"/>
      <c r="L325" s="1442"/>
      <c r="M325" s="489"/>
      <c r="N325" s="489"/>
      <c r="O325" s="489"/>
      <c r="P325" s="489"/>
      <c r="Q325" s="489"/>
      <c r="R325" s="489"/>
      <c r="S325" s="489"/>
      <c r="T325" s="489"/>
      <c r="U325" s="489"/>
      <c r="V325" s="489"/>
      <c r="W325" s="489"/>
      <c r="X325" s="489"/>
      <c r="Y325" s="489"/>
      <c r="Z325" s="489"/>
      <c r="AA325" s="489"/>
    </row>
    <row r="326" hidden="1">
      <c r="A326" s="1444">
        <v>30.0</v>
      </c>
      <c r="B326" s="1483"/>
      <c r="C326" s="1483"/>
      <c r="D326" s="1483"/>
      <c r="E326" s="1483"/>
      <c r="F326" s="1483"/>
      <c r="G326" s="1483"/>
      <c r="H326" s="1483"/>
      <c r="I326" s="1483"/>
      <c r="J326" s="1483"/>
      <c r="K326" s="1442"/>
      <c r="L326" s="1442"/>
      <c r="M326" s="489"/>
      <c r="N326" s="489"/>
      <c r="O326" s="489"/>
      <c r="P326" s="489"/>
      <c r="Q326" s="489"/>
      <c r="R326" s="489"/>
      <c r="S326" s="489"/>
      <c r="T326" s="489"/>
      <c r="U326" s="489"/>
      <c r="V326" s="489"/>
      <c r="W326" s="489"/>
      <c r="X326" s="489"/>
      <c r="Y326" s="489"/>
      <c r="Z326" s="489"/>
      <c r="AA326" s="489"/>
    </row>
    <row r="327" hidden="1">
      <c r="A327" s="1444">
        <v>31.0</v>
      </c>
      <c r="B327" s="1483"/>
      <c r="C327" s="1483"/>
      <c r="D327" s="1483"/>
      <c r="E327" s="1483"/>
      <c r="F327" s="1483"/>
      <c r="G327" s="1483"/>
      <c r="H327" s="1483"/>
      <c r="I327" s="1483"/>
      <c r="J327" s="1483"/>
      <c r="K327" s="1442"/>
      <c r="L327" s="1442"/>
      <c r="M327" s="489"/>
      <c r="N327" s="489"/>
      <c r="O327" s="489"/>
      <c r="P327" s="489"/>
      <c r="Q327" s="489"/>
      <c r="R327" s="489"/>
      <c r="S327" s="489"/>
      <c r="T327" s="489"/>
      <c r="U327" s="489"/>
      <c r="V327" s="489"/>
      <c r="W327" s="489"/>
      <c r="X327" s="489"/>
      <c r="Y327" s="489"/>
      <c r="Z327" s="489"/>
      <c r="AA327" s="489"/>
    </row>
    <row r="328" hidden="1">
      <c r="A328" s="1443" t="s">
        <v>14444</v>
      </c>
      <c r="B328" s="36"/>
      <c r="C328" s="36"/>
      <c r="D328" s="36"/>
      <c r="E328" s="36"/>
      <c r="F328" s="36"/>
      <c r="G328" s="36"/>
      <c r="H328" s="36"/>
      <c r="I328" s="36"/>
      <c r="J328" s="13"/>
      <c r="K328" s="1442"/>
      <c r="L328" s="1442"/>
    </row>
    <row r="329" hidden="1">
      <c r="A329" s="1485">
        <v>1.0</v>
      </c>
      <c r="B329" s="1486"/>
      <c r="C329" s="1486"/>
      <c r="D329" s="1486"/>
      <c r="E329" s="1486"/>
      <c r="F329" s="1486"/>
      <c r="G329" s="1486"/>
      <c r="H329" s="1486"/>
      <c r="I329" s="1486"/>
      <c r="J329" s="1486"/>
      <c r="K329" s="1487"/>
      <c r="L329" s="1487"/>
      <c r="M329" s="1488"/>
      <c r="N329" s="1488"/>
      <c r="O329" s="1488"/>
      <c r="P329" s="1488"/>
      <c r="Q329" s="1488"/>
      <c r="R329" s="1488"/>
      <c r="S329" s="1488"/>
      <c r="T329" s="1488"/>
      <c r="U329" s="1488"/>
      <c r="V329" s="1488"/>
      <c r="W329" s="1488"/>
      <c r="X329" s="1488"/>
      <c r="Y329" s="1488"/>
      <c r="Z329" s="1488"/>
      <c r="AA329" s="1488"/>
    </row>
    <row r="330" hidden="1">
      <c r="A330" s="1485">
        <v>2.0</v>
      </c>
      <c r="B330" s="1486"/>
      <c r="C330" s="1486"/>
      <c r="D330" s="1486"/>
      <c r="E330" s="1486"/>
      <c r="F330" s="1486"/>
      <c r="G330" s="1486"/>
      <c r="H330" s="1486"/>
      <c r="I330" s="1486"/>
      <c r="J330" s="1486"/>
      <c r="K330" s="1487"/>
      <c r="L330" s="1487"/>
      <c r="M330" s="1488"/>
      <c r="N330" s="1488"/>
      <c r="O330" s="1488"/>
      <c r="P330" s="1488"/>
      <c r="Q330" s="1488"/>
      <c r="R330" s="1488"/>
      <c r="S330" s="1488"/>
      <c r="T330" s="1488"/>
      <c r="U330" s="1488"/>
      <c r="V330" s="1488"/>
      <c r="W330" s="1488"/>
      <c r="X330" s="1488"/>
      <c r="Y330" s="1488"/>
      <c r="Z330" s="1488"/>
      <c r="AA330" s="1488"/>
    </row>
    <row r="331" hidden="1">
      <c r="A331" s="1444">
        <v>3.0</v>
      </c>
      <c r="B331" s="1486"/>
      <c r="C331" s="1486"/>
      <c r="D331" s="1486"/>
      <c r="E331" s="1486"/>
      <c r="F331" s="1486"/>
      <c r="G331" s="1486"/>
      <c r="H331" s="1486"/>
      <c r="I331" s="1486"/>
      <c r="J331" s="1486"/>
      <c r="K331" s="1487"/>
      <c r="L331" s="1487"/>
      <c r="M331" s="1488"/>
      <c r="N331" s="1488"/>
      <c r="O331" s="1488"/>
      <c r="P331" s="1488"/>
      <c r="Q331" s="1488"/>
      <c r="R331" s="1488"/>
      <c r="S331" s="1488"/>
      <c r="T331" s="1488"/>
      <c r="U331" s="1488"/>
      <c r="V331" s="1488"/>
      <c r="W331" s="1488"/>
      <c r="X331" s="1488"/>
      <c r="Y331" s="1488"/>
      <c r="Z331" s="1488"/>
      <c r="AA331" s="1488"/>
    </row>
    <row r="332" hidden="1">
      <c r="A332" s="1485">
        <v>4.0</v>
      </c>
      <c r="B332" s="1486"/>
      <c r="C332" s="1486"/>
      <c r="D332" s="1489" t="s">
        <v>14445</v>
      </c>
      <c r="E332" s="1486"/>
      <c r="F332" s="1486"/>
      <c r="G332" s="1486"/>
      <c r="H332" s="1486"/>
      <c r="I332" s="1486"/>
      <c r="J332" s="1486"/>
      <c r="K332" s="1487"/>
      <c r="L332" s="1487"/>
      <c r="M332" s="1488"/>
      <c r="N332" s="1488"/>
      <c r="O332" s="1488"/>
      <c r="P332" s="1488"/>
      <c r="Q332" s="1488"/>
      <c r="R332" s="1488"/>
      <c r="S332" s="1488"/>
      <c r="T332" s="1488"/>
      <c r="U332" s="1488"/>
      <c r="V332" s="1488"/>
      <c r="W332" s="1488"/>
      <c r="X332" s="1488"/>
      <c r="Y332" s="1488"/>
      <c r="Z332" s="1488"/>
      <c r="AA332" s="1488"/>
    </row>
    <row r="333" hidden="1">
      <c r="A333" s="1485">
        <v>5.0</v>
      </c>
      <c r="B333" s="1486"/>
      <c r="C333" s="1486"/>
      <c r="D333" s="1486"/>
      <c r="E333" s="1486"/>
      <c r="F333" s="1486"/>
      <c r="G333" s="1486"/>
      <c r="H333" s="1486"/>
      <c r="I333" s="1486"/>
      <c r="J333" s="1486"/>
      <c r="K333" s="1487"/>
      <c r="L333" s="1487"/>
      <c r="M333" s="1488"/>
      <c r="N333" s="1488"/>
      <c r="O333" s="1488"/>
      <c r="P333" s="1488"/>
      <c r="Q333" s="1488"/>
      <c r="R333" s="1488"/>
      <c r="S333" s="1488"/>
      <c r="T333" s="1488"/>
      <c r="U333" s="1488"/>
      <c r="V333" s="1488"/>
      <c r="W333" s="1488"/>
      <c r="X333" s="1488"/>
      <c r="Y333" s="1488"/>
      <c r="Z333" s="1488"/>
      <c r="AA333" s="1488"/>
    </row>
    <row r="334" hidden="1">
      <c r="A334" s="1444">
        <v>6.0</v>
      </c>
      <c r="B334" s="1486"/>
      <c r="C334" s="1486"/>
      <c r="D334" s="1486"/>
      <c r="E334" s="1486"/>
      <c r="F334" s="1490" t="s">
        <v>14446</v>
      </c>
      <c r="G334" s="1486"/>
      <c r="H334" s="1486"/>
      <c r="I334" s="1486"/>
      <c r="J334" s="1486"/>
      <c r="K334" s="1487"/>
      <c r="L334" s="1487"/>
      <c r="M334" s="1488"/>
      <c r="N334" s="1488"/>
      <c r="O334" s="1488"/>
      <c r="P334" s="1488"/>
      <c r="Q334" s="1488"/>
      <c r="R334" s="1488"/>
      <c r="S334" s="1488"/>
      <c r="T334" s="1488"/>
      <c r="U334" s="1488"/>
      <c r="V334" s="1488"/>
      <c r="W334" s="1488"/>
      <c r="X334" s="1488"/>
      <c r="Y334" s="1488"/>
      <c r="Z334" s="1488"/>
      <c r="AA334" s="1488"/>
    </row>
    <row r="335" hidden="1">
      <c r="A335" s="1485">
        <v>7.0</v>
      </c>
      <c r="B335" s="1486"/>
      <c r="C335" s="1486"/>
      <c r="D335" s="1486"/>
      <c r="E335" s="1486"/>
      <c r="F335" s="1486"/>
      <c r="G335" s="1486"/>
      <c r="H335" s="1486"/>
      <c r="I335" s="1486"/>
      <c r="J335" s="1486"/>
      <c r="K335" s="1487"/>
      <c r="L335" s="1487"/>
      <c r="M335" s="1488"/>
      <c r="N335" s="1488"/>
      <c r="O335" s="1488"/>
      <c r="P335" s="1488"/>
      <c r="Q335" s="1488"/>
      <c r="R335" s="1488"/>
      <c r="S335" s="1488"/>
      <c r="T335" s="1488"/>
      <c r="U335" s="1488"/>
      <c r="V335" s="1488"/>
      <c r="W335" s="1488"/>
      <c r="X335" s="1488"/>
      <c r="Y335" s="1488"/>
      <c r="Z335" s="1488"/>
      <c r="AA335" s="1488"/>
    </row>
    <row r="336" hidden="1">
      <c r="A336" s="1485">
        <v>8.0</v>
      </c>
      <c r="B336" s="1486"/>
      <c r="C336" s="1486"/>
      <c r="D336" s="1486"/>
      <c r="E336" s="1486"/>
      <c r="F336" s="1486"/>
      <c r="G336" s="1490" t="s">
        <v>14447</v>
      </c>
      <c r="H336" s="1486"/>
      <c r="I336" s="1486"/>
      <c r="J336" s="1486"/>
      <c r="K336" s="1487"/>
      <c r="L336" s="1487"/>
      <c r="M336" s="1488"/>
      <c r="N336" s="1488"/>
      <c r="O336" s="1488"/>
      <c r="P336" s="1488"/>
      <c r="Q336" s="1488"/>
      <c r="R336" s="1488"/>
      <c r="S336" s="1488"/>
      <c r="T336" s="1488"/>
      <c r="U336" s="1488"/>
      <c r="V336" s="1488"/>
      <c r="W336" s="1488"/>
      <c r="X336" s="1488"/>
      <c r="Y336" s="1488"/>
      <c r="Z336" s="1488"/>
      <c r="AA336" s="1488"/>
    </row>
    <row r="337" hidden="1">
      <c r="A337" s="1444">
        <v>9.0</v>
      </c>
      <c r="B337" s="1486"/>
      <c r="C337" s="1486"/>
      <c r="D337" s="1490" t="s">
        <v>14448</v>
      </c>
      <c r="E337" s="1486"/>
      <c r="F337" s="1486"/>
      <c r="G337" s="1486"/>
      <c r="H337" s="1486"/>
      <c r="I337" s="1486"/>
      <c r="J337" s="1486"/>
      <c r="K337" s="1487"/>
      <c r="L337" s="1487"/>
      <c r="M337" s="1488"/>
      <c r="N337" s="1488"/>
      <c r="O337" s="1488"/>
      <c r="P337" s="1488"/>
      <c r="Q337" s="1488"/>
      <c r="R337" s="1488"/>
      <c r="S337" s="1488"/>
      <c r="T337" s="1488"/>
      <c r="U337" s="1488"/>
      <c r="V337" s="1488"/>
      <c r="W337" s="1488"/>
      <c r="X337" s="1488"/>
      <c r="Y337" s="1488"/>
      <c r="Z337" s="1488"/>
      <c r="AA337" s="1488"/>
    </row>
    <row r="338" hidden="1">
      <c r="A338" s="1485">
        <v>10.0</v>
      </c>
      <c r="B338" s="1486"/>
      <c r="C338" s="1486"/>
      <c r="D338" s="1486"/>
      <c r="E338" s="1486"/>
      <c r="F338" s="1486"/>
      <c r="G338" s="1486"/>
      <c r="H338" s="1486"/>
      <c r="I338" s="1486"/>
      <c r="J338" s="1486"/>
      <c r="K338" s="1487"/>
      <c r="L338" s="1487"/>
      <c r="M338" s="1488"/>
      <c r="N338" s="1488"/>
      <c r="O338" s="1488"/>
      <c r="P338" s="1488"/>
      <c r="Q338" s="1488"/>
      <c r="R338" s="1488"/>
      <c r="S338" s="1488"/>
      <c r="T338" s="1488"/>
      <c r="U338" s="1488"/>
      <c r="V338" s="1488"/>
      <c r="W338" s="1488"/>
      <c r="X338" s="1488"/>
      <c r="Y338" s="1488"/>
      <c r="Z338" s="1488"/>
      <c r="AA338" s="1488"/>
    </row>
    <row r="339" hidden="1">
      <c r="A339" s="1485">
        <v>11.0</v>
      </c>
      <c r="B339" s="1486"/>
      <c r="C339" s="1486"/>
      <c r="D339" s="1486"/>
      <c r="E339" s="1486"/>
      <c r="F339" s="1486"/>
      <c r="G339" s="1486"/>
      <c r="H339" s="1486"/>
      <c r="I339" s="1486"/>
      <c r="J339" s="1486"/>
      <c r="K339" s="1487"/>
      <c r="L339" s="1487"/>
      <c r="M339" s="1488"/>
      <c r="N339" s="1488"/>
      <c r="O339" s="1488"/>
      <c r="P339" s="1488"/>
      <c r="Q339" s="1488"/>
      <c r="R339" s="1488"/>
      <c r="S339" s="1488"/>
      <c r="T339" s="1488"/>
      <c r="U339" s="1488"/>
      <c r="V339" s="1488"/>
      <c r="W339" s="1488"/>
      <c r="X339" s="1488"/>
      <c r="Y339" s="1488"/>
      <c r="Z339" s="1488"/>
      <c r="AA339" s="1488"/>
    </row>
    <row r="340" hidden="1">
      <c r="A340" s="1444">
        <v>12.0</v>
      </c>
      <c r="B340" s="1486"/>
      <c r="C340" s="1486"/>
      <c r="D340" s="1486"/>
      <c r="E340" s="1486"/>
      <c r="F340" s="1486"/>
      <c r="G340" s="1486"/>
      <c r="H340" s="1486"/>
      <c r="I340" s="1486"/>
      <c r="J340" s="1486"/>
      <c r="K340" s="1487"/>
      <c r="L340" s="1487"/>
      <c r="M340" s="1488"/>
      <c r="N340" s="1488"/>
      <c r="O340" s="1488"/>
      <c r="P340" s="1488"/>
      <c r="Q340" s="1488"/>
      <c r="R340" s="1488"/>
      <c r="S340" s="1488"/>
      <c r="T340" s="1488"/>
      <c r="U340" s="1488"/>
      <c r="V340" s="1488"/>
      <c r="W340" s="1488"/>
      <c r="X340" s="1488"/>
      <c r="Y340" s="1488"/>
      <c r="Z340" s="1488"/>
      <c r="AA340" s="1488"/>
    </row>
    <row r="341" hidden="1">
      <c r="A341" s="1485">
        <v>13.0</v>
      </c>
      <c r="B341" s="1486"/>
      <c r="C341" s="1486"/>
      <c r="D341" s="1486"/>
      <c r="E341" s="1486"/>
      <c r="F341" s="1486"/>
      <c r="G341" s="1491" t="s">
        <v>14449</v>
      </c>
      <c r="H341" s="8"/>
      <c r="I341" s="8"/>
      <c r="J341" s="4"/>
      <c r="K341" s="1487"/>
      <c r="L341" s="1487"/>
      <c r="M341" s="1488"/>
      <c r="N341" s="1488"/>
      <c r="O341" s="1488"/>
      <c r="P341" s="1488"/>
      <c r="Q341" s="1488"/>
      <c r="R341" s="1488"/>
      <c r="S341" s="1488"/>
      <c r="T341" s="1488"/>
      <c r="U341" s="1488"/>
      <c r="V341" s="1488"/>
      <c r="W341" s="1488"/>
      <c r="X341" s="1488"/>
      <c r="Y341" s="1488"/>
      <c r="Z341" s="1488"/>
      <c r="AA341" s="1488"/>
    </row>
    <row r="342" hidden="1">
      <c r="A342" s="1485">
        <v>14.0</v>
      </c>
      <c r="B342" s="1486"/>
      <c r="C342" s="1486"/>
      <c r="D342" s="1486"/>
      <c r="E342" s="1486"/>
      <c r="F342" s="1486"/>
      <c r="G342" s="64"/>
      <c r="H342" s="64"/>
      <c r="I342" s="64"/>
      <c r="J342" s="72"/>
      <c r="K342" s="1487"/>
      <c r="L342" s="1487"/>
      <c r="M342" s="1488"/>
      <c r="N342" s="1488"/>
      <c r="O342" s="1488"/>
      <c r="P342" s="1488"/>
      <c r="Q342" s="1488"/>
      <c r="R342" s="1488"/>
      <c r="S342" s="1488"/>
      <c r="T342" s="1488"/>
      <c r="U342" s="1488"/>
      <c r="V342" s="1488"/>
      <c r="W342" s="1488"/>
      <c r="X342" s="1488"/>
      <c r="Y342" s="1488"/>
      <c r="Z342" s="1488"/>
      <c r="AA342" s="1488"/>
    </row>
    <row r="343" hidden="1">
      <c r="A343" s="1485">
        <v>14.0</v>
      </c>
      <c r="B343" s="1486"/>
      <c r="C343" s="1486"/>
      <c r="D343" s="1486"/>
      <c r="E343" s="1492"/>
      <c r="F343" s="36"/>
      <c r="G343" s="13"/>
      <c r="H343" s="1486"/>
      <c r="I343" s="1486"/>
      <c r="J343" s="1486"/>
      <c r="K343" s="1487"/>
      <c r="L343" s="1487"/>
      <c r="M343" s="1488"/>
      <c r="N343" s="1488"/>
      <c r="O343" s="1488"/>
      <c r="P343" s="1488"/>
      <c r="Q343" s="1488"/>
      <c r="R343" s="1488"/>
      <c r="S343" s="1488"/>
      <c r="T343" s="1488"/>
      <c r="U343" s="1488"/>
      <c r="V343" s="1488"/>
      <c r="W343" s="1488"/>
      <c r="X343" s="1488"/>
      <c r="Y343" s="1488"/>
      <c r="Z343" s="1488"/>
      <c r="AA343" s="1488"/>
    </row>
    <row r="344" hidden="1">
      <c r="A344" s="1444">
        <v>15.0</v>
      </c>
      <c r="B344" s="1486"/>
      <c r="C344" s="1486"/>
      <c r="D344" s="1486"/>
      <c r="E344" s="1490" t="s">
        <v>14450</v>
      </c>
      <c r="F344" s="1486"/>
      <c r="G344" s="1486"/>
      <c r="H344" s="1486"/>
      <c r="I344" s="1486"/>
      <c r="J344" s="1486"/>
      <c r="K344" s="1487"/>
      <c r="L344" s="1487"/>
      <c r="M344" s="1488"/>
      <c r="N344" s="1488"/>
      <c r="O344" s="1488"/>
      <c r="P344" s="1488"/>
      <c r="Q344" s="1488"/>
      <c r="R344" s="1488"/>
      <c r="S344" s="1488"/>
      <c r="T344" s="1488"/>
      <c r="U344" s="1488"/>
      <c r="V344" s="1488"/>
      <c r="W344" s="1488"/>
      <c r="X344" s="1488"/>
      <c r="Y344" s="1488"/>
      <c r="Z344" s="1488"/>
      <c r="AA344" s="1488"/>
    </row>
    <row r="345" hidden="1">
      <c r="A345" s="1485">
        <v>16.0</v>
      </c>
      <c r="B345" s="1486"/>
      <c r="C345" s="1486"/>
      <c r="D345" s="1486"/>
      <c r="E345" s="1486"/>
      <c r="F345" s="1486"/>
      <c r="G345" s="1486"/>
      <c r="H345" s="1486"/>
      <c r="I345" s="1486"/>
      <c r="J345" s="1486"/>
      <c r="K345" s="1487"/>
      <c r="L345" s="1487"/>
      <c r="M345" s="1488"/>
      <c r="N345" s="1488"/>
      <c r="O345" s="1488"/>
      <c r="P345" s="1488"/>
      <c r="Q345" s="1488"/>
      <c r="R345" s="1488"/>
      <c r="S345" s="1488"/>
      <c r="T345" s="1488"/>
      <c r="U345" s="1488"/>
      <c r="V345" s="1488"/>
      <c r="W345" s="1488"/>
      <c r="X345" s="1488"/>
      <c r="Y345" s="1488"/>
      <c r="Z345" s="1488"/>
      <c r="AA345" s="1488"/>
    </row>
    <row r="346" hidden="1">
      <c r="A346" s="1485">
        <v>17.0</v>
      </c>
      <c r="B346" s="1486"/>
      <c r="C346" s="1486"/>
      <c r="D346" s="1486"/>
      <c r="E346" s="1486"/>
      <c r="F346" s="1486"/>
      <c r="G346" s="1486"/>
      <c r="H346" s="1486"/>
      <c r="I346" s="1486"/>
      <c r="J346" s="1486"/>
      <c r="K346" s="1487"/>
      <c r="L346" s="1487"/>
      <c r="M346" s="1488"/>
      <c r="N346" s="1488"/>
      <c r="O346" s="1488"/>
      <c r="P346" s="1488"/>
      <c r="Q346" s="1488"/>
      <c r="R346" s="1488"/>
      <c r="S346" s="1488"/>
      <c r="T346" s="1488"/>
      <c r="U346" s="1488"/>
      <c r="V346" s="1488"/>
      <c r="W346" s="1488"/>
      <c r="X346" s="1488"/>
      <c r="Y346" s="1488"/>
      <c r="Z346" s="1488"/>
      <c r="AA346" s="1488"/>
    </row>
    <row r="347" hidden="1">
      <c r="A347" s="1444">
        <v>19.0</v>
      </c>
      <c r="B347" s="1486"/>
      <c r="C347" s="1493" t="s">
        <v>14451</v>
      </c>
      <c r="D347" s="36"/>
      <c r="E347" s="36"/>
      <c r="F347" s="36"/>
      <c r="G347" s="36"/>
      <c r="H347" s="36"/>
      <c r="I347" s="36"/>
      <c r="J347" s="13"/>
      <c r="K347" s="1487"/>
      <c r="L347" s="1487"/>
      <c r="M347" s="1488"/>
      <c r="N347" s="1488"/>
      <c r="O347" s="1488"/>
      <c r="P347" s="1488"/>
      <c r="Q347" s="1488"/>
      <c r="R347" s="1488"/>
      <c r="S347" s="1488"/>
      <c r="T347" s="1488"/>
      <c r="U347" s="1488"/>
      <c r="V347" s="1488"/>
      <c r="W347" s="1488"/>
      <c r="X347" s="1488"/>
      <c r="Y347" s="1488"/>
      <c r="Z347" s="1488"/>
      <c r="AA347" s="1488"/>
    </row>
    <row r="348" hidden="1">
      <c r="A348" s="1485">
        <v>20.0</v>
      </c>
      <c r="B348" s="1486"/>
      <c r="C348" s="1494" t="s">
        <v>14452</v>
      </c>
      <c r="D348" s="8"/>
      <c r="E348" s="8"/>
      <c r="F348" s="8"/>
      <c r="G348" s="8"/>
      <c r="H348" s="8"/>
      <c r="I348" s="8"/>
      <c r="J348" s="4"/>
      <c r="K348" s="1487"/>
      <c r="L348" s="1487"/>
      <c r="M348" s="1488"/>
      <c r="N348" s="1488"/>
      <c r="O348" s="1488"/>
      <c r="P348" s="1488"/>
      <c r="Q348" s="1488"/>
      <c r="R348" s="1488"/>
      <c r="S348" s="1488"/>
      <c r="T348" s="1488"/>
      <c r="U348" s="1488"/>
      <c r="V348" s="1488"/>
      <c r="W348" s="1488"/>
      <c r="X348" s="1488"/>
      <c r="Y348" s="1488"/>
      <c r="Z348" s="1488"/>
      <c r="AA348" s="1488"/>
    </row>
    <row r="349" hidden="1">
      <c r="A349" s="1485">
        <v>25.0</v>
      </c>
      <c r="B349" s="1486"/>
      <c r="C349" s="64"/>
      <c r="D349" s="64"/>
      <c r="E349" s="64"/>
      <c r="F349" s="64"/>
      <c r="G349" s="64"/>
      <c r="H349" s="64"/>
      <c r="I349" s="64"/>
      <c r="J349" s="72"/>
      <c r="K349" s="1487"/>
      <c r="L349" s="1487"/>
      <c r="M349" s="1488"/>
      <c r="N349" s="1488"/>
      <c r="O349" s="1488"/>
      <c r="P349" s="1488"/>
      <c r="Q349" s="1488"/>
      <c r="R349" s="1488"/>
      <c r="S349" s="1488"/>
      <c r="T349" s="1488"/>
      <c r="U349" s="1488"/>
      <c r="V349" s="1488"/>
      <c r="W349" s="1488"/>
      <c r="X349" s="1488"/>
      <c r="Y349" s="1488"/>
      <c r="Z349" s="1488"/>
      <c r="AA349" s="1488"/>
    </row>
    <row r="350" hidden="1">
      <c r="A350" s="1495">
        <v>26.0</v>
      </c>
      <c r="B350" s="1496" t="s">
        <v>14453</v>
      </c>
      <c r="C350" s="36"/>
      <c r="D350" s="36"/>
      <c r="E350" s="36"/>
      <c r="F350" s="36"/>
      <c r="G350" s="36"/>
      <c r="H350" s="36"/>
      <c r="I350" s="36"/>
      <c r="J350" s="13"/>
      <c r="K350" s="1487"/>
      <c r="L350" s="1487"/>
      <c r="M350" s="1078"/>
      <c r="N350" s="1078"/>
      <c r="O350" s="1078"/>
      <c r="P350" s="1078"/>
      <c r="Q350" s="1078"/>
      <c r="R350" s="1078"/>
      <c r="S350" s="1078"/>
      <c r="T350" s="1078"/>
      <c r="U350" s="1078"/>
      <c r="V350" s="1078"/>
      <c r="W350" s="1078"/>
      <c r="X350" s="1078"/>
      <c r="Y350" s="1078"/>
      <c r="Z350" s="1078"/>
      <c r="AA350" s="1078"/>
    </row>
    <row r="351" hidden="1">
      <c r="A351" s="1497">
        <v>27.0</v>
      </c>
      <c r="B351" s="1498"/>
      <c r="C351" s="1498"/>
      <c r="D351" s="1498"/>
      <c r="E351" s="1498"/>
      <c r="F351" s="1498"/>
      <c r="G351" s="1498"/>
      <c r="H351" s="1498"/>
      <c r="I351" s="1498"/>
      <c r="J351" s="1498"/>
      <c r="K351" s="1442"/>
      <c r="L351" s="1442"/>
    </row>
    <row r="352" hidden="1">
      <c r="A352" s="1497">
        <v>28.0</v>
      </c>
      <c r="B352" s="1498"/>
      <c r="C352" s="1498"/>
      <c r="D352" s="1498"/>
      <c r="E352" s="1498"/>
      <c r="F352" s="1498"/>
      <c r="G352" s="1498"/>
      <c r="H352" s="1498"/>
      <c r="I352" s="1498"/>
      <c r="J352" s="1498"/>
      <c r="K352" s="1442"/>
      <c r="L352" s="1442"/>
    </row>
    <row r="353" hidden="1">
      <c r="A353" s="1443" t="s">
        <v>12641</v>
      </c>
      <c r="B353" s="36"/>
      <c r="C353" s="36"/>
      <c r="D353" s="36"/>
      <c r="E353" s="36"/>
      <c r="F353" s="36"/>
      <c r="G353" s="36"/>
      <c r="H353" s="36"/>
      <c r="I353" s="36"/>
      <c r="J353" s="13"/>
      <c r="K353" s="1442"/>
      <c r="L353" s="1442"/>
    </row>
    <row r="354" hidden="1">
      <c r="A354" s="1485">
        <v>1.0</v>
      </c>
      <c r="B354" s="1483"/>
      <c r="C354" s="1483"/>
      <c r="D354" s="1483"/>
      <c r="E354" s="1483"/>
      <c r="F354" s="1483"/>
      <c r="G354" s="1483"/>
      <c r="H354" s="1483"/>
      <c r="I354" s="1483"/>
      <c r="J354" s="1483"/>
      <c r="K354" s="1442"/>
      <c r="L354" s="1442"/>
      <c r="M354" s="489"/>
      <c r="N354" s="489"/>
      <c r="O354" s="489"/>
      <c r="P354" s="489"/>
      <c r="Q354" s="489"/>
      <c r="R354" s="489"/>
      <c r="S354" s="489"/>
      <c r="T354" s="489"/>
      <c r="U354" s="489"/>
      <c r="V354" s="489"/>
      <c r="W354" s="489"/>
      <c r="X354" s="489"/>
      <c r="Y354" s="489"/>
      <c r="Z354" s="489"/>
      <c r="AA354" s="489"/>
    </row>
    <row r="355" hidden="1">
      <c r="A355" s="1485">
        <v>2.0</v>
      </c>
      <c r="B355" s="1483"/>
      <c r="C355" s="1483"/>
      <c r="D355" s="1483"/>
      <c r="E355" s="1483"/>
      <c r="F355" s="1483"/>
      <c r="G355" s="1483"/>
      <c r="H355" s="1483"/>
      <c r="I355" s="1483"/>
      <c r="J355" s="1483"/>
      <c r="K355" s="1442"/>
      <c r="L355" s="1442"/>
      <c r="M355" s="489"/>
      <c r="N355" s="489"/>
      <c r="O355" s="489"/>
      <c r="P355" s="489"/>
      <c r="Q355" s="489"/>
      <c r="R355" s="489"/>
      <c r="S355" s="489"/>
      <c r="T355" s="489"/>
      <c r="U355" s="489"/>
      <c r="V355" s="489"/>
      <c r="W355" s="489"/>
      <c r="X355" s="489"/>
      <c r="Y355" s="489"/>
      <c r="Z355" s="489"/>
      <c r="AA355" s="489"/>
    </row>
    <row r="356" hidden="1">
      <c r="A356" s="1485">
        <v>3.0</v>
      </c>
      <c r="B356" s="1483"/>
      <c r="C356" s="1483"/>
      <c r="D356" s="1483"/>
      <c r="E356" s="1483"/>
      <c r="F356" s="1483"/>
      <c r="G356" s="1483"/>
      <c r="H356" s="1483"/>
      <c r="I356" s="1483"/>
      <c r="J356" s="1483"/>
      <c r="K356" s="1442"/>
      <c r="L356" s="1442"/>
      <c r="M356" s="489"/>
      <c r="N356" s="489"/>
      <c r="O356" s="489"/>
      <c r="P356" s="489"/>
      <c r="Q356" s="489"/>
      <c r="R356" s="489"/>
      <c r="S356" s="489"/>
      <c r="T356" s="489"/>
      <c r="U356" s="489"/>
      <c r="V356" s="489"/>
      <c r="W356" s="489"/>
      <c r="X356" s="489"/>
      <c r="Y356" s="489"/>
      <c r="Z356" s="489"/>
      <c r="AA356" s="489"/>
    </row>
    <row r="357" hidden="1">
      <c r="A357" s="1485">
        <v>4.0</v>
      </c>
      <c r="B357" s="1483"/>
      <c r="C357" s="1483"/>
      <c r="D357" s="1483"/>
      <c r="E357" s="1483"/>
      <c r="F357" s="1483"/>
      <c r="G357" s="1483"/>
      <c r="H357" s="1483"/>
      <c r="I357" s="1483"/>
      <c r="J357" s="1483"/>
      <c r="K357" s="1442"/>
      <c r="L357" s="1442"/>
      <c r="M357" s="489"/>
      <c r="N357" s="489"/>
      <c r="O357" s="489"/>
      <c r="P357" s="489"/>
      <c r="Q357" s="489"/>
      <c r="R357" s="489"/>
      <c r="S357" s="489"/>
      <c r="T357" s="489"/>
      <c r="U357" s="489"/>
      <c r="V357" s="489"/>
      <c r="W357" s="489"/>
      <c r="X357" s="489"/>
      <c r="Y357" s="489"/>
      <c r="Z357" s="489"/>
      <c r="AA357" s="489"/>
    </row>
    <row r="358" hidden="1">
      <c r="A358" s="1485">
        <v>5.0</v>
      </c>
      <c r="B358" s="1483"/>
      <c r="C358" s="1483"/>
      <c r="D358" s="1483"/>
      <c r="E358" s="1483"/>
      <c r="F358" s="1483"/>
      <c r="G358" s="1483"/>
      <c r="H358" s="1483"/>
      <c r="I358" s="1483"/>
      <c r="J358" s="1483"/>
      <c r="K358" s="1442"/>
      <c r="L358" s="1442"/>
      <c r="M358" s="489"/>
      <c r="N358" s="489"/>
      <c r="O358" s="489"/>
      <c r="P358" s="489"/>
      <c r="Q358" s="489"/>
      <c r="R358" s="489"/>
      <c r="S358" s="489"/>
      <c r="T358" s="489"/>
      <c r="U358" s="489"/>
      <c r="V358" s="489"/>
      <c r="W358" s="489"/>
      <c r="X358" s="489"/>
      <c r="Y358" s="489"/>
      <c r="Z358" s="489"/>
      <c r="AA358" s="489"/>
    </row>
    <row r="359" hidden="1">
      <c r="A359" s="1485">
        <v>6.0</v>
      </c>
      <c r="B359" s="1483"/>
      <c r="C359" s="1483"/>
      <c r="D359" s="1483"/>
      <c r="E359" s="1483"/>
      <c r="F359" s="1483"/>
      <c r="G359" s="1483"/>
      <c r="H359" s="1483"/>
      <c r="I359" s="1483"/>
      <c r="J359" s="1483"/>
      <c r="K359" s="1442"/>
      <c r="L359" s="1442"/>
      <c r="M359" s="489"/>
      <c r="N359" s="489"/>
      <c r="O359" s="489"/>
      <c r="P359" s="489"/>
      <c r="Q359" s="489"/>
      <c r="R359" s="489"/>
      <c r="S359" s="489"/>
      <c r="T359" s="489"/>
      <c r="U359" s="489"/>
      <c r="V359" s="489"/>
      <c r="W359" s="489"/>
      <c r="X359" s="489"/>
      <c r="Y359" s="489"/>
      <c r="Z359" s="489"/>
      <c r="AA359" s="489"/>
    </row>
    <row r="360" hidden="1">
      <c r="A360" s="1485">
        <v>7.0</v>
      </c>
      <c r="B360" s="1483"/>
      <c r="C360" s="1483"/>
      <c r="D360" s="1483"/>
      <c r="E360" s="1483"/>
      <c r="F360" s="1483"/>
      <c r="G360" s="1483"/>
      <c r="H360" s="1483"/>
      <c r="I360" s="1483"/>
      <c r="J360" s="1483"/>
      <c r="K360" s="1442"/>
      <c r="L360" s="1442"/>
      <c r="M360" s="489"/>
      <c r="N360" s="489"/>
      <c r="O360" s="489"/>
      <c r="P360" s="489"/>
      <c r="Q360" s="489"/>
      <c r="R360" s="489"/>
      <c r="S360" s="489"/>
      <c r="T360" s="489"/>
      <c r="U360" s="489"/>
      <c r="V360" s="489"/>
      <c r="W360" s="489"/>
      <c r="X360" s="489"/>
      <c r="Y360" s="489"/>
      <c r="Z360" s="489"/>
      <c r="AA360" s="489"/>
    </row>
    <row r="361" hidden="1">
      <c r="A361" s="1485">
        <v>8.0</v>
      </c>
      <c r="B361" s="1483"/>
      <c r="C361" s="1483"/>
      <c r="D361" s="1483"/>
      <c r="E361" s="1483"/>
      <c r="F361" s="1483"/>
      <c r="G361" s="1483"/>
      <c r="H361" s="1483"/>
      <c r="I361" s="1483"/>
      <c r="J361" s="1483"/>
      <c r="K361" s="1442"/>
      <c r="L361" s="1442"/>
      <c r="M361" s="489"/>
      <c r="N361" s="489"/>
      <c r="O361" s="489"/>
      <c r="P361" s="489"/>
      <c r="Q361" s="489"/>
      <c r="R361" s="489"/>
      <c r="S361" s="489"/>
      <c r="T361" s="489"/>
      <c r="U361" s="489"/>
      <c r="V361" s="489"/>
      <c r="W361" s="489"/>
      <c r="X361" s="489"/>
      <c r="Y361" s="489"/>
      <c r="Z361" s="489"/>
      <c r="AA361" s="489"/>
    </row>
    <row r="362" hidden="1">
      <c r="A362" s="1485">
        <v>9.0</v>
      </c>
      <c r="B362" s="1483"/>
      <c r="C362" s="1483"/>
      <c r="D362" s="1483"/>
      <c r="E362" s="1499" t="s">
        <v>14454</v>
      </c>
      <c r="F362" s="8"/>
      <c r="G362" s="4"/>
      <c r="H362" s="1483"/>
      <c r="I362" s="1483"/>
      <c r="J362" s="1483"/>
      <c r="K362" s="1442"/>
      <c r="L362" s="1442"/>
      <c r="M362" s="489"/>
      <c r="N362" s="489"/>
      <c r="O362" s="489"/>
      <c r="P362" s="489"/>
      <c r="Q362" s="489"/>
      <c r="R362" s="489"/>
      <c r="S362" s="489"/>
      <c r="T362" s="489"/>
      <c r="U362" s="489"/>
      <c r="V362" s="489"/>
      <c r="W362" s="489"/>
      <c r="X362" s="489"/>
      <c r="Y362" s="489"/>
      <c r="Z362" s="489"/>
      <c r="AA362" s="489"/>
    </row>
    <row r="363" hidden="1">
      <c r="A363" s="1485">
        <v>10.0</v>
      </c>
      <c r="B363" s="1500" t="s">
        <v>14455</v>
      </c>
      <c r="C363" s="1483"/>
      <c r="D363" s="1483"/>
      <c r="E363" s="104"/>
      <c r="F363" s="64"/>
      <c r="G363" s="72"/>
      <c r="H363" s="1483"/>
      <c r="I363" s="1483"/>
      <c r="J363" s="1500" t="s">
        <v>14456</v>
      </c>
      <c r="K363" s="1442"/>
      <c r="L363" s="1442"/>
      <c r="M363" s="489"/>
      <c r="N363" s="489"/>
      <c r="O363" s="489"/>
      <c r="P363" s="489"/>
      <c r="Q363" s="489"/>
      <c r="R363" s="489"/>
      <c r="S363" s="489"/>
      <c r="T363" s="489"/>
      <c r="U363" s="489"/>
      <c r="V363" s="489"/>
      <c r="W363" s="489"/>
      <c r="X363" s="489"/>
      <c r="Y363" s="489"/>
      <c r="Z363" s="489"/>
      <c r="AA363" s="489"/>
    </row>
    <row r="364" hidden="1">
      <c r="A364" s="1485">
        <v>11.0</v>
      </c>
      <c r="B364" s="173"/>
      <c r="C364" s="1483"/>
      <c r="D364" s="1483"/>
      <c r="E364" s="1483"/>
      <c r="F364" s="1483"/>
      <c r="G364" s="1483"/>
      <c r="H364" s="1483"/>
      <c r="I364" s="1483"/>
      <c r="J364" s="1501"/>
      <c r="K364" s="1442"/>
      <c r="L364" s="1442"/>
      <c r="M364" s="489"/>
      <c r="N364" s="489"/>
      <c r="O364" s="489"/>
      <c r="P364" s="489"/>
      <c r="Q364" s="489"/>
      <c r="R364" s="489"/>
      <c r="S364" s="489"/>
      <c r="T364" s="489"/>
      <c r="U364" s="489"/>
      <c r="V364" s="489"/>
      <c r="W364" s="489"/>
      <c r="X364" s="489"/>
      <c r="Y364" s="489"/>
      <c r="Z364" s="489"/>
      <c r="AA364" s="489"/>
    </row>
    <row r="365" hidden="1">
      <c r="A365" s="1485">
        <v>12.0</v>
      </c>
      <c r="B365" s="1483"/>
      <c r="C365" s="1483"/>
      <c r="D365" s="1483"/>
      <c r="E365" s="1483"/>
      <c r="F365" s="1484" t="s">
        <v>14457</v>
      </c>
      <c r="G365" s="36"/>
      <c r="H365" s="36"/>
      <c r="I365" s="36"/>
      <c r="J365" s="13"/>
      <c r="K365" s="1442"/>
      <c r="L365" s="1442"/>
      <c r="M365" s="489"/>
      <c r="N365" s="489"/>
      <c r="O365" s="489"/>
      <c r="P365" s="489"/>
      <c r="Q365" s="489"/>
      <c r="R365" s="489"/>
      <c r="S365" s="489"/>
      <c r="T365" s="489"/>
      <c r="U365" s="489"/>
      <c r="V365" s="489"/>
      <c r="W365" s="489"/>
      <c r="X365" s="489"/>
      <c r="Y365" s="489"/>
      <c r="Z365" s="489"/>
      <c r="AA365" s="489"/>
    </row>
    <row r="366" hidden="1">
      <c r="A366" s="1485">
        <v>13.0</v>
      </c>
      <c r="B366" s="1483"/>
      <c r="C366" s="1502"/>
      <c r="D366" s="1483"/>
      <c r="E366" s="1483"/>
      <c r="F366" s="1483"/>
      <c r="G366" s="1483"/>
      <c r="H366" s="1483"/>
      <c r="I366" s="1483"/>
      <c r="J366" s="1483"/>
      <c r="K366" s="1442"/>
      <c r="L366" s="1442"/>
      <c r="M366" s="489"/>
      <c r="N366" s="489"/>
      <c r="O366" s="489"/>
      <c r="P366" s="489"/>
      <c r="Q366" s="489"/>
      <c r="R366" s="489"/>
      <c r="S366" s="489"/>
      <c r="T366" s="489"/>
      <c r="U366" s="489"/>
      <c r="V366" s="489"/>
      <c r="W366" s="489"/>
      <c r="X366" s="489"/>
      <c r="Y366" s="489"/>
      <c r="Z366" s="489"/>
      <c r="AA366" s="489"/>
    </row>
    <row r="367" hidden="1">
      <c r="A367" s="1485">
        <v>14.0</v>
      </c>
      <c r="B367" s="1483"/>
      <c r="C367" s="1483"/>
      <c r="D367" s="1483"/>
      <c r="E367" s="1483"/>
      <c r="F367" s="1483"/>
      <c r="G367" s="1483"/>
      <c r="H367" s="1483"/>
      <c r="I367" s="1483"/>
      <c r="J367" s="1483"/>
      <c r="K367" s="1442"/>
      <c r="L367" s="1442"/>
      <c r="M367" s="489"/>
      <c r="N367" s="489"/>
      <c r="O367" s="489"/>
      <c r="P367" s="489"/>
      <c r="Q367" s="489"/>
      <c r="R367" s="489"/>
      <c r="S367" s="489"/>
      <c r="T367" s="489"/>
      <c r="U367" s="489"/>
      <c r="V367" s="489"/>
      <c r="W367" s="489"/>
      <c r="X367" s="489"/>
      <c r="Y367" s="489"/>
      <c r="Z367" s="489"/>
      <c r="AA367" s="489"/>
    </row>
    <row r="368" hidden="1">
      <c r="A368" s="1485">
        <v>15.0</v>
      </c>
      <c r="B368" s="1483"/>
      <c r="C368" s="1483"/>
      <c r="D368" s="1483"/>
      <c r="E368" s="1483"/>
      <c r="F368" s="1483"/>
      <c r="G368" s="1483"/>
      <c r="H368" s="1483"/>
      <c r="I368" s="1483"/>
      <c r="J368" s="1483"/>
      <c r="K368" s="1442"/>
      <c r="L368" s="1442"/>
      <c r="M368" s="489"/>
      <c r="N368" s="489"/>
      <c r="O368" s="489"/>
      <c r="P368" s="489"/>
      <c r="Q368" s="489"/>
      <c r="R368" s="489"/>
      <c r="S368" s="489"/>
      <c r="T368" s="489"/>
      <c r="U368" s="489"/>
      <c r="V368" s="489"/>
      <c r="W368" s="489"/>
      <c r="X368" s="489"/>
      <c r="Y368" s="489"/>
      <c r="Z368" s="489"/>
      <c r="AA368" s="489"/>
    </row>
    <row r="369" hidden="1">
      <c r="A369" s="1485">
        <v>16.0</v>
      </c>
      <c r="B369" s="1483"/>
      <c r="C369" s="1483"/>
      <c r="D369" s="1483"/>
      <c r="E369" s="1483"/>
      <c r="F369" s="1483"/>
      <c r="G369" s="1483"/>
      <c r="H369" s="1483"/>
      <c r="I369" s="1483"/>
      <c r="J369" s="1483"/>
      <c r="K369" s="1442"/>
      <c r="L369" s="1442"/>
      <c r="M369" s="489"/>
      <c r="N369" s="489"/>
      <c r="O369" s="489"/>
      <c r="P369" s="489"/>
      <c r="Q369" s="489"/>
      <c r="R369" s="489"/>
      <c r="S369" s="489"/>
      <c r="T369" s="489"/>
      <c r="U369" s="489"/>
      <c r="V369" s="489"/>
      <c r="W369" s="489"/>
      <c r="X369" s="489"/>
      <c r="Y369" s="489"/>
      <c r="Z369" s="489"/>
      <c r="AA369" s="489"/>
    </row>
    <row r="370" hidden="1">
      <c r="A370" s="1485">
        <v>17.0</v>
      </c>
      <c r="B370" s="1483"/>
      <c r="C370" s="1483"/>
      <c r="D370" s="1483"/>
      <c r="E370" s="1483"/>
      <c r="F370" s="1483"/>
      <c r="G370" s="1483"/>
      <c r="H370" s="1483"/>
      <c r="I370" s="1483"/>
      <c r="J370" s="1483"/>
      <c r="K370" s="1442"/>
      <c r="L370" s="1442"/>
      <c r="M370" s="489"/>
      <c r="N370" s="489"/>
      <c r="O370" s="489"/>
      <c r="P370" s="489"/>
      <c r="Q370" s="489"/>
      <c r="R370" s="489"/>
      <c r="S370" s="489"/>
      <c r="T370" s="489"/>
      <c r="U370" s="489"/>
      <c r="V370" s="489"/>
      <c r="W370" s="489"/>
      <c r="X370" s="489"/>
      <c r="Y370" s="489"/>
      <c r="Z370" s="489"/>
      <c r="AA370" s="489"/>
    </row>
    <row r="371" hidden="1">
      <c r="A371" s="1485">
        <v>18.0</v>
      </c>
      <c r="B371" s="1503" t="s">
        <v>14458</v>
      </c>
      <c r="C371" s="1483"/>
      <c r="D371" s="1483"/>
      <c r="E371" s="1483"/>
      <c r="F371" s="1483"/>
      <c r="G371" s="1483"/>
      <c r="H371" s="1483"/>
      <c r="I371" s="1483"/>
      <c r="J371" s="1500" t="s">
        <v>14459</v>
      </c>
      <c r="K371" s="1442"/>
      <c r="L371" s="1442"/>
      <c r="M371" s="489"/>
      <c r="N371" s="489"/>
      <c r="O371" s="489"/>
      <c r="P371" s="489"/>
      <c r="Q371" s="489"/>
      <c r="R371" s="489"/>
      <c r="S371" s="489"/>
      <c r="T371" s="489"/>
      <c r="U371" s="489"/>
      <c r="V371" s="489"/>
      <c r="W371" s="489"/>
      <c r="X371" s="489"/>
      <c r="Y371" s="489"/>
      <c r="Z371" s="489"/>
      <c r="AA371" s="489"/>
    </row>
    <row r="372" hidden="1">
      <c r="A372" s="1485">
        <v>19.0</v>
      </c>
      <c r="B372" s="1501"/>
      <c r="C372" s="1483"/>
      <c r="D372" s="1483"/>
      <c r="E372" s="1483"/>
      <c r="F372" s="1483"/>
      <c r="G372" s="1483"/>
      <c r="H372" s="1483"/>
      <c r="I372" s="1483"/>
      <c r="J372" s="1483"/>
      <c r="K372" s="1442"/>
      <c r="L372" s="1442"/>
      <c r="M372" s="489"/>
      <c r="N372" s="489"/>
      <c r="O372" s="489"/>
      <c r="P372" s="489"/>
      <c r="Q372" s="489"/>
      <c r="R372" s="489"/>
      <c r="S372" s="489"/>
      <c r="T372" s="489"/>
      <c r="U372" s="489"/>
      <c r="V372" s="489"/>
      <c r="W372" s="489"/>
      <c r="X372" s="489"/>
      <c r="Y372" s="489"/>
      <c r="Z372" s="489"/>
      <c r="AA372" s="489"/>
    </row>
    <row r="373" hidden="1">
      <c r="A373" s="1485">
        <v>20.0</v>
      </c>
      <c r="B373" s="1483"/>
      <c r="C373" s="1483"/>
      <c r="D373" s="1483"/>
      <c r="E373" s="1483"/>
      <c r="F373" s="1483"/>
      <c r="G373" s="1483"/>
      <c r="H373" s="1483"/>
      <c r="I373" s="1483"/>
      <c r="J373" s="1483"/>
      <c r="K373" s="1442"/>
      <c r="L373" s="1442"/>
      <c r="M373" s="489"/>
      <c r="N373" s="489"/>
      <c r="O373" s="489"/>
      <c r="P373" s="489"/>
      <c r="Q373" s="489"/>
      <c r="R373" s="489"/>
      <c r="S373" s="489"/>
      <c r="T373" s="489"/>
      <c r="U373" s="489"/>
      <c r="V373" s="489"/>
      <c r="W373" s="489"/>
      <c r="X373" s="489"/>
      <c r="Y373" s="489"/>
      <c r="Z373" s="489"/>
      <c r="AA373" s="489"/>
    </row>
    <row r="374" hidden="1">
      <c r="A374" s="1485">
        <v>21.0</v>
      </c>
      <c r="B374" s="1483"/>
      <c r="C374" s="1483"/>
      <c r="D374" s="1483"/>
      <c r="E374" s="1483"/>
      <c r="F374" s="1483"/>
      <c r="G374" s="1483"/>
      <c r="H374" s="1483"/>
      <c r="I374" s="1483"/>
      <c r="J374" s="1483"/>
      <c r="K374" s="1442"/>
      <c r="L374" s="1442"/>
      <c r="M374" s="489"/>
      <c r="N374" s="489"/>
      <c r="O374" s="489"/>
      <c r="P374" s="489"/>
      <c r="Q374" s="489"/>
      <c r="R374" s="489"/>
      <c r="S374" s="489"/>
      <c r="T374" s="489"/>
      <c r="U374" s="489"/>
      <c r="V374" s="489"/>
      <c r="W374" s="489"/>
      <c r="X374" s="489"/>
      <c r="Y374" s="489"/>
      <c r="Z374" s="489"/>
      <c r="AA374" s="489"/>
    </row>
    <row r="375" hidden="1">
      <c r="A375" s="1485">
        <v>22.0</v>
      </c>
      <c r="B375" s="1483"/>
      <c r="C375" s="1483"/>
      <c r="D375" s="1483"/>
      <c r="E375" s="1483"/>
      <c r="F375" s="1483"/>
      <c r="G375" s="1483"/>
      <c r="H375" s="1483"/>
      <c r="I375" s="1483"/>
      <c r="J375" s="1483"/>
      <c r="K375" s="1442"/>
      <c r="L375" s="1442"/>
      <c r="M375" s="489"/>
      <c r="N375" s="489"/>
      <c r="O375" s="489"/>
      <c r="P375" s="489"/>
      <c r="Q375" s="489"/>
      <c r="R375" s="489"/>
      <c r="S375" s="489"/>
      <c r="T375" s="489"/>
      <c r="U375" s="489"/>
      <c r="V375" s="489"/>
      <c r="W375" s="489"/>
      <c r="X375" s="489"/>
      <c r="Y375" s="489"/>
      <c r="Z375" s="489"/>
      <c r="AA375" s="489"/>
    </row>
    <row r="376" hidden="1">
      <c r="A376" s="1485">
        <v>23.0</v>
      </c>
      <c r="B376" s="1483"/>
      <c r="C376" s="1483"/>
      <c r="D376" s="1483"/>
      <c r="E376" s="1483"/>
      <c r="F376" s="1483"/>
      <c r="G376" s="1483"/>
      <c r="H376" s="1483"/>
      <c r="I376" s="1483"/>
      <c r="J376" s="1483"/>
      <c r="K376" s="1442"/>
      <c r="L376" s="1442"/>
      <c r="M376" s="489"/>
      <c r="N376" s="489"/>
      <c r="O376" s="489"/>
      <c r="P376" s="489"/>
      <c r="Q376" s="489"/>
      <c r="R376" s="489"/>
      <c r="S376" s="489"/>
      <c r="T376" s="489"/>
      <c r="U376" s="489"/>
      <c r="V376" s="489"/>
      <c r="W376" s="489"/>
      <c r="X376" s="489"/>
      <c r="Y376" s="489"/>
      <c r="Z376" s="489"/>
      <c r="AA376" s="489"/>
    </row>
    <row r="377" hidden="1">
      <c r="A377" s="1485">
        <v>24.0</v>
      </c>
      <c r="B377" s="1483"/>
      <c r="C377" s="1483"/>
      <c r="D377" s="1483"/>
      <c r="E377" s="1483"/>
      <c r="F377" s="1483"/>
      <c r="G377" s="1483"/>
      <c r="H377" s="1483"/>
      <c r="I377" s="1483"/>
      <c r="J377" s="1483"/>
      <c r="K377" s="1442"/>
      <c r="L377" s="1442"/>
      <c r="M377" s="489"/>
      <c r="N377" s="489"/>
      <c r="O377" s="489"/>
      <c r="P377" s="489"/>
      <c r="Q377" s="489"/>
      <c r="R377" s="489"/>
      <c r="S377" s="489"/>
      <c r="T377" s="489"/>
      <c r="U377" s="489"/>
      <c r="V377" s="489"/>
      <c r="W377" s="489"/>
      <c r="X377" s="489"/>
      <c r="Y377" s="489"/>
      <c r="Z377" s="489"/>
      <c r="AA377" s="489"/>
    </row>
    <row r="378" hidden="1">
      <c r="A378" s="1485">
        <v>25.0</v>
      </c>
      <c r="B378" s="1483"/>
      <c r="C378" s="1483"/>
      <c r="D378" s="1483"/>
      <c r="E378" s="1483"/>
      <c r="F378" s="1484" t="s">
        <v>14457</v>
      </c>
      <c r="G378" s="36"/>
      <c r="H378" s="36"/>
      <c r="I378" s="36"/>
      <c r="J378" s="13"/>
      <c r="K378" s="1442"/>
      <c r="L378" s="1442"/>
      <c r="M378" s="489"/>
      <c r="N378" s="489"/>
      <c r="O378" s="489"/>
      <c r="P378" s="489"/>
      <c r="Q378" s="489"/>
      <c r="R378" s="489"/>
      <c r="S378" s="489"/>
      <c r="T378" s="489"/>
      <c r="U378" s="489"/>
      <c r="V378" s="489"/>
      <c r="W378" s="489"/>
      <c r="X378" s="489"/>
      <c r="Y378" s="489"/>
      <c r="Z378" s="489"/>
      <c r="AA378" s="489"/>
    </row>
    <row r="379" hidden="1">
      <c r="A379" s="1485">
        <v>26.0</v>
      </c>
      <c r="B379" s="1483"/>
      <c r="C379" s="1483"/>
      <c r="D379" s="1483"/>
      <c r="E379" s="1483"/>
      <c r="F379" s="1483"/>
      <c r="G379" s="1483"/>
      <c r="H379" s="1483"/>
      <c r="I379" s="1483"/>
      <c r="J379" s="1483"/>
      <c r="K379" s="1442"/>
      <c r="L379" s="1442"/>
      <c r="M379" s="489"/>
      <c r="N379" s="489"/>
      <c r="O379" s="489"/>
      <c r="P379" s="489"/>
      <c r="Q379" s="489"/>
      <c r="R379" s="489"/>
      <c r="S379" s="489"/>
      <c r="T379" s="489"/>
      <c r="U379" s="489"/>
      <c r="V379" s="489"/>
      <c r="W379" s="489"/>
      <c r="X379" s="489"/>
      <c r="Y379" s="489"/>
      <c r="Z379" s="489"/>
      <c r="AA379" s="489"/>
    </row>
    <row r="380" hidden="1">
      <c r="A380" s="1485">
        <v>27.0</v>
      </c>
      <c r="B380" s="1483"/>
      <c r="C380" s="1483"/>
      <c r="D380" s="1483"/>
      <c r="E380" s="1483"/>
      <c r="F380" s="1504" t="s">
        <v>14460</v>
      </c>
      <c r="G380" s="1483"/>
      <c r="H380" s="1483"/>
      <c r="I380" s="1483"/>
      <c r="J380" s="1483"/>
      <c r="K380" s="1442"/>
      <c r="L380" s="1442"/>
      <c r="M380" s="489"/>
      <c r="N380" s="489"/>
      <c r="O380" s="489"/>
      <c r="P380" s="489"/>
      <c r="Q380" s="489"/>
      <c r="R380" s="489"/>
      <c r="S380" s="489"/>
      <c r="T380" s="489"/>
      <c r="U380" s="489"/>
      <c r="V380" s="489"/>
      <c r="W380" s="489"/>
      <c r="X380" s="489"/>
      <c r="Y380" s="489"/>
      <c r="Z380" s="489"/>
      <c r="AA380" s="489"/>
    </row>
    <row r="381" hidden="1">
      <c r="A381" s="1485">
        <v>28.0</v>
      </c>
      <c r="B381" s="1483"/>
      <c r="C381" s="1483"/>
      <c r="D381" s="1483"/>
      <c r="E381" s="1483"/>
      <c r="F381" s="1483"/>
      <c r="G381" s="1483"/>
      <c r="H381" s="1483"/>
      <c r="I381" s="1483"/>
      <c r="J381" s="1483"/>
      <c r="K381" s="1442"/>
      <c r="L381" s="1442"/>
      <c r="M381" s="489"/>
      <c r="N381" s="489"/>
      <c r="O381" s="489"/>
      <c r="P381" s="489"/>
      <c r="Q381" s="489"/>
      <c r="R381" s="489"/>
      <c r="S381" s="489"/>
      <c r="T381" s="489"/>
      <c r="U381" s="489"/>
      <c r="V381" s="489"/>
      <c r="W381" s="489"/>
      <c r="X381" s="489"/>
      <c r="Y381" s="489"/>
      <c r="Z381" s="489"/>
      <c r="AA381" s="489"/>
    </row>
    <row r="382" hidden="1">
      <c r="A382" s="1485">
        <v>29.0</v>
      </c>
      <c r="B382" s="1483"/>
      <c r="C382" s="1483"/>
      <c r="D382" s="1483"/>
      <c r="E382" s="1483"/>
      <c r="F382" s="1483"/>
      <c r="G382" s="1483"/>
      <c r="H382" s="1483"/>
      <c r="I382" s="1483"/>
      <c r="J382" s="1483"/>
      <c r="K382" s="1442"/>
      <c r="L382" s="1442"/>
      <c r="M382" s="489"/>
      <c r="N382" s="489"/>
      <c r="O382" s="489"/>
      <c r="P382" s="489"/>
      <c r="Q382" s="489"/>
      <c r="R382" s="489"/>
      <c r="S382" s="489"/>
      <c r="T382" s="489"/>
      <c r="U382" s="489"/>
      <c r="V382" s="489"/>
      <c r="W382" s="489"/>
      <c r="X382" s="489"/>
      <c r="Y382" s="489"/>
      <c r="Z382" s="489"/>
      <c r="AA382" s="489"/>
    </row>
    <row r="383" hidden="1">
      <c r="A383" s="1485">
        <v>30.0</v>
      </c>
      <c r="B383" s="1483"/>
      <c r="C383" s="1483"/>
      <c r="D383" s="1483"/>
      <c r="E383" s="1483"/>
      <c r="F383" s="1483"/>
      <c r="G383" s="1483"/>
      <c r="H383" s="1483"/>
      <c r="I383" s="1483"/>
      <c r="J383" s="1483"/>
      <c r="K383" s="1442"/>
      <c r="L383" s="1442"/>
      <c r="M383" s="489"/>
      <c r="N383" s="489"/>
      <c r="O383" s="489"/>
      <c r="P383" s="489"/>
      <c r="Q383" s="489"/>
      <c r="R383" s="489"/>
      <c r="S383" s="489"/>
      <c r="T383" s="489"/>
      <c r="U383" s="489"/>
      <c r="V383" s="489"/>
      <c r="W383" s="489"/>
      <c r="X383" s="489"/>
      <c r="Y383" s="489"/>
      <c r="Z383" s="489"/>
      <c r="AA383" s="489"/>
    </row>
    <row r="384" hidden="1">
      <c r="A384" s="1485">
        <v>31.0</v>
      </c>
      <c r="B384" s="1483"/>
      <c r="C384" s="1483"/>
      <c r="D384" s="1483"/>
      <c r="E384" s="1483"/>
      <c r="F384" s="1504" t="s">
        <v>14461</v>
      </c>
      <c r="G384" s="1483"/>
      <c r="H384" s="1483"/>
      <c r="I384" s="1483"/>
      <c r="J384" s="1483"/>
      <c r="K384" s="1442"/>
      <c r="L384" s="1442"/>
      <c r="M384" s="489"/>
      <c r="N384" s="489"/>
      <c r="O384" s="489"/>
      <c r="P384" s="489"/>
      <c r="Q384" s="489"/>
      <c r="R384" s="489"/>
      <c r="S384" s="489"/>
      <c r="T384" s="489"/>
      <c r="U384" s="489"/>
      <c r="V384" s="489"/>
      <c r="W384" s="489"/>
      <c r="X384" s="489"/>
      <c r="Y384" s="489"/>
      <c r="Z384" s="489"/>
      <c r="AA384" s="489"/>
    </row>
    <row r="385">
      <c r="A385" s="1443" t="s">
        <v>14462</v>
      </c>
      <c r="B385" s="36"/>
      <c r="C385" s="36"/>
      <c r="D385" s="36"/>
      <c r="E385" s="36"/>
      <c r="F385" s="36"/>
      <c r="G385" s="36"/>
      <c r="H385" s="36"/>
      <c r="I385" s="36"/>
      <c r="J385" s="13"/>
      <c r="K385" s="1442"/>
      <c r="L385" s="1442"/>
    </row>
    <row r="386">
      <c r="A386" s="1485">
        <v>1.0</v>
      </c>
      <c r="B386" s="1486"/>
      <c r="C386" s="1486"/>
      <c r="D386" s="1486"/>
      <c r="E386" s="1486"/>
      <c r="F386" s="1486"/>
      <c r="G386" s="1486"/>
      <c r="H386" s="1486"/>
      <c r="I386" s="1486"/>
      <c r="J386" s="1505"/>
      <c r="K386" s="1487"/>
      <c r="L386" s="1487"/>
      <c r="M386" s="1488"/>
      <c r="N386" s="1488"/>
      <c r="O386" s="1488"/>
      <c r="P386" s="1488"/>
      <c r="Q386" s="1488"/>
      <c r="R386" s="1488"/>
      <c r="S386" s="1488"/>
      <c r="T386" s="1488"/>
      <c r="U386" s="1488"/>
      <c r="V386" s="1488"/>
      <c r="W386" s="1488"/>
      <c r="X386" s="1488"/>
      <c r="Y386" s="1488"/>
      <c r="Z386" s="1488"/>
      <c r="AA386" s="1488"/>
    </row>
    <row r="387">
      <c r="A387" s="1485">
        <v>2.0</v>
      </c>
      <c r="B387" s="1486"/>
      <c r="C387" s="1486"/>
      <c r="D387" s="1506" t="s">
        <v>14463</v>
      </c>
      <c r="E387" s="13"/>
      <c r="F387" s="1486"/>
      <c r="G387" s="1486"/>
      <c r="H387" s="1486"/>
      <c r="I387" s="1486"/>
      <c r="J387" s="1505"/>
      <c r="K387" s="1487"/>
      <c r="L387" s="1487"/>
      <c r="M387" s="1488"/>
      <c r="N387" s="1488"/>
      <c r="O387" s="1488"/>
      <c r="P387" s="1488"/>
      <c r="Q387" s="1488"/>
      <c r="R387" s="1488"/>
      <c r="S387" s="1488"/>
      <c r="T387" s="1488"/>
      <c r="U387" s="1488"/>
      <c r="V387" s="1488"/>
      <c r="W387" s="1488"/>
      <c r="X387" s="1488"/>
      <c r="Y387" s="1488"/>
      <c r="Z387" s="1488"/>
      <c r="AA387" s="1488"/>
    </row>
    <row r="388">
      <c r="A388" s="1485">
        <v>3.0</v>
      </c>
      <c r="B388" s="1486"/>
      <c r="C388" s="1507" t="s">
        <v>14464</v>
      </c>
      <c r="D388" s="36"/>
      <c r="E388" s="36"/>
      <c r="F388" s="36"/>
      <c r="G388" s="36"/>
      <c r="H388" s="36"/>
      <c r="I388" s="36"/>
      <c r="J388" s="13"/>
      <c r="K388" s="1487"/>
      <c r="L388" s="1487"/>
      <c r="M388" s="1488"/>
      <c r="N388" s="1488"/>
      <c r="O388" s="1488"/>
      <c r="P388" s="1488"/>
      <c r="Q388" s="1488"/>
      <c r="R388" s="1488"/>
      <c r="S388" s="1488"/>
      <c r="T388" s="1488"/>
      <c r="U388" s="1488"/>
      <c r="V388" s="1488"/>
      <c r="W388" s="1488"/>
      <c r="X388" s="1488"/>
      <c r="Y388" s="1488"/>
      <c r="Z388" s="1488"/>
      <c r="AA388" s="1488"/>
    </row>
    <row r="389">
      <c r="A389" s="1485">
        <v>4.0</v>
      </c>
      <c r="B389" s="1486"/>
      <c r="C389" s="1486"/>
      <c r="D389" s="1486"/>
      <c r="E389" s="1486"/>
      <c r="F389" s="1486"/>
      <c r="G389" s="1486"/>
      <c r="H389" s="1486"/>
      <c r="I389" s="1486"/>
      <c r="J389" s="1505"/>
      <c r="K389" s="1487"/>
      <c r="L389" s="1487"/>
      <c r="M389" s="1488"/>
      <c r="N389" s="1488"/>
      <c r="O389" s="1488"/>
      <c r="P389" s="1488"/>
      <c r="Q389" s="1488"/>
      <c r="R389" s="1488"/>
      <c r="S389" s="1488"/>
      <c r="T389" s="1488"/>
      <c r="U389" s="1488"/>
      <c r="V389" s="1488"/>
      <c r="W389" s="1488"/>
      <c r="X389" s="1488"/>
      <c r="Y389" s="1488"/>
      <c r="Z389" s="1488"/>
      <c r="AA389" s="1488"/>
    </row>
    <row r="390">
      <c r="A390" s="1485">
        <v>5.0</v>
      </c>
      <c r="B390" s="1486"/>
      <c r="C390" s="1486"/>
      <c r="D390" s="1486"/>
      <c r="E390" s="1486"/>
      <c r="F390" s="1486"/>
      <c r="G390" s="1486"/>
      <c r="H390" s="1486"/>
      <c r="I390" s="1486"/>
      <c r="J390" s="1505"/>
      <c r="K390" s="1487"/>
      <c r="L390" s="1487"/>
      <c r="M390" s="1488"/>
      <c r="N390" s="1488"/>
      <c r="O390" s="1488"/>
      <c r="P390" s="1488"/>
      <c r="Q390" s="1488"/>
      <c r="R390" s="1488"/>
      <c r="S390" s="1488"/>
      <c r="T390" s="1488"/>
      <c r="U390" s="1488"/>
      <c r="V390" s="1488"/>
      <c r="W390" s="1488"/>
      <c r="X390" s="1488"/>
      <c r="Y390" s="1488"/>
      <c r="Z390" s="1488"/>
      <c r="AA390" s="1488"/>
    </row>
    <row r="391">
      <c r="A391" s="1485">
        <v>6.0</v>
      </c>
      <c r="B391" s="1486"/>
      <c r="C391" s="1508" t="s">
        <v>14465</v>
      </c>
      <c r="D391" s="36"/>
      <c r="E391" s="36"/>
      <c r="F391" s="36"/>
      <c r="G391" s="36"/>
      <c r="H391" s="13"/>
      <c r="I391" s="1486"/>
      <c r="J391" s="1505"/>
      <c r="K391" s="1487"/>
      <c r="L391" s="1487"/>
      <c r="M391" s="1488"/>
      <c r="N391" s="1488"/>
      <c r="O391" s="1488"/>
      <c r="P391" s="1488"/>
      <c r="Q391" s="1488"/>
      <c r="R391" s="1488"/>
      <c r="S391" s="1488"/>
      <c r="T391" s="1488"/>
      <c r="U391" s="1488"/>
      <c r="V391" s="1488"/>
      <c r="W391" s="1488"/>
      <c r="X391" s="1488"/>
      <c r="Y391" s="1488"/>
      <c r="Z391" s="1488"/>
      <c r="AA391" s="1488"/>
    </row>
    <row r="392">
      <c r="A392" s="1485">
        <v>7.0</v>
      </c>
      <c r="B392" s="1486"/>
      <c r="C392" s="1486"/>
      <c r="D392" s="1486"/>
      <c r="E392" s="1486"/>
      <c r="F392" s="1486"/>
      <c r="G392" s="1486"/>
      <c r="H392" s="1486"/>
      <c r="I392" s="1486"/>
      <c r="J392" s="1505"/>
      <c r="K392" s="1487"/>
      <c r="L392" s="1487"/>
      <c r="M392" s="1488"/>
      <c r="N392" s="1488"/>
      <c r="O392" s="1488"/>
      <c r="P392" s="1488"/>
      <c r="Q392" s="1488"/>
      <c r="R392" s="1488"/>
      <c r="S392" s="1488"/>
      <c r="T392" s="1488"/>
      <c r="U392" s="1488"/>
      <c r="V392" s="1488"/>
      <c r="W392" s="1488"/>
      <c r="X392" s="1488"/>
      <c r="Y392" s="1488"/>
      <c r="Z392" s="1488"/>
      <c r="AA392" s="1488"/>
    </row>
    <row r="393">
      <c r="A393" s="1485">
        <v>8.0</v>
      </c>
      <c r="B393" s="1486"/>
      <c r="C393" s="1470" t="s">
        <v>14466</v>
      </c>
      <c r="I393" s="139"/>
      <c r="J393" s="1505"/>
      <c r="K393" s="1487"/>
      <c r="L393" s="1487"/>
      <c r="M393" s="1488"/>
      <c r="N393" s="1488"/>
      <c r="O393" s="1488"/>
      <c r="P393" s="1488"/>
      <c r="Q393" s="1488"/>
      <c r="R393" s="1488"/>
      <c r="S393" s="1488"/>
      <c r="T393" s="1488"/>
      <c r="U393" s="1488"/>
      <c r="V393" s="1488"/>
      <c r="W393" s="1488"/>
      <c r="X393" s="1488"/>
      <c r="Y393" s="1488"/>
      <c r="Z393" s="1488"/>
      <c r="AA393" s="1488"/>
    </row>
    <row r="394">
      <c r="A394" s="1485">
        <v>9.0</v>
      </c>
      <c r="B394" s="1486"/>
      <c r="I394" s="139"/>
      <c r="J394" s="1505"/>
      <c r="K394" s="1487"/>
      <c r="L394" s="1487"/>
      <c r="M394" s="1488"/>
      <c r="N394" s="1488"/>
      <c r="O394" s="1488"/>
      <c r="P394" s="1488"/>
      <c r="Q394" s="1488"/>
      <c r="R394" s="1488"/>
      <c r="S394" s="1488"/>
      <c r="T394" s="1488"/>
      <c r="U394" s="1488"/>
      <c r="V394" s="1488"/>
      <c r="W394" s="1488"/>
      <c r="X394" s="1488"/>
      <c r="Y394" s="1488"/>
      <c r="Z394" s="1488"/>
      <c r="AA394" s="1488"/>
    </row>
    <row r="395">
      <c r="A395" s="1485">
        <v>10.0</v>
      </c>
      <c r="B395" s="1486"/>
      <c r="I395" s="139"/>
      <c r="J395" s="1505"/>
      <c r="K395" s="1487"/>
      <c r="L395" s="1487"/>
      <c r="M395" s="1488"/>
      <c r="N395" s="1488"/>
      <c r="O395" s="1488"/>
      <c r="P395" s="1488"/>
      <c r="Q395" s="1488"/>
      <c r="R395" s="1488"/>
      <c r="S395" s="1488"/>
      <c r="T395" s="1488"/>
      <c r="U395" s="1488"/>
      <c r="V395" s="1488"/>
      <c r="W395" s="1488"/>
      <c r="X395" s="1488"/>
      <c r="Y395" s="1488"/>
      <c r="Z395" s="1488"/>
      <c r="AA395" s="1488"/>
    </row>
    <row r="396">
      <c r="A396" s="1485">
        <v>11.0</v>
      </c>
      <c r="B396" s="1486"/>
      <c r="I396" s="139"/>
      <c r="J396" s="1505"/>
      <c r="K396" s="1487"/>
      <c r="L396" s="1487"/>
      <c r="M396" s="1488"/>
      <c r="N396" s="1488"/>
      <c r="O396" s="1488"/>
      <c r="P396" s="1488"/>
      <c r="Q396" s="1488"/>
      <c r="R396" s="1488"/>
      <c r="S396" s="1488"/>
      <c r="T396" s="1488"/>
      <c r="U396" s="1488"/>
      <c r="V396" s="1488"/>
      <c r="W396" s="1488"/>
      <c r="X396" s="1488"/>
      <c r="Y396" s="1488"/>
      <c r="Z396" s="1488"/>
      <c r="AA396" s="1488"/>
    </row>
    <row r="397">
      <c r="A397" s="1485">
        <v>12.0</v>
      </c>
      <c r="B397" s="1486"/>
      <c r="I397" s="139"/>
      <c r="J397" s="1505"/>
      <c r="K397" s="1487"/>
      <c r="L397" s="1487"/>
      <c r="M397" s="1488"/>
      <c r="N397" s="1488"/>
      <c r="O397" s="1488"/>
      <c r="P397" s="1488"/>
      <c r="Q397" s="1488"/>
      <c r="R397" s="1488"/>
      <c r="S397" s="1488"/>
      <c r="T397" s="1488"/>
      <c r="U397" s="1488"/>
      <c r="V397" s="1488"/>
      <c r="W397" s="1488"/>
      <c r="X397" s="1488"/>
      <c r="Y397" s="1488"/>
      <c r="Z397" s="1488"/>
      <c r="AA397" s="1488"/>
    </row>
    <row r="398">
      <c r="A398" s="1485">
        <v>13.0</v>
      </c>
      <c r="B398" s="1486"/>
      <c r="I398" s="139"/>
      <c r="J398" s="1505"/>
      <c r="K398" s="1487"/>
      <c r="L398" s="1487"/>
      <c r="M398" s="1488"/>
      <c r="N398" s="1488"/>
      <c r="O398" s="1488"/>
      <c r="P398" s="1488"/>
      <c r="Q398" s="1488"/>
      <c r="R398" s="1488"/>
      <c r="S398" s="1488"/>
      <c r="T398" s="1488"/>
      <c r="U398" s="1488"/>
      <c r="V398" s="1488"/>
      <c r="W398" s="1488"/>
      <c r="X398" s="1488"/>
      <c r="Y398" s="1488"/>
      <c r="Z398" s="1488"/>
      <c r="AA398" s="1488"/>
    </row>
    <row r="399">
      <c r="A399" s="1485">
        <v>14.0</v>
      </c>
      <c r="B399" s="1486"/>
      <c r="I399" s="139"/>
      <c r="J399" s="1505"/>
      <c r="K399" s="1487"/>
      <c r="L399" s="1487"/>
      <c r="M399" s="1488"/>
      <c r="N399" s="1488"/>
      <c r="O399" s="1488"/>
      <c r="P399" s="1488"/>
      <c r="Q399" s="1488"/>
      <c r="R399" s="1488"/>
      <c r="S399" s="1488"/>
      <c r="T399" s="1488"/>
      <c r="U399" s="1488"/>
      <c r="V399" s="1488"/>
      <c r="W399" s="1488"/>
      <c r="X399" s="1488"/>
      <c r="Y399" s="1488"/>
      <c r="Z399" s="1488"/>
      <c r="AA399" s="1488"/>
    </row>
    <row r="400">
      <c r="A400" s="1485">
        <v>15.0</v>
      </c>
      <c r="B400" s="1486"/>
      <c r="I400" s="139"/>
      <c r="J400" s="1505"/>
      <c r="K400" s="1487"/>
      <c r="L400" s="1487"/>
      <c r="M400" s="1488"/>
      <c r="N400" s="1488"/>
      <c r="O400" s="1488"/>
      <c r="P400" s="1488"/>
      <c r="Q400" s="1488"/>
      <c r="R400" s="1488"/>
      <c r="S400" s="1488"/>
      <c r="T400" s="1488"/>
      <c r="U400" s="1488"/>
      <c r="V400" s="1488"/>
      <c r="W400" s="1488"/>
      <c r="X400" s="1488"/>
      <c r="Y400" s="1488"/>
      <c r="Z400" s="1488"/>
      <c r="AA400" s="1488"/>
    </row>
    <row r="401">
      <c r="A401" s="1485">
        <v>16.0</v>
      </c>
      <c r="B401" s="1486"/>
      <c r="C401" s="64"/>
      <c r="D401" s="64"/>
      <c r="E401" s="64"/>
      <c r="F401" s="64"/>
      <c r="G401" s="64"/>
      <c r="H401" s="64"/>
      <c r="I401" s="72"/>
      <c r="J401" s="1505"/>
      <c r="K401" s="1487"/>
      <c r="L401" s="1487"/>
      <c r="M401" s="1488"/>
      <c r="N401" s="1488"/>
      <c r="O401" s="1488"/>
      <c r="P401" s="1488"/>
      <c r="Q401" s="1488"/>
      <c r="R401" s="1488"/>
      <c r="S401" s="1488"/>
      <c r="T401" s="1488"/>
      <c r="U401" s="1488"/>
      <c r="V401" s="1488"/>
      <c r="W401" s="1488"/>
      <c r="X401" s="1488"/>
      <c r="Y401" s="1488"/>
      <c r="Z401" s="1488"/>
      <c r="AA401" s="1488"/>
    </row>
    <row r="402">
      <c r="A402" s="1485">
        <v>17.0</v>
      </c>
      <c r="B402" s="1486"/>
      <c r="C402" s="1486"/>
      <c r="D402" s="1486"/>
      <c r="E402" s="1486"/>
      <c r="F402" s="1486"/>
      <c r="G402" s="1486"/>
      <c r="H402" s="1486"/>
      <c r="I402" s="1486"/>
      <c r="J402" s="1505"/>
      <c r="K402" s="1487"/>
      <c r="L402" s="1487"/>
      <c r="M402" s="1488"/>
      <c r="N402" s="1488"/>
      <c r="O402" s="1488"/>
      <c r="P402" s="1488"/>
      <c r="Q402" s="1488"/>
      <c r="R402" s="1488"/>
      <c r="S402" s="1488"/>
      <c r="T402" s="1488"/>
      <c r="U402" s="1488"/>
      <c r="V402" s="1488"/>
      <c r="W402" s="1488"/>
      <c r="X402" s="1488"/>
      <c r="Y402" s="1488"/>
      <c r="Z402" s="1488"/>
      <c r="AA402" s="1488"/>
    </row>
    <row r="403">
      <c r="A403" s="1485">
        <v>18.0</v>
      </c>
      <c r="B403" s="1486"/>
      <c r="C403" s="1486"/>
      <c r="D403" s="1486"/>
      <c r="E403" s="1486"/>
      <c r="F403" s="1486"/>
      <c r="G403" s="1486"/>
      <c r="H403" s="1486"/>
      <c r="I403" s="1486"/>
      <c r="J403" s="1505"/>
      <c r="K403" s="1487"/>
      <c r="L403" s="1487"/>
      <c r="M403" s="1488"/>
      <c r="N403" s="1488"/>
      <c r="O403" s="1488"/>
      <c r="P403" s="1488"/>
      <c r="Q403" s="1488"/>
      <c r="R403" s="1488"/>
      <c r="S403" s="1488"/>
      <c r="T403" s="1488"/>
      <c r="U403" s="1488"/>
      <c r="V403" s="1488"/>
      <c r="W403" s="1488"/>
      <c r="X403" s="1488"/>
      <c r="Y403" s="1488"/>
      <c r="Z403" s="1488"/>
      <c r="AA403" s="1488"/>
    </row>
    <row r="404">
      <c r="A404" s="1485">
        <v>19.0</v>
      </c>
      <c r="B404" s="1486"/>
      <c r="C404" s="1486"/>
      <c r="D404" s="1486"/>
      <c r="E404" s="1486"/>
      <c r="F404" s="1486"/>
      <c r="G404" s="1486"/>
      <c r="H404" s="1486"/>
      <c r="I404" s="1486"/>
      <c r="J404" s="1505"/>
      <c r="K404" s="1487"/>
      <c r="L404" s="1487"/>
      <c r="M404" s="1488"/>
      <c r="N404" s="1488"/>
      <c r="O404" s="1488"/>
      <c r="P404" s="1488"/>
      <c r="Q404" s="1488"/>
      <c r="R404" s="1488"/>
      <c r="S404" s="1488"/>
      <c r="T404" s="1488"/>
      <c r="U404" s="1488"/>
      <c r="V404" s="1488"/>
      <c r="W404" s="1488"/>
      <c r="X404" s="1488"/>
      <c r="Y404" s="1488"/>
      <c r="Z404" s="1488"/>
      <c r="AA404" s="1488"/>
    </row>
    <row r="405">
      <c r="A405" s="1485" t="s">
        <v>14467</v>
      </c>
      <c r="B405" s="1486"/>
      <c r="C405" s="1508" t="s">
        <v>14468</v>
      </c>
      <c r="D405" s="36"/>
      <c r="E405" s="36"/>
      <c r="F405" s="36"/>
      <c r="G405" s="13"/>
      <c r="H405" s="1486"/>
      <c r="I405" s="1486"/>
      <c r="J405" s="1505"/>
      <c r="K405" s="1487"/>
      <c r="L405" s="1487"/>
      <c r="M405" s="1488"/>
      <c r="N405" s="1488"/>
      <c r="O405" s="1488"/>
      <c r="P405" s="1488"/>
      <c r="Q405" s="1488"/>
      <c r="R405" s="1488"/>
      <c r="S405" s="1488"/>
      <c r="T405" s="1488"/>
      <c r="U405" s="1488"/>
      <c r="V405" s="1488"/>
      <c r="W405" s="1488"/>
      <c r="X405" s="1488"/>
      <c r="Y405" s="1488"/>
      <c r="Z405" s="1488"/>
      <c r="AA405" s="1488"/>
    </row>
    <row r="406">
      <c r="A406" s="1485">
        <v>21.0</v>
      </c>
      <c r="B406" s="1486"/>
      <c r="C406" s="1486"/>
      <c r="D406" s="1486"/>
      <c r="E406" s="1486"/>
      <c r="F406" s="1509" t="s">
        <v>14469</v>
      </c>
      <c r="G406" s="36"/>
      <c r="H406" s="36"/>
      <c r="I406" s="36"/>
      <c r="J406" s="13"/>
      <c r="K406" s="1487"/>
      <c r="L406" s="1487"/>
      <c r="M406" s="1488"/>
      <c r="N406" s="1488"/>
      <c r="O406" s="1488"/>
      <c r="P406" s="1488"/>
      <c r="Q406" s="1488"/>
      <c r="R406" s="1488"/>
      <c r="S406" s="1488"/>
      <c r="T406" s="1488"/>
      <c r="U406" s="1488"/>
      <c r="V406" s="1488"/>
      <c r="W406" s="1488"/>
      <c r="X406" s="1488"/>
      <c r="Y406" s="1488"/>
      <c r="Z406" s="1488"/>
      <c r="AA406" s="1488"/>
    </row>
    <row r="407">
      <c r="A407" s="1485">
        <v>22.0</v>
      </c>
      <c r="B407" s="1486"/>
      <c r="C407" s="1486"/>
      <c r="D407" s="1486"/>
      <c r="E407" s="1486"/>
      <c r="F407" s="1486"/>
      <c r="G407" s="1486"/>
      <c r="H407" s="1486"/>
      <c r="I407" s="1486"/>
      <c r="J407" s="1505"/>
      <c r="K407" s="1487"/>
      <c r="L407" s="1487"/>
      <c r="M407" s="1488"/>
      <c r="N407" s="1488"/>
      <c r="O407" s="1488"/>
      <c r="P407" s="1488"/>
      <c r="Q407" s="1488"/>
      <c r="R407" s="1488"/>
      <c r="S407" s="1488"/>
      <c r="T407" s="1488"/>
      <c r="U407" s="1488"/>
      <c r="V407" s="1488"/>
      <c r="W407" s="1488"/>
      <c r="X407" s="1488"/>
      <c r="Y407" s="1488"/>
      <c r="Z407" s="1488"/>
      <c r="AA407" s="1488"/>
    </row>
    <row r="408">
      <c r="A408" s="1485">
        <v>23.0</v>
      </c>
      <c r="B408" s="1486"/>
      <c r="C408" s="1486"/>
      <c r="D408" s="1486"/>
      <c r="E408" s="1486"/>
      <c r="F408" s="1486"/>
      <c r="G408" s="1486"/>
      <c r="H408" s="1486"/>
      <c r="I408" s="1486"/>
      <c r="J408" s="1505"/>
      <c r="K408" s="1487"/>
      <c r="L408" s="1487"/>
      <c r="M408" s="1488"/>
      <c r="N408" s="1488"/>
      <c r="O408" s="1488"/>
      <c r="P408" s="1488"/>
      <c r="Q408" s="1488"/>
      <c r="R408" s="1488"/>
      <c r="S408" s="1488"/>
      <c r="T408" s="1488"/>
      <c r="U408" s="1488"/>
      <c r="V408" s="1488"/>
      <c r="W408" s="1488"/>
      <c r="X408" s="1488"/>
      <c r="Y408" s="1488"/>
      <c r="Z408" s="1488"/>
      <c r="AA408" s="1488"/>
    </row>
    <row r="409">
      <c r="A409" s="1485">
        <v>24.0</v>
      </c>
      <c r="B409" s="1486"/>
      <c r="C409" s="1486"/>
      <c r="D409" s="1486"/>
      <c r="E409" s="1486"/>
      <c r="F409" s="1486"/>
      <c r="G409" s="1486"/>
      <c r="H409" s="1486"/>
      <c r="I409" s="1486"/>
      <c r="J409" s="1505"/>
      <c r="K409" s="1487"/>
      <c r="L409" s="1487"/>
      <c r="M409" s="1488"/>
      <c r="N409" s="1488"/>
      <c r="O409" s="1488"/>
      <c r="P409" s="1488"/>
      <c r="Q409" s="1488"/>
      <c r="R409" s="1488"/>
      <c r="S409" s="1488"/>
      <c r="T409" s="1488"/>
      <c r="U409" s="1488"/>
      <c r="V409" s="1488"/>
      <c r="W409" s="1488"/>
      <c r="X409" s="1488"/>
      <c r="Y409" s="1488"/>
      <c r="Z409" s="1488"/>
      <c r="AA409" s="1488"/>
    </row>
    <row r="410">
      <c r="A410" s="1485">
        <v>25.0</v>
      </c>
      <c r="B410" s="1486"/>
      <c r="C410" s="1486"/>
      <c r="D410" s="1486"/>
      <c r="E410" s="1486"/>
      <c r="F410" s="1486"/>
      <c r="G410" s="1486"/>
      <c r="H410" s="1486"/>
      <c r="I410" s="1486"/>
      <c r="J410" s="1505"/>
      <c r="K410" s="1487"/>
      <c r="L410" s="1487"/>
      <c r="M410" s="1488"/>
      <c r="N410" s="1488"/>
      <c r="O410" s="1488"/>
      <c r="P410" s="1488"/>
      <c r="Q410" s="1488"/>
      <c r="R410" s="1488"/>
      <c r="S410" s="1488"/>
      <c r="T410" s="1488"/>
      <c r="U410" s="1488"/>
      <c r="V410" s="1488"/>
      <c r="W410" s="1488"/>
      <c r="X410" s="1488"/>
      <c r="Y410" s="1488"/>
      <c r="Z410" s="1488"/>
      <c r="AA410" s="1488"/>
    </row>
    <row r="411">
      <c r="A411" s="1485">
        <v>26.0</v>
      </c>
      <c r="B411" s="1486"/>
      <c r="C411" s="1486"/>
      <c r="D411" s="1486"/>
      <c r="E411" s="1486"/>
      <c r="F411" s="1486"/>
      <c r="G411" s="1486"/>
      <c r="H411" s="1486"/>
      <c r="I411" s="1486"/>
      <c r="J411" s="1505"/>
      <c r="K411" s="1487"/>
      <c r="L411" s="1487"/>
      <c r="M411" s="1488"/>
      <c r="N411" s="1488"/>
      <c r="O411" s="1488"/>
      <c r="P411" s="1488"/>
      <c r="Q411" s="1488"/>
      <c r="R411" s="1488"/>
      <c r="S411" s="1488"/>
      <c r="T411" s="1488"/>
      <c r="U411" s="1488"/>
      <c r="V411" s="1488"/>
      <c r="W411" s="1488"/>
      <c r="X411" s="1488"/>
      <c r="Y411" s="1488"/>
      <c r="Z411" s="1488"/>
      <c r="AA411" s="1488"/>
    </row>
    <row r="412">
      <c r="A412" s="1485" t="s">
        <v>14470</v>
      </c>
      <c r="B412" s="1486"/>
      <c r="C412" s="1508" t="s">
        <v>14471</v>
      </c>
      <c r="D412" s="36"/>
      <c r="E412" s="36"/>
      <c r="F412" s="36"/>
      <c r="G412" s="13"/>
      <c r="H412" s="1486"/>
      <c r="I412" s="1486"/>
      <c r="J412" s="1505"/>
      <c r="K412" s="1487"/>
      <c r="L412" s="1487"/>
      <c r="M412" s="1488"/>
      <c r="N412" s="1488"/>
      <c r="O412" s="1488"/>
      <c r="P412" s="1488"/>
      <c r="Q412" s="1488"/>
      <c r="R412" s="1488"/>
      <c r="S412" s="1488"/>
      <c r="T412" s="1488"/>
      <c r="U412" s="1488"/>
      <c r="V412" s="1488"/>
      <c r="W412" s="1488"/>
      <c r="X412" s="1488"/>
      <c r="Y412" s="1488"/>
      <c r="Z412" s="1488"/>
      <c r="AA412" s="1488"/>
    </row>
    <row r="413">
      <c r="A413" s="1485">
        <v>28.0</v>
      </c>
      <c r="B413" s="1486"/>
      <c r="C413" s="1486"/>
      <c r="D413" s="1510" t="s">
        <v>14472</v>
      </c>
      <c r="E413" s="1486"/>
      <c r="F413" s="1486"/>
      <c r="G413" s="1486"/>
      <c r="H413" s="1486"/>
      <c r="I413" s="1486"/>
      <c r="J413" s="1505"/>
      <c r="K413" s="1487"/>
      <c r="L413" s="1487"/>
      <c r="M413" s="1488"/>
      <c r="N413" s="1488"/>
      <c r="O413" s="1488"/>
      <c r="P413" s="1488"/>
      <c r="Q413" s="1488"/>
      <c r="R413" s="1488"/>
      <c r="S413" s="1488"/>
      <c r="T413" s="1488"/>
      <c r="U413" s="1488"/>
      <c r="V413" s="1488"/>
      <c r="W413" s="1488"/>
      <c r="X413" s="1488"/>
      <c r="Y413" s="1488"/>
      <c r="Z413" s="1488"/>
      <c r="AA413" s="1488"/>
    </row>
    <row r="414">
      <c r="A414" s="1485">
        <v>29.0</v>
      </c>
      <c r="B414" s="1486"/>
      <c r="C414" s="1486"/>
      <c r="D414" s="1486"/>
      <c r="E414" s="1486"/>
      <c r="F414" s="1486"/>
      <c r="G414" s="1486"/>
      <c r="H414" s="1486"/>
      <c r="I414" s="1486"/>
      <c r="J414" s="1505"/>
      <c r="K414" s="1487"/>
      <c r="L414" s="1487"/>
      <c r="M414" s="1488"/>
      <c r="N414" s="1488"/>
      <c r="O414" s="1488"/>
      <c r="P414" s="1488"/>
      <c r="Q414" s="1488"/>
      <c r="R414" s="1488"/>
      <c r="S414" s="1488"/>
      <c r="T414" s="1488"/>
      <c r="U414" s="1488"/>
      <c r="V414" s="1488"/>
      <c r="W414" s="1488"/>
      <c r="X414" s="1488"/>
      <c r="Y414" s="1488"/>
      <c r="Z414" s="1488"/>
      <c r="AA414" s="1488"/>
    </row>
    <row r="415">
      <c r="A415" s="1485">
        <v>30.0</v>
      </c>
      <c r="B415" s="1486"/>
      <c r="C415" s="1486"/>
      <c r="D415" s="1486"/>
      <c r="E415" s="1486"/>
      <c r="F415" s="1486"/>
      <c r="G415" s="1486"/>
      <c r="H415" s="1486"/>
      <c r="I415" s="1486"/>
      <c r="J415" s="1505"/>
      <c r="K415" s="1487"/>
      <c r="L415" s="1487"/>
      <c r="M415" s="1488"/>
      <c r="N415" s="1488"/>
      <c r="O415" s="1488"/>
      <c r="P415" s="1488"/>
      <c r="Q415" s="1488"/>
      <c r="R415" s="1488"/>
      <c r="S415" s="1488"/>
      <c r="T415" s="1488"/>
      <c r="U415" s="1488"/>
      <c r="V415" s="1488"/>
      <c r="W415" s="1488"/>
      <c r="X415" s="1488"/>
      <c r="Y415" s="1488"/>
      <c r="Z415" s="1488"/>
      <c r="AA415" s="1488"/>
    </row>
    <row r="416">
      <c r="A416" s="1443" t="s">
        <v>14473</v>
      </c>
      <c r="B416" s="36"/>
      <c r="C416" s="36"/>
      <c r="D416" s="36"/>
      <c r="E416" s="36"/>
      <c r="F416" s="36"/>
      <c r="G416" s="36"/>
      <c r="H416" s="36"/>
      <c r="I416" s="36"/>
      <c r="J416" s="13"/>
      <c r="K416" s="1442"/>
      <c r="L416" s="1442"/>
    </row>
    <row r="417">
      <c r="A417" s="1444">
        <v>1.0</v>
      </c>
      <c r="B417" s="1483"/>
      <c r="C417" s="1483"/>
      <c r="D417" s="1483"/>
      <c r="E417" s="1483"/>
      <c r="F417" s="1483"/>
      <c r="G417" s="1483"/>
      <c r="H417" s="1483"/>
      <c r="I417" s="1483"/>
      <c r="J417" s="1483"/>
      <c r="K417" s="1442"/>
      <c r="L417" s="1442"/>
      <c r="M417" s="489"/>
      <c r="N417" s="489"/>
      <c r="O417" s="489"/>
      <c r="P417" s="489"/>
      <c r="Q417" s="489"/>
      <c r="R417" s="489"/>
      <c r="S417" s="489"/>
      <c r="T417" s="489"/>
      <c r="U417" s="489"/>
      <c r="V417" s="489"/>
      <c r="W417" s="489"/>
      <c r="X417" s="489"/>
      <c r="Y417" s="489"/>
      <c r="Z417" s="489"/>
      <c r="AA417" s="489"/>
    </row>
    <row r="418">
      <c r="A418" s="1444">
        <v>2.0</v>
      </c>
      <c r="B418" s="1483"/>
      <c r="C418" s="1483"/>
      <c r="D418" s="1483"/>
      <c r="E418" s="1483"/>
      <c r="F418" s="1483"/>
      <c r="G418" s="1483"/>
      <c r="H418" s="1483"/>
      <c r="I418" s="1483"/>
      <c r="J418" s="1483"/>
      <c r="K418" s="1442"/>
      <c r="L418" s="1442"/>
      <c r="M418" s="489"/>
      <c r="N418" s="489"/>
      <c r="O418" s="489"/>
      <c r="P418" s="489"/>
      <c r="Q418" s="489"/>
      <c r="R418" s="489"/>
      <c r="S418" s="489"/>
      <c r="T418" s="489"/>
      <c r="U418" s="489"/>
      <c r="V418" s="489"/>
      <c r="W418" s="489"/>
      <c r="X418" s="489"/>
      <c r="Y418" s="489"/>
      <c r="Z418" s="489"/>
      <c r="AA418" s="489"/>
    </row>
    <row r="419">
      <c r="A419" s="1444">
        <v>3.0</v>
      </c>
      <c r="B419" s="1483"/>
      <c r="C419" s="1483"/>
      <c r="D419" s="1483"/>
      <c r="E419" s="1483"/>
      <c r="F419" s="1483"/>
      <c r="G419" s="1483"/>
      <c r="H419" s="1483"/>
      <c r="I419" s="1483"/>
      <c r="J419" s="1483"/>
      <c r="K419" s="1442"/>
      <c r="L419" s="1442"/>
      <c r="M419" s="489"/>
      <c r="N419" s="489"/>
      <c r="O419" s="489"/>
      <c r="P419" s="489"/>
      <c r="Q419" s="489"/>
      <c r="R419" s="489"/>
      <c r="S419" s="489"/>
      <c r="T419" s="489"/>
      <c r="U419" s="489"/>
      <c r="V419" s="489"/>
      <c r="W419" s="489"/>
      <c r="X419" s="489"/>
      <c r="Y419" s="489"/>
      <c r="Z419" s="489"/>
      <c r="AA419" s="489"/>
    </row>
    <row r="420">
      <c r="A420" s="1444">
        <v>4.0</v>
      </c>
      <c r="B420" s="1483"/>
      <c r="C420" s="1483"/>
      <c r="D420" s="1483"/>
      <c r="E420" s="1483"/>
      <c r="F420" s="1483"/>
      <c r="G420" s="1483"/>
      <c r="H420" s="1483"/>
      <c r="I420" s="1483"/>
      <c r="J420" s="1483"/>
      <c r="K420" s="1442"/>
      <c r="L420" s="1442"/>
      <c r="M420" s="489"/>
      <c r="N420" s="489"/>
      <c r="O420" s="489"/>
      <c r="P420" s="489"/>
      <c r="Q420" s="489"/>
      <c r="R420" s="489"/>
      <c r="S420" s="489"/>
      <c r="T420" s="489"/>
      <c r="U420" s="489"/>
      <c r="V420" s="489"/>
      <c r="W420" s="489"/>
      <c r="X420" s="489"/>
      <c r="Y420" s="489"/>
      <c r="Z420" s="489"/>
      <c r="AA420" s="489"/>
    </row>
    <row r="421">
      <c r="A421" s="1444">
        <v>5.0</v>
      </c>
      <c r="B421" s="1483"/>
      <c r="C421" s="1483"/>
      <c r="D421" s="1483"/>
      <c r="E421" s="1483"/>
      <c r="F421" s="1483"/>
      <c r="G421" s="1483"/>
      <c r="H421" s="1483"/>
      <c r="I421" s="1483"/>
      <c r="J421" s="1483"/>
      <c r="K421" s="1442"/>
      <c r="L421" s="1442"/>
      <c r="M421" s="489"/>
      <c r="N421" s="489"/>
      <c r="O421" s="489"/>
      <c r="P421" s="489"/>
      <c r="Q421" s="489"/>
      <c r="R421" s="489"/>
      <c r="S421" s="489"/>
      <c r="T421" s="489"/>
      <c r="U421" s="489"/>
      <c r="V421" s="489"/>
      <c r="W421" s="489"/>
      <c r="X421" s="489"/>
      <c r="Y421" s="489"/>
      <c r="Z421" s="489"/>
      <c r="AA421" s="489"/>
    </row>
    <row r="422">
      <c r="A422" s="1444">
        <v>6.0</v>
      </c>
      <c r="B422" s="1483"/>
      <c r="C422" s="1483"/>
      <c r="D422" s="1483"/>
      <c r="E422" s="1483"/>
      <c r="F422" s="1483"/>
      <c r="G422" s="1483"/>
      <c r="H422" s="1483"/>
      <c r="I422" s="1483"/>
      <c r="J422" s="1483"/>
      <c r="K422" s="1442"/>
      <c r="L422" s="1442"/>
      <c r="M422" s="489"/>
      <c r="N422" s="489"/>
      <c r="O422" s="489"/>
      <c r="P422" s="489"/>
      <c r="Q422" s="489"/>
      <c r="R422" s="489"/>
      <c r="S422" s="489"/>
      <c r="T422" s="489"/>
      <c r="U422" s="489"/>
      <c r="V422" s="489"/>
      <c r="W422" s="489"/>
      <c r="X422" s="489"/>
      <c r="Y422" s="489"/>
      <c r="Z422" s="489"/>
      <c r="AA422" s="489"/>
    </row>
    <row r="423">
      <c r="A423" s="1444">
        <v>7.0</v>
      </c>
      <c r="B423" s="1483"/>
      <c r="C423" s="1483"/>
      <c r="D423" s="1483"/>
      <c r="E423" s="1483"/>
      <c r="F423" s="1483"/>
      <c r="G423" s="1483"/>
      <c r="H423" s="1483"/>
      <c r="I423" s="1483"/>
      <c r="J423" s="1483"/>
      <c r="K423" s="1442"/>
      <c r="L423" s="1442"/>
      <c r="M423" s="489"/>
      <c r="N423" s="489"/>
      <c r="O423" s="489"/>
      <c r="P423" s="489"/>
      <c r="Q423" s="489"/>
      <c r="R423" s="489"/>
      <c r="S423" s="489"/>
      <c r="T423" s="489"/>
      <c r="U423" s="489"/>
      <c r="V423" s="489"/>
      <c r="W423" s="489"/>
      <c r="X423" s="489"/>
      <c r="Y423" s="489"/>
      <c r="Z423" s="489"/>
      <c r="AA423" s="489"/>
    </row>
    <row r="424">
      <c r="A424" s="1444">
        <v>8.0</v>
      </c>
      <c r="B424" s="1483"/>
      <c r="C424" s="1483"/>
      <c r="D424" s="1483"/>
      <c r="E424" s="1483"/>
      <c r="F424" s="1483"/>
      <c r="G424" s="1483"/>
      <c r="H424" s="1483"/>
      <c r="I424" s="1483"/>
      <c r="J424" s="1483"/>
      <c r="K424" s="1442"/>
      <c r="L424" s="1442"/>
      <c r="M424" s="489"/>
      <c r="N424" s="489"/>
      <c r="O424" s="489"/>
      <c r="P424" s="489"/>
      <c r="Q424" s="489"/>
      <c r="R424" s="489"/>
      <c r="S424" s="489"/>
      <c r="T424" s="489"/>
      <c r="U424" s="489"/>
      <c r="V424" s="489"/>
      <c r="W424" s="489"/>
      <c r="X424" s="489"/>
      <c r="Y424" s="489"/>
      <c r="Z424" s="489"/>
      <c r="AA424" s="489"/>
    </row>
    <row r="425">
      <c r="A425" s="1444">
        <v>9.0</v>
      </c>
      <c r="B425" s="1511"/>
      <c r="C425" s="1511"/>
      <c r="D425" s="1511"/>
      <c r="E425" s="1511"/>
      <c r="F425" s="1511"/>
      <c r="G425" s="1511"/>
      <c r="H425" s="1511"/>
      <c r="I425" s="1511"/>
      <c r="J425" s="1511"/>
      <c r="K425" s="1442"/>
      <c r="L425" s="1442"/>
      <c r="M425" s="489"/>
      <c r="N425" s="489"/>
      <c r="O425" s="489"/>
      <c r="P425" s="489"/>
      <c r="Q425" s="489"/>
      <c r="R425" s="489"/>
      <c r="S425" s="489"/>
      <c r="T425" s="489"/>
      <c r="U425" s="489"/>
      <c r="V425" s="489"/>
      <c r="W425" s="489"/>
      <c r="X425" s="489"/>
      <c r="Y425" s="489"/>
      <c r="Z425" s="489"/>
      <c r="AA425" s="489"/>
    </row>
    <row r="426">
      <c r="A426" s="1444">
        <v>10.0</v>
      </c>
      <c r="B426" s="1511"/>
      <c r="C426" s="1511"/>
      <c r="D426" s="1511"/>
      <c r="E426" s="1511"/>
      <c r="F426" s="1511"/>
      <c r="G426" s="1511"/>
      <c r="H426" s="1511"/>
      <c r="I426" s="1511"/>
      <c r="J426" s="1511"/>
      <c r="K426" s="1442"/>
      <c r="L426" s="1442"/>
      <c r="M426" s="489"/>
      <c r="N426" s="489"/>
      <c r="O426" s="489"/>
      <c r="P426" s="489"/>
      <c r="Q426" s="489"/>
      <c r="R426" s="489"/>
      <c r="S426" s="489"/>
      <c r="T426" s="489"/>
      <c r="U426" s="489"/>
      <c r="V426" s="489"/>
      <c r="W426" s="489"/>
      <c r="X426" s="489"/>
      <c r="Y426" s="489"/>
      <c r="Z426" s="489"/>
      <c r="AA426" s="489"/>
    </row>
    <row r="427">
      <c r="A427" s="1444">
        <v>11.0</v>
      </c>
      <c r="B427" s="1511"/>
      <c r="C427" s="1512" t="s">
        <v>14474</v>
      </c>
      <c r="D427" s="1511"/>
      <c r="E427" s="1511"/>
      <c r="F427" s="1511"/>
      <c r="G427" s="1511"/>
      <c r="H427" s="1511"/>
      <c r="I427" s="1511"/>
      <c r="J427" s="1511"/>
      <c r="K427" s="1442"/>
      <c r="L427" s="1442"/>
      <c r="M427" s="489"/>
      <c r="N427" s="489"/>
      <c r="O427" s="489"/>
      <c r="P427" s="489"/>
      <c r="Q427" s="489"/>
      <c r="R427" s="489"/>
      <c r="S427" s="489"/>
      <c r="T427" s="489"/>
      <c r="U427" s="489"/>
      <c r="V427" s="489"/>
      <c r="W427" s="489"/>
      <c r="X427" s="489"/>
      <c r="Y427" s="489"/>
      <c r="Z427" s="489"/>
      <c r="AA427" s="489"/>
    </row>
    <row r="428">
      <c r="A428" s="1444">
        <v>12.0</v>
      </c>
      <c r="B428" s="1513" t="s">
        <v>14475</v>
      </c>
      <c r="C428" s="1514" t="s">
        <v>14476</v>
      </c>
      <c r="D428" s="36"/>
      <c r="E428" s="36"/>
      <c r="F428" s="36"/>
      <c r="G428" s="13"/>
      <c r="H428" s="1511"/>
      <c r="I428" s="1511"/>
      <c r="J428" s="1513" t="s">
        <v>14475</v>
      </c>
      <c r="K428" s="1442"/>
      <c r="L428" s="1442"/>
      <c r="M428" s="489"/>
      <c r="N428" s="489"/>
      <c r="O428" s="489"/>
      <c r="P428" s="489"/>
      <c r="Q428" s="489"/>
      <c r="R428" s="489"/>
      <c r="S428" s="489"/>
      <c r="T428" s="489"/>
      <c r="U428" s="489"/>
      <c r="V428" s="489"/>
      <c r="W428" s="489"/>
      <c r="X428" s="489"/>
      <c r="Y428" s="489"/>
      <c r="Z428" s="489"/>
      <c r="AA428" s="489"/>
    </row>
    <row r="429">
      <c r="A429" s="1444">
        <v>13.0</v>
      </c>
      <c r="B429" s="1511"/>
      <c r="C429" s="1511"/>
      <c r="D429" s="1511"/>
      <c r="E429" s="1511"/>
      <c r="F429" s="1511"/>
      <c r="G429" s="1511"/>
      <c r="H429" s="1511"/>
      <c r="I429" s="1511"/>
      <c r="J429" s="1511"/>
      <c r="K429" s="1442"/>
      <c r="L429" s="1442"/>
      <c r="M429" s="489"/>
      <c r="N429" s="489"/>
      <c r="O429" s="489"/>
      <c r="P429" s="489"/>
      <c r="Q429" s="489"/>
      <c r="R429" s="489"/>
      <c r="S429" s="489"/>
      <c r="T429" s="489"/>
      <c r="U429" s="489"/>
      <c r="V429" s="489"/>
      <c r="W429" s="489"/>
      <c r="X429" s="489"/>
      <c r="Y429" s="489"/>
      <c r="Z429" s="489"/>
      <c r="AA429" s="489"/>
    </row>
    <row r="430">
      <c r="A430" s="1444">
        <v>14.0</v>
      </c>
      <c r="B430" s="1511"/>
      <c r="C430" s="1511"/>
      <c r="D430" s="1511"/>
      <c r="E430" s="1511"/>
      <c r="F430" s="1511"/>
      <c r="G430" s="1511"/>
      <c r="H430" s="1511"/>
      <c r="I430" s="1511"/>
      <c r="J430" s="1511"/>
      <c r="K430" s="1442"/>
      <c r="L430" s="1442"/>
      <c r="M430" s="489"/>
      <c r="N430" s="489"/>
      <c r="O430" s="489"/>
      <c r="P430" s="489"/>
      <c r="Q430" s="489"/>
      <c r="R430" s="489"/>
      <c r="S430" s="489"/>
      <c r="T430" s="489"/>
      <c r="U430" s="489"/>
      <c r="V430" s="489"/>
      <c r="W430" s="489"/>
      <c r="X430" s="489"/>
      <c r="Y430" s="489"/>
      <c r="Z430" s="489"/>
      <c r="AA430" s="489"/>
    </row>
    <row r="431">
      <c r="A431" s="1444" t="s">
        <v>14477</v>
      </c>
      <c r="B431" s="1511"/>
      <c r="C431" s="1511"/>
      <c r="D431" s="1515" t="s">
        <v>14478</v>
      </c>
      <c r="E431" s="36"/>
      <c r="F431" s="13"/>
      <c r="G431" s="1511"/>
      <c r="H431" s="1516" t="s">
        <v>14479</v>
      </c>
      <c r="I431" s="1511"/>
      <c r="J431" s="1511"/>
      <c r="K431" s="1442"/>
      <c r="L431" s="1442"/>
      <c r="M431" s="489"/>
      <c r="N431" s="489"/>
      <c r="O431" s="489"/>
      <c r="P431" s="489"/>
      <c r="Q431" s="489"/>
      <c r="R431" s="489"/>
      <c r="S431" s="489"/>
      <c r="T431" s="489"/>
      <c r="U431" s="489"/>
      <c r="V431" s="489"/>
      <c r="W431" s="489"/>
      <c r="X431" s="489"/>
      <c r="Y431" s="489"/>
      <c r="Z431" s="489"/>
      <c r="AA431" s="489"/>
    </row>
    <row r="432">
      <c r="A432" s="1444">
        <v>16.0</v>
      </c>
      <c r="B432" s="1511"/>
      <c r="C432" s="1511"/>
      <c r="D432" s="1511"/>
      <c r="E432" s="1511"/>
      <c r="F432" s="1511"/>
      <c r="G432" s="1511"/>
      <c r="H432" s="1511"/>
      <c r="I432" s="1511"/>
      <c r="J432" s="1511"/>
      <c r="K432" s="1442"/>
      <c r="L432" s="1442"/>
      <c r="M432" s="489"/>
      <c r="N432" s="489"/>
      <c r="O432" s="489"/>
      <c r="P432" s="489"/>
      <c r="Q432" s="489"/>
      <c r="R432" s="489"/>
      <c r="S432" s="489"/>
      <c r="T432" s="489"/>
      <c r="U432" s="489"/>
      <c r="V432" s="489"/>
      <c r="W432" s="489"/>
      <c r="X432" s="489"/>
      <c r="Y432" s="489"/>
      <c r="Z432" s="489"/>
      <c r="AA432" s="489"/>
    </row>
    <row r="433">
      <c r="A433" s="1444">
        <v>17.0</v>
      </c>
      <c r="B433" s="1511"/>
      <c r="C433" s="1511"/>
      <c r="D433" s="1511"/>
      <c r="E433" s="1511"/>
      <c r="F433" s="1511"/>
      <c r="G433" s="1511"/>
      <c r="H433" s="1511"/>
      <c r="I433" s="1511"/>
      <c r="J433" s="1511"/>
      <c r="K433" s="1442"/>
      <c r="L433" s="1442"/>
      <c r="M433" s="489"/>
      <c r="N433" s="489"/>
      <c r="O433" s="489"/>
      <c r="P433" s="489"/>
      <c r="Q433" s="489"/>
      <c r="R433" s="489"/>
      <c r="S433" s="489"/>
      <c r="T433" s="489"/>
      <c r="U433" s="489"/>
      <c r="V433" s="489"/>
      <c r="W433" s="489"/>
      <c r="X433" s="489"/>
      <c r="Y433" s="489"/>
      <c r="Z433" s="489"/>
      <c r="AA433" s="489"/>
    </row>
    <row r="434">
      <c r="A434" s="1444">
        <v>18.0</v>
      </c>
      <c r="B434" s="1511"/>
      <c r="C434" s="1511"/>
      <c r="D434" s="1511"/>
      <c r="E434" s="1511"/>
      <c r="F434" s="1511"/>
      <c r="G434" s="1511"/>
      <c r="H434" s="1511"/>
      <c r="I434" s="1511"/>
      <c r="J434" s="1511"/>
      <c r="K434" s="1442"/>
      <c r="L434" s="1442"/>
      <c r="M434" s="489"/>
      <c r="N434" s="489"/>
      <c r="O434" s="489"/>
      <c r="P434" s="489"/>
      <c r="Q434" s="489"/>
      <c r="R434" s="489"/>
      <c r="S434" s="489"/>
      <c r="T434" s="489"/>
      <c r="U434" s="489"/>
      <c r="V434" s="489"/>
      <c r="W434" s="489"/>
      <c r="X434" s="489"/>
      <c r="Y434" s="489"/>
      <c r="Z434" s="489"/>
      <c r="AA434" s="489"/>
    </row>
    <row r="435">
      <c r="A435" s="1444">
        <v>19.0</v>
      </c>
      <c r="B435" s="1511"/>
      <c r="C435" s="1511"/>
      <c r="D435" s="1511"/>
      <c r="E435" s="1511"/>
      <c r="F435" s="1511"/>
      <c r="G435" s="1517" t="s">
        <v>14480</v>
      </c>
      <c r="H435" s="36"/>
      <c r="I435" s="36"/>
      <c r="J435" s="13"/>
      <c r="K435" s="1442"/>
      <c r="L435" s="1442"/>
      <c r="M435" s="489"/>
      <c r="N435" s="489"/>
      <c r="O435" s="489"/>
      <c r="P435" s="489"/>
      <c r="Q435" s="489"/>
      <c r="R435" s="489"/>
      <c r="S435" s="489"/>
      <c r="T435" s="489"/>
      <c r="U435" s="489"/>
      <c r="V435" s="489"/>
      <c r="W435" s="489"/>
      <c r="X435" s="489"/>
      <c r="Y435" s="489"/>
      <c r="Z435" s="489"/>
      <c r="AA435" s="489"/>
    </row>
    <row r="436" ht="28.5" customHeight="1">
      <c r="A436" s="1518" t="s">
        <v>14481</v>
      </c>
      <c r="B436" s="1519" t="s">
        <v>14482</v>
      </c>
      <c r="C436" s="36"/>
      <c r="D436" s="36"/>
      <c r="E436" s="36"/>
      <c r="F436" s="36"/>
      <c r="G436" s="36"/>
      <c r="H436" s="13"/>
      <c r="I436" s="1431"/>
      <c r="J436" s="1520"/>
      <c r="K436" s="1442"/>
      <c r="L436" s="1442"/>
    </row>
    <row r="437">
      <c r="A437" s="1521">
        <v>20.0</v>
      </c>
      <c r="B437" s="1513" t="s">
        <v>14483</v>
      </c>
      <c r="C437" s="1503"/>
      <c r="D437" s="1503"/>
      <c r="E437" s="1503"/>
      <c r="F437" s="1503"/>
      <c r="G437" s="1503"/>
      <c r="H437" s="1503"/>
      <c r="I437" s="1503"/>
      <c r="J437" s="1513" t="s">
        <v>14483</v>
      </c>
      <c r="K437" s="1442"/>
      <c r="L437" s="1442"/>
      <c r="M437" s="489"/>
      <c r="N437" s="489"/>
      <c r="O437" s="489"/>
      <c r="P437" s="489"/>
      <c r="Q437" s="489"/>
      <c r="R437" s="489"/>
      <c r="S437" s="489"/>
      <c r="T437" s="489"/>
      <c r="U437" s="489"/>
      <c r="V437" s="489"/>
      <c r="W437" s="489"/>
      <c r="X437" s="489"/>
      <c r="Y437" s="489"/>
      <c r="Z437" s="489"/>
      <c r="AA437" s="489"/>
    </row>
    <row r="438">
      <c r="A438" s="1521">
        <v>21.0</v>
      </c>
      <c r="B438" s="1513" t="s">
        <v>14484</v>
      </c>
      <c r="C438" s="1503"/>
      <c r="D438" s="1503"/>
      <c r="E438" s="1503"/>
      <c r="F438" s="1503"/>
      <c r="G438" s="1503"/>
      <c r="H438" s="1503"/>
      <c r="I438" s="1503"/>
      <c r="J438" s="1513" t="s">
        <v>14484</v>
      </c>
      <c r="K438" s="1442"/>
      <c r="L438" s="1442"/>
      <c r="M438" s="489"/>
      <c r="N438" s="489"/>
      <c r="O438" s="489"/>
      <c r="P438" s="489"/>
      <c r="Q438" s="489"/>
      <c r="R438" s="489"/>
      <c r="S438" s="489"/>
      <c r="T438" s="489"/>
      <c r="U438" s="489"/>
      <c r="V438" s="489"/>
      <c r="W438" s="489"/>
      <c r="X438" s="489"/>
      <c r="Y438" s="489"/>
      <c r="Z438" s="489"/>
      <c r="AA438" s="489"/>
    </row>
    <row r="439">
      <c r="A439" s="1521">
        <v>22.0</v>
      </c>
      <c r="B439" s="1522"/>
      <c r="C439" s="1522"/>
      <c r="D439" s="1522"/>
      <c r="E439" s="1522"/>
      <c r="F439" s="1522"/>
      <c r="G439" s="1522"/>
      <c r="H439" s="1522"/>
      <c r="I439" s="1522"/>
      <c r="J439" s="1522"/>
      <c r="K439" s="1442"/>
      <c r="L439" s="1442"/>
      <c r="M439" s="489"/>
      <c r="N439" s="489"/>
      <c r="O439" s="489"/>
      <c r="P439" s="489"/>
      <c r="Q439" s="489"/>
      <c r="R439" s="489"/>
      <c r="S439" s="489"/>
      <c r="T439" s="489"/>
      <c r="U439" s="489"/>
      <c r="V439" s="489"/>
      <c r="W439" s="489"/>
      <c r="X439" s="489"/>
      <c r="Y439" s="489"/>
      <c r="Z439" s="489"/>
      <c r="AA439" s="489"/>
    </row>
    <row r="440">
      <c r="A440" s="1521">
        <v>23.0</v>
      </c>
      <c r="B440" s="1522"/>
      <c r="C440" s="1522"/>
      <c r="D440" s="1522"/>
      <c r="E440" s="1522"/>
      <c r="F440" s="1522"/>
      <c r="G440" s="1522"/>
      <c r="H440" s="1522"/>
      <c r="I440" s="1522"/>
      <c r="J440" s="1522"/>
      <c r="K440" s="1442"/>
      <c r="L440" s="1442"/>
      <c r="M440" s="489"/>
      <c r="N440" s="489"/>
      <c r="O440" s="489"/>
      <c r="P440" s="489"/>
      <c r="Q440" s="489"/>
      <c r="R440" s="489"/>
      <c r="S440" s="489"/>
      <c r="T440" s="489"/>
      <c r="U440" s="489"/>
      <c r="V440" s="489"/>
      <c r="W440" s="489"/>
      <c r="X440" s="489"/>
      <c r="Y440" s="489"/>
      <c r="Z440" s="489"/>
      <c r="AA440" s="489"/>
    </row>
    <row r="441">
      <c r="A441" s="1521">
        <v>24.0</v>
      </c>
      <c r="B441" s="1522"/>
      <c r="C441" s="1522"/>
      <c r="D441" s="1522"/>
      <c r="E441" s="1522"/>
      <c r="F441" s="1522"/>
      <c r="G441" s="1522"/>
      <c r="H441" s="1522"/>
      <c r="I441" s="1522"/>
      <c r="J441" s="1522"/>
      <c r="K441" s="1442"/>
      <c r="L441" s="1442"/>
      <c r="M441" s="489"/>
      <c r="N441" s="489"/>
      <c r="O441" s="489"/>
      <c r="P441" s="489"/>
      <c r="Q441" s="489"/>
      <c r="R441" s="489"/>
      <c r="S441" s="489"/>
      <c r="T441" s="489"/>
      <c r="U441" s="489"/>
      <c r="V441" s="489"/>
      <c r="W441" s="489"/>
      <c r="X441" s="489"/>
      <c r="Y441" s="489"/>
      <c r="Z441" s="489"/>
      <c r="AA441" s="489"/>
    </row>
    <row r="442">
      <c r="A442" s="1521">
        <v>25.0</v>
      </c>
      <c r="B442" s="1522"/>
      <c r="C442" s="1522"/>
      <c r="D442" s="1522"/>
      <c r="E442" s="1522"/>
      <c r="F442" s="1522"/>
      <c r="G442" s="1522"/>
      <c r="H442" s="1522"/>
      <c r="I442" s="1522"/>
      <c r="J442" s="1522"/>
      <c r="K442" s="1442"/>
      <c r="L442" s="1442"/>
      <c r="M442" s="489"/>
      <c r="N442" s="489"/>
      <c r="O442" s="489"/>
      <c r="P442" s="489"/>
      <c r="Q442" s="489"/>
      <c r="R442" s="489"/>
      <c r="S442" s="489"/>
      <c r="T442" s="489"/>
      <c r="U442" s="489"/>
      <c r="V442" s="489"/>
      <c r="W442" s="489"/>
      <c r="X442" s="489"/>
      <c r="Y442" s="489"/>
      <c r="Z442" s="489"/>
      <c r="AA442" s="489"/>
    </row>
    <row r="443">
      <c r="A443" s="1521">
        <v>26.0</v>
      </c>
      <c r="B443" s="1522"/>
      <c r="C443" s="1522"/>
      <c r="D443" s="1522"/>
      <c r="E443" s="1510" t="s">
        <v>14485</v>
      </c>
      <c r="F443" s="1522"/>
      <c r="G443" s="1522"/>
      <c r="H443" s="1522"/>
      <c r="I443" s="1522"/>
      <c r="J443" s="1522"/>
      <c r="K443" s="1442"/>
      <c r="L443" s="1442"/>
      <c r="M443" s="489"/>
      <c r="N443" s="489"/>
      <c r="O443" s="489"/>
      <c r="P443" s="489"/>
      <c r="Q443" s="489"/>
      <c r="R443" s="489"/>
      <c r="S443" s="489"/>
      <c r="T443" s="489"/>
      <c r="U443" s="489"/>
      <c r="V443" s="489"/>
      <c r="W443" s="489"/>
      <c r="X443" s="489"/>
      <c r="Y443" s="489"/>
      <c r="Z443" s="489"/>
      <c r="AA443" s="489"/>
    </row>
    <row r="444">
      <c r="A444" s="1521">
        <v>27.0</v>
      </c>
      <c r="B444" s="1522"/>
      <c r="C444" s="1522"/>
      <c r="D444" s="1522"/>
      <c r="E444" s="1522"/>
      <c r="F444" s="1522"/>
      <c r="G444" s="1522"/>
      <c r="H444" s="1522"/>
      <c r="I444" s="1522"/>
      <c r="J444" s="1522"/>
      <c r="K444" s="1442"/>
      <c r="L444" s="1442"/>
      <c r="M444" s="489"/>
      <c r="N444" s="489"/>
      <c r="O444" s="489"/>
      <c r="P444" s="489"/>
      <c r="Q444" s="489"/>
      <c r="R444" s="489"/>
      <c r="S444" s="489"/>
      <c r="T444" s="489"/>
      <c r="U444" s="489"/>
      <c r="V444" s="489"/>
      <c r="W444" s="489"/>
      <c r="X444" s="489"/>
      <c r="Y444" s="489"/>
      <c r="Z444" s="489"/>
      <c r="AA444" s="489"/>
    </row>
    <row r="445">
      <c r="A445" s="1444">
        <v>28.0</v>
      </c>
      <c r="B445" s="1483"/>
      <c r="C445" s="1483"/>
      <c r="D445" s="1483"/>
      <c r="E445" s="1483"/>
      <c r="F445" s="1483"/>
      <c r="G445" s="1483"/>
      <c r="H445" s="1483"/>
      <c r="I445" s="1483"/>
      <c r="J445" s="1483"/>
      <c r="K445" s="1442"/>
      <c r="L445" s="1442"/>
      <c r="M445" s="489"/>
      <c r="N445" s="489"/>
      <c r="O445" s="489"/>
      <c r="P445" s="489"/>
      <c r="Q445" s="489"/>
      <c r="R445" s="489"/>
      <c r="S445" s="489"/>
      <c r="T445" s="489"/>
      <c r="U445" s="489"/>
      <c r="V445" s="489"/>
      <c r="W445" s="489"/>
      <c r="X445" s="489"/>
      <c r="Y445" s="489"/>
      <c r="Z445" s="489"/>
      <c r="AA445" s="489"/>
    </row>
    <row r="446">
      <c r="A446" s="1482">
        <v>29.0</v>
      </c>
      <c r="B446" s="1523" t="s">
        <v>14486</v>
      </c>
      <c r="C446" s="36"/>
      <c r="D446" s="36"/>
      <c r="E446" s="36"/>
      <c r="F446" s="36"/>
      <c r="G446" s="36"/>
      <c r="H446" s="36"/>
      <c r="I446" s="36"/>
      <c r="J446" s="13"/>
      <c r="K446" s="1442"/>
      <c r="L446" s="1442"/>
      <c r="M446" s="489"/>
      <c r="N446" s="489"/>
      <c r="O446" s="489"/>
      <c r="P446" s="489"/>
      <c r="Q446" s="489"/>
      <c r="R446" s="489"/>
      <c r="S446" s="489"/>
      <c r="T446" s="489"/>
      <c r="U446" s="489"/>
      <c r="V446" s="489"/>
      <c r="W446" s="489"/>
      <c r="X446" s="489"/>
      <c r="Y446" s="489"/>
      <c r="Z446" s="489"/>
      <c r="AA446" s="489"/>
    </row>
    <row r="447">
      <c r="A447" s="1482">
        <v>30.0</v>
      </c>
      <c r="B447" s="1524"/>
      <c r="C447" s="1524"/>
      <c r="D447" s="1524"/>
      <c r="E447" s="1524"/>
      <c r="F447" s="1524"/>
      <c r="G447" s="1524"/>
      <c r="H447" s="1524"/>
      <c r="I447" s="1524"/>
      <c r="J447" s="1524"/>
      <c r="K447" s="1442"/>
      <c r="L447" s="1442"/>
      <c r="M447" s="489"/>
      <c r="N447" s="489"/>
      <c r="O447" s="489"/>
      <c r="P447" s="489"/>
      <c r="Q447" s="489"/>
      <c r="R447" s="489"/>
      <c r="S447" s="489"/>
      <c r="T447" s="489"/>
      <c r="U447" s="489"/>
      <c r="V447" s="489"/>
      <c r="W447" s="489"/>
      <c r="X447" s="489"/>
      <c r="Y447" s="489"/>
      <c r="Z447" s="489"/>
      <c r="AA447" s="489"/>
    </row>
    <row r="448">
      <c r="A448" s="1482">
        <v>31.0</v>
      </c>
      <c r="B448" s="1524"/>
      <c r="C448" s="1524"/>
      <c r="D448" s="1524"/>
      <c r="E448" s="1524"/>
      <c r="F448" s="1524"/>
      <c r="G448" s="1524"/>
      <c r="H448" s="1524"/>
      <c r="I448" s="1524"/>
      <c r="J448" s="1524"/>
      <c r="K448" s="1442"/>
      <c r="L448" s="1442"/>
      <c r="M448" s="489"/>
      <c r="N448" s="489"/>
      <c r="O448" s="489"/>
      <c r="P448" s="489"/>
      <c r="Q448" s="489"/>
      <c r="R448" s="489"/>
      <c r="S448" s="489"/>
      <c r="T448" s="489"/>
      <c r="U448" s="489"/>
      <c r="V448" s="489"/>
      <c r="W448" s="489"/>
      <c r="X448" s="489"/>
      <c r="Y448" s="489"/>
      <c r="Z448" s="489"/>
      <c r="AA448" s="489"/>
    </row>
    <row r="449">
      <c r="A449" s="1443" t="s">
        <v>14487</v>
      </c>
      <c r="B449" s="36"/>
      <c r="C449" s="36"/>
      <c r="D449" s="36"/>
      <c r="E449" s="36"/>
      <c r="F449" s="36"/>
      <c r="G449" s="36"/>
      <c r="H449" s="36"/>
      <c r="I449" s="36"/>
      <c r="J449" s="13"/>
      <c r="K449" s="1442"/>
      <c r="L449" s="1442"/>
    </row>
    <row r="450">
      <c r="A450" s="1482">
        <v>1.0</v>
      </c>
      <c r="B450" s="1453" t="s">
        <v>14488</v>
      </c>
      <c r="C450" s="1525"/>
      <c r="D450" s="1525"/>
      <c r="E450" s="1525"/>
      <c r="F450" s="1525"/>
      <c r="G450" s="1525"/>
      <c r="H450" s="1525"/>
      <c r="I450" s="1526" t="s">
        <v>14489</v>
      </c>
      <c r="J450" s="1525"/>
      <c r="K450" s="1442"/>
      <c r="L450" s="1442"/>
    </row>
    <row r="451">
      <c r="A451" s="1482">
        <v>2.0</v>
      </c>
      <c r="B451" s="1525"/>
      <c r="C451" s="1525"/>
      <c r="D451" s="1525"/>
      <c r="E451" s="1525"/>
      <c r="F451" s="1525"/>
      <c r="G451" s="1525"/>
      <c r="H451" s="1525"/>
      <c r="I451" s="1525"/>
      <c r="J451" s="1525"/>
      <c r="K451" s="1442"/>
      <c r="L451" s="1442"/>
    </row>
    <row r="452">
      <c r="A452" s="1482">
        <v>3.0</v>
      </c>
      <c r="B452" s="1525"/>
      <c r="C452" s="1525"/>
      <c r="D452" s="1525"/>
      <c r="E452" s="1525"/>
      <c r="F452" s="1525"/>
      <c r="G452" s="1525"/>
      <c r="H452" s="1525"/>
      <c r="I452" s="1525"/>
      <c r="J452" s="1525"/>
      <c r="K452" s="1442"/>
      <c r="L452" s="1442"/>
    </row>
    <row r="453">
      <c r="A453" s="1482">
        <v>4.0</v>
      </c>
      <c r="B453" s="1525"/>
      <c r="C453" s="1525"/>
      <c r="D453" s="1525"/>
      <c r="E453" s="1525"/>
      <c r="F453" s="1525"/>
      <c r="G453" s="1525"/>
      <c r="H453" s="1525"/>
      <c r="I453" s="1525"/>
      <c r="J453" s="1525"/>
      <c r="K453" s="1442"/>
      <c r="L453" s="1442"/>
    </row>
    <row r="454">
      <c r="A454" s="1482">
        <v>5.0</v>
      </c>
      <c r="B454" s="1525"/>
      <c r="C454" s="1525"/>
      <c r="D454" s="1525"/>
      <c r="E454" s="1525"/>
      <c r="F454" s="1525"/>
      <c r="G454" s="1525"/>
      <c r="H454" s="1525"/>
      <c r="I454" s="1526" t="s">
        <v>14490</v>
      </c>
      <c r="J454" s="1525"/>
      <c r="K454" s="1442"/>
      <c r="L454" s="1442"/>
    </row>
    <row r="455">
      <c r="A455" s="1482">
        <v>6.0</v>
      </c>
      <c r="B455" s="1525"/>
      <c r="C455" s="1525"/>
      <c r="D455" s="1525"/>
      <c r="E455" s="1525"/>
      <c r="F455" s="1525"/>
      <c r="G455" s="1525"/>
      <c r="H455" s="1525"/>
      <c r="I455" s="1525"/>
      <c r="J455" s="1525"/>
      <c r="K455" s="1442"/>
      <c r="L455" s="1442"/>
    </row>
    <row r="456">
      <c r="A456" s="1482">
        <v>7.0</v>
      </c>
      <c r="B456" s="1525"/>
      <c r="C456" s="1525"/>
      <c r="D456" s="1525"/>
      <c r="E456" s="1525"/>
      <c r="F456" s="1525"/>
      <c r="G456" s="1525"/>
      <c r="H456" s="1525"/>
      <c r="I456" s="1525"/>
      <c r="J456" s="1525"/>
      <c r="K456" s="1442"/>
      <c r="L456" s="1442"/>
    </row>
    <row r="457">
      <c r="A457" s="1482">
        <v>8.0</v>
      </c>
      <c r="B457" s="1525"/>
      <c r="C457" s="1525"/>
      <c r="D457" s="1525"/>
      <c r="E457" s="1525"/>
      <c r="F457" s="1525"/>
      <c r="G457" s="1525"/>
      <c r="H457" s="1525"/>
      <c r="I457" s="1526" t="s">
        <v>14491</v>
      </c>
      <c r="J457" s="1525"/>
      <c r="K457" s="1442"/>
      <c r="L457" s="1442"/>
    </row>
    <row r="458">
      <c r="A458" s="1482">
        <v>9.0</v>
      </c>
      <c r="B458" s="1525"/>
      <c r="C458" s="1525"/>
      <c r="D458" s="1525"/>
      <c r="E458" s="1525"/>
      <c r="F458" s="1525"/>
      <c r="G458" s="1525"/>
      <c r="H458" s="1525"/>
      <c r="I458" s="1525"/>
      <c r="J458" s="1525"/>
      <c r="K458" s="1442"/>
      <c r="L458" s="1442"/>
    </row>
    <row r="459">
      <c r="A459" s="1444">
        <v>10.0</v>
      </c>
      <c r="B459" s="1445"/>
      <c r="C459" s="1445"/>
      <c r="D459" s="1445"/>
      <c r="E459" s="1527"/>
      <c r="F459" s="36"/>
      <c r="G459" s="36"/>
      <c r="H459" s="36"/>
      <c r="I459" s="36"/>
      <c r="J459" s="13"/>
      <c r="K459" s="1442"/>
      <c r="L459" s="1442"/>
    </row>
    <row r="460">
      <c r="A460" s="1444">
        <v>11.0</v>
      </c>
      <c r="B460" s="1445"/>
      <c r="C460" s="1445"/>
      <c r="D460" s="1445"/>
      <c r="E460" s="1445"/>
      <c r="F460" s="1445"/>
      <c r="G460" s="1445"/>
      <c r="H460" s="1445"/>
      <c r="I460" s="1445"/>
      <c r="J460" s="1445"/>
      <c r="K460" s="1442"/>
      <c r="L460" s="1442"/>
    </row>
    <row r="461">
      <c r="A461" s="1444">
        <v>12.0</v>
      </c>
      <c r="B461" s="1445"/>
      <c r="C461" s="1445"/>
      <c r="D461" s="1445"/>
      <c r="E461" s="1445"/>
      <c r="F461" s="1445"/>
      <c r="G461" s="1445"/>
      <c r="H461" s="1445"/>
      <c r="I461" s="1445"/>
      <c r="J461" s="1445"/>
      <c r="K461" s="1442"/>
      <c r="L461" s="1442"/>
    </row>
    <row r="462">
      <c r="A462" s="1444">
        <v>13.0</v>
      </c>
      <c r="B462" s="1445"/>
      <c r="C462" s="1445"/>
      <c r="D462" s="1445"/>
      <c r="E462" s="1445"/>
      <c r="F462" s="1445"/>
      <c r="G462" s="1445"/>
      <c r="H462" s="1445"/>
      <c r="I462" s="1526" t="s">
        <v>14492</v>
      </c>
      <c r="J462" s="1445"/>
      <c r="K462" s="1442"/>
      <c r="L462" s="1442"/>
    </row>
    <row r="463">
      <c r="A463" s="1444">
        <v>14.0</v>
      </c>
      <c r="B463" s="1445"/>
      <c r="C463" s="1445"/>
      <c r="D463" s="1445"/>
      <c r="E463" s="1528" t="s">
        <v>14493</v>
      </c>
      <c r="F463" s="36"/>
      <c r="G463" s="36"/>
      <c r="H463" s="36"/>
      <c r="I463" s="36"/>
      <c r="J463" s="13"/>
      <c r="K463" s="1442"/>
      <c r="L463" s="1442"/>
    </row>
    <row r="464">
      <c r="A464" s="1444">
        <v>15.0</v>
      </c>
      <c r="B464" s="1445"/>
      <c r="C464" s="1445"/>
      <c r="D464" s="1445"/>
      <c r="E464" s="1445"/>
      <c r="F464" s="1445"/>
      <c r="G464" s="1445"/>
      <c r="H464" s="1445"/>
      <c r="I464" s="1445"/>
      <c r="J464" s="1445"/>
      <c r="K464" s="1442"/>
      <c r="L464" s="1442"/>
    </row>
    <row r="465">
      <c r="A465" s="1444">
        <v>16.0</v>
      </c>
      <c r="B465" s="1529"/>
      <c r="C465" s="1445"/>
      <c r="D465" s="1445"/>
      <c r="E465" s="1445"/>
      <c r="F465" s="1445"/>
      <c r="G465" s="1445"/>
      <c r="H465" s="1445"/>
      <c r="I465" s="1445"/>
      <c r="J465" s="1445"/>
      <c r="K465" s="1442"/>
      <c r="L465" s="1442"/>
    </row>
    <row r="466">
      <c r="A466" s="1444">
        <v>17.0</v>
      </c>
      <c r="B466" s="1445"/>
      <c r="C466" s="1445"/>
      <c r="D466" s="1445"/>
      <c r="E466" s="1445"/>
      <c r="F466" s="1445"/>
      <c r="G466" s="1445"/>
      <c r="H466" s="1445"/>
      <c r="I466" s="1445"/>
      <c r="J466" s="1445"/>
      <c r="K466" s="1442"/>
      <c r="L466" s="1442"/>
    </row>
    <row r="467">
      <c r="A467" s="1444">
        <v>18.0</v>
      </c>
      <c r="B467" s="1445"/>
      <c r="C467" s="1445"/>
      <c r="D467" s="1445"/>
      <c r="E467" s="1445"/>
      <c r="F467" s="1445"/>
      <c r="G467" s="1445"/>
      <c r="H467" s="1445"/>
      <c r="I467" s="1445"/>
      <c r="J467" s="1445"/>
      <c r="K467" s="1442"/>
      <c r="L467" s="1442"/>
    </row>
    <row r="468">
      <c r="A468" s="1444">
        <v>19.0</v>
      </c>
      <c r="B468" s="1445"/>
      <c r="C468" s="1445"/>
      <c r="D468" s="1445"/>
      <c r="E468" s="1445"/>
      <c r="F468" s="1445"/>
      <c r="G468" s="1445"/>
      <c r="H468" s="1445"/>
      <c r="I468" s="1526" t="s">
        <v>14494</v>
      </c>
      <c r="J468" s="1445"/>
      <c r="K468" s="1442"/>
      <c r="L468" s="1442"/>
    </row>
    <row r="469">
      <c r="A469" s="1444">
        <v>20.0</v>
      </c>
      <c r="B469" s="1445"/>
      <c r="C469" s="1445"/>
      <c r="D469" s="1445"/>
      <c r="E469" s="1445"/>
      <c r="F469" s="1445"/>
      <c r="G469" s="1445"/>
      <c r="H469" s="1445"/>
      <c r="I469" s="1526" t="s">
        <v>14495</v>
      </c>
      <c r="J469" s="1445"/>
      <c r="K469" s="1442"/>
      <c r="L469" s="1442"/>
    </row>
    <row r="470">
      <c r="A470" s="1444">
        <v>21.0</v>
      </c>
      <c r="B470" s="1445"/>
      <c r="C470" s="1445"/>
      <c r="D470" s="1445"/>
      <c r="E470" s="1445"/>
      <c r="F470" s="1445"/>
      <c r="G470" s="1445"/>
      <c r="H470" s="1445"/>
      <c r="I470" s="1445"/>
      <c r="J470" s="1445"/>
      <c r="K470" s="1442"/>
      <c r="L470" s="1442"/>
    </row>
    <row r="471">
      <c r="A471" s="1444">
        <v>22.0</v>
      </c>
      <c r="B471" s="1445"/>
      <c r="C471" s="1445"/>
      <c r="D471" s="1445"/>
      <c r="E471" s="1445"/>
      <c r="F471" s="1445"/>
      <c r="G471" s="1445"/>
      <c r="H471" s="1445"/>
      <c r="I471" s="1445"/>
      <c r="J471" s="1445"/>
      <c r="K471" s="1442"/>
      <c r="L471" s="1442"/>
    </row>
    <row r="472">
      <c r="A472" s="1444">
        <v>23.0</v>
      </c>
      <c r="B472" s="1445"/>
      <c r="C472" s="1445"/>
      <c r="D472" s="1445"/>
      <c r="E472" s="1445"/>
      <c r="F472" s="1445"/>
      <c r="G472" s="1445"/>
      <c r="H472" s="1445"/>
      <c r="I472" s="1445"/>
      <c r="J472" s="1445"/>
      <c r="K472" s="1442"/>
      <c r="L472" s="1442"/>
    </row>
    <row r="473">
      <c r="A473" s="1444">
        <v>24.0</v>
      </c>
      <c r="B473" s="1445"/>
      <c r="C473" s="1445"/>
      <c r="D473" s="1445"/>
      <c r="E473" s="1445"/>
      <c r="F473" s="1445"/>
      <c r="G473" s="1445"/>
      <c r="H473" s="1445"/>
      <c r="I473" s="1445"/>
      <c r="J473" s="1445"/>
      <c r="K473" s="1442"/>
      <c r="L473" s="1442"/>
    </row>
    <row r="474">
      <c r="A474" s="1444">
        <v>25.0</v>
      </c>
      <c r="B474" s="1445"/>
      <c r="C474" s="1445"/>
      <c r="D474" s="1445"/>
      <c r="E474" s="1445"/>
      <c r="F474" s="1445"/>
      <c r="G474" s="1445"/>
      <c r="H474" s="1445"/>
      <c r="I474" s="1445"/>
      <c r="J474" s="1445"/>
      <c r="K474" s="1442"/>
      <c r="L474" s="1442"/>
    </row>
    <row r="475">
      <c r="A475" s="1444">
        <v>26.0</v>
      </c>
      <c r="B475" s="1445"/>
      <c r="C475" s="1445"/>
      <c r="D475" s="1445"/>
      <c r="E475" s="1445"/>
      <c r="F475" s="1445"/>
      <c r="G475" s="1445"/>
      <c r="H475" s="1445"/>
      <c r="I475" s="1445"/>
      <c r="J475" s="1445"/>
      <c r="K475" s="1442"/>
      <c r="L475" s="1442"/>
    </row>
    <row r="476">
      <c r="A476" s="1444">
        <v>27.0</v>
      </c>
      <c r="B476" s="1445"/>
      <c r="C476" s="1445"/>
      <c r="D476" s="1445"/>
      <c r="E476" s="1445"/>
      <c r="F476" s="1445"/>
      <c r="G476" s="1445"/>
      <c r="H476" s="1445"/>
      <c r="I476" s="1445"/>
      <c r="J476" s="1445"/>
      <c r="K476" s="1442"/>
      <c r="L476" s="1442"/>
    </row>
    <row r="477">
      <c r="A477" s="1444">
        <v>28.0</v>
      </c>
      <c r="B477" s="1445"/>
      <c r="C477" s="1445"/>
      <c r="D477" s="1445"/>
      <c r="E477" s="1445"/>
      <c r="F477" s="1445"/>
      <c r="G477" s="1445"/>
      <c r="H477" s="1445"/>
      <c r="I477" s="1445"/>
      <c r="J477" s="1445"/>
      <c r="K477" s="1442"/>
      <c r="L477" s="1442"/>
    </row>
    <row r="478">
      <c r="A478" s="1444">
        <v>29.0</v>
      </c>
      <c r="B478" s="1445"/>
      <c r="C478" s="1445"/>
      <c r="D478" s="1445"/>
      <c r="E478" s="1445"/>
      <c r="F478" s="1445"/>
      <c r="G478" s="1445"/>
      <c r="H478" s="1445"/>
      <c r="I478" s="1445"/>
      <c r="J478" s="1445"/>
      <c r="K478" s="1442"/>
      <c r="L478" s="1442"/>
    </row>
    <row r="479">
      <c r="A479" s="1444">
        <v>30.0</v>
      </c>
      <c r="B479" s="1445"/>
      <c r="C479" s="1445"/>
      <c r="D479" s="1445"/>
      <c r="E479" s="1445"/>
      <c r="F479" s="1445"/>
      <c r="G479" s="1445"/>
      <c r="H479" s="1445"/>
      <c r="I479" s="1445"/>
      <c r="J479" s="1445"/>
      <c r="K479" s="1442"/>
      <c r="L479" s="1442"/>
    </row>
    <row r="480">
      <c r="A480" s="1443" t="s">
        <v>14496</v>
      </c>
      <c r="B480" s="36"/>
      <c r="C480" s="36"/>
      <c r="D480" s="36"/>
      <c r="E480" s="36"/>
      <c r="F480" s="36"/>
      <c r="G480" s="36"/>
      <c r="H480" s="36"/>
      <c r="I480" s="36"/>
      <c r="J480" s="13"/>
      <c r="K480" s="1442"/>
      <c r="L480" s="1442"/>
    </row>
    <row r="481">
      <c r="A481" s="1444" t="s">
        <v>14497</v>
      </c>
      <c r="B481" s="1445"/>
      <c r="C481" s="1451" t="s">
        <v>14498</v>
      </c>
      <c r="D481" s="36"/>
      <c r="E481" s="36"/>
      <c r="F481" s="36"/>
      <c r="G481" s="36"/>
      <c r="H481" s="36"/>
      <c r="I481" s="36"/>
      <c r="J481" s="13"/>
      <c r="K481" s="1442"/>
      <c r="L481" s="1442"/>
    </row>
    <row r="482">
      <c r="A482" s="1530"/>
      <c r="B482" s="1445"/>
      <c r="C482" s="1529"/>
      <c r="D482" s="1445"/>
      <c r="E482" s="1445"/>
      <c r="F482" s="1445"/>
      <c r="G482" s="1445"/>
      <c r="H482" s="1445"/>
      <c r="I482" s="1445"/>
      <c r="J482" s="1445"/>
      <c r="K482" s="1442"/>
      <c r="L482" s="1442"/>
    </row>
    <row r="483">
      <c r="A483" s="1530"/>
      <c r="B483" s="1445"/>
      <c r="C483" s="1529"/>
      <c r="D483" s="1445"/>
      <c r="E483" s="1445"/>
      <c r="F483" s="1445"/>
      <c r="G483" s="1445"/>
      <c r="H483" s="1445"/>
      <c r="I483" s="1445"/>
      <c r="J483" s="1445"/>
      <c r="K483" s="1442"/>
      <c r="L483" s="1442"/>
    </row>
    <row r="484">
      <c r="A484" s="1530"/>
      <c r="B484" s="1445"/>
      <c r="C484" s="1445"/>
      <c r="D484" s="1445"/>
      <c r="E484" s="1445"/>
      <c r="F484" s="1445"/>
      <c r="G484" s="1445"/>
      <c r="H484" s="1445"/>
      <c r="I484" s="1445"/>
      <c r="J484" s="1445"/>
      <c r="K484" s="1442"/>
      <c r="L484" s="1442"/>
    </row>
    <row r="485">
      <c r="A485" s="1530"/>
      <c r="B485" s="1445"/>
      <c r="C485" s="1445"/>
      <c r="D485" s="1445"/>
      <c r="E485" s="1445"/>
      <c r="F485" s="1445"/>
      <c r="G485" s="1445"/>
      <c r="H485" s="1445"/>
      <c r="I485" s="1445"/>
      <c r="J485" s="1445"/>
      <c r="K485" s="1442"/>
      <c r="L485" s="1442"/>
    </row>
    <row r="486">
      <c r="A486" s="1530"/>
      <c r="B486" s="1445"/>
      <c r="C486" s="1445"/>
      <c r="D486" s="1445"/>
      <c r="E486" s="1445"/>
      <c r="F486" s="1445"/>
      <c r="G486" s="1445"/>
      <c r="H486" s="1445"/>
      <c r="I486" s="1445"/>
      <c r="J486" s="1445"/>
      <c r="K486" s="1442"/>
      <c r="L486" s="1442"/>
    </row>
    <row r="487">
      <c r="A487" s="1530"/>
      <c r="B487" s="1445"/>
      <c r="C487" s="1445"/>
      <c r="D487" s="1445"/>
      <c r="E487" s="1445"/>
      <c r="F487" s="1445"/>
      <c r="G487" s="1445"/>
      <c r="H487" s="1445"/>
      <c r="I487" s="1445"/>
      <c r="J487" s="1445"/>
      <c r="K487" s="1442"/>
      <c r="L487" s="1442"/>
    </row>
    <row r="488">
      <c r="A488" s="1530"/>
      <c r="B488" s="1445"/>
      <c r="C488" s="1445"/>
      <c r="D488" s="1445"/>
      <c r="E488" s="1445"/>
      <c r="F488" s="1445"/>
      <c r="G488" s="1445"/>
      <c r="H488" s="1445"/>
      <c r="I488" s="1445"/>
      <c r="J488" s="1445"/>
      <c r="K488" s="1442"/>
      <c r="L488" s="1442"/>
    </row>
    <row r="489">
      <c r="A489" s="1530"/>
      <c r="B489" s="1445"/>
      <c r="C489" s="1445"/>
      <c r="D489" s="1445"/>
      <c r="E489" s="1445"/>
      <c r="F489" s="1445"/>
      <c r="G489" s="1445"/>
      <c r="H489" s="1445"/>
      <c r="I489" s="1445"/>
      <c r="J489" s="1445"/>
      <c r="K489" s="1442"/>
      <c r="L489" s="1442"/>
    </row>
    <row r="490">
      <c r="A490" s="1530"/>
      <c r="B490" s="1445"/>
      <c r="C490" s="1445"/>
      <c r="D490" s="1445"/>
      <c r="E490" s="1445"/>
      <c r="F490" s="1445"/>
      <c r="G490" s="1445"/>
      <c r="H490" s="1445"/>
      <c r="I490" s="1445"/>
      <c r="J490" s="1445"/>
      <c r="K490" s="1442"/>
      <c r="L490" s="1442"/>
    </row>
    <row r="491">
      <c r="A491" s="1530"/>
      <c r="B491" s="1445"/>
      <c r="C491" s="1445"/>
      <c r="D491" s="1445"/>
      <c r="E491" s="1445"/>
      <c r="F491" s="1445"/>
      <c r="G491" s="1445"/>
      <c r="H491" s="1445"/>
      <c r="I491" s="1445"/>
      <c r="J491" s="1445"/>
      <c r="K491" s="1442"/>
      <c r="L491" s="1442"/>
    </row>
    <row r="492">
      <c r="A492" s="1530"/>
      <c r="B492" s="1445"/>
      <c r="C492" s="1445"/>
      <c r="D492" s="1445"/>
      <c r="E492" s="1445"/>
      <c r="F492" s="1445"/>
      <c r="G492" s="1445"/>
      <c r="H492" s="1445"/>
      <c r="I492" s="1445"/>
      <c r="J492" s="1445"/>
      <c r="K492" s="1442"/>
      <c r="L492" s="1442"/>
    </row>
    <row r="493">
      <c r="A493" s="1530"/>
      <c r="B493" s="1445"/>
      <c r="C493" s="1445"/>
      <c r="D493" s="1445"/>
      <c r="E493" s="1445"/>
      <c r="F493" s="1445"/>
      <c r="G493" s="1445"/>
      <c r="H493" s="1445"/>
      <c r="I493" s="1445"/>
      <c r="J493" s="1445"/>
      <c r="K493" s="1442"/>
      <c r="L493" s="1442"/>
    </row>
    <row r="494">
      <c r="A494" s="1530"/>
      <c r="B494" s="1445"/>
      <c r="C494" s="1445"/>
      <c r="D494" s="1445"/>
      <c r="E494" s="1445"/>
      <c r="F494" s="1445"/>
      <c r="G494" s="1445"/>
      <c r="H494" s="1445"/>
      <c r="I494" s="1445"/>
      <c r="J494" s="1445"/>
      <c r="K494" s="1442"/>
      <c r="L494" s="1442"/>
    </row>
    <row r="495">
      <c r="A495" s="1530"/>
      <c r="B495" s="1445"/>
      <c r="C495" s="1445"/>
      <c r="D495" s="1445"/>
      <c r="E495" s="1445"/>
      <c r="F495" s="1445"/>
      <c r="G495" s="1445"/>
      <c r="H495" s="1445"/>
      <c r="I495" s="1445"/>
      <c r="J495" s="1445"/>
      <c r="K495" s="1442"/>
      <c r="L495" s="1442"/>
    </row>
    <row r="496">
      <c r="A496" s="1530"/>
      <c r="B496" s="1445"/>
      <c r="C496" s="1445"/>
      <c r="D496" s="1445"/>
      <c r="E496" s="1445"/>
      <c r="F496" s="1445"/>
      <c r="G496" s="1445"/>
      <c r="H496" s="1445"/>
      <c r="I496" s="1445"/>
      <c r="J496" s="1445"/>
      <c r="K496" s="1442"/>
      <c r="L496" s="1442"/>
    </row>
    <row r="497">
      <c r="A497" s="1530"/>
      <c r="B497" s="1445"/>
      <c r="C497" s="1445"/>
      <c r="D497" s="1445"/>
      <c r="E497" s="1445"/>
      <c r="F497" s="1445"/>
      <c r="G497" s="1445"/>
      <c r="H497" s="1445"/>
      <c r="I497" s="1445"/>
      <c r="J497" s="1445"/>
      <c r="K497" s="1442"/>
      <c r="L497" s="1442"/>
    </row>
    <row r="498">
      <c r="A498" s="1530"/>
      <c r="B498" s="1445"/>
      <c r="C498" s="1445"/>
      <c r="D498" s="1445"/>
      <c r="E498" s="1445"/>
      <c r="F498" s="1445"/>
      <c r="G498" s="1445"/>
      <c r="H498" s="1445"/>
      <c r="I498" s="1445"/>
      <c r="J498" s="1445"/>
      <c r="K498" s="1442"/>
      <c r="L498" s="1442"/>
    </row>
    <row r="499">
      <c r="A499" s="1530"/>
      <c r="B499" s="1445"/>
      <c r="C499" s="1445"/>
      <c r="D499" s="1445"/>
      <c r="E499" s="1445"/>
      <c r="F499" s="1445"/>
      <c r="G499" s="1445"/>
      <c r="H499" s="1445"/>
      <c r="I499" s="1445"/>
      <c r="J499" s="1445"/>
      <c r="K499" s="1442"/>
      <c r="L499" s="1442"/>
    </row>
    <row r="500">
      <c r="A500" s="1530"/>
      <c r="B500" s="1445"/>
      <c r="C500" s="1445"/>
      <c r="D500" s="1445"/>
      <c r="E500" s="1445"/>
      <c r="F500" s="1445"/>
      <c r="G500" s="1445"/>
      <c r="H500" s="1445"/>
      <c r="I500" s="1445"/>
      <c r="J500" s="1445"/>
      <c r="K500" s="1442"/>
      <c r="L500" s="1442"/>
    </row>
    <row r="501">
      <c r="A501" s="1530"/>
      <c r="B501" s="1445"/>
      <c r="C501" s="1445"/>
      <c r="D501" s="1445"/>
      <c r="E501" s="1445"/>
      <c r="F501" s="1445"/>
      <c r="G501" s="1445"/>
      <c r="H501" s="1445"/>
      <c r="I501" s="1445"/>
      <c r="J501" s="1445"/>
      <c r="K501" s="1442"/>
      <c r="L501" s="1442"/>
    </row>
    <row r="502">
      <c r="A502" s="1530"/>
      <c r="B502" s="1445"/>
      <c r="C502" s="1445"/>
      <c r="D502" s="1445"/>
      <c r="E502" s="1445"/>
      <c r="F502" s="1445"/>
      <c r="G502" s="1445"/>
      <c r="H502" s="1445"/>
      <c r="I502" s="1445"/>
      <c r="J502" s="1445"/>
      <c r="K502" s="1442"/>
      <c r="L502" s="1442"/>
    </row>
    <row r="503">
      <c r="A503" s="1530"/>
      <c r="B503" s="1445"/>
      <c r="C503" s="1445"/>
      <c r="D503" s="1445"/>
      <c r="E503" s="1445"/>
      <c r="F503" s="1445"/>
      <c r="G503" s="1445"/>
      <c r="H503" s="1445"/>
      <c r="I503" s="1445"/>
      <c r="J503" s="1445"/>
      <c r="K503" s="1442"/>
      <c r="L503" s="1442"/>
    </row>
    <row r="504">
      <c r="A504" s="1530"/>
      <c r="B504" s="1445"/>
      <c r="C504" s="1445"/>
      <c r="D504" s="1445"/>
      <c r="E504" s="1445"/>
      <c r="F504" s="1445"/>
      <c r="G504" s="1445"/>
      <c r="H504" s="1445"/>
      <c r="I504" s="1445"/>
      <c r="J504" s="1445"/>
      <c r="K504" s="1442"/>
      <c r="L504" s="1442"/>
    </row>
    <row r="505">
      <c r="A505" s="1530"/>
      <c r="B505" s="1445"/>
      <c r="C505" s="1445"/>
      <c r="D505" s="1445"/>
      <c r="E505" s="1445"/>
      <c r="F505" s="1445"/>
      <c r="G505" s="1445"/>
      <c r="H505" s="1445"/>
      <c r="I505" s="1445"/>
      <c r="J505" s="1445"/>
      <c r="K505" s="1442"/>
      <c r="L505" s="1442"/>
    </row>
    <row r="506">
      <c r="A506" s="1530"/>
      <c r="B506" s="1445"/>
      <c r="C506" s="1445"/>
      <c r="D506" s="1445"/>
      <c r="E506" s="1445"/>
      <c r="F506" s="1445"/>
      <c r="G506" s="1445"/>
      <c r="H506" s="1445"/>
      <c r="I506" s="1445"/>
      <c r="J506" s="1445"/>
      <c r="K506" s="1442"/>
      <c r="L506" s="1442"/>
    </row>
    <row r="507">
      <c r="A507" s="1530"/>
      <c r="B507" s="1445"/>
      <c r="C507" s="1445"/>
      <c r="D507" s="1445"/>
      <c r="E507" s="1445"/>
      <c r="F507" s="1445"/>
      <c r="G507" s="1445"/>
      <c r="H507" s="1445"/>
      <c r="I507" s="1445"/>
      <c r="J507" s="1445"/>
      <c r="K507" s="1442"/>
      <c r="L507" s="1442"/>
    </row>
    <row r="508">
      <c r="A508" s="1530"/>
      <c r="B508" s="1445"/>
      <c r="C508" s="1445"/>
      <c r="D508" s="1445"/>
      <c r="E508" s="1445"/>
      <c r="F508" s="1445"/>
      <c r="G508" s="1445"/>
      <c r="H508" s="1445"/>
      <c r="I508" s="1445"/>
      <c r="J508" s="1445"/>
      <c r="K508" s="1442"/>
      <c r="L508" s="1442"/>
    </row>
    <row r="509">
      <c r="A509" s="1530"/>
      <c r="B509" s="1445"/>
      <c r="C509" s="1445"/>
      <c r="D509" s="1445"/>
      <c r="E509" s="1445"/>
      <c r="F509" s="1445"/>
      <c r="G509" s="1445"/>
      <c r="H509" s="1445"/>
      <c r="I509" s="1445"/>
      <c r="J509" s="1445"/>
      <c r="K509" s="1442"/>
      <c r="L509" s="1442"/>
    </row>
    <row r="510">
      <c r="A510" s="1530"/>
      <c r="B510" s="1445"/>
      <c r="C510" s="1445"/>
      <c r="D510" s="1445"/>
      <c r="E510" s="1445"/>
      <c r="F510" s="1445"/>
      <c r="G510" s="1445"/>
      <c r="H510" s="1445"/>
      <c r="I510" s="1445"/>
      <c r="J510" s="1445"/>
      <c r="K510" s="1442"/>
      <c r="L510" s="1442"/>
    </row>
    <row r="511">
      <c r="A511" s="1530"/>
      <c r="B511" s="1445"/>
      <c r="C511" s="1445"/>
      <c r="D511" s="1445"/>
      <c r="E511" s="1445"/>
      <c r="F511" s="1445"/>
      <c r="G511" s="1445"/>
      <c r="H511" s="1445"/>
      <c r="I511" s="1445"/>
      <c r="J511" s="1445"/>
      <c r="K511" s="1442"/>
      <c r="L511" s="1442"/>
    </row>
    <row r="512">
      <c r="A512" s="1530"/>
      <c r="B512" s="1445"/>
      <c r="C512" s="1445"/>
      <c r="D512" s="1445"/>
      <c r="E512" s="1445"/>
      <c r="F512" s="1445"/>
      <c r="G512" s="1445"/>
      <c r="H512" s="1445"/>
      <c r="I512" s="1445"/>
      <c r="J512" s="1445"/>
      <c r="K512" s="1442"/>
      <c r="L512" s="1442"/>
    </row>
    <row r="513">
      <c r="A513" s="1530"/>
      <c r="B513" s="1445"/>
      <c r="C513" s="1445"/>
      <c r="D513" s="1445"/>
      <c r="E513" s="1445"/>
      <c r="F513" s="1445"/>
      <c r="G513" s="1445"/>
      <c r="H513" s="1445"/>
      <c r="I513" s="1445"/>
      <c r="J513" s="1445"/>
      <c r="K513" s="1442"/>
      <c r="L513" s="1442"/>
    </row>
    <row r="514">
      <c r="A514" s="1530"/>
      <c r="B514" s="1445"/>
      <c r="C514" s="1445"/>
      <c r="D514" s="1445"/>
      <c r="E514" s="1445"/>
      <c r="F514" s="1445"/>
      <c r="G514" s="1445"/>
      <c r="H514" s="1445"/>
      <c r="I514" s="1445"/>
      <c r="J514" s="1445"/>
      <c r="K514" s="1442"/>
      <c r="L514" s="1442"/>
    </row>
    <row r="515">
      <c r="A515" s="1530"/>
      <c r="B515" s="1445"/>
      <c r="C515" s="1445"/>
      <c r="D515" s="1445"/>
      <c r="E515" s="1445"/>
      <c r="F515" s="1445"/>
      <c r="G515" s="1445"/>
      <c r="H515" s="1445"/>
      <c r="I515" s="1445"/>
      <c r="J515" s="1445"/>
      <c r="K515" s="1442"/>
      <c r="L515" s="1442"/>
    </row>
    <row r="516">
      <c r="A516" s="1530"/>
      <c r="B516" s="1445"/>
      <c r="C516" s="1445"/>
      <c r="D516" s="1445"/>
      <c r="E516" s="1445"/>
      <c r="F516" s="1445"/>
      <c r="G516" s="1445"/>
      <c r="H516" s="1445"/>
      <c r="I516" s="1445"/>
      <c r="J516" s="1445"/>
      <c r="K516" s="1442"/>
      <c r="L516" s="1442"/>
    </row>
    <row r="517">
      <c r="A517" s="1530"/>
      <c r="B517" s="1445"/>
      <c r="C517" s="1445"/>
      <c r="D517" s="1445"/>
      <c r="E517" s="1445"/>
      <c r="F517" s="1445"/>
      <c r="G517" s="1445"/>
      <c r="H517" s="1445"/>
      <c r="I517" s="1445"/>
      <c r="J517" s="1445"/>
      <c r="K517" s="1442"/>
      <c r="L517" s="1442"/>
    </row>
    <row r="518">
      <c r="A518" s="1531"/>
      <c r="B518" s="1460"/>
      <c r="C518" s="1460"/>
      <c r="D518" s="1460"/>
      <c r="E518" s="1460"/>
      <c r="F518" s="1460"/>
      <c r="G518" s="1460"/>
      <c r="H518" s="1460"/>
      <c r="I518" s="1460"/>
      <c r="J518" s="1460"/>
      <c r="K518" s="1532"/>
      <c r="L518" s="1532"/>
    </row>
    <row r="519">
      <c r="A519" s="1531"/>
      <c r="B519" s="1460"/>
      <c r="C519" s="1460"/>
      <c r="D519" s="1460"/>
      <c r="E519" s="1460"/>
      <c r="F519" s="1460"/>
      <c r="G519" s="1460"/>
      <c r="H519" s="1460"/>
      <c r="I519" s="1460"/>
      <c r="J519" s="1460"/>
      <c r="K519" s="1532"/>
      <c r="L519" s="1532"/>
    </row>
    <row r="520">
      <c r="A520" s="1531"/>
      <c r="B520" s="1460"/>
      <c r="C520" s="1460"/>
      <c r="D520" s="1460"/>
      <c r="E520" s="1460"/>
      <c r="F520" s="1460"/>
      <c r="G520" s="1460"/>
      <c r="H520" s="1460"/>
      <c r="I520" s="1460"/>
      <c r="J520" s="1460"/>
      <c r="K520" s="1532"/>
      <c r="L520" s="1532"/>
    </row>
    <row r="521">
      <c r="A521" s="1531"/>
      <c r="B521" s="1460"/>
      <c r="C521" s="1460"/>
      <c r="D521" s="1460"/>
      <c r="E521" s="1460"/>
      <c r="F521" s="1460"/>
      <c r="G521" s="1460"/>
      <c r="H521" s="1460"/>
      <c r="I521" s="1460"/>
      <c r="J521" s="1460"/>
      <c r="K521" s="1532"/>
      <c r="L521" s="1532"/>
    </row>
    <row r="522">
      <c r="A522" s="1531"/>
      <c r="B522" s="1460"/>
      <c r="C522" s="1460"/>
      <c r="D522" s="1460"/>
      <c r="E522" s="1460"/>
      <c r="F522" s="1460"/>
      <c r="G522" s="1460"/>
      <c r="H522" s="1460"/>
      <c r="I522" s="1460"/>
      <c r="J522" s="1460"/>
      <c r="K522" s="1532"/>
      <c r="L522" s="1532"/>
    </row>
    <row r="523">
      <c r="A523" s="1531"/>
      <c r="B523" s="1460"/>
      <c r="C523" s="1460"/>
      <c r="D523" s="1460"/>
      <c r="E523" s="1460"/>
      <c r="F523" s="1460"/>
      <c r="G523" s="1460"/>
      <c r="H523" s="1460"/>
      <c r="I523" s="1460"/>
      <c r="J523" s="1460"/>
      <c r="K523" s="1532"/>
      <c r="L523" s="1532"/>
    </row>
    <row r="524">
      <c r="A524" s="1531"/>
      <c r="B524" s="1460"/>
      <c r="C524" s="1460"/>
      <c r="D524" s="1460"/>
      <c r="E524" s="1460"/>
      <c r="F524" s="1460"/>
      <c r="G524" s="1460"/>
      <c r="H524" s="1460"/>
      <c r="I524" s="1460"/>
      <c r="J524" s="1460"/>
      <c r="K524" s="1532"/>
      <c r="L524" s="1532"/>
    </row>
    <row r="525">
      <c r="A525" s="1531"/>
      <c r="B525" s="1460"/>
      <c r="C525" s="1460"/>
      <c r="D525" s="1460"/>
      <c r="E525" s="1460"/>
      <c r="F525" s="1460"/>
      <c r="G525" s="1460"/>
      <c r="H525" s="1460"/>
      <c r="I525" s="1460"/>
      <c r="J525" s="1460"/>
      <c r="K525" s="1532"/>
      <c r="L525" s="1532"/>
    </row>
    <row r="526">
      <c r="A526" s="1531"/>
      <c r="B526" s="1460"/>
      <c r="C526" s="1460"/>
      <c r="D526" s="1460"/>
      <c r="E526" s="1460"/>
      <c r="F526" s="1460"/>
      <c r="G526" s="1460"/>
      <c r="H526" s="1460"/>
      <c r="I526" s="1460"/>
      <c r="J526" s="1460"/>
      <c r="K526" s="1532"/>
      <c r="L526" s="1532"/>
    </row>
    <row r="527">
      <c r="A527" s="1531"/>
      <c r="B527" s="1460"/>
      <c r="C527" s="1460"/>
      <c r="D527" s="1460"/>
      <c r="E527" s="1460"/>
      <c r="F527" s="1460"/>
      <c r="G527" s="1460"/>
      <c r="H527" s="1460"/>
      <c r="I527" s="1460"/>
      <c r="J527" s="1460"/>
      <c r="K527" s="1532"/>
      <c r="L527" s="1532"/>
    </row>
    <row r="528">
      <c r="A528" s="1531"/>
      <c r="B528" s="1460"/>
      <c r="C528" s="1460"/>
      <c r="D528" s="1460"/>
      <c r="E528" s="1460"/>
      <c r="F528" s="1460"/>
      <c r="G528" s="1460"/>
      <c r="H528" s="1460"/>
      <c r="I528" s="1460"/>
      <c r="J528" s="1460"/>
      <c r="K528" s="1532"/>
      <c r="L528" s="1532"/>
    </row>
    <row r="529">
      <c r="A529" s="1531"/>
      <c r="B529" s="1460"/>
      <c r="C529" s="1460"/>
      <c r="D529" s="1460"/>
      <c r="E529" s="1460"/>
      <c r="F529" s="1460"/>
      <c r="G529" s="1460"/>
      <c r="H529" s="1460"/>
      <c r="I529" s="1460"/>
      <c r="J529" s="1460"/>
      <c r="K529" s="1532"/>
      <c r="L529" s="1532"/>
    </row>
    <row r="530">
      <c r="A530" s="1531"/>
      <c r="B530" s="1460"/>
      <c r="C530" s="1460"/>
      <c r="D530" s="1460"/>
      <c r="E530" s="1460"/>
      <c r="F530" s="1460"/>
      <c r="G530" s="1460"/>
      <c r="H530" s="1460"/>
      <c r="I530" s="1460"/>
      <c r="J530" s="1460"/>
      <c r="K530" s="1532"/>
      <c r="L530" s="1532"/>
    </row>
    <row r="531">
      <c r="A531" s="1531"/>
      <c r="B531" s="1460"/>
      <c r="C531" s="1460"/>
      <c r="D531" s="1460"/>
      <c r="E531" s="1460"/>
      <c r="F531" s="1460"/>
      <c r="G531" s="1460"/>
      <c r="H531" s="1460"/>
      <c r="I531" s="1460"/>
      <c r="J531" s="1460"/>
      <c r="K531" s="1532"/>
      <c r="L531" s="1532"/>
    </row>
    <row r="532">
      <c r="A532" s="1531"/>
      <c r="B532" s="1460"/>
      <c r="C532" s="1460"/>
      <c r="D532" s="1460"/>
      <c r="E532" s="1460"/>
      <c r="F532" s="1460"/>
      <c r="G532" s="1460"/>
      <c r="H532" s="1460"/>
      <c r="I532" s="1460"/>
      <c r="J532" s="1460"/>
      <c r="K532" s="1532"/>
      <c r="L532" s="1532"/>
    </row>
    <row r="533">
      <c r="A533" s="1531"/>
      <c r="B533" s="1460"/>
      <c r="C533" s="1460"/>
      <c r="D533" s="1460"/>
      <c r="E533" s="1460"/>
      <c r="F533" s="1460"/>
      <c r="G533" s="1460"/>
      <c r="H533" s="1460"/>
      <c r="I533" s="1460"/>
      <c r="J533" s="1460"/>
      <c r="K533" s="1532"/>
      <c r="L533" s="1532"/>
    </row>
    <row r="534">
      <c r="A534" s="1531"/>
      <c r="B534" s="1460"/>
      <c r="C534" s="1460"/>
      <c r="D534" s="1460"/>
      <c r="E534" s="1460"/>
      <c r="F534" s="1460"/>
      <c r="G534" s="1460"/>
      <c r="H534" s="1460"/>
      <c r="I534" s="1460"/>
      <c r="J534" s="1460"/>
      <c r="K534" s="1532"/>
      <c r="L534" s="1532"/>
    </row>
    <row r="535">
      <c r="A535" s="1531"/>
      <c r="B535" s="1460"/>
      <c r="C535" s="1460"/>
      <c r="D535" s="1460"/>
      <c r="E535" s="1460"/>
      <c r="F535" s="1460"/>
      <c r="G535" s="1460"/>
      <c r="H535" s="1460"/>
      <c r="I535" s="1460"/>
      <c r="J535" s="1460"/>
      <c r="K535" s="1532"/>
      <c r="L535" s="1532"/>
    </row>
    <row r="536">
      <c r="A536" s="1531"/>
      <c r="B536" s="1460"/>
      <c r="C536" s="1460"/>
      <c r="D536" s="1460"/>
      <c r="E536" s="1460"/>
      <c r="F536" s="1460"/>
      <c r="G536" s="1460"/>
      <c r="H536" s="1460"/>
      <c r="I536" s="1460"/>
      <c r="J536" s="1460"/>
      <c r="K536" s="1532"/>
      <c r="L536" s="1532"/>
    </row>
    <row r="537">
      <c r="A537" s="1531"/>
      <c r="B537" s="1460"/>
      <c r="C537" s="1460"/>
      <c r="D537" s="1460"/>
      <c r="E537" s="1460"/>
      <c r="F537" s="1460"/>
      <c r="G537" s="1460"/>
      <c r="H537" s="1460"/>
      <c r="I537" s="1460"/>
      <c r="J537" s="1460"/>
      <c r="K537" s="1532"/>
      <c r="L537" s="1532"/>
    </row>
    <row r="538">
      <c r="A538" s="1531"/>
      <c r="B538" s="1460"/>
      <c r="C538" s="1460"/>
      <c r="D538" s="1460"/>
      <c r="E538" s="1460"/>
      <c r="F538" s="1460"/>
      <c r="G538" s="1460"/>
      <c r="H538" s="1460"/>
      <c r="I538" s="1460"/>
      <c r="J538" s="1460"/>
      <c r="K538" s="1532"/>
      <c r="L538" s="1532"/>
    </row>
    <row r="539">
      <c r="A539" s="1531"/>
      <c r="B539" s="1460"/>
      <c r="C539" s="1460"/>
      <c r="D539" s="1460"/>
      <c r="E539" s="1460"/>
      <c r="F539" s="1460"/>
      <c r="G539" s="1460"/>
      <c r="H539" s="1460"/>
      <c r="I539" s="1460"/>
      <c r="J539" s="1460"/>
      <c r="K539" s="1532"/>
      <c r="L539" s="1532"/>
    </row>
    <row r="540">
      <c r="A540" s="1531"/>
      <c r="B540" s="1460"/>
      <c r="C540" s="1460"/>
      <c r="D540" s="1460"/>
      <c r="E540" s="1460"/>
      <c r="F540" s="1460"/>
      <c r="G540" s="1460"/>
      <c r="H540" s="1460"/>
      <c r="I540" s="1460"/>
      <c r="J540" s="1460"/>
      <c r="K540" s="1532"/>
      <c r="L540" s="1532"/>
    </row>
    <row r="541">
      <c r="A541" s="1531"/>
      <c r="B541" s="1460"/>
      <c r="C541" s="1460"/>
      <c r="D541" s="1460"/>
      <c r="E541" s="1460"/>
      <c r="F541" s="1460"/>
      <c r="G541" s="1460"/>
      <c r="H541" s="1460"/>
      <c r="I541" s="1460"/>
      <c r="J541" s="1460"/>
      <c r="K541" s="1532"/>
      <c r="L541" s="1532"/>
    </row>
    <row r="542">
      <c r="A542" s="1531"/>
      <c r="B542" s="1460"/>
      <c r="C542" s="1460"/>
      <c r="D542" s="1460"/>
      <c r="E542" s="1460"/>
      <c r="F542" s="1460"/>
      <c r="G542" s="1460"/>
      <c r="H542" s="1460"/>
      <c r="I542" s="1460"/>
      <c r="J542" s="1460"/>
      <c r="K542" s="1532"/>
      <c r="L542" s="1532"/>
    </row>
    <row r="543">
      <c r="A543" s="1531"/>
      <c r="B543" s="1460"/>
      <c r="C543" s="1460"/>
      <c r="D543" s="1460"/>
      <c r="E543" s="1460"/>
      <c r="F543" s="1460"/>
      <c r="G543" s="1460"/>
      <c r="H543" s="1460"/>
      <c r="I543" s="1460"/>
      <c r="J543" s="1460"/>
      <c r="K543" s="1532"/>
      <c r="L543" s="1532"/>
    </row>
    <row r="544">
      <c r="A544" s="1531"/>
      <c r="B544" s="1460"/>
      <c r="C544" s="1460"/>
      <c r="D544" s="1460"/>
      <c r="E544" s="1460"/>
      <c r="F544" s="1460"/>
      <c r="G544" s="1460"/>
      <c r="H544" s="1460"/>
      <c r="I544" s="1460"/>
      <c r="J544" s="1460"/>
      <c r="K544" s="1532"/>
      <c r="L544" s="1532"/>
    </row>
    <row r="545">
      <c r="A545" s="1531"/>
      <c r="B545" s="1460"/>
      <c r="C545" s="1460"/>
      <c r="D545" s="1460"/>
      <c r="E545" s="1460"/>
      <c r="F545" s="1460"/>
      <c r="G545" s="1460"/>
      <c r="H545" s="1460"/>
      <c r="I545" s="1460"/>
      <c r="J545" s="1460"/>
      <c r="K545" s="1532"/>
      <c r="L545" s="1532"/>
    </row>
    <row r="546">
      <c r="A546" s="1531"/>
      <c r="B546" s="1460"/>
      <c r="C546" s="1460"/>
      <c r="D546" s="1460"/>
      <c r="E546" s="1460"/>
      <c r="F546" s="1460"/>
      <c r="G546" s="1460"/>
      <c r="H546" s="1460"/>
      <c r="I546" s="1460"/>
      <c r="J546" s="1460"/>
      <c r="K546" s="1532"/>
      <c r="L546" s="1532"/>
    </row>
    <row r="547">
      <c r="A547" s="1531"/>
      <c r="B547" s="1460"/>
      <c r="C547" s="1460"/>
      <c r="D547" s="1460"/>
      <c r="E547" s="1460"/>
      <c r="F547" s="1460"/>
      <c r="G547" s="1460"/>
      <c r="H547" s="1460"/>
      <c r="I547" s="1460"/>
      <c r="J547" s="1460"/>
      <c r="K547" s="1532"/>
      <c r="L547" s="1532"/>
    </row>
    <row r="548">
      <c r="A548" s="1531"/>
      <c r="B548" s="1460"/>
      <c r="C548" s="1460"/>
      <c r="D548" s="1460"/>
      <c r="E548" s="1460"/>
      <c r="F548" s="1460"/>
      <c r="G548" s="1460"/>
      <c r="H548" s="1460"/>
      <c r="I548" s="1460"/>
      <c r="J548" s="1460"/>
      <c r="K548" s="1532"/>
      <c r="L548" s="1532"/>
    </row>
    <row r="549">
      <c r="A549" s="1531"/>
      <c r="B549" s="1460"/>
      <c r="C549" s="1460"/>
      <c r="D549" s="1460"/>
      <c r="E549" s="1460"/>
      <c r="F549" s="1460"/>
      <c r="G549" s="1460"/>
      <c r="H549" s="1460"/>
      <c r="I549" s="1460"/>
      <c r="J549" s="1460"/>
      <c r="K549" s="1532"/>
      <c r="L549" s="1532"/>
    </row>
    <row r="550">
      <c r="A550" s="1531"/>
      <c r="B550" s="1460"/>
      <c r="C550" s="1460"/>
      <c r="D550" s="1460"/>
      <c r="E550" s="1460"/>
      <c r="F550" s="1460"/>
      <c r="G550" s="1460"/>
      <c r="H550" s="1460"/>
      <c r="I550" s="1460"/>
      <c r="J550" s="1460"/>
      <c r="K550" s="1532"/>
      <c r="L550" s="1532"/>
    </row>
    <row r="551">
      <c r="A551" s="1531"/>
      <c r="B551" s="1460"/>
      <c r="C551" s="1460"/>
      <c r="D551" s="1460"/>
      <c r="E551" s="1460"/>
      <c r="F551" s="1460"/>
      <c r="G551" s="1460"/>
      <c r="H551" s="1460"/>
      <c r="I551" s="1460"/>
      <c r="J551" s="1460"/>
      <c r="K551" s="1532"/>
      <c r="L551" s="1532"/>
    </row>
    <row r="552">
      <c r="A552" s="1531"/>
      <c r="B552" s="1460"/>
      <c r="C552" s="1460"/>
      <c r="D552" s="1460"/>
      <c r="E552" s="1460"/>
      <c r="F552" s="1460"/>
      <c r="G552" s="1460"/>
      <c r="H552" s="1460"/>
      <c r="I552" s="1460"/>
      <c r="J552" s="1460"/>
      <c r="K552" s="1532"/>
      <c r="L552" s="1532"/>
    </row>
    <row r="553">
      <c r="A553" s="1531"/>
      <c r="B553" s="1460"/>
      <c r="C553" s="1460"/>
      <c r="D553" s="1460"/>
      <c r="E553" s="1460"/>
      <c r="F553" s="1460"/>
      <c r="G553" s="1460"/>
      <c r="H553" s="1460"/>
      <c r="I553" s="1460"/>
      <c r="J553" s="1460"/>
      <c r="K553" s="1532"/>
      <c r="L553" s="1532"/>
    </row>
    <row r="554">
      <c r="A554" s="1531"/>
      <c r="B554" s="1460"/>
      <c r="C554" s="1460"/>
      <c r="D554" s="1460"/>
      <c r="E554" s="1460"/>
      <c r="F554" s="1460"/>
      <c r="G554" s="1460"/>
      <c r="H554" s="1460"/>
      <c r="I554" s="1460"/>
      <c r="J554" s="1460"/>
      <c r="K554" s="1532"/>
      <c r="L554" s="1532"/>
    </row>
    <row r="555">
      <c r="A555" s="1531"/>
      <c r="B555" s="1460"/>
      <c r="C555" s="1460"/>
      <c r="D555" s="1460"/>
      <c r="E555" s="1460"/>
      <c r="F555" s="1460"/>
      <c r="G555" s="1460"/>
      <c r="H555" s="1460"/>
      <c r="I555" s="1460"/>
      <c r="J555" s="1460"/>
      <c r="K555" s="1532"/>
      <c r="L555" s="1532"/>
    </row>
    <row r="556">
      <c r="A556" s="1531"/>
      <c r="B556" s="1460"/>
      <c r="C556" s="1460"/>
      <c r="D556" s="1460"/>
      <c r="E556" s="1460"/>
      <c r="F556" s="1460"/>
      <c r="G556" s="1460"/>
      <c r="H556" s="1460"/>
      <c r="I556" s="1460"/>
      <c r="J556" s="1460"/>
      <c r="K556" s="1532"/>
      <c r="L556" s="1532"/>
    </row>
    <row r="557">
      <c r="A557" s="1531"/>
      <c r="B557" s="1460"/>
      <c r="C557" s="1460"/>
      <c r="D557" s="1460"/>
      <c r="E557" s="1460"/>
      <c r="F557" s="1460"/>
      <c r="G557" s="1460"/>
      <c r="H557" s="1460"/>
      <c r="I557" s="1460"/>
      <c r="J557" s="1460"/>
      <c r="K557" s="1532"/>
      <c r="L557" s="1532"/>
    </row>
    <row r="558">
      <c r="A558" s="1531"/>
      <c r="B558" s="1460"/>
      <c r="C558" s="1460"/>
      <c r="D558" s="1460"/>
      <c r="E558" s="1460"/>
      <c r="F558" s="1460"/>
      <c r="G558" s="1460"/>
      <c r="H558" s="1460"/>
      <c r="I558" s="1460"/>
      <c r="J558" s="1460"/>
      <c r="K558" s="1532"/>
      <c r="L558" s="1532"/>
    </row>
    <row r="559">
      <c r="A559" s="1531"/>
      <c r="B559" s="1460"/>
      <c r="C559" s="1460"/>
      <c r="D559" s="1460"/>
      <c r="E559" s="1460"/>
      <c r="F559" s="1460"/>
      <c r="G559" s="1460"/>
      <c r="H559" s="1460"/>
      <c r="I559" s="1460"/>
      <c r="J559" s="1460"/>
      <c r="K559" s="1532"/>
      <c r="L559" s="1532"/>
    </row>
    <row r="560">
      <c r="A560" s="1531"/>
      <c r="B560" s="1460"/>
      <c r="C560" s="1460"/>
      <c r="D560" s="1460"/>
      <c r="E560" s="1460"/>
      <c r="F560" s="1460"/>
      <c r="G560" s="1460"/>
      <c r="H560" s="1460"/>
      <c r="I560" s="1460"/>
      <c r="J560" s="1460"/>
      <c r="K560" s="1532"/>
      <c r="L560" s="1532"/>
    </row>
    <row r="561">
      <c r="A561" s="1531"/>
      <c r="B561" s="1460"/>
      <c r="C561" s="1460"/>
      <c r="D561" s="1460"/>
      <c r="E561" s="1460"/>
      <c r="F561" s="1460"/>
      <c r="G561" s="1460"/>
      <c r="H561" s="1460"/>
      <c r="I561" s="1460"/>
      <c r="J561" s="1460"/>
      <c r="K561" s="1532"/>
      <c r="L561" s="1532"/>
    </row>
    <row r="562">
      <c r="A562" s="1531"/>
      <c r="B562" s="1460"/>
      <c r="C562" s="1460"/>
      <c r="D562" s="1460"/>
      <c r="E562" s="1460"/>
      <c r="F562" s="1460"/>
      <c r="G562" s="1460"/>
      <c r="H562" s="1460"/>
      <c r="I562" s="1460"/>
      <c r="J562" s="1460"/>
      <c r="K562" s="1532"/>
      <c r="L562" s="1532"/>
    </row>
    <row r="563">
      <c r="A563" s="1531"/>
      <c r="B563" s="1460"/>
      <c r="C563" s="1460"/>
      <c r="D563" s="1460"/>
      <c r="E563" s="1460"/>
      <c r="F563" s="1460"/>
      <c r="G563" s="1460"/>
      <c r="H563" s="1460"/>
      <c r="I563" s="1460"/>
      <c r="J563" s="1460"/>
      <c r="K563" s="1532"/>
      <c r="L563" s="1532"/>
    </row>
    <row r="564">
      <c r="A564" s="1531"/>
      <c r="B564" s="1460"/>
      <c r="C564" s="1460"/>
      <c r="D564" s="1460"/>
      <c r="E564" s="1460"/>
      <c r="F564" s="1460"/>
      <c r="G564" s="1460"/>
      <c r="H564" s="1460"/>
      <c r="I564" s="1460"/>
      <c r="J564" s="1460"/>
      <c r="K564" s="1532"/>
      <c r="L564" s="1532"/>
    </row>
    <row r="565">
      <c r="A565" s="1531"/>
      <c r="B565" s="1460"/>
      <c r="C565" s="1460"/>
      <c r="D565" s="1460"/>
      <c r="E565" s="1460"/>
      <c r="F565" s="1460"/>
      <c r="G565" s="1460"/>
      <c r="H565" s="1460"/>
      <c r="I565" s="1460"/>
      <c r="J565" s="1460"/>
      <c r="K565" s="1532"/>
      <c r="L565" s="1532"/>
    </row>
    <row r="566">
      <c r="A566" s="1531"/>
      <c r="B566" s="1460"/>
      <c r="C566" s="1460"/>
      <c r="D566" s="1460"/>
      <c r="E566" s="1460"/>
      <c r="F566" s="1460"/>
      <c r="G566" s="1460"/>
      <c r="H566" s="1460"/>
      <c r="I566" s="1460"/>
      <c r="J566" s="1460"/>
      <c r="K566" s="1532"/>
      <c r="L566" s="1532"/>
    </row>
    <row r="567">
      <c r="A567" s="1531"/>
      <c r="B567" s="1460"/>
      <c r="C567" s="1460"/>
      <c r="D567" s="1460"/>
      <c r="E567" s="1460"/>
      <c r="F567" s="1460"/>
      <c r="G567" s="1460"/>
      <c r="H567" s="1460"/>
      <c r="I567" s="1460"/>
      <c r="J567" s="1460"/>
      <c r="K567" s="1532"/>
      <c r="L567" s="1532"/>
    </row>
    <row r="568">
      <c r="A568" s="1531"/>
      <c r="B568" s="1460"/>
      <c r="C568" s="1460"/>
      <c r="D568" s="1460"/>
      <c r="E568" s="1460"/>
      <c r="F568" s="1460"/>
      <c r="G568" s="1460"/>
      <c r="H568" s="1460"/>
      <c r="I568" s="1460"/>
      <c r="J568" s="1460"/>
      <c r="K568" s="1532"/>
      <c r="L568" s="1532"/>
    </row>
    <row r="569">
      <c r="A569" s="1531"/>
      <c r="B569" s="1460"/>
      <c r="C569" s="1460"/>
      <c r="D569" s="1460"/>
      <c r="E569" s="1460"/>
      <c r="F569" s="1460"/>
      <c r="G569" s="1460"/>
      <c r="H569" s="1460"/>
      <c r="I569" s="1460"/>
      <c r="J569" s="1460"/>
      <c r="K569" s="1532"/>
      <c r="L569" s="1532"/>
    </row>
    <row r="570">
      <c r="A570" s="1531"/>
      <c r="B570" s="1460"/>
      <c r="C570" s="1460"/>
      <c r="D570" s="1460"/>
      <c r="E570" s="1460"/>
      <c r="F570" s="1460"/>
      <c r="G570" s="1460"/>
      <c r="H570" s="1460"/>
      <c r="I570" s="1460"/>
      <c r="J570" s="1460"/>
      <c r="K570" s="1532"/>
      <c r="L570" s="1532"/>
    </row>
    <row r="571">
      <c r="A571" s="1531"/>
      <c r="B571" s="1460"/>
      <c r="C571" s="1460"/>
      <c r="D571" s="1460"/>
      <c r="E571" s="1460"/>
      <c r="F571" s="1460"/>
      <c r="G571" s="1460"/>
      <c r="H571" s="1460"/>
      <c r="I571" s="1460"/>
      <c r="J571" s="1460"/>
      <c r="K571" s="1532"/>
      <c r="L571" s="1532"/>
    </row>
    <row r="572">
      <c r="A572" s="1531"/>
      <c r="B572" s="1460"/>
      <c r="C572" s="1460"/>
      <c r="D572" s="1460"/>
      <c r="E572" s="1460"/>
      <c r="F572" s="1460"/>
      <c r="G572" s="1460"/>
      <c r="H572" s="1460"/>
      <c r="I572" s="1460"/>
      <c r="J572" s="1460"/>
      <c r="K572" s="1532"/>
      <c r="L572" s="1532"/>
    </row>
    <row r="573">
      <c r="A573" s="1531"/>
      <c r="B573" s="1460"/>
      <c r="C573" s="1460"/>
      <c r="D573" s="1460"/>
      <c r="E573" s="1460"/>
      <c r="F573" s="1460"/>
      <c r="G573" s="1460"/>
      <c r="H573" s="1460"/>
      <c r="I573" s="1460"/>
      <c r="J573" s="1460"/>
      <c r="K573" s="1532"/>
      <c r="L573" s="1532"/>
    </row>
    <row r="574">
      <c r="A574" s="1531"/>
      <c r="B574" s="1460"/>
      <c r="C574" s="1460"/>
      <c r="D574" s="1460"/>
      <c r="E574" s="1460"/>
      <c r="F574" s="1460"/>
      <c r="G574" s="1460"/>
      <c r="H574" s="1460"/>
      <c r="I574" s="1460"/>
      <c r="J574" s="1460"/>
      <c r="K574" s="1532"/>
      <c r="L574" s="1532"/>
    </row>
    <row r="575">
      <c r="A575" s="1531"/>
      <c r="B575" s="1460"/>
      <c r="C575" s="1460"/>
      <c r="D575" s="1460"/>
      <c r="E575" s="1460"/>
      <c r="F575" s="1460"/>
      <c r="G575" s="1460"/>
      <c r="H575" s="1460"/>
      <c r="I575" s="1460"/>
      <c r="J575" s="1460"/>
      <c r="K575" s="1532"/>
      <c r="L575" s="1532"/>
    </row>
    <row r="576">
      <c r="A576" s="1531"/>
      <c r="B576" s="1460"/>
      <c r="C576" s="1460"/>
      <c r="D576" s="1460"/>
      <c r="E576" s="1460"/>
      <c r="F576" s="1460"/>
      <c r="G576" s="1460"/>
      <c r="H576" s="1460"/>
      <c r="I576" s="1460"/>
      <c r="J576" s="1460"/>
      <c r="K576" s="1532"/>
      <c r="L576" s="1532"/>
    </row>
    <row r="577">
      <c r="A577" s="1531"/>
      <c r="B577" s="1460"/>
      <c r="C577" s="1460"/>
      <c r="D577" s="1460"/>
      <c r="E577" s="1460"/>
      <c r="F577" s="1460"/>
      <c r="G577" s="1460"/>
      <c r="H577" s="1460"/>
      <c r="I577" s="1460"/>
      <c r="J577" s="1460"/>
      <c r="K577" s="1532"/>
      <c r="L577" s="1532"/>
    </row>
    <row r="578">
      <c r="A578" s="1531"/>
      <c r="B578" s="1460"/>
      <c r="C578" s="1460"/>
      <c r="D578" s="1460"/>
      <c r="E578" s="1460"/>
      <c r="F578" s="1460"/>
      <c r="G578" s="1460"/>
      <c r="H578" s="1460"/>
      <c r="I578" s="1460"/>
      <c r="J578" s="1460"/>
      <c r="K578" s="1532"/>
      <c r="L578" s="1532"/>
    </row>
    <row r="579">
      <c r="A579" s="1531"/>
      <c r="B579" s="1460"/>
      <c r="C579" s="1460"/>
      <c r="D579" s="1460"/>
      <c r="E579" s="1460"/>
      <c r="F579" s="1460"/>
      <c r="G579" s="1460"/>
      <c r="H579" s="1460"/>
      <c r="I579" s="1460"/>
      <c r="J579" s="1460"/>
      <c r="K579" s="1532"/>
      <c r="L579" s="1532"/>
    </row>
    <row r="580">
      <c r="A580" s="1531"/>
      <c r="B580" s="1460"/>
      <c r="C580" s="1460"/>
      <c r="D580" s="1460"/>
      <c r="E580" s="1460"/>
      <c r="F580" s="1460"/>
      <c r="G580" s="1460"/>
      <c r="H580" s="1460"/>
      <c r="I580" s="1460"/>
      <c r="J580" s="1460"/>
      <c r="K580" s="1532"/>
      <c r="L580" s="1532"/>
    </row>
    <row r="581">
      <c r="A581" s="1531"/>
      <c r="B581" s="1460"/>
      <c r="C581" s="1460"/>
      <c r="D581" s="1460"/>
      <c r="E581" s="1460"/>
      <c r="F581" s="1460"/>
      <c r="G581" s="1460"/>
      <c r="H581" s="1460"/>
      <c r="I581" s="1460"/>
      <c r="J581" s="1460"/>
      <c r="K581" s="1532"/>
      <c r="L581" s="1532"/>
    </row>
    <row r="582">
      <c r="A582" s="1531"/>
      <c r="B582" s="1460"/>
      <c r="C582" s="1460"/>
      <c r="D582" s="1460"/>
      <c r="E582" s="1460"/>
      <c r="F582" s="1460"/>
      <c r="G582" s="1460"/>
      <c r="H582" s="1460"/>
      <c r="I582" s="1460"/>
      <c r="J582" s="1460"/>
      <c r="K582" s="1532"/>
      <c r="L582" s="1532"/>
    </row>
    <row r="583">
      <c r="A583" s="1531"/>
      <c r="B583" s="1460"/>
      <c r="C583" s="1460"/>
      <c r="D583" s="1460"/>
      <c r="E583" s="1460"/>
      <c r="F583" s="1460"/>
      <c r="G583" s="1460"/>
      <c r="H583" s="1460"/>
      <c r="I583" s="1460"/>
      <c r="J583" s="1460"/>
      <c r="K583" s="1532"/>
      <c r="L583" s="1532"/>
    </row>
    <row r="584">
      <c r="A584" s="1531"/>
      <c r="B584" s="1460"/>
      <c r="C584" s="1460"/>
      <c r="D584" s="1460"/>
      <c r="E584" s="1460"/>
      <c r="F584" s="1460"/>
      <c r="G584" s="1460"/>
      <c r="H584" s="1460"/>
      <c r="I584" s="1460"/>
      <c r="J584" s="1460"/>
      <c r="K584" s="1532"/>
      <c r="L584" s="1532"/>
    </row>
    <row r="585">
      <c r="A585" s="1531"/>
      <c r="B585" s="1460"/>
      <c r="C585" s="1460"/>
      <c r="D585" s="1460"/>
      <c r="E585" s="1460"/>
      <c r="F585" s="1460"/>
      <c r="G585" s="1460"/>
      <c r="H585" s="1460"/>
      <c r="I585" s="1460"/>
      <c r="J585" s="1460"/>
      <c r="K585" s="1532"/>
      <c r="L585" s="1532"/>
    </row>
    <row r="586">
      <c r="A586" s="1531"/>
      <c r="B586" s="1460"/>
      <c r="C586" s="1460"/>
      <c r="D586" s="1460"/>
      <c r="E586" s="1460"/>
      <c r="F586" s="1460"/>
      <c r="G586" s="1460"/>
      <c r="H586" s="1460"/>
      <c r="I586" s="1460"/>
      <c r="J586" s="1460"/>
      <c r="K586" s="1532"/>
      <c r="L586" s="1532"/>
    </row>
    <row r="587">
      <c r="A587" s="1531"/>
      <c r="B587" s="1460"/>
      <c r="C587" s="1460"/>
      <c r="D587" s="1460"/>
      <c r="E587" s="1460"/>
      <c r="F587" s="1460"/>
      <c r="G587" s="1460"/>
      <c r="H587" s="1460"/>
      <c r="I587" s="1460"/>
      <c r="J587" s="1460"/>
      <c r="K587" s="1532"/>
      <c r="L587" s="1532"/>
    </row>
    <row r="588">
      <c r="A588" s="1531"/>
      <c r="B588" s="1460"/>
      <c r="C588" s="1460"/>
      <c r="D588" s="1460"/>
      <c r="E588" s="1460"/>
      <c r="F588" s="1460"/>
      <c r="G588" s="1460"/>
      <c r="H588" s="1460"/>
      <c r="I588" s="1460"/>
      <c r="J588" s="1460"/>
      <c r="K588" s="1532"/>
      <c r="L588" s="1532"/>
    </row>
    <row r="589">
      <c r="A589" s="1531"/>
      <c r="B589" s="1460"/>
      <c r="C589" s="1460"/>
      <c r="D589" s="1460"/>
      <c r="E589" s="1460"/>
      <c r="F589" s="1460"/>
      <c r="G589" s="1460"/>
      <c r="H589" s="1460"/>
      <c r="I589" s="1460"/>
      <c r="J589" s="1460"/>
      <c r="K589" s="1532"/>
      <c r="L589" s="1532"/>
    </row>
    <row r="590">
      <c r="A590" s="1531"/>
      <c r="B590" s="1460"/>
      <c r="C590" s="1460"/>
      <c r="D590" s="1460"/>
      <c r="E590" s="1460"/>
      <c r="F590" s="1460"/>
      <c r="G590" s="1460"/>
      <c r="H590" s="1460"/>
      <c r="I590" s="1460"/>
      <c r="J590" s="1460"/>
      <c r="K590" s="1532"/>
      <c r="L590" s="1532"/>
    </row>
    <row r="591">
      <c r="A591" s="1531"/>
      <c r="B591" s="1460"/>
      <c r="C591" s="1460"/>
      <c r="D591" s="1460"/>
      <c r="E591" s="1460"/>
      <c r="F591" s="1460"/>
      <c r="G591" s="1460"/>
      <c r="H591" s="1460"/>
      <c r="I591" s="1460"/>
      <c r="J591" s="1460"/>
      <c r="K591" s="1532"/>
      <c r="L591" s="1532"/>
    </row>
    <row r="592">
      <c r="A592" s="1531"/>
      <c r="B592" s="1460"/>
      <c r="C592" s="1460"/>
      <c r="D592" s="1460"/>
      <c r="E592" s="1460"/>
      <c r="F592" s="1460"/>
      <c r="G592" s="1460"/>
      <c r="H592" s="1460"/>
      <c r="I592" s="1460"/>
      <c r="J592" s="1460"/>
      <c r="K592" s="1532"/>
      <c r="L592" s="1532"/>
    </row>
    <row r="593">
      <c r="A593" s="1531"/>
      <c r="B593" s="1460"/>
      <c r="C593" s="1460"/>
      <c r="D593" s="1460"/>
      <c r="E593" s="1460"/>
      <c r="F593" s="1460"/>
      <c r="G593" s="1460"/>
      <c r="H593" s="1460"/>
      <c r="I593" s="1460"/>
      <c r="J593" s="1460"/>
      <c r="K593" s="1532"/>
      <c r="L593" s="1532"/>
    </row>
    <row r="594">
      <c r="A594" s="1531"/>
      <c r="B594" s="1460"/>
      <c r="C594" s="1460"/>
      <c r="D594" s="1460"/>
      <c r="E594" s="1460"/>
      <c r="F594" s="1460"/>
      <c r="G594" s="1460"/>
      <c r="H594" s="1460"/>
      <c r="I594" s="1460"/>
      <c r="J594" s="1460"/>
      <c r="K594" s="1532"/>
      <c r="L594" s="1532"/>
    </row>
    <row r="595">
      <c r="A595" s="1531"/>
      <c r="B595" s="1460"/>
      <c r="C595" s="1460"/>
      <c r="D595" s="1460"/>
      <c r="E595" s="1460"/>
      <c r="F595" s="1460"/>
      <c r="G595" s="1460"/>
      <c r="H595" s="1460"/>
      <c r="I595" s="1460"/>
      <c r="J595" s="1460"/>
      <c r="K595" s="1532"/>
      <c r="L595" s="1532"/>
    </row>
    <row r="596">
      <c r="A596" s="1531"/>
      <c r="B596" s="1460"/>
      <c r="C596" s="1460"/>
      <c r="D596" s="1460"/>
      <c r="E596" s="1460"/>
      <c r="F596" s="1460"/>
      <c r="G596" s="1460"/>
      <c r="H596" s="1460"/>
      <c r="I596" s="1460"/>
      <c r="J596" s="1460"/>
      <c r="K596" s="1532"/>
      <c r="L596" s="1532"/>
    </row>
    <row r="597">
      <c r="A597" s="1531"/>
      <c r="B597" s="1460"/>
      <c r="C597" s="1460"/>
      <c r="D597" s="1460"/>
      <c r="E597" s="1460"/>
      <c r="F597" s="1460"/>
      <c r="G597" s="1460"/>
      <c r="H597" s="1460"/>
      <c r="I597" s="1460"/>
      <c r="J597" s="1460"/>
      <c r="K597" s="1532"/>
      <c r="L597" s="1532"/>
    </row>
    <row r="598">
      <c r="A598" s="1531"/>
      <c r="B598" s="1460"/>
      <c r="C598" s="1460"/>
      <c r="D598" s="1460"/>
      <c r="E598" s="1460"/>
      <c r="F598" s="1460"/>
      <c r="G598" s="1460"/>
      <c r="H598" s="1460"/>
      <c r="I598" s="1460"/>
      <c r="J598" s="1460"/>
      <c r="K598" s="1532"/>
      <c r="L598" s="1532"/>
    </row>
    <row r="599">
      <c r="A599" s="1531"/>
      <c r="B599" s="1460"/>
      <c r="C599" s="1460"/>
      <c r="D599" s="1460"/>
      <c r="E599" s="1460"/>
      <c r="F599" s="1460"/>
      <c r="G599" s="1460"/>
      <c r="H599" s="1460"/>
      <c r="I599" s="1460"/>
      <c r="J599" s="1460"/>
      <c r="K599" s="1532"/>
      <c r="L599" s="1532"/>
    </row>
    <row r="600">
      <c r="A600" s="1531"/>
      <c r="B600" s="1460"/>
      <c r="C600" s="1460"/>
      <c r="D600" s="1460"/>
      <c r="E600" s="1460"/>
      <c r="F600" s="1460"/>
      <c r="G600" s="1460"/>
      <c r="H600" s="1460"/>
      <c r="I600" s="1460"/>
      <c r="J600" s="1460"/>
      <c r="K600" s="1532"/>
      <c r="L600" s="1532"/>
    </row>
    <row r="601">
      <c r="A601" s="1531"/>
      <c r="B601" s="1460"/>
      <c r="C601" s="1460"/>
      <c r="D601" s="1460"/>
      <c r="E601" s="1460"/>
      <c r="F601" s="1460"/>
      <c r="G601" s="1460"/>
      <c r="H601" s="1460"/>
      <c r="I601" s="1460"/>
      <c r="J601" s="1460"/>
      <c r="K601" s="1532"/>
      <c r="L601" s="1532"/>
    </row>
    <row r="602">
      <c r="A602" s="1531"/>
      <c r="B602" s="1460"/>
      <c r="C602" s="1460"/>
      <c r="D602" s="1460"/>
      <c r="E602" s="1460"/>
      <c r="F602" s="1460"/>
      <c r="G602" s="1460"/>
      <c r="H602" s="1460"/>
      <c r="I602" s="1460"/>
      <c r="J602" s="1460"/>
      <c r="K602" s="1532"/>
      <c r="L602" s="1532"/>
    </row>
    <row r="603">
      <c r="A603" s="1531"/>
      <c r="B603" s="1460"/>
      <c r="C603" s="1460"/>
      <c r="D603" s="1460"/>
      <c r="E603" s="1460"/>
      <c r="F603" s="1460"/>
      <c r="G603" s="1460"/>
      <c r="H603" s="1460"/>
      <c r="I603" s="1460"/>
      <c r="J603" s="1460"/>
      <c r="K603" s="1532"/>
      <c r="L603" s="1532"/>
    </row>
    <row r="604">
      <c r="A604" s="1531"/>
      <c r="B604" s="1460"/>
      <c r="C604" s="1460"/>
      <c r="D604" s="1460"/>
      <c r="E604" s="1460"/>
      <c r="F604" s="1460"/>
      <c r="G604" s="1460"/>
      <c r="H604" s="1460"/>
      <c r="I604" s="1460"/>
      <c r="J604" s="1460"/>
      <c r="K604" s="1532"/>
      <c r="L604" s="1532"/>
    </row>
    <row r="605">
      <c r="A605" s="1531"/>
      <c r="B605" s="1460"/>
      <c r="C605" s="1460"/>
      <c r="D605" s="1460"/>
      <c r="E605" s="1460"/>
      <c r="F605" s="1460"/>
      <c r="G605" s="1460"/>
      <c r="H605" s="1460"/>
      <c r="I605" s="1460"/>
      <c r="J605" s="1460"/>
      <c r="K605" s="1532"/>
      <c r="L605" s="1532"/>
    </row>
    <row r="606">
      <c r="A606" s="1531"/>
      <c r="B606" s="1460"/>
      <c r="C606" s="1460"/>
      <c r="D606" s="1460"/>
      <c r="E606" s="1460"/>
      <c r="F606" s="1460"/>
      <c r="G606" s="1460"/>
      <c r="H606" s="1460"/>
      <c r="I606" s="1460"/>
      <c r="J606" s="1460"/>
      <c r="K606" s="1532"/>
      <c r="L606" s="1532"/>
    </row>
    <row r="607">
      <c r="A607" s="1531"/>
      <c r="B607" s="1460"/>
      <c r="C607" s="1460"/>
      <c r="D607" s="1460"/>
      <c r="E607" s="1460"/>
      <c r="F607" s="1460"/>
      <c r="G607" s="1460"/>
      <c r="H607" s="1460"/>
      <c r="I607" s="1460"/>
      <c r="J607" s="1460"/>
      <c r="K607" s="1532"/>
      <c r="L607" s="1532"/>
    </row>
    <row r="608">
      <c r="A608" s="1531"/>
      <c r="B608" s="1460"/>
      <c r="C608" s="1460"/>
      <c r="D608" s="1460"/>
      <c r="E608" s="1460"/>
      <c r="F608" s="1460"/>
      <c r="G608" s="1460"/>
      <c r="H608" s="1460"/>
      <c r="I608" s="1460"/>
      <c r="J608" s="1460"/>
      <c r="K608" s="1532"/>
      <c r="L608" s="1532"/>
    </row>
    <row r="609">
      <c r="A609" s="1531"/>
      <c r="B609" s="1460"/>
      <c r="C609" s="1460"/>
      <c r="D609" s="1460"/>
      <c r="E609" s="1460"/>
      <c r="F609" s="1460"/>
      <c r="G609" s="1460"/>
      <c r="H609" s="1460"/>
      <c r="I609" s="1460"/>
      <c r="J609" s="1460"/>
      <c r="K609" s="1532"/>
      <c r="L609" s="1532"/>
    </row>
    <row r="610">
      <c r="A610" s="1531"/>
      <c r="B610" s="1460"/>
      <c r="C610" s="1460"/>
      <c r="D610" s="1460"/>
      <c r="E610" s="1460"/>
      <c r="F610" s="1460"/>
      <c r="G610" s="1460"/>
      <c r="H610" s="1460"/>
      <c r="I610" s="1460"/>
      <c r="J610" s="1460"/>
      <c r="K610" s="1532"/>
      <c r="L610" s="1532"/>
    </row>
    <row r="611">
      <c r="A611" s="1531"/>
      <c r="B611" s="1460"/>
      <c r="C611" s="1460"/>
      <c r="D611" s="1460"/>
      <c r="E611" s="1460"/>
      <c r="F611" s="1460"/>
      <c r="G611" s="1460"/>
      <c r="H611" s="1460"/>
      <c r="I611" s="1460"/>
      <c r="J611" s="1460"/>
      <c r="K611" s="1532"/>
      <c r="L611" s="1532"/>
    </row>
    <row r="612">
      <c r="A612" s="1531"/>
      <c r="B612" s="1460"/>
      <c r="C612" s="1460"/>
      <c r="D612" s="1460"/>
      <c r="E612" s="1460"/>
      <c r="F612" s="1460"/>
      <c r="G612" s="1460"/>
      <c r="H612" s="1460"/>
      <c r="I612" s="1460"/>
      <c r="J612" s="1460"/>
      <c r="K612" s="1532"/>
      <c r="L612" s="1532"/>
    </row>
    <row r="613">
      <c r="A613" s="1531"/>
      <c r="B613" s="1460"/>
      <c r="C613" s="1460"/>
      <c r="D613" s="1460"/>
      <c r="E613" s="1460"/>
      <c r="F613" s="1460"/>
      <c r="G613" s="1460"/>
      <c r="H613" s="1460"/>
      <c r="I613" s="1460"/>
      <c r="J613" s="1460"/>
      <c r="K613" s="1532"/>
      <c r="L613" s="1532"/>
    </row>
    <row r="614">
      <c r="A614" s="1531"/>
      <c r="B614" s="1460"/>
      <c r="C614" s="1460"/>
      <c r="D614" s="1460"/>
      <c r="E614" s="1460"/>
      <c r="F614" s="1460"/>
      <c r="G614" s="1460"/>
      <c r="H614" s="1460"/>
      <c r="I614" s="1460"/>
      <c r="J614" s="1460"/>
      <c r="K614" s="1532"/>
      <c r="L614" s="1532"/>
    </row>
    <row r="615">
      <c r="A615" s="1531"/>
      <c r="B615" s="1460"/>
      <c r="C615" s="1460"/>
      <c r="D615" s="1460"/>
      <c r="E615" s="1460"/>
      <c r="F615" s="1460"/>
      <c r="G615" s="1460"/>
      <c r="H615" s="1460"/>
      <c r="I615" s="1460"/>
      <c r="J615" s="1460"/>
      <c r="K615" s="1532"/>
      <c r="L615" s="1532"/>
    </row>
    <row r="616">
      <c r="A616" s="1531"/>
      <c r="B616" s="1460"/>
      <c r="C616" s="1460"/>
      <c r="D616" s="1460"/>
      <c r="E616" s="1460"/>
      <c r="F616" s="1460"/>
      <c r="G616" s="1460"/>
      <c r="H616" s="1460"/>
      <c r="I616" s="1460"/>
      <c r="J616" s="1460"/>
      <c r="K616" s="1532"/>
      <c r="L616" s="1532"/>
    </row>
    <row r="617">
      <c r="A617" s="1531"/>
      <c r="B617" s="1460"/>
      <c r="C617" s="1460"/>
      <c r="D617" s="1460"/>
      <c r="E617" s="1460"/>
      <c r="F617" s="1460"/>
      <c r="G617" s="1460"/>
      <c r="H617" s="1460"/>
      <c r="I617" s="1460"/>
      <c r="J617" s="1460"/>
      <c r="K617" s="1532"/>
      <c r="L617" s="1532"/>
    </row>
    <row r="618">
      <c r="A618" s="1531"/>
      <c r="B618" s="1460"/>
      <c r="C618" s="1460"/>
      <c r="D618" s="1460"/>
      <c r="E618" s="1460"/>
      <c r="F618" s="1460"/>
      <c r="G618" s="1460"/>
      <c r="H618" s="1460"/>
      <c r="I618" s="1460"/>
      <c r="J618" s="1460"/>
      <c r="K618" s="1532"/>
      <c r="L618" s="1532"/>
    </row>
    <row r="619">
      <c r="A619" s="1531"/>
      <c r="B619" s="1460"/>
      <c r="C619" s="1460"/>
      <c r="D619" s="1460"/>
      <c r="E619" s="1460"/>
      <c r="F619" s="1460"/>
      <c r="G619" s="1460"/>
      <c r="H619" s="1460"/>
      <c r="I619" s="1460"/>
      <c r="J619" s="1460"/>
      <c r="K619" s="1532"/>
      <c r="L619" s="1532"/>
    </row>
    <row r="620">
      <c r="A620" s="1531"/>
      <c r="B620" s="1460"/>
      <c r="C620" s="1460"/>
      <c r="D620" s="1460"/>
      <c r="E620" s="1460"/>
      <c r="F620" s="1460"/>
      <c r="G620" s="1460"/>
      <c r="H620" s="1460"/>
      <c r="I620" s="1460"/>
      <c r="J620" s="1460"/>
      <c r="K620" s="1532"/>
      <c r="L620" s="1532"/>
    </row>
    <row r="621">
      <c r="A621" s="1531"/>
      <c r="B621" s="1460"/>
      <c r="C621" s="1460"/>
      <c r="D621" s="1460"/>
      <c r="E621" s="1460"/>
      <c r="F621" s="1460"/>
      <c r="G621" s="1460"/>
      <c r="H621" s="1460"/>
      <c r="I621" s="1460"/>
      <c r="J621" s="1460"/>
      <c r="K621" s="1532"/>
      <c r="L621" s="1532"/>
    </row>
    <row r="622">
      <c r="A622" s="1531"/>
      <c r="B622" s="1460"/>
      <c r="C622" s="1460"/>
      <c r="D622" s="1460"/>
      <c r="E622" s="1460"/>
      <c r="F622" s="1460"/>
      <c r="G622" s="1460"/>
      <c r="H622" s="1460"/>
      <c r="I622" s="1460"/>
      <c r="J622" s="1460"/>
      <c r="K622" s="1532"/>
      <c r="L622" s="1532"/>
    </row>
    <row r="623">
      <c r="A623" s="1531"/>
      <c r="B623" s="1460"/>
      <c r="C623" s="1460"/>
      <c r="D623" s="1460"/>
      <c r="E623" s="1460"/>
      <c r="F623" s="1460"/>
      <c r="G623" s="1460"/>
      <c r="H623" s="1460"/>
      <c r="I623" s="1460"/>
      <c r="J623" s="1460"/>
      <c r="K623" s="1532"/>
      <c r="L623" s="1532"/>
    </row>
    <row r="624">
      <c r="A624" s="1531"/>
      <c r="B624" s="1460"/>
      <c r="C624" s="1460"/>
      <c r="D624" s="1460"/>
      <c r="E624" s="1460"/>
      <c r="F624" s="1460"/>
      <c r="G624" s="1460"/>
      <c r="H624" s="1460"/>
      <c r="I624" s="1460"/>
      <c r="J624" s="1460"/>
      <c r="K624" s="1532"/>
      <c r="L624" s="1532"/>
    </row>
    <row r="625">
      <c r="A625" s="1531"/>
      <c r="B625" s="1460"/>
      <c r="C625" s="1460"/>
      <c r="D625" s="1460"/>
      <c r="E625" s="1460"/>
      <c r="F625" s="1460"/>
      <c r="G625" s="1460"/>
      <c r="H625" s="1460"/>
      <c r="I625" s="1460"/>
      <c r="J625" s="1460"/>
      <c r="K625" s="1532"/>
      <c r="L625" s="1532"/>
    </row>
    <row r="626">
      <c r="A626" s="1531"/>
      <c r="B626" s="1460"/>
      <c r="C626" s="1460"/>
      <c r="D626" s="1460"/>
      <c r="E626" s="1460"/>
      <c r="F626" s="1460"/>
      <c r="G626" s="1460"/>
      <c r="H626" s="1460"/>
      <c r="I626" s="1460"/>
      <c r="J626" s="1460"/>
      <c r="K626" s="1532"/>
      <c r="L626" s="1532"/>
    </row>
    <row r="627">
      <c r="A627" s="1531"/>
      <c r="B627" s="1460"/>
      <c r="C627" s="1460"/>
      <c r="D627" s="1460"/>
      <c r="E627" s="1460"/>
      <c r="F627" s="1460"/>
      <c r="G627" s="1460"/>
      <c r="H627" s="1460"/>
      <c r="I627" s="1460"/>
      <c r="J627" s="1460"/>
      <c r="K627" s="1532"/>
      <c r="L627" s="1532"/>
    </row>
    <row r="628">
      <c r="A628" s="1531"/>
      <c r="B628" s="1460"/>
      <c r="C628" s="1460"/>
      <c r="D628" s="1460"/>
      <c r="E628" s="1460"/>
      <c r="F628" s="1460"/>
      <c r="G628" s="1460"/>
      <c r="H628" s="1460"/>
      <c r="I628" s="1460"/>
      <c r="J628" s="1460"/>
      <c r="K628" s="1532"/>
      <c r="L628" s="1532"/>
    </row>
    <row r="629">
      <c r="A629" s="1531"/>
      <c r="B629" s="1460"/>
      <c r="C629" s="1460"/>
      <c r="D629" s="1460"/>
      <c r="E629" s="1460"/>
      <c r="F629" s="1460"/>
      <c r="G629" s="1460"/>
      <c r="H629" s="1460"/>
      <c r="I629" s="1460"/>
      <c r="J629" s="1460"/>
      <c r="K629" s="1532"/>
      <c r="L629" s="1532"/>
    </row>
    <row r="630">
      <c r="A630" s="1531"/>
      <c r="B630" s="1460"/>
      <c r="C630" s="1460"/>
      <c r="D630" s="1460"/>
      <c r="E630" s="1460"/>
      <c r="F630" s="1460"/>
      <c r="G630" s="1460"/>
      <c r="H630" s="1460"/>
      <c r="I630" s="1460"/>
      <c r="J630" s="1460"/>
      <c r="K630" s="1532"/>
      <c r="L630" s="1532"/>
    </row>
    <row r="631">
      <c r="A631" s="1533"/>
    </row>
    <row r="632">
      <c r="A632" s="1533"/>
    </row>
    <row r="633">
      <c r="A633" s="1533"/>
    </row>
    <row r="634">
      <c r="A634" s="1533"/>
    </row>
    <row r="635">
      <c r="A635" s="1533"/>
    </row>
    <row r="636">
      <c r="A636" s="1533"/>
    </row>
    <row r="637">
      <c r="A637" s="1533"/>
    </row>
    <row r="638">
      <c r="A638" s="1533"/>
    </row>
    <row r="639">
      <c r="A639" s="1533"/>
    </row>
    <row r="640">
      <c r="A640" s="1533"/>
    </row>
    <row r="641">
      <c r="A641" s="1533"/>
    </row>
    <row r="642">
      <c r="A642" s="1533"/>
    </row>
    <row r="643">
      <c r="A643" s="1533"/>
    </row>
    <row r="644">
      <c r="A644" s="1533"/>
    </row>
    <row r="645">
      <c r="A645" s="1533"/>
    </row>
    <row r="646">
      <c r="A646" s="1533"/>
    </row>
    <row r="647">
      <c r="A647" s="1533"/>
    </row>
    <row r="648">
      <c r="A648" s="1533"/>
    </row>
    <row r="649">
      <c r="A649" s="1533"/>
    </row>
    <row r="650">
      <c r="A650" s="1533"/>
    </row>
    <row r="651">
      <c r="A651" s="1533"/>
    </row>
    <row r="652">
      <c r="A652" s="1533"/>
    </row>
    <row r="653">
      <c r="A653" s="1533"/>
    </row>
    <row r="654">
      <c r="A654" s="1533"/>
    </row>
    <row r="655">
      <c r="A655" s="1533"/>
    </row>
    <row r="656">
      <c r="A656" s="1533"/>
    </row>
    <row r="657">
      <c r="A657" s="1533"/>
    </row>
    <row r="658">
      <c r="A658" s="1533"/>
    </row>
    <row r="659">
      <c r="A659" s="1533"/>
    </row>
    <row r="660">
      <c r="A660" s="1533"/>
    </row>
    <row r="661">
      <c r="A661" s="1533"/>
    </row>
    <row r="662">
      <c r="A662" s="1533"/>
    </row>
    <row r="663">
      <c r="A663" s="1533"/>
    </row>
    <row r="664">
      <c r="A664" s="1533"/>
    </row>
    <row r="665">
      <c r="A665" s="1533"/>
    </row>
    <row r="666">
      <c r="A666" s="1533"/>
    </row>
    <row r="667">
      <c r="A667" s="1533"/>
    </row>
    <row r="668">
      <c r="A668" s="1533"/>
    </row>
    <row r="669">
      <c r="A669" s="1533"/>
    </row>
    <row r="670">
      <c r="A670" s="1533"/>
    </row>
    <row r="671">
      <c r="A671" s="1533"/>
    </row>
    <row r="672">
      <c r="A672" s="1533"/>
    </row>
    <row r="673">
      <c r="A673" s="1533"/>
    </row>
    <row r="674">
      <c r="A674" s="1533"/>
    </row>
    <row r="675">
      <c r="A675" s="1533"/>
    </row>
    <row r="676">
      <c r="A676" s="1533"/>
    </row>
    <row r="677">
      <c r="A677" s="1533"/>
    </row>
    <row r="678">
      <c r="A678" s="1533"/>
    </row>
    <row r="679">
      <c r="A679" s="1533"/>
    </row>
    <row r="680">
      <c r="A680" s="1533"/>
    </row>
    <row r="681">
      <c r="A681" s="1533"/>
    </row>
    <row r="682">
      <c r="A682" s="1533"/>
    </row>
    <row r="683">
      <c r="A683" s="1533"/>
    </row>
    <row r="684">
      <c r="A684" s="1533"/>
    </row>
    <row r="685">
      <c r="A685" s="1533"/>
    </row>
    <row r="686">
      <c r="A686" s="1533"/>
    </row>
    <row r="687">
      <c r="A687" s="1533"/>
    </row>
    <row r="688">
      <c r="A688" s="1533"/>
    </row>
    <row r="689">
      <c r="A689" s="1533"/>
    </row>
    <row r="690">
      <c r="A690" s="1533"/>
    </row>
    <row r="691">
      <c r="A691" s="1533"/>
    </row>
    <row r="692">
      <c r="A692" s="1533"/>
    </row>
    <row r="693">
      <c r="A693" s="1533"/>
    </row>
    <row r="694">
      <c r="A694" s="1533"/>
    </row>
    <row r="695">
      <c r="A695" s="1533"/>
    </row>
    <row r="696">
      <c r="A696" s="1533"/>
    </row>
    <row r="697">
      <c r="A697" s="1533"/>
    </row>
    <row r="698">
      <c r="A698" s="1533"/>
    </row>
    <row r="699">
      <c r="A699" s="1533"/>
    </row>
    <row r="700">
      <c r="A700" s="1533"/>
    </row>
    <row r="701">
      <c r="A701" s="1533"/>
    </row>
    <row r="702">
      <c r="A702" s="1533"/>
    </row>
    <row r="703">
      <c r="A703" s="1533"/>
    </row>
    <row r="704">
      <c r="A704" s="1533"/>
    </row>
    <row r="705">
      <c r="A705" s="1533"/>
    </row>
    <row r="706">
      <c r="A706" s="1533"/>
    </row>
    <row r="707">
      <c r="A707" s="1533"/>
    </row>
    <row r="708">
      <c r="A708" s="1533"/>
    </row>
    <row r="709">
      <c r="A709" s="1533"/>
    </row>
    <row r="710">
      <c r="A710" s="1533"/>
    </row>
    <row r="711">
      <c r="A711" s="1533"/>
    </row>
    <row r="712">
      <c r="A712" s="1533"/>
    </row>
    <row r="713">
      <c r="A713" s="1533"/>
    </row>
    <row r="714">
      <c r="A714" s="1533"/>
    </row>
    <row r="715">
      <c r="A715" s="1533"/>
    </row>
    <row r="716">
      <c r="A716" s="1533"/>
    </row>
    <row r="717">
      <c r="A717" s="1533"/>
    </row>
    <row r="718">
      <c r="A718" s="1533"/>
    </row>
    <row r="719">
      <c r="A719" s="1533"/>
    </row>
    <row r="720">
      <c r="A720" s="1533"/>
    </row>
    <row r="721">
      <c r="A721" s="1533"/>
    </row>
    <row r="722">
      <c r="A722" s="1533"/>
    </row>
    <row r="723">
      <c r="A723" s="1533"/>
    </row>
    <row r="724">
      <c r="A724" s="1533"/>
    </row>
    <row r="725">
      <c r="A725" s="1533"/>
    </row>
    <row r="726">
      <c r="A726" s="1533"/>
    </row>
    <row r="727">
      <c r="A727" s="1533"/>
    </row>
    <row r="728">
      <c r="A728" s="1533"/>
    </row>
    <row r="729">
      <c r="A729" s="1533"/>
    </row>
    <row r="730">
      <c r="A730" s="1533"/>
    </row>
    <row r="731">
      <c r="A731" s="1533"/>
    </row>
    <row r="732">
      <c r="A732" s="1533"/>
    </row>
    <row r="733">
      <c r="A733" s="1533"/>
    </row>
    <row r="734">
      <c r="A734" s="1533"/>
    </row>
    <row r="735">
      <c r="A735" s="1533"/>
    </row>
    <row r="736">
      <c r="A736" s="1533"/>
    </row>
    <row r="737">
      <c r="A737" s="1533"/>
    </row>
    <row r="738">
      <c r="A738" s="1533"/>
    </row>
    <row r="739">
      <c r="A739" s="1533"/>
    </row>
    <row r="740">
      <c r="A740" s="1533"/>
    </row>
    <row r="741">
      <c r="A741" s="1533"/>
    </row>
    <row r="742">
      <c r="A742" s="1533"/>
    </row>
    <row r="743">
      <c r="A743" s="1533"/>
    </row>
    <row r="744">
      <c r="A744" s="1533"/>
    </row>
    <row r="745">
      <c r="A745" s="1533"/>
    </row>
    <row r="746">
      <c r="A746" s="1533"/>
    </row>
    <row r="747">
      <c r="A747" s="1533"/>
    </row>
    <row r="748">
      <c r="A748" s="1533"/>
    </row>
    <row r="749">
      <c r="A749" s="1533"/>
    </row>
    <row r="750">
      <c r="A750" s="1533"/>
    </row>
    <row r="751">
      <c r="A751" s="1533"/>
    </row>
    <row r="752">
      <c r="A752" s="1533"/>
    </row>
    <row r="753">
      <c r="A753" s="1533"/>
    </row>
    <row r="754">
      <c r="A754" s="1533"/>
    </row>
    <row r="755">
      <c r="A755" s="1533"/>
    </row>
    <row r="756">
      <c r="A756" s="1533"/>
    </row>
    <row r="757">
      <c r="A757" s="1533"/>
    </row>
    <row r="758">
      <c r="A758" s="1533"/>
    </row>
    <row r="759">
      <c r="A759" s="1533"/>
    </row>
    <row r="760">
      <c r="A760" s="1533"/>
    </row>
    <row r="761">
      <c r="A761" s="1533"/>
    </row>
    <row r="762">
      <c r="A762" s="1533"/>
    </row>
    <row r="763">
      <c r="A763" s="1533"/>
    </row>
    <row r="764">
      <c r="A764" s="1533"/>
    </row>
    <row r="765">
      <c r="A765" s="1533"/>
    </row>
    <row r="766">
      <c r="A766" s="1533"/>
    </row>
    <row r="767">
      <c r="A767" s="1533"/>
    </row>
    <row r="768">
      <c r="A768" s="1533"/>
    </row>
    <row r="769">
      <c r="A769" s="1533"/>
    </row>
    <row r="770">
      <c r="A770" s="1533"/>
    </row>
    <row r="771">
      <c r="A771" s="1533"/>
    </row>
    <row r="772">
      <c r="A772" s="1533"/>
    </row>
    <row r="773">
      <c r="A773" s="1533"/>
    </row>
    <row r="774">
      <c r="A774" s="1533"/>
    </row>
    <row r="775">
      <c r="A775" s="1533"/>
    </row>
    <row r="776">
      <c r="A776" s="1533"/>
    </row>
    <row r="777">
      <c r="A777" s="1533"/>
    </row>
    <row r="778">
      <c r="A778" s="1533"/>
    </row>
    <row r="779">
      <c r="A779" s="1533"/>
    </row>
    <row r="780">
      <c r="A780" s="1533"/>
    </row>
    <row r="781">
      <c r="A781" s="1533"/>
    </row>
    <row r="782">
      <c r="A782" s="1533"/>
    </row>
    <row r="783">
      <c r="A783" s="1533"/>
    </row>
    <row r="784">
      <c r="A784" s="1533"/>
    </row>
    <row r="785">
      <c r="A785" s="1533"/>
    </row>
    <row r="786">
      <c r="A786" s="1533"/>
    </row>
    <row r="787">
      <c r="A787" s="1533"/>
    </row>
    <row r="788">
      <c r="A788" s="1533"/>
    </row>
    <row r="789">
      <c r="A789" s="1533"/>
    </row>
    <row r="790">
      <c r="A790" s="1533"/>
    </row>
    <row r="791">
      <c r="A791" s="1533"/>
    </row>
    <row r="792">
      <c r="A792" s="1533"/>
    </row>
    <row r="793">
      <c r="A793" s="1533"/>
    </row>
    <row r="794">
      <c r="A794" s="1533"/>
    </row>
    <row r="795">
      <c r="A795" s="1533"/>
    </row>
    <row r="796">
      <c r="A796" s="1533"/>
    </row>
    <row r="797">
      <c r="A797" s="1533"/>
    </row>
    <row r="798">
      <c r="A798" s="1533"/>
    </row>
    <row r="799">
      <c r="A799" s="1533"/>
    </row>
    <row r="800">
      <c r="A800" s="1533"/>
    </row>
    <row r="801">
      <c r="A801" s="1533"/>
    </row>
    <row r="802">
      <c r="A802" s="1533"/>
    </row>
    <row r="803">
      <c r="A803" s="1533"/>
    </row>
    <row r="804">
      <c r="A804" s="1533"/>
    </row>
    <row r="805">
      <c r="A805" s="1533"/>
    </row>
    <row r="806">
      <c r="A806" s="1533"/>
    </row>
    <row r="807">
      <c r="A807" s="1533"/>
    </row>
    <row r="808">
      <c r="A808" s="1533"/>
    </row>
    <row r="809">
      <c r="A809" s="1533"/>
    </row>
    <row r="810">
      <c r="A810" s="1533"/>
    </row>
    <row r="811">
      <c r="A811" s="1533"/>
    </row>
    <row r="812">
      <c r="A812" s="1533"/>
    </row>
    <row r="813">
      <c r="A813" s="1533"/>
    </row>
    <row r="814">
      <c r="A814" s="1533"/>
    </row>
    <row r="815">
      <c r="A815" s="1533"/>
    </row>
    <row r="816">
      <c r="A816" s="1533"/>
    </row>
    <row r="817">
      <c r="A817" s="1533"/>
    </row>
    <row r="818">
      <c r="A818" s="1533"/>
    </row>
    <row r="819">
      <c r="A819" s="1533"/>
    </row>
    <row r="820">
      <c r="A820" s="1533"/>
    </row>
    <row r="821">
      <c r="A821" s="1533"/>
    </row>
    <row r="822">
      <c r="A822" s="1533"/>
    </row>
    <row r="823">
      <c r="A823" s="1533"/>
    </row>
    <row r="824">
      <c r="A824" s="1533"/>
    </row>
    <row r="825">
      <c r="A825" s="1533"/>
    </row>
    <row r="826">
      <c r="A826" s="1533"/>
    </row>
    <row r="827">
      <c r="A827" s="1533"/>
    </row>
    <row r="828">
      <c r="A828" s="1533"/>
    </row>
    <row r="829">
      <c r="A829" s="1533"/>
    </row>
    <row r="830">
      <c r="A830" s="1533"/>
    </row>
    <row r="831">
      <c r="A831" s="1533"/>
    </row>
    <row r="832">
      <c r="A832" s="1533"/>
    </row>
    <row r="833">
      <c r="A833" s="1533"/>
    </row>
    <row r="834">
      <c r="A834" s="1533"/>
    </row>
    <row r="835">
      <c r="A835" s="1533"/>
    </row>
    <row r="836">
      <c r="A836" s="1533"/>
    </row>
    <row r="837">
      <c r="A837" s="1533"/>
    </row>
    <row r="838">
      <c r="A838" s="1533"/>
    </row>
    <row r="839">
      <c r="A839" s="1533"/>
    </row>
    <row r="840">
      <c r="A840" s="1533"/>
    </row>
    <row r="841">
      <c r="A841" s="1533"/>
    </row>
    <row r="842">
      <c r="A842" s="1533"/>
    </row>
    <row r="843">
      <c r="A843" s="1533"/>
    </row>
    <row r="844">
      <c r="A844" s="1533"/>
    </row>
    <row r="845">
      <c r="A845" s="1533"/>
    </row>
    <row r="846">
      <c r="A846" s="1533"/>
    </row>
    <row r="847">
      <c r="A847" s="1533"/>
    </row>
    <row r="848">
      <c r="A848" s="1533"/>
    </row>
    <row r="849">
      <c r="A849" s="1533"/>
    </row>
    <row r="850">
      <c r="A850" s="1533"/>
    </row>
    <row r="851">
      <c r="A851" s="1533"/>
    </row>
    <row r="852">
      <c r="A852" s="1533"/>
    </row>
    <row r="853">
      <c r="A853" s="1533"/>
    </row>
    <row r="854">
      <c r="A854" s="1533"/>
    </row>
    <row r="855">
      <c r="A855" s="1533"/>
    </row>
    <row r="856">
      <c r="A856" s="1533"/>
    </row>
    <row r="857">
      <c r="A857" s="1533"/>
    </row>
    <row r="858">
      <c r="A858" s="1533"/>
    </row>
    <row r="859">
      <c r="A859" s="1533"/>
    </row>
    <row r="860">
      <c r="A860" s="1533"/>
    </row>
    <row r="861">
      <c r="A861" s="1533"/>
    </row>
    <row r="862">
      <c r="A862" s="1533"/>
    </row>
    <row r="863">
      <c r="A863" s="1533"/>
    </row>
    <row r="864">
      <c r="A864" s="1533"/>
    </row>
    <row r="865">
      <c r="A865" s="1533"/>
    </row>
    <row r="866">
      <c r="A866" s="1533"/>
    </row>
    <row r="867">
      <c r="A867" s="1533"/>
    </row>
    <row r="868">
      <c r="A868" s="1533"/>
    </row>
    <row r="869">
      <c r="A869" s="1533"/>
    </row>
    <row r="870">
      <c r="A870" s="1533"/>
    </row>
    <row r="871">
      <c r="A871" s="1533"/>
    </row>
    <row r="872">
      <c r="A872" s="1533"/>
    </row>
    <row r="873">
      <c r="A873" s="1533"/>
    </row>
    <row r="874">
      <c r="A874" s="1533"/>
    </row>
    <row r="875">
      <c r="A875" s="1533"/>
    </row>
    <row r="876">
      <c r="A876" s="1533"/>
    </row>
    <row r="877">
      <c r="A877" s="1533"/>
    </row>
    <row r="878">
      <c r="A878" s="1533"/>
    </row>
    <row r="879">
      <c r="A879" s="1533"/>
    </row>
    <row r="880">
      <c r="A880" s="1533"/>
    </row>
    <row r="881">
      <c r="A881" s="1533"/>
    </row>
    <row r="882">
      <c r="A882" s="1533"/>
    </row>
    <row r="883">
      <c r="A883" s="1533"/>
    </row>
    <row r="884">
      <c r="A884" s="1533"/>
    </row>
    <row r="885">
      <c r="A885" s="1533"/>
    </row>
    <row r="886">
      <c r="A886" s="1533"/>
    </row>
    <row r="887">
      <c r="A887" s="1533"/>
    </row>
    <row r="888">
      <c r="A888" s="1533"/>
    </row>
    <row r="889">
      <c r="A889" s="1533"/>
    </row>
    <row r="890">
      <c r="A890" s="1533"/>
    </row>
    <row r="891">
      <c r="A891" s="1533"/>
    </row>
    <row r="892">
      <c r="A892" s="1533"/>
    </row>
    <row r="893">
      <c r="A893" s="1533"/>
    </row>
    <row r="894">
      <c r="A894" s="1533"/>
    </row>
    <row r="895">
      <c r="A895" s="1533"/>
    </row>
    <row r="896">
      <c r="A896" s="1533"/>
    </row>
    <row r="897">
      <c r="A897" s="1533"/>
    </row>
    <row r="898">
      <c r="A898" s="1533"/>
    </row>
    <row r="899">
      <c r="A899" s="1533"/>
    </row>
    <row r="900">
      <c r="A900" s="1533"/>
    </row>
    <row r="901">
      <c r="A901" s="1533"/>
    </row>
    <row r="902">
      <c r="A902" s="1533"/>
    </row>
    <row r="903">
      <c r="A903" s="1533"/>
    </row>
    <row r="904">
      <c r="A904" s="1533"/>
    </row>
    <row r="905">
      <c r="A905" s="1533"/>
    </row>
    <row r="906">
      <c r="A906" s="1533"/>
    </row>
    <row r="907">
      <c r="A907" s="1533"/>
    </row>
    <row r="908">
      <c r="A908" s="1533"/>
    </row>
    <row r="909">
      <c r="A909" s="1533"/>
    </row>
    <row r="910">
      <c r="A910" s="1533"/>
    </row>
    <row r="911">
      <c r="A911" s="1533"/>
    </row>
    <row r="912">
      <c r="A912" s="1533"/>
    </row>
    <row r="913">
      <c r="A913" s="1533"/>
    </row>
    <row r="914">
      <c r="A914" s="1533"/>
    </row>
    <row r="915">
      <c r="A915" s="1533"/>
    </row>
    <row r="916">
      <c r="A916" s="1533"/>
    </row>
    <row r="917">
      <c r="A917" s="1533"/>
    </row>
    <row r="918">
      <c r="A918" s="1533"/>
    </row>
    <row r="919">
      <c r="A919" s="1533"/>
    </row>
    <row r="920">
      <c r="A920" s="1533"/>
    </row>
    <row r="921">
      <c r="A921" s="1533"/>
    </row>
    <row r="922">
      <c r="A922" s="1533"/>
    </row>
    <row r="923">
      <c r="A923" s="1533"/>
    </row>
    <row r="924">
      <c r="A924" s="1533"/>
    </row>
    <row r="925">
      <c r="A925" s="1533"/>
    </row>
    <row r="926">
      <c r="A926" s="1533"/>
    </row>
    <row r="927">
      <c r="A927" s="1533"/>
    </row>
    <row r="928">
      <c r="A928" s="1533"/>
    </row>
    <row r="929">
      <c r="A929" s="1533"/>
    </row>
    <row r="930">
      <c r="A930" s="1533"/>
    </row>
    <row r="931">
      <c r="A931" s="1533"/>
    </row>
    <row r="932">
      <c r="A932" s="1533"/>
    </row>
    <row r="933">
      <c r="A933" s="1533"/>
    </row>
    <row r="934">
      <c r="A934" s="1533"/>
    </row>
    <row r="935">
      <c r="A935" s="1533"/>
    </row>
    <row r="936">
      <c r="A936" s="1533"/>
    </row>
    <row r="937">
      <c r="A937" s="1533"/>
    </row>
    <row r="938">
      <c r="A938" s="1533"/>
    </row>
    <row r="939">
      <c r="A939" s="1533"/>
    </row>
    <row r="940">
      <c r="A940" s="1533"/>
    </row>
    <row r="941">
      <c r="A941" s="1533"/>
    </row>
    <row r="942">
      <c r="A942" s="1533"/>
    </row>
    <row r="943">
      <c r="A943" s="1533"/>
    </row>
    <row r="944">
      <c r="A944" s="1533"/>
    </row>
    <row r="945">
      <c r="A945" s="1533"/>
    </row>
    <row r="946">
      <c r="A946" s="1533"/>
    </row>
    <row r="947">
      <c r="A947" s="1533"/>
    </row>
    <row r="948">
      <c r="A948" s="1533"/>
    </row>
    <row r="949">
      <c r="A949" s="1533"/>
    </row>
    <row r="950">
      <c r="A950" s="1533"/>
    </row>
    <row r="951">
      <c r="A951" s="1533"/>
    </row>
    <row r="952">
      <c r="A952" s="1533"/>
    </row>
    <row r="953">
      <c r="A953" s="1533"/>
    </row>
    <row r="954">
      <c r="A954" s="1533"/>
    </row>
    <row r="955">
      <c r="A955" s="1533"/>
    </row>
    <row r="956">
      <c r="A956" s="1533"/>
    </row>
    <row r="957">
      <c r="A957" s="1533"/>
    </row>
    <row r="958">
      <c r="A958" s="1533"/>
    </row>
    <row r="959">
      <c r="A959" s="1533"/>
    </row>
    <row r="960">
      <c r="A960" s="1533"/>
    </row>
    <row r="961">
      <c r="A961" s="1533"/>
    </row>
    <row r="962">
      <c r="A962" s="1533"/>
    </row>
    <row r="963">
      <c r="A963" s="1533"/>
    </row>
    <row r="964">
      <c r="A964" s="1533"/>
    </row>
    <row r="965">
      <c r="A965" s="1533"/>
    </row>
    <row r="966">
      <c r="A966" s="1533"/>
    </row>
    <row r="967">
      <c r="A967" s="1533"/>
    </row>
    <row r="968">
      <c r="A968" s="1533"/>
    </row>
    <row r="969">
      <c r="A969" s="1533"/>
    </row>
    <row r="970">
      <c r="A970" s="1533"/>
    </row>
    <row r="971">
      <c r="A971" s="1533"/>
    </row>
    <row r="972">
      <c r="A972" s="1533"/>
    </row>
    <row r="973">
      <c r="A973" s="1533"/>
    </row>
    <row r="974">
      <c r="A974" s="1533"/>
    </row>
    <row r="975">
      <c r="A975" s="1533"/>
    </row>
    <row r="976">
      <c r="A976" s="1533"/>
    </row>
    <row r="977">
      <c r="A977" s="1533"/>
    </row>
    <row r="978">
      <c r="A978" s="1533"/>
    </row>
    <row r="979">
      <c r="A979" s="1533"/>
    </row>
    <row r="980">
      <c r="A980" s="1533"/>
    </row>
    <row r="981">
      <c r="A981" s="1533"/>
    </row>
    <row r="982">
      <c r="A982" s="1533"/>
    </row>
    <row r="983">
      <c r="A983" s="1533"/>
    </row>
    <row r="984">
      <c r="A984" s="1533"/>
    </row>
    <row r="985">
      <c r="A985" s="1533"/>
    </row>
    <row r="986">
      <c r="A986" s="1533"/>
    </row>
    <row r="987">
      <c r="A987" s="1533"/>
    </row>
    <row r="988">
      <c r="A988" s="1533"/>
    </row>
    <row r="989">
      <c r="A989" s="1533"/>
    </row>
    <row r="990">
      <c r="A990" s="1533"/>
    </row>
    <row r="991">
      <c r="A991" s="1533"/>
    </row>
    <row r="992">
      <c r="A992" s="1533"/>
    </row>
    <row r="993">
      <c r="A993" s="1533"/>
    </row>
    <row r="994">
      <c r="A994" s="1533"/>
    </row>
    <row r="995">
      <c r="A995" s="1533"/>
    </row>
    <row r="996">
      <c r="A996" s="1533"/>
    </row>
    <row r="997">
      <c r="A997" s="1533"/>
    </row>
    <row r="998">
      <c r="A998" s="1533"/>
    </row>
    <row r="999">
      <c r="A999" s="1533"/>
    </row>
    <row r="1000">
      <c r="A1000" s="1533"/>
    </row>
    <row r="1001">
      <c r="A1001" s="1533"/>
    </row>
    <row r="1002">
      <c r="A1002" s="1533"/>
    </row>
    <row r="1003">
      <c r="A1003" s="1533"/>
    </row>
    <row r="1004">
      <c r="A1004" s="1533"/>
    </row>
    <row r="1005">
      <c r="A1005" s="1533"/>
    </row>
    <row r="1006">
      <c r="A1006" s="1533"/>
    </row>
    <row r="1007">
      <c r="A1007" s="1533"/>
    </row>
    <row r="1008">
      <c r="A1008" s="1533"/>
    </row>
    <row r="1009">
      <c r="A1009" s="1533"/>
    </row>
    <row r="1010">
      <c r="A1010" s="1533"/>
    </row>
    <row r="1011">
      <c r="A1011" s="1533"/>
    </row>
    <row r="1012">
      <c r="A1012" s="1533"/>
    </row>
    <row r="1013">
      <c r="A1013" s="1533"/>
    </row>
    <row r="1014">
      <c r="A1014" s="1533"/>
    </row>
    <row r="1015">
      <c r="A1015" s="1533"/>
    </row>
    <row r="1016">
      <c r="A1016" s="1533"/>
    </row>
    <row r="1017">
      <c r="A1017" s="1533"/>
    </row>
    <row r="1018">
      <c r="A1018" s="1533"/>
    </row>
    <row r="1019">
      <c r="A1019" s="1533"/>
    </row>
    <row r="1020">
      <c r="A1020" s="1533"/>
    </row>
    <row r="1021">
      <c r="A1021" s="1533"/>
    </row>
    <row r="1022">
      <c r="A1022" s="1533"/>
    </row>
    <row r="1023">
      <c r="A1023" s="1533"/>
    </row>
    <row r="1024">
      <c r="A1024" s="1533"/>
    </row>
    <row r="1025">
      <c r="A1025" s="1533"/>
    </row>
    <row r="1026">
      <c r="A1026" s="1533"/>
    </row>
    <row r="1027">
      <c r="A1027" s="1533"/>
    </row>
    <row r="1028">
      <c r="A1028" s="1533"/>
    </row>
    <row r="1029">
      <c r="A1029" s="1533"/>
    </row>
    <row r="1030">
      <c r="A1030" s="1533"/>
    </row>
    <row r="1031">
      <c r="A1031" s="1533"/>
    </row>
    <row r="1032">
      <c r="A1032" s="1533"/>
    </row>
    <row r="1033">
      <c r="A1033" s="1533"/>
    </row>
    <row r="1034">
      <c r="A1034" s="1533"/>
    </row>
    <row r="1035">
      <c r="A1035" s="1533"/>
    </row>
    <row r="1036">
      <c r="A1036" s="1533"/>
    </row>
    <row r="1037">
      <c r="A1037" s="1533"/>
    </row>
    <row r="1038">
      <c r="A1038" s="1533"/>
    </row>
    <row r="1039">
      <c r="A1039" s="1533"/>
    </row>
    <row r="1040">
      <c r="A1040" s="1533"/>
    </row>
    <row r="1041">
      <c r="A1041" s="1533"/>
    </row>
    <row r="1042">
      <c r="A1042" s="1533"/>
    </row>
    <row r="1043">
      <c r="A1043" s="1533"/>
    </row>
    <row r="1044">
      <c r="A1044" s="1533"/>
    </row>
    <row r="1045">
      <c r="A1045" s="1533"/>
    </row>
    <row r="1046">
      <c r="A1046" s="1533"/>
    </row>
    <row r="1047">
      <c r="A1047" s="1533"/>
    </row>
    <row r="1048">
      <c r="A1048" s="1533"/>
    </row>
    <row r="1049">
      <c r="A1049" s="1533"/>
    </row>
    <row r="1050">
      <c r="A1050" s="1533"/>
    </row>
    <row r="1051">
      <c r="A1051" s="1533"/>
    </row>
    <row r="1052">
      <c r="A1052" s="1533"/>
    </row>
    <row r="1053">
      <c r="A1053" s="1533"/>
    </row>
    <row r="1054">
      <c r="A1054" s="1533"/>
    </row>
    <row r="1055">
      <c r="A1055" s="1533"/>
    </row>
    <row r="1056">
      <c r="A1056" s="1533"/>
    </row>
    <row r="1057">
      <c r="A1057" s="1533"/>
    </row>
    <row r="1058">
      <c r="A1058" s="1533"/>
    </row>
    <row r="1059">
      <c r="A1059" s="1533"/>
    </row>
    <row r="1060">
      <c r="A1060" s="1533"/>
    </row>
    <row r="1061">
      <c r="A1061" s="1533"/>
    </row>
    <row r="1062">
      <c r="A1062" s="1533"/>
    </row>
    <row r="1063">
      <c r="A1063" s="1533"/>
    </row>
    <row r="1064">
      <c r="A1064" s="1533"/>
    </row>
    <row r="1065">
      <c r="A1065" s="1533"/>
    </row>
    <row r="1066">
      <c r="A1066" s="1533"/>
    </row>
    <row r="1067">
      <c r="A1067" s="1533"/>
    </row>
    <row r="1068">
      <c r="A1068" s="1533"/>
    </row>
    <row r="1069">
      <c r="A1069" s="1533"/>
    </row>
    <row r="1070">
      <c r="A1070" s="1533"/>
    </row>
    <row r="1071">
      <c r="A1071" s="1533"/>
    </row>
    <row r="1072">
      <c r="A1072" s="1533"/>
    </row>
    <row r="1073">
      <c r="A1073" s="1533"/>
    </row>
    <row r="1074">
      <c r="A1074" s="1533"/>
    </row>
    <row r="1075">
      <c r="A1075" s="1533"/>
    </row>
    <row r="1076">
      <c r="A1076" s="1533"/>
    </row>
    <row r="1077">
      <c r="A1077" s="1533"/>
    </row>
    <row r="1078">
      <c r="A1078" s="1533"/>
    </row>
    <row r="1079">
      <c r="A1079" s="1533"/>
    </row>
    <row r="1080">
      <c r="A1080" s="1533"/>
    </row>
    <row r="1081">
      <c r="A1081" s="1533"/>
    </row>
    <row r="1082">
      <c r="A1082" s="1533"/>
    </row>
    <row r="1083">
      <c r="A1083" s="1533"/>
    </row>
    <row r="1084">
      <c r="A1084" s="1533"/>
    </row>
    <row r="1085">
      <c r="A1085" s="1533"/>
    </row>
    <row r="1086">
      <c r="A1086" s="1533"/>
    </row>
    <row r="1087">
      <c r="A1087" s="1533"/>
    </row>
    <row r="1088">
      <c r="A1088" s="1533"/>
    </row>
    <row r="1089">
      <c r="A1089" s="1533"/>
    </row>
    <row r="1090">
      <c r="A1090" s="1533"/>
    </row>
    <row r="1091">
      <c r="A1091" s="1533"/>
    </row>
    <row r="1092">
      <c r="A1092" s="1533"/>
    </row>
    <row r="1093">
      <c r="A1093" s="1533"/>
    </row>
    <row r="1094">
      <c r="A1094" s="1533"/>
    </row>
    <row r="1095">
      <c r="A1095" s="1533"/>
    </row>
    <row r="1096">
      <c r="A1096" s="1533"/>
    </row>
    <row r="1097">
      <c r="A1097" s="1533"/>
    </row>
    <row r="1098">
      <c r="A1098" s="1533"/>
    </row>
    <row r="1099">
      <c r="A1099" s="1533"/>
    </row>
    <row r="1100">
      <c r="A1100" s="1533"/>
    </row>
    <row r="1101">
      <c r="A1101" s="1533"/>
    </row>
    <row r="1102">
      <c r="A1102" s="1533"/>
    </row>
    <row r="1103">
      <c r="A1103" s="1533"/>
    </row>
    <row r="1104">
      <c r="A1104" s="1533"/>
    </row>
    <row r="1105">
      <c r="A1105" s="1533"/>
    </row>
    <row r="1106">
      <c r="A1106" s="1533"/>
    </row>
    <row r="1107">
      <c r="A1107" s="1533"/>
    </row>
    <row r="1108">
      <c r="A1108" s="1533"/>
    </row>
    <row r="1109">
      <c r="A1109" s="1533"/>
    </row>
    <row r="1110">
      <c r="A1110" s="1533"/>
    </row>
    <row r="1111">
      <c r="A1111" s="1533"/>
    </row>
    <row r="1112">
      <c r="A1112" s="1533"/>
    </row>
    <row r="1113">
      <c r="A1113" s="1533"/>
    </row>
    <row r="1114">
      <c r="A1114" s="1533"/>
    </row>
    <row r="1115">
      <c r="A1115" s="1533"/>
    </row>
    <row r="1116">
      <c r="A1116" s="1533"/>
    </row>
    <row r="1117">
      <c r="A1117" s="1533"/>
    </row>
    <row r="1118">
      <c r="A1118" s="1533"/>
    </row>
    <row r="1119">
      <c r="A1119" s="1533"/>
    </row>
    <row r="1120">
      <c r="A1120" s="1533"/>
    </row>
    <row r="1121">
      <c r="A1121" s="1533"/>
    </row>
    <row r="1122">
      <c r="A1122" s="1533"/>
    </row>
    <row r="1123">
      <c r="A1123" s="1533"/>
    </row>
    <row r="1124">
      <c r="A1124" s="1533"/>
    </row>
    <row r="1125">
      <c r="A1125" s="1533"/>
    </row>
    <row r="1126">
      <c r="A1126" s="1533"/>
    </row>
    <row r="1127">
      <c r="A1127" s="1533"/>
    </row>
    <row r="1128">
      <c r="A1128" s="1533"/>
    </row>
    <row r="1129">
      <c r="A1129" s="1533"/>
    </row>
    <row r="1130">
      <c r="A1130" s="1533"/>
    </row>
    <row r="1131">
      <c r="A1131" s="1533"/>
    </row>
    <row r="1132">
      <c r="A1132" s="1533"/>
    </row>
    <row r="1133">
      <c r="A1133" s="1533"/>
    </row>
    <row r="1134">
      <c r="A1134" s="1533"/>
    </row>
    <row r="1135">
      <c r="A1135" s="1533"/>
    </row>
    <row r="1136">
      <c r="A1136" s="1533"/>
    </row>
    <row r="1137">
      <c r="A1137" s="1533"/>
    </row>
    <row r="1138">
      <c r="A1138" s="1533"/>
    </row>
    <row r="1139">
      <c r="A1139" s="1533"/>
    </row>
    <row r="1140">
      <c r="A1140" s="1533"/>
    </row>
    <row r="1141">
      <c r="A1141" s="1533"/>
    </row>
    <row r="1142">
      <c r="A1142" s="1533"/>
    </row>
    <row r="1143">
      <c r="A1143" s="1533"/>
    </row>
    <row r="1144">
      <c r="A1144" s="1533"/>
    </row>
    <row r="1145">
      <c r="A1145" s="1533"/>
    </row>
    <row r="1146">
      <c r="A1146" s="1533"/>
    </row>
    <row r="1147">
      <c r="A1147" s="1533"/>
    </row>
    <row r="1148">
      <c r="A1148" s="1533"/>
    </row>
    <row r="1149">
      <c r="A1149" s="1533"/>
    </row>
    <row r="1150">
      <c r="A1150" s="1533"/>
    </row>
    <row r="1151">
      <c r="A1151" s="1533"/>
    </row>
    <row r="1152">
      <c r="A1152" s="1533"/>
    </row>
    <row r="1153">
      <c r="A1153" s="1533"/>
    </row>
    <row r="1154">
      <c r="A1154" s="1533"/>
    </row>
    <row r="1155">
      <c r="A1155" s="1533"/>
    </row>
    <row r="1156">
      <c r="A1156" s="1533"/>
    </row>
    <row r="1157">
      <c r="A1157" s="1533"/>
    </row>
    <row r="1158">
      <c r="A1158" s="1533"/>
    </row>
    <row r="1159">
      <c r="A1159" s="1533"/>
    </row>
    <row r="1160">
      <c r="A1160" s="1533"/>
    </row>
    <row r="1161">
      <c r="A1161" s="1533"/>
    </row>
    <row r="1162">
      <c r="A1162" s="1533"/>
    </row>
    <row r="1163">
      <c r="A1163" s="1533"/>
    </row>
    <row r="1164">
      <c r="A1164" s="1533"/>
    </row>
    <row r="1165">
      <c r="A1165" s="1533"/>
    </row>
    <row r="1166">
      <c r="A1166" s="1533"/>
    </row>
    <row r="1167">
      <c r="A1167" s="1533"/>
    </row>
    <row r="1168">
      <c r="A1168" s="1533"/>
    </row>
    <row r="1169">
      <c r="A1169" s="1533"/>
    </row>
    <row r="1170">
      <c r="A1170" s="1533"/>
    </row>
    <row r="1171">
      <c r="A1171" s="1533"/>
    </row>
    <row r="1172">
      <c r="A1172" s="1533"/>
    </row>
    <row r="1173">
      <c r="A1173" s="1533"/>
    </row>
    <row r="1174">
      <c r="A1174" s="1533"/>
    </row>
    <row r="1175">
      <c r="A1175" s="1533"/>
    </row>
    <row r="1176">
      <c r="A1176" s="1533"/>
    </row>
    <row r="1177">
      <c r="A1177" s="1533"/>
    </row>
    <row r="1178">
      <c r="A1178" s="1533"/>
    </row>
    <row r="1179">
      <c r="A1179" s="1533"/>
    </row>
    <row r="1180">
      <c r="A1180" s="1533"/>
    </row>
    <row r="1181">
      <c r="A1181" s="1533"/>
    </row>
    <row r="1182">
      <c r="A1182" s="1533"/>
    </row>
    <row r="1183">
      <c r="A1183" s="1533"/>
    </row>
    <row r="1184">
      <c r="A1184" s="1533"/>
    </row>
    <row r="1185">
      <c r="A1185" s="1533"/>
    </row>
    <row r="1186">
      <c r="A1186" s="1533"/>
    </row>
    <row r="1187">
      <c r="A1187" s="1533"/>
    </row>
    <row r="1188">
      <c r="A1188" s="1533"/>
    </row>
    <row r="1189">
      <c r="A1189" s="1533"/>
    </row>
    <row r="1190">
      <c r="A1190" s="1533"/>
    </row>
    <row r="1191">
      <c r="A1191" s="1533"/>
    </row>
    <row r="1192">
      <c r="A1192" s="1533"/>
    </row>
    <row r="1193">
      <c r="A1193" s="1533"/>
    </row>
    <row r="1194">
      <c r="A1194" s="1533"/>
    </row>
    <row r="1195">
      <c r="A1195" s="1533"/>
    </row>
    <row r="1196">
      <c r="A1196" s="1533"/>
    </row>
    <row r="1197">
      <c r="A1197" s="1533"/>
    </row>
    <row r="1198">
      <c r="A1198" s="1533"/>
    </row>
    <row r="1199">
      <c r="A1199" s="1533"/>
    </row>
    <row r="1200">
      <c r="A1200" s="1533"/>
    </row>
    <row r="1201">
      <c r="A1201" s="1533"/>
    </row>
    <row r="1202">
      <c r="A1202" s="1533"/>
    </row>
    <row r="1203">
      <c r="A1203" s="1533"/>
    </row>
    <row r="1204">
      <c r="A1204" s="1533"/>
    </row>
    <row r="1205">
      <c r="A1205" s="1533"/>
    </row>
    <row r="1206">
      <c r="A1206" s="1533"/>
    </row>
    <row r="1207">
      <c r="A1207" s="1533"/>
    </row>
    <row r="1208">
      <c r="A1208" s="1533"/>
    </row>
    <row r="1209">
      <c r="A1209" s="1533"/>
    </row>
    <row r="1210">
      <c r="A1210" s="1533"/>
    </row>
    <row r="1211">
      <c r="A1211" s="1533"/>
    </row>
    <row r="1212">
      <c r="A1212" s="1533"/>
    </row>
    <row r="1213">
      <c r="A1213" s="1533"/>
    </row>
    <row r="1214">
      <c r="A1214" s="1533"/>
    </row>
    <row r="1215">
      <c r="A1215" s="1533"/>
    </row>
    <row r="1216">
      <c r="A1216" s="1533"/>
    </row>
    <row r="1217">
      <c r="A1217" s="1533"/>
    </row>
    <row r="1218">
      <c r="A1218" s="1533"/>
    </row>
    <row r="1219">
      <c r="A1219" s="1533"/>
    </row>
    <row r="1220">
      <c r="A1220" s="1533"/>
    </row>
    <row r="1221">
      <c r="A1221" s="1533"/>
    </row>
    <row r="1222">
      <c r="A1222" s="1533"/>
    </row>
    <row r="1223">
      <c r="A1223" s="1533"/>
    </row>
    <row r="1224">
      <c r="A1224" s="1533"/>
    </row>
    <row r="1225">
      <c r="A1225" s="1533"/>
    </row>
    <row r="1226">
      <c r="A1226" s="1533"/>
    </row>
    <row r="1227">
      <c r="A1227" s="1533"/>
    </row>
    <row r="1228">
      <c r="A1228" s="1533"/>
    </row>
    <row r="1229">
      <c r="A1229" s="1533"/>
    </row>
    <row r="1230">
      <c r="A1230" s="1533"/>
    </row>
    <row r="1231">
      <c r="A1231" s="1533"/>
    </row>
    <row r="1232">
      <c r="A1232" s="1533"/>
    </row>
    <row r="1233">
      <c r="A1233" s="1533"/>
    </row>
    <row r="1234">
      <c r="A1234" s="1533"/>
    </row>
    <row r="1235">
      <c r="A1235" s="1533"/>
    </row>
    <row r="1236">
      <c r="A1236" s="1533"/>
    </row>
    <row r="1237">
      <c r="A1237" s="1533"/>
    </row>
    <row r="1238">
      <c r="A1238" s="1533"/>
    </row>
  </sheetData>
  <mergeCells count="161">
    <mergeCell ref="A2:J2"/>
    <mergeCell ref="E3:I3"/>
    <mergeCell ref="D4:H4"/>
    <mergeCell ref="A5:J5"/>
    <mergeCell ref="C8:I8"/>
    <mergeCell ref="E10:F10"/>
    <mergeCell ref="D11:F11"/>
    <mergeCell ref="F12:G12"/>
    <mergeCell ref="C13:H15"/>
    <mergeCell ref="C18:H18"/>
    <mergeCell ref="C19:H19"/>
    <mergeCell ref="C20:H20"/>
    <mergeCell ref="A23:J23"/>
    <mergeCell ref="C25:J25"/>
    <mergeCell ref="C27:E27"/>
    <mergeCell ref="F30:G30"/>
    <mergeCell ref="C32:D32"/>
    <mergeCell ref="F32:G32"/>
    <mergeCell ref="E33:H33"/>
    <mergeCell ref="D36:E36"/>
    <mergeCell ref="F37:G37"/>
    <mergeCell ref="E38:H38"/>
    <mergeCell ref="C39:D39"/>
    <mergeCell ref="C41:H41"/>
    <mergeCell ref="C42:J42"/>
    <mergeCell ref="B43:J43"/>
    <mergeCell ref="C44:J44"/>
    <mergeCell ref="A45:J45"/>
    <mergeCell ref="C48:H48"/>
    <mergeCell ref="D49:H49"/>
    <mergeCell ref="A50:J50"/>
    <mergeCell ref="C51:H51"/>
    <mergeCell ref="D55:H55"/>
    <mergeCell ref="D56:F56"/>
    <mergeCell ref="C57:J57"/>
    <mergeCell ref="D58:E58"/>
    <mergeCell ref="C59:J59"/>
    <mergeCell ref="B60:H60"/>
    <mergeCell ref="C61:J61"/>
    <mergeCell ref="D62:E62"/>
    <mergeCell ref="A63:J63"/>
    <mergeCell ref="D64:H64"/>
    <mergeCell ref="C65:J65"/>
    <mergeCell ref="C71:J71"/>
    <mergeCell ref="E72:G72"/>
    <mergeCell ref="C73:G73"/>
    <mergeCell ref="E74:H74"/>
    <mergeCell ref="C77:H77"/>
    <mergeCell ref="C78:H78"/>
    <mergeCell ref="C141:H141"/>
    <mergeCell ref="A142:J142"/>
    <mergeCell ref="D143:E143"/>
    <mergeCell ref="H143:J154"/>
    <mergeCell ref="C144:F154"/>
    <mergeCell ref="C155:J155"/>
    <mergeCell ref="H156:J159"/>
    <mergeCell ref="C156:F159"/>
    <mergeCell ref="A165:J165"/>
    <mergeCell ref="C166:J166"/>
    <mergeCell ref="A167:J167"/>
    <mergeCell ref="A172:A173"/>
    <mergeCell ref="E173:F173"/>
    <mergeCell ref="G174:I174"/>
    <mergeCell ref="C225:J231"/>
    <mergeCell ref="C232:J233"/>
    <mergeCell ref="C234:G236"/>
    <mergeCell ref="I234:J236"/>
    <mergeCell ref="H235:H236"/>
    <mergeCell ref="C237:J237"/>
    <mergeCell ref="A240:J240"/>
    <mergeCell ref="C238:I239"/>
    <mergeCell ref="C241:I247"/>
    <mergeCell ref="D248:F252"/>
    <mergeCell ref="E261:H261"/>
    <mergeCell ref="G268:G270"/>
    <mergeCell ref="A271:J271"/>
    <mergeCell ref="E272:F272"/>
    <mergeCell ref="G272:G276"/>
    <mergeCell ref="E281:J281"/>
    <mergeCell ref="C292:J293"/>
    <mergeCell ref="C294:J294"/>
    <mergeCell ref="B296:J296"/>
    <mergeCell ref="C297:J300"/>
    <mergeCell ref="B302:J302"/>
    <mergeCell ref="A303:J303"/>
    <mergeCell ref="B304:J304"/>
    <mergeCell ref="C318:E318"/>
    <mergeCell ref="A328:J328"/>
    <mergeCell ref="G341:J342"/>
    <mergeCell ref="E343:G343"/>
    <mergeCell ref="C347:J347"/>
    <mergeCell ref="C348:J349"/>
    <mergeCell ref="B350:J350"/>
    <mergeCell ref="A353:J353"/>
    <mergeCell ref="E362:G363"/>
    <mergeCell ref="B363:B364"/>
    <mergeCell ref="F365:J365"/>
    <mergeCell ref="F378:J378"/>
    <mergeCell ref="A385:J385"/>
    <mergeCell ref="D387:E387"/>
    <mergeCell ref="C388:J388"/>
    <mergeCell ref="C391:H391"/>
    <mergeCell ref="C393:I401"/>
    <mergeCell ref="C405:G405"/>
    <mergeCell ref="F406:J406"/>
    <mergeCell ref="A449:J449"/>
    <mergeCell ref="E459:J459"/>
    <mergeCell ref="E463:J463"/>
    <mergeCell ref="A480:J480"/>
    <mergeCell ref="C481:J481"/>
    <mergeCell ref="C412:G412"/>
    <mergeCell ref="A416:J416"/>
    <mergeCell ref="C428:G428"/>
    <mergeCell ref="D431:F431"/>
    <mergeCell ref="G435:J435"/>
    <mergeCell ref="B436:H436"/>
    <mergeCell ref="B446:J446"/>
    <mergeCell ref="C80:G80"/>
    <mergeCell ref="C84:G84"/>
    <mergeCell ref="A86:J86"/>
    <mergeCell ref="C87:F87"/>
    <mergeCell ref="D90:F90"/>
    <mergeCell ref="A92:J92"/>
    <mergeCell ref="C93:H93"/>
    <mergeCell ref="F100:G100"/>
    <mergeCell ref="G105:H105"/>
    <mergeCell ref="C94:F94"/>
    <mergeCell ref="C95:E95"/>
    <mergeCell ref="F96:G96"/>
    <mergeCell ref="C97:G97"/>
    <mergeCell ref="E99:F99"/>
    <mergeCell ref="D102:F102"/>
    <mergeCell ref="A103:J103"/>
    <mergeCell ref="B106:H106"/>
    <mergeCell ref="D107:F107"/>
    <mergeCell ref="A111:A112"/>
    <mergeCell ref="C111:H111"/>
    <mergeCell ref="A116:J116"/>
    <mergeCell ref="D118:F125"/>
    <mergeCell ref="H125:J125"/>
    <mergeCell ref="G127:H127"/>
    <mergeCell ref="C129:E129"/>
    <mergeCell ref="G129:J129"/>
    <mergeCell ref="C131:H131"/>
    <mergeCell ref="D133:F133"/>
    <mergeCell ref="C136:F138"/>
    <mergeCell ref="H136:J140"/>
    <mergeCell ref="A176:J176"/>
    <mergeCell ref="C177:J177"/>
    <mergeCell ref="D179:I179"/>
    <mergeCell ref="C181:I181"/>
    <mergeCell ref="A185:A186"/>
    <mergeCell ref="B185:B186"/>
    <mergeCell ref="C185:J185"/>
    <mergeCell ref="E174:F174"/>
    <mergeCell ref="E175:F175"/>
    <mergeCell ref="E183:F183"/>
    <mergeCell ref="F200:I200"/>
    <mergeCell ref="A208:J208"/>
    <mergeCell ref="C213:I213"/>
    <mergeCell ref="I222:J222"/>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3.38"/>
    <col customWidth="1" min="2" max="2" width="51.63"/>
    <col customWidth="1" min="3" max="3" width="93.38"/>
    <col customWidth="1" min="4" max="7" width="22.38"/>
  </cols>
  <sheetData>
    <row r="1">
      <c r="A1" s="1534" t="s">
        <v>14499</v>
      </c>
      <c r="B1" s="1534" t="s">
        <v>14500</v>
      </c>
      <c r="C1" s="1535" t="s">
        <v>14501</v>
      </c>
      <c r="D1" s="1534"/>
      <c r="E1" s="1534"/>
      <c r="F1" s="1534"/>
      <c r="G1" s="1534"/>
      <c r="H1" s="1534"/>
      <c r="I1" s="1534"/>
      <c r="J1" s="1534"/>
      <c r="K1" s="1534"/>
      <c r="L1" s="1534"/>
      <c r="M1" s="1534"/>
      <c r="N1" s="1534"/>
      <c r="O1" s="1534"/>
      <c r="P1" s="1534"/>
    </row>
    <row r="2">
      <c r="A2" s="1536">
        <v>3.0</v>
      </c>
      <c r="B2" s="953" t="s">
        <v>14502</v>
      </c>
      <c r="C2" s="1537" t="s">
        <v>14503</v>
      </c>
      <c r="D2" s="1538"/>
    </row>
    <row r="3" hidden="1">
      <c r="A3" s="1536">
        <v>5.0</v>
      </c>
      <c r="B3" s="1536" t="s">
        <v>14504</v>
      </c>
      <c r="C3" s="1539" t="s">
        <v>14505</v>
      </c>
    </row>
    <row r="4">
      <c r="A4" s="1536">
        <v>21.0</v>
      </c>
      <c r="B4" s="1540" t="s">
        <v>14506</v>
      </c>
      <c r="C4" s="1151" t="s">
        <v>14507</v>
      </c>
    </row>
    <row r="5" ht="18.0" customHeight="1">
      <c r="A5" s="1536">
        <v>19.0</v>
      </c>
      <c r="B5" s="1541" t="s">
        <v>14508</v>
      </c>
      <c r="C5" s="1542" t="s">
        <v>14509</v>
      </c>
    </row>
    <row r="6">
      <c r="A6" s="1536"/>
      <c r="B6" s="1536" t="s">
        <v>14510</v>
      </c>
      <c r="C6" s="1543" t="s">
        <v>14511</v>
      </c>
    </row>
    <row r="7" hidden="1">
      <c r="A7" s="1536"/>
      <c r="B7" s="1536" t="s">
        <v>14512</v>
      </c>
      <c r="C7" s="1543" t="s">
        <v>14513</v>
      </c>
    </row>
    <row r="8" hidden="1">
      <c r="A8" s="1544"/>
      <c r="B8" s="1544" t="s">
        <v>14514</v>
      </c>
      <c r="C8" s="1545" t="s">
        <v>14515</v>
      </c>
      <c r="D8" s="1546"/>
      <c r="E8" s="1546"/>
      <c r="F8" s="1546"/>
      <c r="G8" s="1546"/>
      <c r="H8" s="1546"/>
      <c r="I8" s="1546"/>
      <c r="J8" s="1546"/>
      <c r="K8" s="1546"/>
      <c r="L8" s="1546"/>
      <c r="M8" s="1546"/>
      <c r="N8" s="1546"/>
      <c r="O8" s="1546"/>
      <c r="P8" s="1546"/>
    </row>
    <row r="9" hidden="1">
      <c r="A9" s="1536">
        <v>22.0</v>
      </c>
      <c r="B9" s="1536" t="s">
        <v>14516</v>
      </c>
      <c r="C9" s="1539" t="s">
        <v>14517</v>
      </c>
    </row>
    <row r="10">
      <c r="A10" s="1536"/>
      <c r="B10" s="1547" t="s">
        <v>14518</v>
      </c>
      <c r="C10" s="1548" t="s">
        <v>14519</v>
      </c>
    </row>
    <row r="11">
      <c r="A11" s="1536">
        <v>23.0</v>
      </c>
      <c r="B11" s="1536" t="s">
        <v>14520</v>
      </c>
      <c r="C11" s="1543" t="s">
        <v>14521</v>
      </c>
    </row>
    <row r="12" hidden="1">
      <c r="A12" s="1536">
        <v>24.0</v>
      </c>
      <c r="B12" s="1536" t="s">
        <v>14522</v>
      </c>
      <c r="C12" s="1539" t="s">
        <v>14523</v>
      </c>
    </row>
    <row r="13" hidden="1">
      <c r="A13" s="1536">
        <v>27.0</v>
      </c>
      <c r="B13" s="1536" t="s">
        <v>14524</v>
      </c>
      <c r="C13" s="1549" t="s">
        <v>14525</v>
      </c>
    </row>
    <row r="14">
      <c r="A14" s="1536">
        <v>28.0</v>
      </c>
      <c r="B14" s="1536" t="s">
        <v>14526</v>
      </c>
      <c r="C14" s="1549" t="s">
        <v>14527</v>
      </c>
    </row>
    <row r="15" hidden="1">
      <c r="A15" s="1536">
        <v>40.0</v>
      </c>
      <c r="B15" s="1536" t="s">
        <v>14528</v>
      </c>
      <c r="C15" s="1550" t="s">
        <v>14529</v>
      </c>
    </row>
    <row r="16" hidden="1">
      <c r="A16" s="1536"/>
      <c r="B16" s="1536" t="s">
        <v>14530</v>
      </c>
      <c r="C16" s="1539" t="s">
        <v>14531</v>
      </c>
    </row>
    <row r="17" hidden="1">
      <c r="A17" s="1536"/>
      <c r="B17" s="1536" t="s">
        <v>14532</v>
      </c>
      <c r="C17" s="1549" t="s">
        <v>14533</v>
      </c>
    </row>
    <row r="18" hidden="1">
      <c r="A18" s="1536"/>
      <c r="B18" s="1536" t="s">
        <v>14534</v>
      </c>
      <c r="C18" s="1550" t="s">
        <v>14535</v>
      </c>
    </row>
    <row r="19">
      <c r="A19" s="1551">
        <v>29.0</v>
      </c>
      <c r="B19" s="1552" t="s">
        <v>14536</v>
      </c>
      <c r="C19" s="1553" t="s">
        <v>14537</v>
      </c>
      <c r="D19" s="1554"/>
      <c r="E19" s="1554"/>
      <c r="F19" s="1554"/>
      <c r="G19" s="1554"/>
      <c r="H19" s="1554"/>
      <c r="I19" s="1554"/>
      <c r="J19" s="1554"/>
      <c r="K19" s="1554"/>
      <c r="L19" s="1554"/>
      <c r="M19" s="1554"/>
      <c r="N19" s="1554"/>
      <c r="O19" s="1554"/>
      <c r="P19" s="1554"/>
      <c r="Q19" s="1554"/>
      <c r="R19" s="1554"/>
      <c r="S19" s="1554"/>
      <c r="T19" s="1554"/>
      <c r="U19" s="1554"/>
      <c r="V19" s="1554"/>
      <c r="W19" s="1554"/>
      <c r="X19" s="1554"/>
      <c r="Y19" s="1554"/>
      <c r="Z19" s="1554"/>
    </row>
    <row r="20" hidden="1">
      <c r="A20" s="1536"/>
      <c r="B20" s="953" t="s">
        <v>14538</v>
      </c>
      <c r="C20" s="1153" t="s">
        <v>14539</v>
      </c>
    </row>
    <row r="21">
      <c r="A21" s="1536"/>
      <c r="B21" s="1536" t="s">
        <v>14540</v>
      </c>
      <c r="C21" s="1555" t="s">
        <v>14541</v>
      </c>
      <c r="D21" s="1536"/>
    </row>
    <row r="22" hidden="1">
      <c r="A22" s="1536"/>
      <c r="B22" s="1536" t="s">
        <v>14542</v>
      </c>
      <c r="C22" s="1550" t="s">
        <v>14543</v>
      </c>
      <c r="D22" s="1556"/>
    </row>
    <row r="23" hidden="1">
      <c r="A23" s="1536"/>
      <c r="B23" s="1536" t="s">
        <v>14544</v>
      </c>
      <c r="C23" s="1549" t="s">
        <v>14545</v>
      </c>
    </row>
    <row r="24" hidden="1">
      <c r="A24" s="1536"/>
      <c r="B24" s="1536" t="s">
        <v>14546</v>
      </c>
      <c r="C24" s="1549" t="s">
        <v>14547</v>
      </c>
    </row>
    <row r="25" hidden="1">
      <c r="A25" s="1536"/>
      <c r="B25" s="1536" t="s">
        <v>14548</v>
      </c>
      <c r="C25" s="1550" t="s">
        <v>14549</v>
      </c>
    </row>
    <row r="26" hidden="1">
      <c r="A26" s="1536"/>
      <c r="B26" s="953" t="s">
        <v>14550</v>
      </c>
      <c r="C26" s="1557" t="s">
        <v>14551</v>
      </c>
    </row>
    <row r="27" ht="18.0" customHeight="1">
      <c r="A27" s="1536"/>
      <c r="B27" s="1558" t="s">
        <v>14552</v>
      </c>
      <c r="C27" s="1543" t="s">
        <v>14553</v>
      </c>
    </row>
    <row r="28">
      <c r="A28" s="1536"/>
      <c r="B28" s="953" t="s">
        <v>14554</v>
      </c>
      <c r="C28" s="1557" t="s">
        <v>14555</v>
      </c>
    </row>
    <row r="29">
      <c r="A29" s="1536"/>
      <c r="B29" s="1558" t="s">
        <v>14556</v>
      </c>
      <c r="C29" s="1549" t="s">
        <v>14557</v>
      </c>
    </row>
    <row r="30">
      <c r="A30" s="1536"/>
      <c r="B30" s="1558" t="s">
        <v>14558</v>
      </c>
      <c r="C30" s="1549" t="s">
        <v>14559</v>
      </c>
    </row>
    <row r="31">
      <c r="A31" s="1536"/>
      <c r="B31" s="953" t="s">
        <v>14560</v>
      </c>
      <c r="C31" s="1555" t="s">
        <v>14561</v>
      </c>
    </row>
    <row r="32">
      <c r="A32" s="1536"/>
      <c r="B32" s="953" t="s">
        <v>14562</v>
      </c>
      <c r="C32" s="1559" t="s">
        <v>14563</v>
      </c>
    </row>
    <row r="33">
      <c r="A33" s="1536"/>
      <c r="B33" s="953" t="s">
        <v>14564</v>
      </c>
      <c r="C33" s="1560" t="s">
        <v>14565</v>
      </c>
    </row>
    <row r="34">
      <c r="A34" s="1536"/>
      <c r="B34" s="953" t="s">
        <v>14566</v>
      </c>
      <c r="C34" s="1561" t="s">
        <v>14567</v>
      </c>
    </row>
    <row r="35">
      <c r="A35" s="1536"/>
      <c r="B35" s="953" t="s">
        <v>14568</v>
      </c>
      <c r="C35" s="1537" t="s">
        <v>14569</v>
      </c>
    </row>
    <row r="36">
      <c r="B36" s="953" t="s">
        <v>14570</v>
      </c>
      <c r="C36" s="1562" t="s">
        <v>14571</v>
      </c>
    </row>
    <row r="37">
      <c r="B37" s="1558" t="s">
        <v>14572</v>
      </c>
      <c r="C37" s="1153" t="s">
        <v>14573</v>
      </c>
    </row>
    <row r="38">
      <c r="B38" s="1558" t="s">
        <v>14574</v>
      </c>
      <c r="C38" s="1153" t="s">
        <v>14575</v>
      </c>
    </row>
    <row r="39">
      <c r="B39" s="1558" t="s">
        <v>14576</v>
      </c>
      <c r="C39" s="1153" t="s">
        <v>14577</v>
      </c>
    </row>
    <row r="40">
      <c r="B40" s="953" t="s">
        <v>14578</v>
      </c>
      <c r="C40" s="1151" t="s">
        <v>14579</v>
      </c>
    </row>
    <row r="41">
      <c r="B41" s="953" t="s">
        <v>14580</v>
      </c>
      <c r="C41" s="1153" t="s">
        <v>14581</v>
      </c>
    </row>
    <row r="42">
      <c r="B42" s="953" t="s">
        <v>14582</v>
      </c>
      <c r="C42" s="1153" t="s">
        <v>14583</v>
      </c>
    </row>
    <row r="43">
      <c r="C43" s="1153" t="s">
        <v>14584</v>
      </c>
    </row>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sheetData>
  <hyperlinks>
    <hyperlink r:id="rId2" ref="C2"/>
    <hyperlink r:id="rId3" location="gid=208798197" ref="C3"/>
    <hyperlink r:id="rId4" location="gid=583043136" ref="C4"/>
    <hyperlink r:id="rId5" ref="C5"/>
    <hyperlink r:id="rId6" ref="C6"/>
    <hyperlink r:id="rId7" ref="C7"/>
    <hyperlink r:id="rId8" ref="C8"/>
    <hyperlink r:id="rId9" location="gid=0" ref="C9"/>
    <hyperlink r:id="rId10" ref="C10"/>
    <hyperlink r:id="rId11" location="gid=792827499" ref="C11"/>
    <hyperlink r:id="rId12" location="gid=0" ref="C12"/>
    <hyperlink r:id="rId13" ref="C13"/>
    <hyperlink r:id="rId14" ref="C14"/>
    <hyperlink r:id="rId15" ref="C15"/>
    <hyperlink r:id="rId16" location="gid=430160196" ref="C16"/>
    <hyperlink r:id="rId17" location="gid=0" ref="C17"/>
    <hyperlink r:id="rId18" ref="C18"/>
    <hyperlink r:id="rId19" ref="C19"/>
    <hyperlink r:id="rId20" ref="C20"/>
    <hyperlink r:id="rId21" ref="C21"/>
    <hyperlink r:id="rId22" ref="C22"/>
    <hyperlink r:id="rId23" ref="C23"/>
    <hyperlink r:id="rId24" location="gid=1296000754" ref="C24"/>
    <hyperlink r:id="rId25" ref="C25"/>
    <hyperlink r:id="rId26" ref="C26"/>
    <hyperlink r:id="rId27" ref="C27"/>
    <hyperlink r:id="rId28" ref="C28"/>
    <hyperlink r:id="rId29" ref="C29"/>
    <hyperlink r:id="rId30" ref="C30"/>
    <hyperlink r:id="rId31" ref="C31"/>
    <hyperlink r:id="rId32" ref="C33"/>
    <hyperlink r:id="rId33" location="gid=179024524" ref="C34"/>
    <hyperlink r:id="rId34" ref="C35"/>
    <hyperlink r:id="rId35" ref="C36"/>
    <hyperlink r:id="rId36" ref="C37"/>
    <hyperlink r:id="rId37" ref="C38"/>
    <hyperlink r:id="rId38" ref="C39"/>
    <hyperlink r:id="rId39" location="gid=345492160" ref="C40"/>
    <hyperlink r:id="rId40" location="gid=0" ref="C41"/>
    <hyperlink r:id="rId41" ref="C42"/>
    <hyperlink r:id="rId42" ref="C43"/>
  </hyperlinks>
  <drawing r:id="rId43"/>
  <legacyDrawing r:id="rId44"/>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429" t="s">
        <v>9848</v>
      </c>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hidden="1" customHeight="1">
      <c r="A2" s="553">
        <v>44914.0</v>
      </c>
      <c r="B2" s="19">
        <v>1.0</v>
      </c>
      <c r="C2" s="20" t="s">
        <v>12</v>
      </c>
      <c r="D2" s="20" t="s">
        <v>13</v>
      </c>
      <c r="E2" s="21" t="s">
        <v>14585</v>
      </c>
      <c r="F2" s="22"/>
      <c r="G2" s="23" t="s">
        <v>14586</v>
      </c>
      <c r="H2" s="24"/>
      <c r="I2" s="25"/>
      <c r="J2" s="21" t="s">
        <v>14587</v>
      </c>
      <c r="K2" s="24"/>
      <c r="L2" s="24"/>
      <c r="M2" s="25"/>
      <c r="N2" s="21" t="s">
        <v>14588</v>
      </c>
      <c r="O2" s="25"/>
      <c r="P2" s="21" t="s">
        <v>14589</v>
      </c>
      <c r="Q2" s="25"/>
      <c r="R2" s="21" t="s">
        <v>14590</v>
      </c>
      <c r="S2" s="25"/>
      <c r="T2" s="21" t="s">
        <v>14591</v>
      </c>
      <c r="U2" s="24"/>
      <c r="V2" s="22"/>
      <c r="W2" s="26"/>
      <c r="X2" s="27" t="s">
        <v>12</v>
      </c>
      <c r="Y2" s="27" t="s">
        <v>13</v>
      </c>
      <c r="Z2" s="28"/>
      <c r="AA2" s="14"/>
      <c r="AB2" s="15"/>
      <c r="AC2" s="14"/>
      <c r="AD2" s="14"/>
      <c r="AE2" s="14"/>
      <c r="AF2" s="29"/>
      <c r="AG2" s="29"/>
      <c r="AH2" s="29"/>
    </row>
    <row r="3" ht="40.5" hidden="1" customHeight="1">
      <c r="A3" s="30"/>
      <c r="B3" s="31">
        <v>2.0</v>
      </c>
      <c r="C3" s="32" t="s">
        <v>21</v>
      </c>
      <c r="D3" s="32" t="s">
        <v>22</v>
      </c>
      <c r="E3" s="33" t="s">
        <v>14592</v>
      </c>
      <c r="F3" s="34" t="s">
        <v>14593</v>
      </c>
      <c r="G3" s="35" t="s">
        <v>14594</v>
      </c>
      <c r="H3" s="36"/>
      <c r="I3" s="13"/>
      <c r="J3" s="37" t="s">
        <v>14595</v>
      </c>
      <c r="K3" s="13"/>
      <c r="L3" s="38" t="s">
        <v>14596</v>
      </c>
      <c r="M3" s="13"/>
      <c r="N3" s="37" t="s">
        <v>14597</v>
      </c>
      <c r="O3" s="13"/>
      <c r="P3" s="37" t="s">
        <v>14598</v>
      </c>
      <c r="Q3" s="13"/>
      <c r="R3" s="39" t="s">
        <v>14599</v>
      </c>
      <c r="S3" s="40" t="s">
        <v>14600</v>
      </c>
      <c r="T3" s="1563" t="s">
        <v>14601</v>
      </c>
      <c r="U3" s="8"/>
      <c r="V3" s="4"/>
      <c r="W3" s="26"/>
      <c r="X3" s="42" t="s">
        <v>21</v>
      </c>
      <c r="Y3" s="42" t="s">
        <v>22</v>
      </c>
      <c r="Z3" s="28"/>
      <c r="AA3" s="14"/>
      <c r="AB3" s="15" t="str">
        <f>IFERROR(__xludf.DUMMYFUNCTION("join("","",filter(split($H$83,"",""),ARRAYFORMULA(ISERROR(FIND(split($H$83,"",""),CONCATENATE(E3:V3))))=TRUE))"),"206,404,405,406,408,410,АЗ")</f>
        <v>206,404,405,406,408,410,АЗ</v>
      </c>
      <c r="AC3" s="14"/>
      <c r="AD3" s="14"/>
      <c r="AE3" s="14"/>
      <c r="AF3" s="29"/>
      <c r="AG3" s="29"/>
      <c r="AH3" s="29"/>
    </row>
    <row r="4" ht="40.5" hidden="1" customHeight="1">
      <c r="A4" s="30"/>
      <c r="B4" s="31">
        <v>3.0</v>
      </c>
      <c r="C4" s="32" t="s">
        <v>33</v>
      </c>
      <c r="D4" s="32" t="s">
        <v>34</v>
      </c>
      <c r="E4" s="33" t="s">
        <v>14602</v>
      </c>
      <c r="F4" s="126" t="s">
        <v>14603</v>
      </c>
      <c r="G4" s="43" t="s">
        <v>14604</v>
      </c>
      <c r="H4" s="44" t="s">
        <v>14605</v>
      </c>
      <c r="I4" s="45" t="s">
        <v>14606</v>
      </c>
      <c r="J4" s="46" t="s">
        <v>14607</v>
      </c>
      <c r="K4" s="13"/>
      <c r="L4" s="45" t="s">
        <v>14608</v>
      </c>
      <c r="M4" s="13"/>
      <c r="N4" s="37" t="s">
        <v>14609</v>
      </c>
      <c r="O4" s="13"/>
      <c r="P4" s="37" t="s">
        <v>14610</v>
      </c>
      <c r="Q4" s="13"/>
      <c r="R4" s="39" t="s">
        <v>14611</v>
      </c>
      <c r="S4" s="40" t="s">
        <v>14612</v>
      </c>
      <c r="T4" s="224"/>
      <c r="V4" s="139"/>
      <c r="W4" s="26"/>
      <c r="X4" s="42" t="s">
        <v>33</v>
      </c>
      <c r="Y4" s="42" t="s">
        <v>34</v>
      </c>
      <c r="Z4" s="48" t="s">
        <v>47</v>
      </c>
      <c r="AA4" s="14"/>
      <c r="AB4" s="15" t="str">
        <f>IFERROR(__xludf.DUMMYFUNCTION("join("","",filter(split($H$83,"",""),ARRAYFORMULA(ISERROR(FIND(split($H$83,"",""),CONCATENATE(E4:V4))))=TRUE))"),"КЗ,201,206,404,406,408,АЗ")</f>
        <v>КЗ,201,206,404,406,408,АЗ</v>
      </c>
      <c r="AC4" s="14"/>
      <c r="AD4" s="14"/>
      <c r="AE4" s="14"/>
      <c r="AF4" s="29"/>
      <c r="AG4" s="29"/>
      <c r="AH4" s="29"/>
    </row>
    <row r="5" ht="40.5" hidden="1" customHeight="1">
      <c r="A5" s="30"/>
      <c r="B5" s="31">
        <v>4.0</v>
      </c>
      <c r="C5" s="32" t="s">
        <v>48</v>
      </c>
      <c r="D5" s="32" t="s">
        <v>49</v>
      </c>
      <c r="E5" s="33" t="s">
        <v>14613</v>
      </c>
      <c r="F5" s="126" t="s">
        <v>14614</v>
      </c>
      <c r="G5" s="43" t="s">
        <v>14615</v>
      </c>
      <c r="H5" s="45" t="s">
        <v>14616</v>
      </c>
      <c r="I5" s="13"/>
      <c r="J5" s="33" t="s">
        <v>14617</v>
      </c>
      <c r="K5" s="44" t="s">
        <v>14618</v>
      </c>
      <c r="L5" s="44" t="s">
        <v>14619</v>
      </c>
      <c r="M5" s="45" t="s">
        <v>14620</v>
      </c>
      <c r="N5" s="37" t="s">
        <v>14621</v>
      </c>
      <c r="O5" s="13"/>
      <c r="P5" s="37" t="s">
        <v>14622</v>
      </c>
      <c r="Q5" s="13"/>
      <c r="R5" s="51" t="s">
        <v>14623</v>
      </c>
      <c r="S5" s="13"/>
      <c r="T5" s="224"/>
      <c r="V5" s="139"/>
      <c r="W5" s="26"/>
      <c r="X5" s="42" t="s">
        <v>48</v>
      </c>
      <c r="Y5" s="42" t="s">
        <v>49</v>
      </c>
      <c r="Z5" s="48" t="s">
        <v>57</v>
      </c>
      <c r="AA5" s="14"/>
      <c r="AB5" s="15" t="str">
        <f>IFERROR(__xludf.DUMMYFUNCTION("join("","",filter(split($H$83,"",""),ARRAYFORMULA(ISERROR(FIND(split($H$83,"",""),CONCATENATE(E5:V5))))=TRUE))"),"СЗ,КЗ,206,209,401,406,408")</f>
        <v>СЗ,КЗ,206,209,401,406,408</v>
      </c>
      <c r="AC5" s="14"/>
      <c r="AD5" s="14"/>
      <c r="AE5" s="14"/>
      <c r="AF5" s="29"/>
      <c r="AG5" s="29"/>
      <c r="AH5" s="29"/>
    </row>
    <row r="6" ht="40.5" hidden="1" customHeight="1">
      <c r="A6" s="30"/>
      <c r="B6" s="31">
        <v>5.0</v>
      </c>
      <c r="C6" s="32" t="s">
        <v>58</v>
      </c>
      <c r="D6" s="53">
        <v>44847.0</v>
      </c>
      <c r="E6" s="316" t="s">
        <v>14624</v>
      </c>
      <c r="F6" s="34" t="s">
        <v>14625</v>
      </c>
      <c r="G6" s="43" t="s">
        <v>14626</v>
      </c>
      <c r="H6" s="45" t="s">
        <v>14627</v>
      </c>
      <c r="I6" s="13"/>
      <c r="J6" s="33" t="s">
        <v>14628</v>
      </c>
      <c r="K6" s="44" t="s">
        <v>14629</v>
      </c>
      <c r="L6" s="44" t="s">
        <v>14630</v>
      </c>
      <c r="M6" s="45" t="s">
        <v>14631</v>
      </c>
      <c r="N6" s="37" t="s">
        <v>14632</v>
      </c>
      <c r="O6" s="13"/>
      <c r="P6" s="37" t="s">
        <v>14633</v>
      </c>
      <c r="Q6" s="13"/>
      <c r="R6" s="51" t="s">
        <v>14634</v>
      </c>
      <c r="S6" s="13"/>
      <c r="T6" s="104"/>
      <c r="U6" s="64"/>
      <c r="V6" s="72"/>
      <c r="W6" s="26"/>
      <c r="X6" s="42" t="s">
        <v>58</v>
      </c>
      <c r="Y6" s="54">
        <v>44847.0</v>
      </c>
      <c r="Z6" s="48" t="s">
        <v>70</v>
      </c>
      <c r="AA6" s="14"/>
      <c r="AB6" s="15" t="str">
        <f>IFERROR(__xludf.DUMMYFUNCTION("join("","",filter(split($H$83,"",""),ARRAYFORMULA(ISERROR(FIND(split($H$83,"",""),CONCATENATE(E6:V6))))=TRUE))"),"СЗ,КЗ,206,209,406,408,409")</f>
        <v>СЗ,КЗ,206,209,406,408,409</v>
      </c>
      <c r="AC6" s="14"/>
      <c r="AD6" s="14"/>
      <c r="AE6" s="14"/>
      <c r="AF6" s="29"/>
      <c r="AG6" s="29"/>
      <c r="AH6" s="29"/>
    </row>
    <row r="7" ht="42.0" hidden="1" customHeight="1">
      <c r="A7" s="30"/>
      <c r="B7" s="31">
        <v>6.0</v>
      </c>
      <c r="C7" s="55" t="s">
        <v>71</v>
      </c>
      <c r="D7" s="56" t="s">
        <v>72</v>
      </c>
      <c r="E7" s="316" t="s">
        <v>14635</v>
      </c>
      <c r="F7" s="34" t="s">
        <v>14636</v>
      </c>
      <c r="G7" s="43" t="s">
        <v>14637</v>
      </c>
      <c r="H7" s="45" t="s">
        <v>14638</v>
      </c>
      <c r="I7" s="13"/>
      <c r="J7" s="37" t="s">
        <v>14639</v>
      </c>
      <c r="K7" s="13"/>
      <c r="L7" s="45" t="s">
        <v>14640</v>
      </c>
      <c r="M7" s="13"/>
      <c r="N7" s="37" t="s">
        <v>14641</v>
      </c>
      <c r="O7" s="13"/>
      <c r="P7" s="37" t="s">
        <v>14642</v>
      </c>
      <c r="Q7" s="13"/>
      <c r="R7" s="57" t="s">
        <v>14643</v>
      </c>
      <c r="T7" s="33" t="s">
        <v>14644</v>
      </c>
      <c r="U7" s="45" t="s">
        <v>14645</v>
      </c>
      <c r="V7" s="41"/>
      <c r="W7" s="26"/>
      <c r="X7" s="58" t="s">
        <v>71</v>
      </c>
      <c r="Y7" s="59" t="s">
        <v>72</v>
      </c>
      <c r="Z7" s="48" t="s">
        <v>84</v>
      </c>
      <c r="AA7" s="14"/>
      <c r="AB7" s="15" t="str">
        <f>IFERROR(__xludf.DUMMYFUNCTION("join("","",filter(split($H$83,"",""),ARRAYFORMULA(ISERROR(FIND(split($H$83,"",""),CONCATENATE(E7:V7))))=TRUE))"),"КЗ,206,403,406,408,АЗ")</f>
        <v>КЗ,206,403,406,408,АЗ</v>
      </c>
      <c r="AC7" s="14"/>
      <c r="AD7" s="14"/>
      <c r="AE7" s="14"/>
      <c r="AF7" s="29"/>
      <c r="AG7" s="29"/>
      <c r="AH7" s="29"/>
    </row>
    <row r="8" ht="42.0" hidden="1" customHeight="1">
      <c r="A8" s="30"/>
      <c r="B8" s="31">
        <v>7.0</v>
      </c>
      <c r="C8" s="32" t="s">
        <v>85</v>
      </c>
      <c r="D8" s="32" t="s">
        <v>86</v>
      </c>
      <c r="E8" s="318" t="s">
        <v>14646</v>
      </c>
      <c r="F8" s="319" t="s">
        <v>14647</v>
      </c>
      <c r="G8" s="43" t="s">
        <v>14648</v>
      </c>
      <c r="H8" s="45" t="s">
        <v>14649</v>
      </c>
      <c r="I8" s="13"/>
      <c r="J8" s="37" t="s">
        <v>14650</v>
      </c>
      <c r="K8" s="13"/>
      <c r="L8" s="45" t="s">
        <v>14651</v>
      </c>
      <c r="M8" s="13"/>
      <c r="N8" s="37" t="s">
        <v>14652</v>
      </c>
      <c r="O8" s="13"/>
      <c r="P8" s="37" t="s">
        <v>14653</v>
      </c>
      <c r="Q8" s="13"/>
      <c r="R8" s="37" t="s">
        <v>14654</v>
      </c>
      <c r="S8" s="13"/>
      <c r="T8" s="43" t="s">
        <v>14655</v>
      </c>
      <c r="U8" s="45" t="s">
        <v>14656</v>
      </c>
      <c r="V8" s="41"/>
      <c r="W8" s="26"/>
      <c r="X8" s="42" t="s">
        <v>85</v>
      </c>
      <c r="Y8" s="42" t="s">
        <v>86</v>
      </c>
      <c r="Z8" s="48" t="s">
        <v>97</v>
      </c>
      <c r="AA8" s="14"/>
      <c r="AB8" s="15" t="str">
        <f>IFERROR(__xludf.DUMMYFUNCTION("join("","",filter(split($H$83,"",""),ARRAYFORMULA(ISERROR(FIND(split($H$83,"",""),CONCATENATE(E8:V8))))=TRUE))"),"КЗ,202,206,406,408,409,410")</f>
        <v>КЗ,202,206,406,408,409,410</v>
      </c>
      <c r="AC8" s="14"/>
      <c r="AD8" s="14"/>
      <c r="AE8" s="14"/>
      <c r="AF8" s="29"/>
      <c r="AG8" s="29"/>
      <c r="AH8" s="29"/>
    </row>
    <row r="9" ht="40.5" hidden="1" customHeight="1">
      <c r="A9" s="30"/>
      <c r="B9" s="31">
        <v>8.0</v>
      </c>
      <c r="C9" s="32" t="s">
        <v>98</v>
      </c>
      <c r="D9" s="32" t="s">
        <v>99</v>
      </c>
      <c r="E9" s="320" t="s">
        <v>14657</v>
      </c>
      <c r="F9" s="276" t="s">
        <v>14658</v>
      </c>
      <c r="G9" s="43" t="s">
        <v>14659</v>
      </c>
      <c r="H9" s="45" t="s">
        <v>14660</v>
      </c>
      <c r="I9" s="13"/>
      <c r="J9" s="37" t="s">
        <v>14661</v>
      </c>
      <c r="K9" s="13"/>
      <c r="L9" s="45" t="s">
        <v>14662</v>
      </c>
      <c r="M9" s="13"/>
      <c r="N9" s="61" t="s">
        <v>14663</v>
      </c>
      <c r="O9" s="13"/>
      <c r="P9" s="62" t="s">
        <v>14664</v>
      </c>
      <c r="Q9" s="45" t="s">
        <v>14665</v>
      </c>
      <c r="R9" s="63" t="s">
        <v>108</v>
      </c>
      <c r="S9" s="64"/>
      <c r="T9" s="64"/>
      <c r="U9" s="64"/>
      <c r="V9" s="64"/>
      <c r="W9" s="26"/>
      <c r="X9" s="42" t="s">
        <v>98</v>
      </c>
      <c r="Y9" s="42" t="s">
        <v>99</v>
      </c>
      <c r="Z9" s="11"/>
      <c r="AA9" s="14"/>
      <c r="AB9" s="15" t="str">
        <f>IFERROR(__xludf.DUMMYFUNCTION("join("","",filter(split($H$83,"",""),ARRAYFORMULA(ISERROR(FIND(split($H$83,"",""),CONCATENATE(E9:V9))))=TRUE))"),"КЗ,206,405,406,408,409,410")</f>
        <v>КЗ,206,405,406,408,409,410</v>
      </c>
      <c r="AC9" s="14"/>
      <c r="AD9" s="14"/>
      <c r="AE9" s="14"/>
      <c r="AF9" s="29"/>
      <c r="AG9" s="29"/>
      <c r="AH9" s="29"/>
    </row>
    <row r="10" ht="75.75" hidden="1" customHeight="1">
      <c r="A10" s="30"/>
      <c r="B10" s="31">
        <v>9.0</v>
      </c>
      <c r="C10" s="65">
        <v>44697.0</v>
      </c>
      <c r="D10" s="44" t="s">
        <v>109</v>
      </c>
      <c r="E10" s="66" t="s">
        <v>14666</v>
      </c>
      <c r="F10" s="67"/>
      <c r="G10" s="43" t="s">
        <v>14667</v>
      </c>
      <c r="H10" s="45" t="s">
        <v>14668</v>
      </c>
      <c r="I10" s="13"/>
      <c r="J10" s="37" t="s">
        <v>14669</v>
      </c>
      <c r="K10" s="13"/>
      <c r="L10" s="45" t="s">
        <v>14670</v>
      </c>
      <c r="M10" s="13"/>
      <c r="N10" s="61" t="s">
        <v>14671</v>
      </c>
      <c r="O10" s="13"/>
      <c r="P10" s="62" t="s">
        <v>14672</v>
      </c>
      <c r="Q10" s="68" t="s">
        <v>117</v>
      </c>
      <c r="R10" s="37" t="s">
        <v>14673</v>
      </c>
      <c r="S10" s="68" t="s">
        <v>14674</v>
      </c>
      <c r="T10" s="36"/>
      <c r="U10" s="36"/>
      <c r="V10" s="41"/>
      <c r="W10" s="26"/>
      <c r="X10" s="69">
        <v>44697.0</v>
      </c>
      <c r="Y10" s="70" t="s">
        <v>109</v>
      </c>
      <c r="Z10" s="28"/>
      <c r="AA10" s="14"/>
      <c r="AB10" s="15" t="str">
        <f>IFERROR(__xludf.DUMMYFUNCTION("join("","",filter(split($H$83,"",""),ARRAYFORMULA(ISERROR(FIND(split($H$83,"",""),CONCATENATE(E10:V10))))=TRUE))"),"КЗ,206,210,403,405,406,408,409,АЗ")</f>
        <v>КЗ,206,210,403,405,406,408,409,АЗ</v>
      </c>
      <c r="AC10" s="14"/>
      <c r="AD10" s="14"/>
      <c r="AE10" s="14"/>
      <c r="AF10" s="29"/>
      <c r="AG10" s="29"/>
      <c r="AH10" s="29"/>
    </row>
    <row r="11" ht="49.5" hidden="1"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14675</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hidden="1"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customHeight="1">
      <c r="A13" s="553">
        <v>44915.0</v>
      </c>
      <c r="B13" s="19">
        <v>1.0</v>
      </c>
      <c r="C13" s="20" t="s">
        <v>12</v>
      </c>
      <c r="D13" s="20" t="s">
        <v>13</v>
      </c>
      <c r="E13" s="80" t="s">
        <v>14676</v>
      </c>
      <c r="F13" s="25"/>
      <c r="G13" s="81" t="s">
        <v>14677</v>
      </c>
      <c r="H13" s="80" t="s">
        <v>14678</v>
      </c>
      <c r="I13" s="22"/>
      <c r="J13" s="23" t="s">
        <v>14679</v>
      </c>
      <c r="K13" s="25"/>
      <c r="L13" s="80" t="s">
        <v>14680</v>
      </c>
      <c r="M13" s="25"/>
      <c r="N13" s="82" t="s">
        <v>14681</v>
      </c>
      <c r="O13" s="25"/>
      <c r="P13" s="21" t="s">
        <v>14682</v>
      </c>
      <c r="Q13" s="22"/>
      <c r="R13" s="23" t="s">
        <v>14683</v>
      </c>
      <c r="S13" s="22"/>
      <c r="T13" s="84" t="s">
        <v>14684</v>
      </c>
      <c r="U13" s="80" t="s">
        <v>14685</v>
      </c>
      <c r="V13" s="22"/>
      <c r="W13" s="26"/>
      <c r="X13" s="27" t="s">
        <v>12</v>
      </c>
      <c r="Y13" s="27" t="s">
        <v>13</v>
      </c>
      <c r="Z13" s="28"/>
      <c r="AA13" s="85"/>
      <c r="AB13" s="15" t="str">
        <f>IFERROR(__xludf.DUMMYFUNCTION("join("","",filter(split($H$83,"",""),ARRAYFORMULA(ISERROR(FIND(split($H$83,"",""),CONCATENATE(E13:V13))))=TRUE))"),"СЗ,КЗ,202,206,403,410,АЗ")</f>
        <v>СЗ,КЗ,202,206,403,410,АЗ</v>
      </c>
      <c r="AC13" s="14"/>
      <c r="AD13" s="14"/>
      <c r="AE13" s="14"/>
      <c r="AF13" s="29"/>
      <c r="AG13" s="29"/>
      <c r="AH13" s="29"/>
    </row>
    <row r="14" ht="40.5" customHeight="1">
      <c r="A14" s="30"/>
      <c r="B14" s="31">
        <v>2.0</v>
      </c>
      <c r="C14" s="32" t="s">
        <v>21</v>
      </c>
      <c r="D14" s="32" t="s">
        <v>22</v>
      </c>
      <c r="E14" s="45" t="s">
        <v>14686</v>
      </c>
      <c r="F14" s="13"/>
      <c r="G14" s="46" t="s">
        <v>14687</v>
      </c>
      <c r="H14" s="86" t="s">
        <v>14688</v>
      </c>
      <c r="I14" s="41"/>
      <c r="J14" s="35" t="s">
        <v>14689</v>
      </c>
      <c r="K14" s="13"/>
      <c r="L14" s="45" t="s">
        <v>14690</v>
      </c>
      <c r="M14" s="13"/>
      <c r="N14" s="87" t="s">
        <v>14691</v>
      </c>
      <c r="O14" s="13"/>
      <c r="P14" s="37" t="s">
        <v>14692</v>
      </c>
      <c r="Q14" s="41"/>
      <c r="R14" s="35" t="s">
        <v>14693</v>
      </c>
      <c r="S14" s="41"/>
      <c r="T14" s="43" t="s">
        <v>14694</v>
      </c>
      <c r="U14" s="45" t="s">
        <v>14695</v>
      </c>
      <c r="V14" s="41"/>
      <c r="W14" s="26"/>
      <c r="X14" s="42" t="s">
        <v>21</v>
      </c>
      <c r="Y14" s="42" t="s">
        <v>22</v>
      </c>
      <c r="Z14" s="28"/>
      <c r="AA14" s="85"/>
      <c r="AB14" s="15" t="str">
        <f>IFERROR(__xludf.DUMMYFUNCTION("join("","",filter(split($H$83,"",""),ARRAYFORMULA(ISERROR(FIND(split($H$83,"",""),CONCATENATE(E14:V14))))=TRUE))"),"СЗ,КЗ,202,206,403,410,АЗ")</f>
        <v>СЗ,КЗ,202,206,403,410,АЗ</v>
      </c>
      <c r="AC14" s="14"/>
      <c r="AD14" s="14"/>
      <c r="AE14" s="14"/>
      <c r="AF14" s="29"/>
      <c r="AG14" s="29"/>
      <c r="AH14" s="29"/>
    </row>
    <row r="15" ht="40.5" customHeight="1">
      <c r="A15" s="30"/>
      <c r="B15" s="31">
        <v>3.0</v>
      </c>
      <c r="C15" s="32" t="s">
        <v>33</v>
      </c>
      <c r="D15" s="32" t="s">
        <v>34</v>
      </c>
      <c r="E15" s="40" t="s">
        <v>14696</v>
      </c>
      <c r="F15" s="13"/>
      <c r="G15" s="37" t="s">
        <v>14697</v>
      </c>
      <c r="H15" s="36"/>
      <c r="I15" s="41"/>
      <c r="J15" s="35" t="s">
        <v>14698</v>
      </c>
      <c r="K15" s="13"/>
      <c r="L15" s="45" t="s">
        <v>14699</v>
      </c>
      <c r="M15" s="13"/>
      <c r="N15" s="89" t="s">
        <v>14700</v>
      </c>
      <c r="O15" s="13"/>
      <c r="P15" s="37" t="s">
        <v>14701</v>
      </c>
      <c r="Q15" s="41"/>
      <c r="R15" s="43" t="s">
        <v>14702</v>
      </c>
      <c r="S15" s="34" t="s">
        <v>14703</v>
      </c>
      <c r="T15" s="91" t="s">
        <v>14704</v>
      </c>
      <c r="U15" s="36"/>
      <c r="V15" s="41"/>
      <c r="W15" s="26"/>
      <c r="X15" s="42" t="s">
        <v>33</v>
      </c>
      <c r="Y15" s="42" t="s">
        <v>34</v>
      </c>
      <c r="Z15" s="48" t="s">
        <v>47</v>
      </c>
      <c r="AA15" s="85" t="str">
        <f>AA$5</f>
        <v/>
      </c>
      <c r="AB15" s="15" t="str">
        <f>IFERROR(__xludf.DUMMYFUNCTION("join("","",filter(split($H$83,"",""),ARRAYFORMULA(ISERROR(FIND(split($H$83,"",""),CONCATENATE(E15:V15))))=TRUE))"),"КЗ,201,206,210,403,408,410,АЗ")</f>
        <v>КЗ,201,206,210,403,408,410,АЗ</v>
      </c>
      <c r="AC15" s="14"/>
      <c r="AD15" s="14"/>
      <c r="AE15" s="14"/>
      <c r="AF15" s="29"/>
      <c r="AG15" s="29"/>
      <c r="AH15" s="29"/>
    </row>
    <row r="16" ht="40.5" customHeight="1">
      <c r="A16" s="30"/>
      <c r="B16" s="31">
        <v>4.0</v>
      </c>
      <c r="C16" s="32" t="s">
        <v>48</v>
      </c>
      <c r="D16" s="32" t="s">
        <v>49</v>
      </c>
      <c r="E16" s="40" t="s">
        <v>14705</v>
      </c>
      <c r="F16" s="13"/>
      <c r="G16" s="37" t="s">
        <v>14706</v>
      </c>
      <c r="H16" s="36"/>
      <c r="I16" s="41"/>
      <c r="J16" s="35" t="s">
        <v>14707</v>
      </c>
      <c r="K16" s="13"/>
      <c r="L16" s="45" t="s">
        <v>14708</v>
      </c>
      <c r="M16" s="13"/>
      <c r="N16" s="89" t="s">
        <v>14709</v>
      </c>
      <c r="O16" s="13"/>
      <c r="P16" s="37" t="s">
        <v>160</v>
      </c>
      <c r="Q16" s="41"/>
      <c r="R16" s="43" t="s">
        <v>14710</v>
      </c>
      <c r="S16" s="34" t="s">
        <v>14711</v>
      </c>
      <c r="T16" s="91" t="s">
        <v>14712</v>
      </c>
      <c r="U16" s="36"/>
      <c r="V16" s="41"/>
      <c r="W16" s="26"/>
      <c r="X16" s="42" t="s">
        <v>48</v>
      </c>
      <c r="Y16" s="42" t="s">
        <v>49</v>
      </c>
      <c r="Z16" s="48" t="s">
        <v>57</v>
      </c>
      <c r="AA16" s="85" t="str">
        <f>AA$6</f>
        <v/>
      </c>
      <c r="AB16" s="15" t="str">
        <f>IFERROR(__xludf.DUMMYFUNCTION("join("","",filter(split($H$83,"",""),ARRAYFORMULA(ISERROR(FIND(split($H$83,"",""),CONCATENATE(E16:V16))))=TRUE))"),"КЗ,201,206,210,403,408,410,АЗ")</f>
        <v>КЗ,201,206,210,403,408,410,АЗ</v>
      </c>
      <c r="AC16" s="14"/>
      <c r="AD16" s="14"/>
      <c r="AE16" s="14"/>
      <c r="AF16" s="29"/>
      <c r="AG16" s="29"/>
      <c r="AH16" s="29"/>
    </row>
    <row r="17" ht="40.5" customHeight="1">
      <c r="A17" s="30"/>
      <c r="B17" s="31">
        <v>5.0</v>
      </c>
      <c r="C17" s="32" t="s">
        <v>58</v>
      </c>
      <c r="D17" s="53">
        <v>44847.0</v>
      </c>
      <c r="E17" s="45" t="s">
        <v>14713</v>
      </c>
      <c r="F17" s="13"/>
      <c r="G17" s="33" t="s">
        <v>14714</v>
      </c>
      <c r="H17" s="45" t="s">
        <v>14715</v>
      </c>
      <c r="I17" s="41"/>
      <c r="J17" s="35" t="s">
        <v>14716</v>
      </c>
      <c r="K17" s="13"/>
      <c r="L17" s="40" t="s">
        <v>14717</v>
      </c>
      <c r="M17" s="13"/>
      <c r="N17" s="45" t="s">
        <v>14718</v>
      </c>
      <c r="O17" s="13"/>
      <c r="P17" s="33" t="s">
        <v>14719</v>
      </c>
      <c r="Q17" s="34" t="s">
        <v>14720</v>
      </c>
      <c r="R17" s="326" t="s">
        <v>14721</v>
      </c>
      <c r="S17" s="92" t="s">
        <v>14722</v>
      </c>
      <c r="T17" s="93" t="s">
        <v>14723</v>
      </c>
      <c r="U17" s="36"/>
      <c r="V17" s="41"/>
      <c r="W17" s="26"/>
      <c r="X17" s="42" t="s">
        <v>58</v>
      </c>
      <c r="Y17" s="54">
        <v>44847.0</v>
      </c>
      <c r="Z17" s="48" t="s">
        <v>70</v>
      </c>
      <c r="AA17" s="85" t="str">
        <f>AA$7</f>
        <v/>
      </c>
      <c r="AB17" s="15" t="str">
        <f>IFERROR(__xludf.DUMMYFUNCTION("join("","",filter(split($H$83,"",""),ARRAYFORMULA(ISERROR(FIND(split($H$83,"",""),CONCATENATE(E17:V17))))=TRUE))"),"СЗ,206,403,408,410,АЗ")</f>
        <v>СЗ,206,403,408,410,АЗ</v>
      </c>
      <c r="AC17" s="14"/>
      <c r="AD17" s="14"/>
      <c r="AE17" s="14"/>
      <c r="AF17" s="29"/>
      <c r="AG17" s="29"/>
      <c r="AH17" s="29"/>
    </row>
    <row r="18" ht="40.5" customHeight="1">
      <c r="A18" s="30"/>
      <c r="B18" s="31">
        <v>6.0</v>
      </c>
      <c r="C18" s="55" t="s">
        <v>71</v>
      </c>
      <c r="D18" s="56" t="s">
        <v>72</v>
      </c>
      <c r="E18" s="45" t="s">
        <v>14724</v>
      </c>
      <c r="F18" s="13"/>
      <c r="G18" s="33" t="s">
        <v>14725</v>
      </c>
      <c r="H18" s="45" t="s">
        <v>14726</v>
      </c>
      <c r="I18" s="41"/>
      <c r="J18" s="35" t="s">
        <v>14727</v>
      </c>
      <c r="K18" s="13"/>
      <c r="L18" s="40" t="s">
        <v>14728</v>
      </c>
      <c r="M18" s="13"/>
      <c r="N18" s="45" t="s">
        <v>14729</v>
      </c>
      <c r="O18" s="13"/>
      <c r="P18" s="33" t="s">
        <v>14730</v>
      </c>
      <c r="Q18" s="34" t="s">
        <v>14731</v>
      </c>
      <c r="R18" s="326" t="s">
        <v>14732</v>
      </c>
      <c r="S18" s="92" t="s">
        <v>14733</v>
      </c>
      <c r="T18" s="93" t="s">
        <v>14734</v>
      </c>
      <c r="U18" s="36"/>
      <c r="V18" s="41"/>
      <c r="W18" s="26"/>
      <c r="X18" s="58" t="s">
        <v>71</v>
      </c>
      <c r="Y18" s="59" t="s">
        <v>72</v>
      </c>
      <c r="Z18" s="48" t="s">
        <v>84</v>
      </c>
      <c r="AA18" s="85" t="str">
        <f>AA$8</f>
        <v/>
      </c>
      <c r="AB18" s="15" t="str">
        <f>IFERROR(__xludf.DUMMYFUNCTION("join("","",filter(split($H$83,"",""),ARRAYFORMULA(ISERROR(FIND(split($H$83,"",""),CONCATENATE(E18:V18))))=TRUE))"),"СЗ,206,403,408,410,АЗ")</f>
        <v>СЗ,206,403,408,410,АЗ</v>
      </c>
      <c r="AC18" s="14"/>
      <c r="AD18" s="14"/>
      <c r="AE18" s="14"/>
      <c r="AF18" s="29"/>
      <c r="AG18" s="29"/>
      <c r="AH18" s="29"/>
    </row>
    <row r="19" ht="40.5" customHeight="1">
      <c r="A19" s="30"/>
      <c r="B19" s="31">
        <v>7.0</v>
      </c>
      <c r="C19" s="32" t="s">
        <v>85</v>
      </c>
      <c r="D19" s="32" t="s">
        <v>86</v>
      </c>
      <c r="E19" s="94" t="s">
        <v>14735</v>
      </c>
      <c r="F19" s="13"/>
      <c r="G19" s="33" t="s">
        <v>14736</v>
      </c>
      <c r="H19" s="45" t="s">
        <v>14737</v>
      </c>
      <c r="I19" s="41"/>
      <c r="J19" s="95" t="s">
        <v>14738</v>
      </c>
      <c r="K19" s="13"/>
      <c r="L19" s="45" t="s">
        <v>14739</v>
      </c>
      <c r="M19" s="13"/>
      <c r="N19" s="45" t="s">
        <v>14740</v>
      </c>
      <c r="O19" s="13"/>
      <c r="P19" s="37" t="s">
        <v>14741</v>
      </c>
      <c r="Q19" s="41"/>
      <c r="R19" s="96" t="s">
        <v>14742</v>
      </c>
      <c r="S19" s="97" t="s">
        <v>14743</v>
      </c>
      <c r="T19" s="93" t="s">
        <v>14744</v>
      </c>
      <c r="U19" s="36"/>
      <c r="V19" s="41"/>
      <c r="W19" s="26"/>
      <c r="X19" s="42" t="s">
        <v>85</v>
      </c>
      <c r="Y19" s="42" t="s">
        <v>86</v>
      </c>
      <c r="Z19" s="48" t="s">
        <v>97</v>
      </c>
      <c r="AA19" s="85" t="str">
        <f>AA$9</f>
        <v/>
      </c>
      <c r="AB19" s="15" t="str">
        <f>IFERROR(__xludf.DUMMYFUNCTION("join("","",filter(split($H$83,"",""),ARRAYFORMULA(ISERROR(FIND(split($H$83,"",""),CONCATENATE(E19:V19))))=TRUE))"),"СЗ,206,403,404,405,410,АЗ")</f>
        <v>СЗ,206,403,404,405,410,АЗ</v>
      </c>
      <c r="AC19" s="14"/>
      <c r="AD19" s="14"/>
      <c r="AE19" s="14"/>
      <c r="AF19" s="29"/>
      <c r="AG19" s="29"/>
      <c r="AH19" s="29"/>
    </row>
    <row r="20" ht="40.5" customHeight="1">
      <c r="A20" s="30"/>
      <c r="B20" s="31">
        <v>8.0</v>
      </c>
      <c r="C20" s="32" t="s">
        <v>98</v>
      </c>
      <c r="D20" s="32" t="s">
        <v>99</v>
      </c>
      <c r="E20" s="94" t="s">
        <v>14745</v>
      </c>
      <c r="F20" s="13"/>
      <c r="G20" s="33" t="s">
        <v>14746</v>
      </c>
      <c r="H20" s="45" t="s">
        <v>14747</v>
      </c>
      <c r="I20" s="41"/>
      <c r="J20" s="95" t="s">
        <v>14748</v>
      </c>
      <c r="K20" s="13"/>
      <c r="L20" s="45" t="s">
        <v>14749</v>
      </c>
      <c r="M20" s="13"/>
      <c r="N20" s="45" t="s">
        <v>14750</v>
      </c>
      <c r="O20" s="13"/>
      <c r="P20" s="37" t="s">
        <v>14751</v>
      </c>
      <c r="Q20" s="41"/>
      <c r="R20" s="96" t="s">
        <v>14752</v>
      </c>
      <c r="S20" s="97" t="s">
        <v>14753</v>
      </c>
      <c r="T20" s="93" t="s">
        <v>14754</v>
      </c>
      <c r="U20" s="36"/>
      <c r="V20" s="41"/>
      <c r="W20" s="26"/>
      <c r="X20" s="42" t="s">
        <v>98</v>
      </c>
      <c r="Y20" s="42" t="s">
        <v>99</v>
      </c>
      <c r="Z20" s="11"/>
      <c r="AA20" s="98"/>
      <c r="AB20" s="15" t="str">
        <f>IFERROR(__xludf.DUMMYFUNCTION("join("","",filter(split($H$83,"",""),ARRAYFORMULA(ISERROR(FIND(split($H$83,"",""),CONCATENATE(E20:V20))))=TRUE))"),"СЗ,206,403,404,405,410,АЗ")</f>
        <v>СЗ,206,403,404,405,410,АЗ</v>
      </c>
      <c r="AC20" s="14"/>
      <c r="AD20" s="14"/>
      <c r="AE20" s="14"/>
      <c r="AF20" s="29"/>
      <c r="AG20" s="29"/>
      <c r="AH20" s="29"/>
    </row>
    <row r="21" ht="40.5" customHeight="1">
      <c r="A21" s="30"/>
      <c r="B21" s="31">
        <v>9.0</v>
      </c>
      <c r="C21" s="65">
        <v>44697.0</v>
      </c>
      <c r="D21" s="44" t="s">
        <v>109</v>
      </c>
      <c r="E21" s="99" t="s">
        <v>14755</v>
      </c>
      <c r="F21" s="4"/>
      <c r="G21" s="39" t="s">
        <v>207</v>
      </c>
      <c r="H21" s="101" t="s">
        <v>14756</v>
      </c>
      <c r="I21" s="36"/>
      <c r="J21" s="36"/>
      <c r="K21" s="36"/>
      <c r="L21" s="36"/>
      <c r="M21" s="13"/>
      <c r="N21" s="45" t="s">
        <v>14757</v>
      </c>
      <c r="O21" s="13"/>
      <c r="P21" s="102" t="s">
        <v>14758</v>
      </c>
      <c r="Q21" s="41"/>
      <c r="R21" s="35" t="s">
        <v>211</v>
      </c>
      <c r="S21" s="41"/>
      <c r="T21" s="103" t="s">
        <v>14759</v>
      </c>
      <c r="U21" s="36"/>
      <c r="V21" s="41"/>
      <c r="W21" s="26"/>
      <c r="X21" s="69">
        <v>44697.0</v>
      </c>
      <c r="Y21" s="70" t="s">
        <v>109</v>
      </c>
      <c r="Z21" s="28"/>
      <c r="AA21" s="98"/>
      <c r="AB21" s="15" t="str">
        <f>IFERROR(__xludf.DUMMYFUNCTION("join("","",filter(split($H$83,"",""),ARRAYFORMULA(ISERROR(FIND(split($H$83,"",""),CONCATENATE(E21:V21))))=TRUE))"),"201,206,210,401,403,404,405,406,408,АЗ")</f>
        <v>201,206,210,401,403,404,405,406,408,АЗ</v>
      </c>
      <c r="AC21" s="14"/>
      <c r="AD21" s="14"/>
      <c r="AE21" s="14"/>
      <c r="AF21" s="29"/>
      <c r="AG21" s="29"/>
      <c r="AH21" s="29"/>
    </row>
    <row r="22" ht="40.5" customHeight="1">
      <c r="A22" s="30"/>
      <c r="B22" s="31">
        <v>10.0</v>
      </c>
      <c r="C22" s="44" t="s">
        <v>120</v>
      </c>
      <c r="D22" s="44" t="s">
        <v>121</v>
      </c>
      <c r="E22" s="104"/>
      <c r="F22" s="72"/>
      <c r="G22" s="583"/>
      <c r="H22" s="106" t="s">
        <v>3033</v>
      </c>
      <c r="I22" s="36"/>
      <c r="J22" s="36"/>
      <c r="K22" s="36"/>
      <c r="L22" s="36"/>
      <c r="M22" s="13"/>
      <c r="N22" s="45" t="s">
        <v>14760</v>
      </c>
      <c r="O22" s="13"/>
      <c r="P22" s="101" t="s">
        <v>9184</v>
      </c>
      <c r="Q22" s="36"/>
      <c r="R22" s="36"/>
      <c r="S22" s="13"/>
      <c r="T22" s="107" t="s">
        <v>14761</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t="40.5" customHeight="1">
      <c r="A23" s="74"/>
      <c r="B23" s="75">
        <v>11.0</v>
      </c>
      <c r="C23" s="76" t="s">
        <v>124</v>
      </c>
      <c r="D23" s="76" t="s">
        <v>125</v>
      </c>
      <c r="E23" s="108"/>
      <c r="F23" s="109"/>
      <c r="G23" s="110"/>
      <c r="H23" s="111"/>
      <c r="I23" s="112"/>
      <c r="J23" s="113"/>
      <c r="K23" s="111"/>
      <c r="L23" s="111"/>
      <c r="M23" s="111"/>
      <c r="N23" s="111"/>
      <c r="O23" s="111"/>
      <c r="P23" s="111"/>
      <c r="Q23" s="111"/>
      <c r="R23" s="114" t="s">
        <v>14762</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customHeight="1">
      <c r="A24" s="1564"/>
      <c r="B24" s="1565"/>
      <c r="C24" s="1566"/>
      <c r="D24" s="1566"/>
      <c r="E24" s="1567" t="s">
        <v>14763</v>
      </c>
      <c r="F24" s="24"/>
      <c r="G24" s="24"/>
      <c r="H24" s="24"/>
      <c r="I24" s="24"/>
      <c r="J24" s="24"/>
      <c r="K24" s="24"/>
      <c r="L24" s="24"/>
      <c r="M24" s="24"/>
      <c r="N24" s="24"/>
      <c r="O24" s="24"/>
      <c r="P24" s="24"/>
      <c r="Q24" s="24"/>
      <c r="R24" s="24"/>
      <c r="S24" s="24"/>
      <c r="T24" s="24"/>
      <c r="U24" s="24"/>
      <c r="V24" s="22"/>
      <c r="W24" s="1568"/>
      <c r="X24" s="1569"/>
      <c r="Y24" s="1569"/>
      <c r="Z24" s="1570"/>
      <c r="AA24" s="1571"/>
      <c r="AB24" s="1572"/>
      <c r="AC24" s="1571"/>
      <c r="AD24" s="1571"/>
      <c r="AE24" s="1571"/>
      <c r="AF24" s="1573"/>
      <c r="AG24" s="1573"/>
      <c r="AH24" s="1573"/>
    </row>
    <row r="25" ht="40.5" customHeight="1">
      <c r="A25" s="1574"/>
      <c r="B25" s="1575"/>
      <c r="C25" s="1576"/>
      <c r="D25" s="1576"/>
      <c r="E25" s="1577"/>
      <c r="F25" s="41"/>
      <c r="G25" s="1578"/>
      <c r="H25" s="1579"/>
      <c r="I25" s="41"/>
      <c r="J25" s="1580"/>
      <c r="K25" s="13"/>
      <c r="L25" s="1581"/>
      <c r="M25" s="13"/>
      <c r="N25" s="1581"/>
      <c r="O25" s="13"/>
      <c r="P25" s="1582"/>
      <c r="Q25" s="13"/>
      <c r="R25" s="1583"/>
      <c r="S25" s="41"/>
      <c r="T25" s="1584"/>
      <c r="U25" s="36"/>
      <c r="V25" s="41"/>
      <c r="W25" s="1568"/>
      <c r="X25" s="1585"/>
      <c r="Y25" s="1585"/>
      <c r="Z25" s="1570"/>
      <c r="AA25" s="1571"/>
      <c r="AB25" s="1572"/>
      <c r="AC25" s="1571"/>
      <c r="AD25" s="1571"/>
      <c r="AE25" s="1571"/>
      <c r="AF25" s="1573"/>
      <c r="AG25" s="1573"/>
      <c r="AH25" s="1573"/>
    </row>
    <row r="26" ht="40.5" customHeight="1">
      <c r="A26" s="1574"/>
      <c r="B26" s="1575"/>
      <c r="C26" s="1576"/>
      <c r="D26" s="1576"/>
      <c r="E26" s="1582"/>
      <c r="F26" s="41"/>
      <c r="G26" s="1577"/>
      <c r="H26" s="36"/>
      <c r="I26" s="41"/>
      <c r="J26" s="1580"/>
      <c r="K26" s="13"/>
      <c r="L26" s="1586"/>
      <c r="M26" s="41"/>
      <c r="N26" s="1581"/>
      <c r="O26" s="13"/>
      <c r="P26" s="1578"/>
      <c r="Q26" s="1587"/>
      <c r="R26" s="1579"/>
      <c r="S26" s="41"/>
      <c r="T26" s="1588"/>
      <c r="U26" s="36"/>
      <c r="V26" s="41"/>
      <c r="W26" s="1568"/>
      <c r="X26" s="1585"/>
      <c r="Y26" s="1585"/>
      <c r="Z26" s="1589"/>
      <c r="AA26" s="1590"/>
      <c r="AB26" s="1572"/>
      <c r="AC26" s="1571"/>
      <c r="AD26" s="1571"/>
      <c r="AE26" s="1571"/>
      <c r="AF26" s="1573"/>
      <c r="AG26" s="1573"/>
      <c r="AH26" s="1573"/>
    </row>
    <row r="27" ht="54.0" customHeight="1">
      <c r="A27" s="1574"/>
      <c r="B27" s="1575"/>
      <c r="C27" s="1576"/>
      <c r="D27" s="1576"/>
      <c r="E27" s="1578"/>
      <c r="F27" s="1591"/>
      <c r="G27" s="1582"/>
      <c r="H27" s="13"/>
      <c r="I27" s="1591"/>
      <c r="J27" s="1592"/>
      <c r="K27" s="13"/>
      <c r="L27" s="1581"/>
      <c r="M27" s="13"/>
      <c r="N27" s="1593"/>
      <c r="O27" s="13"/>
      <c r="P27" s="1582"/>
      <c r="Q27" s="13"/>
      <c r="R27" s="1594"/>
      <c r="S27" s="1591"/>
      <c r="T27" s="1588"/>
      <c r="U27" s="36"/>
      <c r="V27" s="41"/>
      <c r="W27" s="1568"/>
      <c r="X27" s="1585"/>
      <c r="Y27" s="1585"/>
      <c r="Z27" s="1589"/>
      <c r="AA27" s="1590"/>
      <c r="AB27" s="1572"/>
      <c r="AC27" s="1571"/>
      <c r="AD27" s="1571"/>
      <c r="AE27" s="1571"/>
      <c r="AF27" s="1573"/>
      <c r="AG27" s="1573"/>
      <c r="AH27" s="1573"/>
    </row>
    <row r="28" ht="53.25" customHeight="1">
      <c r="A28" s="1574"/>
      <c r="B28" s="1575"/>
      <c r="C28" s="1576"/>
      <c r="D28" s="1595"/>
      <c r="E28" s="1578"/>
      <c r="F28" s="1591"/>
      <c r="G28" s="1582"/>
      <c r="H28" s="13"/>
      <c r="I28" s="1591"/>
      <c r="J28" s="1586"/>
      <c r="K28" s="41"/>
      <c r="L28" s="1581"/>
      <c r="M28" s="13"/>
      <c r="N28" s="1579"/>
      <c r="O28" s="13"/>
      <c r="P28" s="1578"/>
      <c r="Q28" s="1587"/>
      <c r="R28" s="1594"/>
      <c r="S28" s="1591"/>
      <c r="T28" s="1596"/>
      <c r="U28" s="8"/>
      <c r="V28" s="129"/>
      <c r="W28" s="1568"/>
      <c r="X28" s="1585"/>
      <c r="Y28" s="1597"/>
      <c r="Z28" s="1589"/>
      <c r="AA28" s="1590"/>
      <c r="AB28" s="1572"/>
      <c r="AC28" s="1571"/>
      <c r="AD28" s="1571"/>
      <c r="AE28" s="1571"/>
      <c r="AF28" s="1573"/>
      <c r="AG28" s="1573"/>
      <c r="AH28" s="1573"/>
    </row>
    <row r="29" ht="40.5" customHeight="1">
      <c r="A29" s="1574"/>
      <c r="B29" s="1575"/>
      <c r="C29" s="1598"/>
      <c r="D29" s="1599"/>
      <c r="E29" s="1578"/>
      <c r="F29" s="1591"/>
      <c r="G29" s="1581"/>
      <c r="H29" s="41"/>
      <c r="I29" s="1591"/>
      <c r="J29" s="1586"/>
      <c r="K29" s="41"/>
      <c r="L29" s="1579"/>
      <c r="M29" s="13"/>
      <c r="N29" s="1600"/>
      <c r="O29" s="13"/>
      <c r="P29" s="1601"/>
      <c r="Q29" s="1594"/>
      <c r="R29" s="1602"/>
      <c r="S29" s="1591"/>
      <c r="V29" s="134"/>
      <c r="W29" s="1568"/>
      <c r="X29" s="1603"/>
      <c r="Y29" s="1604"/>
      <c r="Z29" s="1589"/>
      <c r="AA29" s="1590"/>
      <c r="AB29" s="1572"/>
      <c r="AC29" s="1571"/>
      <c r="AD29" s="1571"/>
      <c r="AE29" s="1571"/>
      <c r="AF29" s="1573"/>
      <c r="AG29" s="1573"/>
      <c r="AH29" s="1573"/>
    </row>
    <row r="30" ht="40.5" customHeight="1">
      <c r="A30" s="1574"/>
      <c r="B30" s="1575"/>
      <c r="C30" s="1576"/>
      <c r="D30" s="1576"/>
      <c r="E30" s="1578"/>
      <c r="F30" s="1591"/>
      <c r="G30" s="1581"/>
      <c r="H30" s="41"/>
      <c r="I30" s="1591"/>
      <c r="J30" s="1580"/>
      <c r="K30" s="13"/>
      <c r="L30" s="1586"/>
      <c r="M30" s="41"/>
      <c r="N30" s="1600"/>
      <c r="O30" s="13"/>
      <c r="P30" s="1601"/>
      <c r="Q30" s="1594"/>
      <c r="R30" s="173"/>
      <c r="S30" s="1591"/>
      <c r="V30" s="134"/>
      <c r="W30" s="1568"/>
      <c r="X30" s="1585"/>
      <c r="Y30" s="1585"/>
      <c r="Z30" s="1589"/>
      <c r="AA30" s="1590"/>
      <c r="AB30" s="1572"/>
      <c r="AC30" s="1571"/>
      <c r="AD30" s="1571"/>
      <c r="AE30" s="1571"/>
      <c r="AF30" s="1573"/>
      <c r="AG30" s="1573"/>
      <c r="AH30" s="1573"/>
    </row>
    <row r="31" ht="52.5" customHeight="1">
      <c r="A31" s="1574"/>
      <c r="B31" s="1575"/>
      <c r="C31" s="1576"/>
      <c r="D31" s="1576"/>
      <c r="E31" s="1605"/>
      <c r="F31" s="41"/>
      <c r="G31" s="1606"/>
      <c r="H31" s="8"/>
      <c r="I31" s="129"/>
      <c r="J31" s="1607"/>
      <c r="K31" s="36"/>
      <c r="L31" s="36"/>
      <c r="M31" s="13"/>
      <c r="N31" s="1581"/>
      <c r="O31" s="13"/>
      <c r="P31" s="1578"/>
      <c r="Q31" s="1578"/>
      <c r="R31" s="1608"/>
      <c r="S31" s="1609"/>
      <c r="V31" s="134"/>
      <c r="W31" s="1568"/>
      <c r="X31" s="1585"/>
      <c r="Y31" s="1585"/>
      <c r="Z31" s="1610"/>
      <c r="AA31" s="1571"/>
      <c r="AB31" s="1572"/>
      <c r="AC31" s="1571"/>
      <c r="AD31" s="1571"/>
      <c r="AE31" s="1571"/>
      <c r="AF31" s="1573"/>
      <c r="AG31" s="1573"/>
      <c r="AH31" s="1573"/>
    </row>
    <row r="32" ht="57.0" customHeight="1">
      <c r="A32" s="1574"/>
      <c r="B32" s="1575"/>
      <c r="C32" s="1611"/>
      <c r="D32" s="1594"/>
      <c r="E32" s="1582"/>
      <c r="F32" s="13"/>
      <c r="G32" s="142"/>
      <c r="H32" s="64"/>
      <c r="I32" s="88"/>
      <c r="J32" s="1607"/>
      <c r="K32" s="36"/>
      <c r="L32" s="36"/>
      <c r="M32" s="13"/>
      <c r="N32" s="1581"/>
      <c r="O32" s="13"/>
      <c r="P32" s="1578"/>
      <c r="Q32" s="1578"/>
      <c r="R32" s="1608"/>
      <c r="S32" s="1591"/>
      <c r="T32" s="64"/>
      <c r="U32" s="64"/>
      <c r="V32" s="88"/>
      <c r="W32" s="1568"/>
      <c r="X32" s="1612"/>
      <c r="Y32" s="1613"/>
      <c r="Z32" s="1570"/>
      <c r="AA32" s="1571"/>
      <c r="AB32" s="1572"/>
      <c r="AC32" s="1571"/>
      <c r="AD32" s="1571"/>
      <c r="AE32" s="1571"/>
      <c r="AF32" s="1573"/>
      <c r="AG32" s="1573"/>
      <c r="AH32" s="1573"/>
    </row>
    <row r="33" ht="40.5" customHeight="1">
      <c r="A33" s="1574"/>
      <c r="B33" s="1575"/>
      <c r="C33" s="1594"/>
      <c r="D33" s="1594"/>
      <c r="E33" s="1582"/>
      <c r="F33" s="13"/>
      <c r="G33" s="1614"/>
      <c r="H33" s="8"/>
      <c r="I33" s="8"/>
      <c r="J33" s="8"/>
      <c r="K33" s="8"/>
      <c r="L33" s="8"/>
      <c r="M33" s="8"/>
      <c r="N33" s="8"/>
      <c r="O33" s="8"/>
      <c r="P33" s="8"/>
      <c r="Q33" s="4"/>
      <c r="R33" s="1615"/>
      <c r="S33" s="1616"/>
      <c r="T33" s="1617"/>
      <c r="U33" s="1618"/>
      <c r="V33" s="1619"/>
      <c r="W33" s="1568"/>
      <c r="X33" s="1613"/>
      <c r="Y33" s="1613"/>
      <c r="Z33" s="1570"/>
      <c r="AA33" s="1571"/>
      <c r="AB33" s="1572"/>
      <c r="AC33" s="1571"/>
      <c r="AD33" s="1571"/>
      <c r="AE33" s="1571"/>
      <c r="AF33" s="1573"/>
      <c r="AG33" s="1573"/>
      <c r="AH33" s="1573"/>
    </row>
    <row r="34" ht="40.5" customHeight="1">
      <c r="A34" s="1620"/>
      <c r="B34" s="1621"/>
      <c r="C34" s="1622"/>
      <c r="D34" s="1622"/>
      <c r="E34" s="1582"/>
      <c r="F34" s="13"/>
      <c r="G34" s="151"/>
      <c r="H34" s="151"/>
      <c r="I34" s="151"/>
      <c r="J34" s="151"/>
      <c r="K34" s="151"/>
      <c r="L34" s="151"/>
      <c r="M34" s="151"/>
      <c r="N34" s="151"/>
      <c r="O34" s="151"/>
      <c r="P34" s="151"/>
      <c r="Q34" s="152"/>
      <c r="R34" s="1623"/>
      <c r="S34" s="1624"/>
      <c r="T34" s="1625"/>
      <c r="U34" s="1626"/>
      <c r="V34" s="1627"/>
      <c r="W34" s="1568"/>
      <c r="X34" s="1628"/>
      <c r="Y34" s="1628"/>
      <c r="Z34" s="1570"/>
      <c r="AA34" s="1571"/>
      <c r="AB34" s="1572"/>
      <c r="AC34" s="1571"/>
      <c r="AD34" s="1571"/>
      <c r="AE34" s="1571"/>
      <c r="AF34" s="1573"/>
      <c r="AG34" s="1573"/>
      <c r="AH34" s="1573"/>
    </row>
    <row r="35" ht="60.0" customHeight="1">
      <c r="A35" s="1564"/>
      <c r="B35" s="1629"/>
      <c r="C35" s="1566"/>
      <c r="D35" s="1566"/>
      <c r="E35" s="1630"/>
      <c r="F35" s="25"/>
      <c r="G35" s="1631"/>
      <c r="H35" s="1630"/>
      <c r="I35" s="25"/>
      <c r="J35" s="1581"/>
      <c r="K35" s="13"/>
      <c r="L35" s="1631"/>
      <c r="M35" s="1631"/>
      <c r="N35" s="1630"/>
      <c r="O35" s="25"/>
      <c r="P35" s="1631"/>
      <c r="Q35" s="1631"/>
      <c r="R35" s="1632"/>
      <c r="S35" s="1632"/>
      <c r="T35" s="1630"/>
      <c r="U35" s="24"/>
      <c r="V35" s="22"/>
      <c r="W35" s="1568"/>
      <c r="X35" s="1569"/>
      <c r="Y35" s="1569"/>
      <c r="Z35" s="1570"/>
      <c r="AA35" s="1571"/>
      <c r="AB35" s="1572"/>
      <c r="AC35" s="1571"/>
      <c r="AD35" s="1571"/>
      <c r="AE35" s="1571"/>
      <c r="AF35" s="1573"/>
      <c r="AG35" s="1573"/>
      <c r="AH35" s="1573"/>
    </row>
    <row r="36" ht="54.0" customHeight="1">
      <c r="A36" s="30"/>
      <c r="B36" s="1633"/>
      <c r="C36" s="1576"/>
      <c r="D36" s="1576"/>
      <c r="E36" s="1581"/>
      <c r="F36" s="13"/>
      <c r="G36" s="1594"/>
      <c r="H36" s="1581"/>
      <c r="I36" s="13"/>
      <c r="J36" s="1581"/>
      <c r="K36" s="13"/>
      <c r="L36" s="1594"/>
      <c r="M36" s="1594"/>
      <c r="N36" s="1581"/>
      <c r="O36" s="13"/>
      <c r="P36" s="1594"/>
      <c r="Q36" s="1594"/>
      <c r="R36" s="1634"/>
      <c r="S36" s="1634"/>
      <c r="T36" s="1581"/>
      <c r="U36" s="36"/>
      <c r="V36" s="41"/>
      <c r="W36" s="1568"/>
      <c r="X36" s="1585"/>
      <c r="Y36" s="1585"/>
      <c r="Z36" s="1570"/>
      <c r="AA36" s="1571"/>
      <c r="AB36" s="1572"/>
      <c r="AC36" s="1571"/>
      <c r="AD36" s="1571"/>
      <c r="AE36" s="1571"/>
      <c r="AF36" s="1573"/>
      <c r="AG36" s="1573"/>
      <c r="AH36" s="1573"/>
    </row>
    <row r="37" ht="56.25" customHeight="1">
      <c r="A37" s="30"/>
      <c r="B37" s="1633"/>
      <c r="C37" s="1576"/>
      <c r="D37" s="1576"/>
      <c r="E37" s="1581"/>
      <c r="F37" s="13"/>
      <c r="G37" s="1594"/>
      <c r="H37" s="1581"/>
      <c r="I37" s="13"/>
      <c r="J37" s="1581"/>
      <c r="K37" s="13"/>
      <c r="L37" s="1594"/>
      <c r="M37" s="1594"/>
      <c r="N37" s="1586"/>
      <c r="O37" s="36"/>
      <c r="P37" s="36"/>
      <c r="Q37" s="13"/>
      <c r="R37" s="1594"/>
      <c r="S37" s="1594"/>
      <c r="T37" s="1600"/>
      <c r="U37" s="36"/>
      <c r="V37" s="41"/>
      <c r="W37" s="1568"/>
      <c r="X37" s="1585"/>
      <c r="Y37" s="1585"/>
      <c r="Z37" s="1589"/>
      <c r="AA37" s="1590"/>
      <c r="AB37" s="1572"/>
      <c r="AC37" s="1571"/>
      <c r="AD37" s="1571"/>
      <c r="AE37" s="1571"/>
      <c r="AF37" s="1573"/>
      <c r="AG37" s="1573"/>
      <c r="AH37" s="1573"/>
    </row>
    <row r="38" ht="51.75" customHeight="1">
      <c r="A38" s="30"/>
      <c r="B38" s="1633"/>
      <c r="C38" s="1576"/>
      <c r="D38" s="1576"/>
      <c r="E38" s="1581"/>
      <c r="F38" s="13"/>
      <c r="G38" s="1594"/>
      <c r="H38" s="1581"/>
      <c r="I38" s="13"/>
      <c r="J38" s="1581"/>
      <c r="K38" s="13"/>
      <c r="L38" s="1594"/>
      <c r="M38" s="1594"/>
      <c r="N38" s="1586"/>
      <c r="O38" s="36"/>
      <c r="P38" s="36"/>
      <c r="Q38" s="13"/>
      <c r="R38" s="1594"/>
      <c r="S38" s="1594"/>
      <c r="T38" s="1600"/>
      <c r="U38" s="36"/>
      <c r="V38" s="41"/>
      <c r="W38" s="1568"/>
      <c r="X38" s="1585"/>
      <c r="Y38" s="1585"/>
      <c r="Z38" s="1589"/>
      <c r="AA38" s="1590"/>
      <c r="AB38" s="1572"/>
      <c r="AC38" s="1571"/>
      <c r="AD38" s="1571"/>
      <c r="AE38" s="1571"/>
      <c r="AF38" s="1573"/>
      <c r="AG38" s="1573"/>
      <c r="AH38" s="1573"/>
    </row>
    <row r="39" ht="58.5" customHeight="1">
      <c r="A39" s="30"/>
      <c r="B39" s="1633"/>
      <c r="C39" s="1576"/>
      <c r="D39" s="1595"/>
      <c r="E39" s="1581"/>
      <c r="F39" s="13"/>
      <c r="G39" s="1594"/>
      <c r="H39" s="1581"/>
      <c r="I39" s="13"/>
      <c r="J39" s="1594"/>
      <c r="K39" s="1594"/>
      <c r="L39" s="1581"/>
      <c r="M39" s="13"/>
      <c r="N39" s="1594"/>
      <c r="O39" s="1594"/>
      <c r="P39" s="1581"/>
      <c r="Q39" s="13"/>
      <c r="R39" s="1594"/>
      <c r="S39" s="1594"/>
      <c r="T39" s="1581"/>
      <c r="U39" s="36"/>
      <c r="V39" s="41"/>
      <c r="W39" s="1568"/>
      <c r="X39" s="1585"/>
      <c r="Y39" s="1597"/>
      <c r="Z39" s="1589"/>
      <c r="AA39" s="1590"/>
      <c r="AB39" s="1572"/>
      <c r="AC39" s="1571"/>
      <c r="AD39" s="1571"/>
      <c r="AE39" s="1571"/>
      <c r="AF39" s="1573"/>
      <c r="AG39" s="1573"/>
      <c r="AH39" s="1573"/>
    </row>
    <row r="40" ht="54.0" customHeight="1">
      <c r="A40" s="30"/>
      <c r="B40" s="1633"/>
      <c r="C40" s="1598"/>
      <c r="D40" s="1599"/>
      <c r="E40" s="1581"/>
      <c r="F40" s="13"/>
      <c r="G40" s="1594"/>
      <c r="H40" s="1581"/>
      <c r="I40" s="13"/>
      <c r="J40" s="1594"/>
      <c r="K40" s="1594"/>
      <c r="L40" s="1581"/>
      <c r="M40" s="13"/>
      <c r="N40" s="1594"/>
      <c r="O40" s="1594"/>
      <c r="P40" s="1581"/>
      <c r="Q40" s="13"/>
      <c r="R40" s="1594"/>
      <c r="S40" s="1594"/>
      <c r="T40" s="1581"/>
      <c r="U40" s="36"/>
      <c r="V40" s="41"/>
      <c r="W40" s="1568"/>
      <c r="X40" s="1603"/>
      <c r="Y40" s="1604"/>
      <c r="Z40" s="1589"/>
      <c r="AA40" s="1590"/>
      <c r="AB40" s="1572"/>
      <c r="AC40" s="1571"/>
      <c r="AD40" s="1571"/>
      <c r="AE40" s="1571"/>
      <c r="AF40" s="1573"/>
      <c r="AG40" s="1573"/>
      <c r="AH40" s="1573"/>
    </row>
    <row r="41" ht="48.75" customHeight="1">
      <c r="A41" s="30"/>
      <c r="B41" s="1633"/>
      <c r="C41" s="1576"/>
      <c r="D41" s="1576"/>
      <c r="E41" s="1581"/>
      <c r="F41" s="13"/>
      <c r="G41" s="1594"/>
      <c r="H41" s="1581"/>
      <c r="I41" s="13"/>
      <c r="J41" s="1594"/>
      <c r="K41" s="1594"/>
      <c r="L41" s="1581"/>
      <c r="M41" s="13"/>
      <c r="N41" s="1600"/>
      <c r="O41" s="13"/>
      <c r="P41" s="1581"/>
      <c r="Q41" s="13"/>
      <c r="R41" s="1594"/>
      <c r="S41" s="1594"/>
      <c r="T41" s="1635"/>
      <c r="U41" s="36"/>
      <c r="V41" s="41"/>
      <c r="W41" s="1568"/>
      <c r="X41" s="1585"/>
      <c r="Y41" s="1585"/>
      <c r="Z41" s="1589"/>
      <c r="AA41" s="1590"/>
      <c r="AB41" s="1572"/>
      <c r="AC41" s="1571"/>
      <c r="AD41" s="1571"/>
      <c r="AE41" s="1571"/>
      <c r="AF41" s="1573"/>
      <c r="AG41" s="1573"/>
      <c r="AH41" s="1573"/>
    </row>
    <row r="42" ht="52.5" customHeight="1">
      <c r="A42" s="30"/>
      <c r="B42" s="1633"/>
      <c r="C42" s="1576"/>
      <c r="D42" s="1576"/>
      <c r="E42" s="1581"/>
      <c r="F42" s="13"/>
      <c r="G42" s="1594"/>
      <c r="H42" s="1581"/>
      <c r="I42" s="13"/>
      <c r="J42" s="1594"/>
      <c r="K42" s="1594"/>
      <c r="L42" s="1581"/>
      <c r="M42" s="13"/>
      <c r="N42" s="1600"/>
      <c r="O42" s="13"/>
      <c r="P42" s="1581"/>
      <c r="Q42" s="13"/>
      <c r="R42" s="1579"/>
      <c r="S42" s="13"/>
      <c r="T42" s="1635"/>
      <c r="U42" s="36"/>
      <c r="V42" s="41"/>
      <c r="W42" s="1568"/>
      <c r="X42" s="1585"/>
      <c r="Y42" s="1585"/>
      <c r="Z42" s="1610"/>
      <c r="AA42" s="1571"/>
      <c r="AB42" s="1572"/>
      <c r="AC42" s="1571"/>
      <c r="AD42" s="1571"/>
      <c r="AE42" s="1571"/>
      <c r="AF42" s="1573"/>
      <c r="AG42" s="1573"/>
      <c r="AH42" s="1573"/>
    </row>
    <row r="43" ht="40.5" customHeight="1">
      <c r="A43" s="30"/>
      <c r="B43" s="1633"/>
      <c r="C43" s="1611"/>
      <c r="D43" s="1594"/>
      <c r="E43" s="1636"/>
      <c r="F43" s="4"/>
      <c r="G43" s="1637"/>
      <c r="H43" s="1638"/>
      <c r="I43" s="36"/>
      <c r="J43" s="13"/>
      <c r="K43" s="1639"/>
      <c r="L43" s="4"/>
      <c r="M43" s="1640"/>
      <c r="N43" s="1581"/>
      <c r="O43" s="13"/>
      <c r="P43" s="1641"/>
      <c r="Q43" s="1642"/>
      <c r="R43" s="8"/>
      <c r="S43" s="8"/>
      <c r="T43" s="8"/>
      <c r="U43" s="8"/>
      <c r="V43" s="129"/>
      <c r="W43" s="1568"/>
      <c r="X43" s="1612"/>
      <c r="Y43" s="1613"/>
      <c r="Z43" s="1570"/>
      <c r="AA43" s="1571"/>
      <c r="AB43" s="1572"/>
      <c r="AC43" s="1571"/>
      <c r="AD43" s="1571"/>
      <c r="AE43" s="1571"/>
      <c r="AF43" s="1573"/>
      <c r="AG43" s="1573"/>
      <c r="AH43" s="1573"/>
    </row>
    <row r="44" ht="40.5" customHeight="1">
      <c r="A44" s="30"/>
      <c r="B44" s="1633"/>
      <c r="C44" s="1594"/>
      <c r="D44" s="1594"/>
      <c r="E44" s="104"/>
      <c r="F44" s="72"/>
      <c r="G44" s="173"/>
      <c r="H44" s="1638"/>
      <c r="I44" s="36"/>
      <c r="J44" s="13"/>
      <c r="K44" s="104"/>
      <c r="L44" s="72"/>
      <c r="M44" s="1640"/>
      <c r="N44" s="1581"/>
      <c r="O44" s="13"/>
      <c r="P44" s="173"/>
      <c r="Q44" s="104"/>
      <c r="R44" s="64"/>
      <c r="S44" s="64"/>
      <c r="T44" s="64"/>
      <c r="U44" s="64"/>
      <c r="V44" s="88"/>
      <c r="W44" s="1568"/>
      <c r="X44" s="1613"/>
      <c r="Y44" s="1613"/>
      <c r="Z44" s="1570"/>
      <c r="AA44" s="1571"/>
      <c r="AB44" s="1572"/>
      <c r="AC44" s="1571"/>
      <c r="AD44" s="1571"/>
      <c r="AE44" s="1571"/>
      <c r="AF44" s="1573"/>
      <c r="AG44" s="1573"/>
      <c r="AH44" s="1573"/>
    </row>
    <row r="45" ht="40.5" customHeight="1">
      <c r="A45" s="74"/>
      <c r="B45" s="1643"/>
      <c r="C45" s="1622"/>
      <c r="D45" s="1622"/>
      <c r="E45" s="1644"/>
      <c r="F45" s="1644"/>
      <c r="G45" s="1644"/>
      <c r="H45" s="1644"/>
      <c r="I45" s="1644"/>
      <c r="J45" s="1644"/>
      <c r="K45" s="1644"/>
      <c r="L45" s="1644"/>
      <c r="M45" s="1644"/>
      <c r="N45" s="1644"/>
      <c r="O45" s="1644"/>
      <c r="P45" s="1644"/>
      <c r="Q45" s="1644"/>
      <c r="R45" s="1644"/>
      <c r="S45" s="1644"/>
      <c r="T45" s="1644"/>
      <c r="U45" s="1644"/>
      <c r="V45" s="1627"/>
      <c r="W45" s="1568"/>
      <c r="X45" s="1628"/>
      <c r="Y45" s="1628"/>
      <c r="Z45" s="1570"/>
      <c r="AA45" s="1571"/>
      <c r="AB45" s="1572"/>
      <c r="AC45" s="1571"/>
      <c r="AD45" s="1571"/>
      <c r="AE45" s="1571"/>
      <c r="AF45" s="1573"/>
      <c r="AG45" s="1573"/>
      <c r="AH45" s="1573"/>
    </row>
    <row r="46" ht="40.5" customHeight="1">
      <c r="A46" s="1564"/>
      <c r="B46" s="1629"/>
      <c r="C46" s="1566"/>
      <c r="D46" s="1566"/>
      <c r="E46" s="1631"/>
      <c r="F46" s="1631"/>
      <c r="G46" s="1630"/>
      <c r="H46" s="25"/>
      <c r="I46" s="1641"/>
      <c r="J46" s="1630"/>
      <c r="K46" s="25"/>
      <c r="L46" s="1630"/>
      <c r="M46" s="25"/>
      <c r="N46" s="1631"/>
      <c r="O46" s="1631"/>
      <c r="P46" s="1630"/>
      <c r="Q46" s="25"/>
      <c r="R46" s="1630"/>
      <c r="S46" s="25"/>
      <c r="T46" s="1630"/>
      <c r="U46" s="24"/>
      <c r="V46" s="22"/>
      <c r="W46" s="1568"/>
      <c r="X46" s="1569"/>
      <c r="Y46" s="1569"/>
      <c r="Z46" s="1570"/>
      <c r="AA46" s="1571"/>
      <c r="AB46" s="1572"/>
      <c r="AC46" s="1571"/>
      <c r="AD46" s="1571"/>
      <c r="AE46" s="1571"/>
      <c r="AF46" s="1573"/>
      <c r="AG46" s="1573"/>
      <c r="AH46" s="1573"/>
    </row>
    <row r="47" ht="40.5" customHeight="1">
      <c r="A47" s="30"/>
      <c r="B47" s="1633"/>
      <c r="C47" s="1576"/>
      <c r="D47" s="1576"/>
      <c r="E47" s="1594"/>
      <c r="F47" s="1594"/>
      <c r="G47" s="1581"/>
      <c r="H47" s="13"/>
      <c r="I47" s="173"/>
      <c r="J47" s="1581"/>
      <c r="K47" s="13"/>
      <c r="L47" s="1630"/>
      <c r="M47" s="25"/>
      <c r="N47" s="1594"/>
      <c r="O47" s="1594"/>
      <c r="P47" s="1581"/>
      <c r="Q47" s="13"/>
      <c r="R47" s="1594"/>
      <c r="S47" s="1634"/>
      <c r="T47" s="1581"/>
      <c r="U47" s="36"/>
      <c r="V47" s="41"/>
      <c r="W47" s="1568"/>
      <c r="X47" s="1585"/>
      <c r="Y47" s="1585"/>
      <c r="Z47" s="1570"/>
      <c r="AA47" s="1571"/>
      <c r="AB47" s="1572"/>
      <c r="AC47" s="1571"/>
      <c r="AD47" s="1571"/>
      <c r="AE47" s="1571"/>
      <c r="AF47" s="1573"/>
      <c r="AG47" s="1573"/>
      <c r="AH47" s="1573"/>
    </row>
    <row r="48" ht="40.5" customHeight="1">
      <c r="A48" s="30"/>
      <c r="B48" s="1633"/>
      <c r="C48" s="1576"/>
      <c r="D48" s="1576"/>
      <c r="E48" s="1581"/>
      <c r="F48" s="13"/>
      <c r="G48" s="1645"/>
      <c r="H48" s="4"/>
      <c r="I48" s="1634"/>
      <c r="J48" s="1594"/>
      <c r="K48" s="1594"/>
      <c r="L48" s="1594"/>
      <c r="M48" s="1594"/>
      <c r="N48" s="1586"/>
      <c r="O48" s="36"/>
      <c r="P48" s="36"/>
      <c r="Q48" s="13"/>
      <c r="R48" s="1594"/>
      <c r="S48" s="1634"/>
      <c r="T48" s="1581"/>
      <c r="U48" s="36"/>
      <c r="V48" s="41"/>
      <c r="W48" s="1568"/>
      <c r="X48" s="1585"/>
      <c r="Y48" s="1585"/>
      <c r="Z48" s="1589"/>
      <c r="AA48" s="1590"/>
      <c r="AB48" s="1572"/>
      <c r="AC48" s="1571"/>
      <c r="AD48" s="1571"/>
      <c r="AE48" s="1571"/>
      <c r="AF48" s="1573"/>
      <c r="AG48" s="1573"/>
      <c r="AH48" s="1573"/>
    </row>
    <row r="49" ht="40.5" customHeight="1">
      <c r="A49" s="30"/>
      <c r="B49" s="1633"/>
      <c r="C49" s="1576"/>
      <c r="D49" s="1576"/>
      <c r="E49" s="1581"/>
      <c r="F49" s="13"/>
      <c r="G49" s="104"/>
      <c r="H49" s="72"/>
      <c r="I49" s="1634"/>
      <c r="J49" s="1594"/>
      <c r="K49" s="1594"/>
      <c r="L49" s="1594"/>
      <c r="M49" s="1594"/>
      <c r="N49" s="1586"/>
      <c r="O49" s="36"/>
      <c r="P49" s="36"/>
      <c r="Q49" s="13"/>
      <c r="R49" s="1634"/>
      <c r="S49" s="1609"/>
      <c r="T49" s="1581"/>
      <c r="U49" s="36"/>
      <c r="V49" s="41"/>
      <c r="W49" s="1568"/>
      <c r="X49" s="1585"/>
      <c r="Y49" s="1585"/>
      <c r="Z49" s="1589"/>
      <c r="AA49" s="1590"/>
      <c r="AB49" s="1572"/>
      <c r="AC49" s="1571"/>
      <c r="AD49" s="1571"/>
      <c r="AE49" s="1571"/>
      <c r="AF49" s="1573"/>
      <c r="AG49" s="1573"/>
      <c r="AH49" s="1573"/>
    </row>
    <row r="50" ht="40.5" customHeight="1">
      <c r="A50" s="30"/>
      <c r="B50" s="1633"/>
      <c r="C50" s="1576"/>
      <c r="D50" s="1595"/>
      <c r="E50" s="1581"/>
      <c r="F50" s="13"/>
      <c r="G50" s="1594"/>
      <c r="H50" s="1594"/>
      <c r="I50" s="1594"/>
      <c r="J50" s="1581"/>
      <c r="K50" s="13"/>
      <c r="L50" s="1581"/>
      <c r="M50" s="13"/>
      <c r="N50" s="1594"/>
      <c r="O50" s="1587"/>
      <c r="P50" s="1581"/>
      <c r="Q50" s="13"/>
      <c r="R50" s="1634"/>
      <c r="S50" s="1609"/>
      <c r="T50" s="1581"/>
      <c r="U50" s="36"/>
      <c r="V50" s="41"/>
      <c r="W50" s="1568"/>
      <c r="X50" s="1585"/>
      <c r="Y50" s="1597"/>
      <c r="Z50" s="1589"/>
      <c r="AA50" s="1590"/>
      <c r="AB50" s="1572"/>
      <c r="AC50" s="1571"/>
      <c r="AD50" s="1571"/>
      <c r="AE50" s="1571"/>
      <c r="AF50" s="1573"/>
      <c r="AG50" s="1573"/>
      <c r="AH50" s="1573"/>
    </row>
    <row r="51" ht="48.75" customHeight="1">
      <c r="A51" s="30"/>
      <c r="B51" s="1633"/>
      <c r="C51" s="1598"/>
      <c r="D51" s="1599"/>
      <c r="E51" s="1581"/>
      <c r="F51" s="13"/>
      <c r="G51" s="1594"/>
      <c r="H51" s="1594"/>
      <c r="I51" s="1594"/>
      <c r="J51" s="1581"/>
      <c r="K51" s="13"/>
      <c r="L51" s="1581"/>
      <c r="M51" s="13"/>
      <c r="N51" s="1594"/>
      <c r="O51" s="1587"/>
      <c r="P51" s="1581"/>
      <c r="Q51" s="13"/>
      <c r="R51" s="1634"/>
      <c r="S51" s="1646"/>
      <c r="T51" s="1594"/>
      <c r="U51" s="1594"/>
      <c r="V51" s="1591"/>
      <c r="W51" s="1647"/>
      <c r="X51" s="1603"/>
      <c r="Y51" s="1604"/>
      <c r="Z51" s="1589"/>
      <c r="AA51" s="1590"/>
      <c r="AB51" s="1572"/>
      <c r="AC51" s="1572"/>
      <c r="AD51" s="1571"/>
      <c r="AE51" s="1571"/>
      <c r="AF51" s="1573"/>
      <c r="AG51" s="1573"/>
      <c r="AH51" s="1573"/>
    </row>
    <row r="52" ht="55.5" customHeight="1">
      <c r="A52" s="30"/>
      <c r="B52" s="1633"/>
      <c r="C52" s="1576"/>
      <c r="D52" s="1576"/>
      <c r="E52" s="1581"/>
      <c r="F52" s="13"/>
      <c r="G52" s="1594"/>
      <c r="H52" s="1594"/>
      <c r="I52" s="1594"/>
      <c r="J52" s="1581"/>
      <c r="K52" s="13"/>
      <c r="L52" s="1581"/>
      <c r="M52" s="13"/>
      <c r="N52" s="1641"/>
      <c r="O52" s="1594"/>
      <c r="P52" s="1587"/>
      <c r="Q52" s="1634"/>
      <c r="R52" s="1648"/>
      <c r="S52" s="1594"/>
      <c r="T52" s="1594"/>
      <c r="U52" s="1594"/>
      <c r="V52" s="1591"/>
      <c r="W52" s="1568"/>
      <c r="X52" s="1585"/>
      <c r="Y52" s="1585"/>
      <c r="Z52" s="1589"/>
      <c r="AA52" s="1590"/>
      <c r="AB52" s="1572"/>
      <c r="AC52" s="1571"/>
      <c r="AD52" s="1571"/>
      <c r="AE52" s="1571"/>
      <c r="AF52" s="1573"/>
      <c r="AG52" s="1573"/>
      <c r="AH52" s="1573"/>
    </row>
    <row r="53" ht="51.75" customHeight="1">
      <c r="A53" s="30"/>
      <c r="B53" s="1633"/>
      <c r="C53" s="1576"/>
      <c r="D53" s="1576"/>
      <c r="E53" s="1594"/>
      <c r="F53" s="1594"/>
      <c r="G53" s="1594"/>
      <c r="H53" s="1581"/>
      <c r="I53" s="13"/>
      <c r="J53" s="1581"/>
      <c r="K53" s="13"/>
      <c r="L53" s="1581"/>
      <c r="M53" s="13"/>
      <c r="N53" s="1649"/>
      <c r="O53" s="1594"/>
      <c r="P53" s="1587"/>
      <c r="Q53" s="1634"/>
      <c r="R53" s="1650"/>
      <c r="S53" s="1594"/>
      <c r="T53" s="1608"/>
      <c r="U53" s="1608"/>
      <c r="V53" s="1651"/>
      <c r="W53" s="1568"/>
      <c r="X53" s="1585"/>
      <c r="Y53" s="1585"/>
      <c r="Z53" s="1610"/>
      <c r="AA53" s="1571"/>
      <c r="AB53" s="1572"/>
      <c r="AC53" s="1571"/>
      <c r="AD53" s="1571"/>
      <c r="AE53" s="1571"/>
      <c r="AF53" s="1573"/>
      <c r="AG53" s="1573"/>
      <c r="AH53" s="1573"/>
    </row>
    <row r="54" ht="71.25" customHeight="1">
      <c r="A54" s="30"/>
      <c r="B54" s="1633"/>
      <c r="C54" s="1611"/>
      <c r="D54" s="1594"/>
      <c r="E54" s="1652"/>
      <c r="F54" s="8"/>
      <c r="G54" s="8"/>
      <c r="H54" s="8"/>
      <c r="I54" s="8"/>
      <c r="J54" s="8"/>
      <c r="K54" s="8"/>
      <c r="L54" s="8"/>
      <c r="M54" s="8"/>
      <c r="N54" s="1581"/>
      <c r="O54" s="13"/>
      <c r="P54" s="1652"/>
      <c r="Q54" s="8"/>
      <c r="R54" s="8"/>
      <c r="S54" s="8"/>
      <c r="T54" s="8"/>
      <c r="U54" s="8"/>
      <c r="V54" s="8"/>
      <c r="W54" s="1653"/>
      <c r="X54" s="1612"/>
      <c r="Y54" s="1613"/>
      <c r="Z54" s="1570"/>
      <c r="AA54" s="1571"/>
      <c r="AB54" s="1572"/>
      <c r="AC54" s="1571"/>
      <c r="AD54" s="1571"/>
      <c r="AE54" s="1571"/>
      <c r="AF54" s="1573"/>
      <c r="AG54" s="1573"/>
      <c r="AH54" s="1573"/>
    </row>
    <row r="55" ht="40.5" customHeight="1">
      <c r="A55" s="30"/>
      <c r="B55" s="1633"/>
      <c r="C55" s="1594"/>
      <c r="D55" s="1594"/>
      <c r="E55" s="104"/>
      <c r="F55" s="64"/>
      <c r="G55" s="64"/>
      <c r="H55" s="64"/>
      <c r="I55" s="64"/>
      <c r="J55" s="64"/>
      <c r="K55" s="64"/>
      <c r="L55" s="64"/>
      <c r="M55" s="64"/>
      <c r="N55" s="1654"/>
      <c r="O55" s="1655"/>
      <c r="P55" s="104"/>
      <c r="Q55" s="64"/>
      <c r="R55" s="64"/>
      <c r="S55" s="64"/>
      <c r="T55" s="64"/>
      <c r="U55" s="64"/>
      <c r="V55" s="64"/>
      <c r="W55" s="1656"/>
      <c r="X55" s="1613"/>
      <c r="Y55" s="1613"/>
      <c r="Z55" s="1570"/>
      <c r="AA55" s="1571"/>
      <c r="AB55" s="1572"/>
      <c r="AC55" s="1571"/>
      <c r="AD55" s="1571"/>
      <c r="AE55" s="1571"/>
      <c r="AF55" s="1573"/>
      <c r="AG55" s="1573"/>
      <c r="AH55" s="1573"/>
    </row>
    <row r="56" ht="40.5" customHeight="1">
      <c r="A56" s="74"/>
      <c r="B56" s="1643"/>
      <c r="C56" s="1622"/>
      <c r="D56" s="1622"/>
      <c r="E56" s="1644"/>
      <c r="F56" s="1644"/>
      <c r="G56" s="1644"/>
      <c r="H56" s="1644"/>
      <c r="I56" s="1644"/>
      <c r="J56" s="1644"/>
      <c r="K56" s="1644"/>
      <c r="L56" s="1644"/>
      <c r="M56" s="1644"/>
      <c r="N56" s="1644"/>
      <c r="O56" s="1644"/>
      <c r="P56" s="1644"/>
      <c r="Q56" s="1644"/>
      <c r="R56" s="1644"/>
      <c r="S56" s="1644"/>
      <c r="T56" s="1644"/>
      <c r="U56" s="1644"/>
      <c r="V56" s="1627"/>
      <c r="W56" s="1568"/>
      <c r="X56" s="1628"/>
      <c r="Y56" s="1628"/>
      <c r="Z56" s="1570"/>
      <c r="AA56" s="1571"/>
      <c r="AB56" s="1572"/>
      <c r="AC56" s="1571"/>
      <c r="AD56" s="1571"/>
      <c r="AE56" s="1571"/>
      <c r="AF56" s="1573"/>
      <c r="AG56" s="1573"/>
      <c r="AH56" s="1573"/>
    </row>
    <row r="57" ht="40.5" customHeight="1">
      <c r="A57" s="1657"/>
      <c r="B57" s="1658"/>
      <c r="C57" s="1659"/>
      <c r="D57" s="72"/>
      <c r="E57" s="1660"/>
      <c r="F57" s="1660"/>
      <c r="G57" s="1661"/>
      <c r="H57" s="64"/>
      <c r="I57" s="72"/>
      <c r="J57" s="1662"/>
      <c r="K57" s="64"/>
      <c r="L57" s="64"/>
      <c r="M57" s="72"/>
      <c r="N57" s="1660"/>
      <c r="O57" s="1660"/>
      <c r="P57" s="1652"/>
      <c r="Q57" s="8"/>
      <c r="R57" s="8"/>
      <c r="S57" s="4"/>
      <c r="T57" s="1660"/>
      <c r="U57" s="1660"/>
      <c r="V57" s="1660"/>
      <c r="W57" s="1572"/>
      <c r="X57" s="1663"/>
      <c r="Y57" s="13"/>
      <c r="Z57" s="1570"/>
      <c r="AA57" s="1571"/>
      <c r="AB57" s="1572"/>
      <c r="AC57" s="1571"/>
      <c r="AD57" s="1571"/>
      <c r="AE57" s="1571"/>
      <c r="AF57" s="1573"/>
      <c r="AG57" s="1573"/>
      <c r="AH57" s="1573"/>
    </row>
    <row r="58" ht="40.5" customHeight="1">
      <c r="A58" s="30"/>
      <c r="B58" s="1633"/>
      <c r="C58" s="1590"/>
      <c r="D58" s="1590"/>
      <c r="E58" s="1572"/>
      <c r="F58" s="1572"/>
      <c r="G58" s="1572"/>
      <c r="H58" s="1572"/>
      <c r="I58" s="1572"/>
      <c r="J58" s="1572"/>
      <c r="K58" s="1572"/>
      <c r="L58" s="1572"/>
      <c r="M58" s="1572"/>
      <c r="N58" s="1572"/>
      <c r="O58" s="1572"/>
      <c r="P58" s="104"/>
      <c r="Q58" s="64"/>
      <c r="R58" s="64"/>
      <c r="S58" s="72"/>
      <c r="T58" s="1572"/>
      <c r="U58" s="1572"/>
      <c r="V58" s="1572"/>
      <c r="W58" s="1572"/>
      <c r="X58" s="1590"/>
      <c r="Y58" s="1590"/>
      <c r="Z58" s="1664"/>
      <c r="AA58" s="1571"/>
      <c r="AB58" s="1572"/>
      <c r="AC58" s="1571"/>
      <c r="AD58" s="1571"/>
      <c r="AE58" s="1571"/>
      <c r="AF58" s="1573"/>
      <c r="AG58" s="1573"/>
      <c r="AH58" s="1573"/>
    </row>
    <row r="59" ht="40.5" customHeight="1">
      <c r="A59" s="30"/>
      <c r="B59" s="1633"/>
      <c r="C59" s="1590"/>
      <c r="D59" s="1590"/>
      <c r="E59" s="1572"/>
      <c r="F59" s="1572"/>
      <c r="G59" s="1572"/>
      <c r="H59" s="1572"/>
      <c r="I59" s="1572"/>
      <c r="J59" s="1594"/>
      <c r="K59" s="1594"/>
      <c r="L59" s="1594"/>
      <c r="M59" s="1594"/>
      <c r="N59" s="1572"/>
      <c r="O59" s="1572"/>
      <c r="P59" s="1665"/>
      <c r="Q59" s="1665"/>
      <c r="R59" s="1665"/>
      <c r="S59" s="1665"/>
      <c r="T59" s="1572"/>
      <c r="U59" s="1572"/>
      <c r="V59" s="1572"/>
      <c r="W59" s="1572"/>
      <c r="X59" s="1590"/>
      <c r="Y59" s="1590"/>
      <c r="Z59" s="1664"/>
      <c r="AA59" s="1590"/>
      <c r="AB59" s="1572"/>
      <c r="AC59" s="1571"/>
      <c r="AD59" s="1571"/>
      <c r="AE59" s="1571"/>
      <c r="AF59" s="1573"/>
      <c r="AG59" s="1573"/>
      <c r="AH59" s="1573"/>
    </row>
    <row r="60" ht="40.5" customHeight="1">
      <c r="A60" s="30"/>
      <c r="B60" s="1633"/>
      <c r="C60" s="1590"/>
      <c r="D60" s="1590"/>
      <c r="E60" s="1572"/>
      <c r="F60" s="1572"/>
      <c r="G60" s="1572"/>
      <c r="H60" s="1572"/>
      <c r="I60" s="1572"/>
      <c r="J60" s="1594"/>
      <c r="K60" s="1594"/>
      <c r="L60" s="1594"/>
      <c r="M60" s="1594"/>
      <c r="N60" s="1572"/>
      <c r="O60" s="1572"/>
      <c r="P60" s="1665"/>
      <c r="Q60" s="1665"/>
      <c r="R60" s="1665"/>
      <c r="S60" s="1665"/>
      <c r="T60" s="1572"/>
      <c r="U60" s="1572"/>
      <c r="V60" s="1572"/>
      <c r="W60" s="1572"/>
      <c r="X60" s="1590"/>
      <c r="Y60" s="1590"/>
      <c r="Z60" s="1664"/>
      <c r="AA60" s="1590"/>
      <c r="AB60" s="1572"/>
      <c r="AC60" s="1571"/>
      <c r="AD60" s="1571"/>
      <c r="AE60" s="1571"/>
      <c r="AF60" s="1573"/>
      <c r="AG60" s="1573"/>
      <c r="AH60" s="1573"/>
    </row>
    <row r="61" ht="40.5" customHeight="1">
      <c r="A61" s="30"/>
      <c r="B61" s="1633"/>
      <c r="C61" s="1590"/>
      <c r="D61" s="1590"/>
      <c r="E61" s="1572"/>
      <c r="F61" s="1572"/>
      <c r="G61" s="1572"/>
      <c r="H61" s="1572"/>
      <c r="I61" s="1572"/>
      <c r="J61" s="1594"/>
      <c r="K61" s="1594"/>
      <c r="L61" s="1594"/>
      <c r="M61" s="1594"/>
      <c r="N61" s="1572"/>
      <c r="O61" s="1572"/>
      <c r="P61" s="1572"/>
      <c r="Q61" s="1572"/>
      <c r="R61" s="1572"/>
      <c r="S61" s="1572"/>
      <c r="T61" s="1572"/>
      <c r="U61" s="1572"/>
      <c r="V61" s="1572"/>
      <c r="W61" s="1572"/>
      <c r="X61" s="1590"/>
      <c r="Y61" s="1590"/>
      <c r="Z61" s="1664"/>
      <c r="AA61" s="1590"/>
      <c r="AB61" s="1572"/>
      <c r="AC61" s="1571"/>
      <c r="AD61" s="1571"/>
      <c r="AE61" s="1571"/>
      <c r="AF61" s="1573"/>
      <c r="AG61" s="1573"/>
      <c r="AH61" s="1573"/>
    </row>
    <row r="62" ht="40.5" customHeight="1">
      <c r="A62" s="30"/>
      <c r="B62" s="1633"/>
      <c r="C62" s="1590"/>
      <c r="D62" s="1590"/>
      <c r="E62" s="1572"/>
      <c r="F62" s="1572"/>
      <c r="G62" s="1572"/>
      <c r="H62" s="1572"/>
      <c r="I62" s="1572"/>
      <c r="J62" s="1594"/>
      <c r="K62" s="1594"/>
      <c r="L62" s="1594"/>
      <c r="M62" s="1594"/>
      <c r="N62" s="1572"/>
      <c r="O62" s="1572"/>
      <c r="P62" s="1572"/>
      <c r="Q62" s="1572"/>
      <c r="R62" s="1572"/>
      <c r="S62" s="1572"/>
      <c r="T62" s="1572"/>
      <c r="U62" s="1572"/>
      <c r="V62" s="1572"/>
      <c r="W62" s="1572"/>
      <c r="X62" s="1590"/>
      <c r="Y62" s="1590"/>
      <c r="Z62" s="1664"/>
      <c r="AA62" s="1590"/>
      <c r="AB62" s="1572"/>
      <c r="AC62" s="1571"/>
      <c r="AD62" s="1571"/>
      <c r="AE62" s="1571"/>
      <c r="AF62" s="1573"/>
      <c r="AG62" s="1573"/>
      <c r="AH62" s="1573"/>
    </row>
    <row r="63" ht="40.5" customHeight="1">
      <c r="A63" s="30"/>
      <c r="B63" s="1633"/>
      <c r="C63" s="1590"/>
      <c r="D63" s="1590"/>
      <c r="E63" s="1572"/>
      <c r="F63" s="1572"/>
      <c r="G63" s="1572"/>
      <c r="H63" s="1572"/>
      <c r="I63" s="1572"/>
      <c r="J63" s="1594"/>
      <c r="K63" s="1594"/>
      <c r="L63" s="1594"/>
      <c r="M63" s="1594"/>
      <c r="N63" s="1572"/>
      <c r="O63" s="1572"/>
      <c r="P63" s="1572"/>
      <c r="Q63" s="1572"/>
      <c r="R63" s="1572"/>
      <c r="S63" s="1572"/>
      <c r="T63" s="1572"/>
      <c r="U63" s="1572"/>
      <c r="V63" s="1572"/>
      <c r="W63" s="1572"/>
      <c r="X63" s="1590"/>
      <c r="Y63" s="1590"/>
      <c r="Z63" s="1664"/>
      <c r="AA63" s="1590"/>
      <c r="AB63" s="1571"/>
      <c r="AC63" s="1571"/>
      <c r="AD63" s="1571"/>
      <c r="AE63" s="1571"/>
      <c r="AF63" s="1573"/>
      <c r="AG63" s="1573"/>
      <c r="AH63" s="1573"/>
    </row>
    <row r="64" ht="40.5" customHeight="1">
      <c r="A64" s="30"/>
      <c r="B64" s="1633"/>
      <c r="C64" s="1590"/>
      <c r="D64" s="1590"/>
      <c r="E64" s="1572"/>
      <c r="F64" s="1572"/>
      <c r="G64" s="1572"/>
      <c r="H64" s="1572"/>
      <c r="I64" s="1572"/>
      <c r="J64" s="1594"/>
      <c r="K64" s="1594"/>
      <c r="L64" s="1594"/>
      <c r="M64" s="1594"/>
      <c r="N64" s="1572"/>
      <c r="O64" s="1572"/>
      <c r="P64" s="1572"/>
      <c r="Q64" s="1572"/>
      <c r="R64" s="1572"/>
      <c r="S64" s="1572"/>
      <c r="T64" s="1572"/>
      <c r="U64" s="1572"/>
      <c r="V64" s="1572"/>
      <c r="W64" s="1572"/>
      <c r="X64" s="1590"/>
      <c r="Y64" s="1590"/>
      <c r="Z64" s="1664"/>
      <c r="AA64" s="1590"/>
      <c r="AB64" s="1571"/>
      <c r="AC64" s="1571"/>
      <c r="AD64" s="1571"/>
      <c r="AE64" s="1571"/>
      <c r="AF64" s="1573"/>
      <c r="AG64" s="1573"/>
      <c r="AH64" s="1573"/>
    </row>
    <row r="65" ht="40.5" customHeight="1">
      <c r="A65" s="74"/>
      <c r="B65" s="1633"/>
      <c r="C65" s="1590"/>
      <c r="D65" s="1590"/>
      <c r="E65" s="1572"/>
      <c r="F65" s="1572"/>
      <c r="G65" s="1572"/>
      <c r="H65" s="1572"/>
      <c r="I65" s="1572"/>
      <c r="J65" s="1594"/>
      <c r="K65" s="1594"/>
      <c r="L65" s="1594"/>
      <c r="M65" s="1594"/>
      <c r="N65" s="1572"/>
      <c r="O65" s="1572"/>
      <c r="P65" s="1572"/>
      <c r="Q65" s="1572"/>
      <c r="R65" s="1572"/>
      <c r="S65" s="1572"/>
      <c r="T65" s="1572"/>
      <c r="U65" s="1572"/>
      <c r="V65" s="1572"/>
      <c r="W65" s="1572"/>
      <c r="X65" s="1590"/>
      <c r="Y65" s="1590"/>
      <c r="Z65" s="1664"/>
      <c r="AA65" s="1571"/>
      <c r="AB65" s="1572"/>
      <c r="AC65" s="1571"/>
      <c r="AD65" s="1571"/>
      <c r="AE65" s="1571"/>
      <c r="AF65" s="1573"/>
      <c r="AG65" s="1573"/>
      <c r="AH65" s="1573"/>
    </row>
    <row r="66" ht="40.5" customHeight="1">
      <c r="A66" s="1666"/>
      <c r="B66" s="1667"/>
      <c r="C66" s="1590"/>
      <c r="D66" s="1590"/>
      <c r="E66" s="1572"/>
      <c r="F66" s="1572"/>
      <c r="G66" s="1572"/>
      <c r="H66" s="1572"/>
      <c r="I66" s="1572"/>
      <c r="J66" s="1572"/>
      <c r="K66" s="1581"/>
      <c r="L66" s="13"/>
      <c r="M66" s="1572"/>
      <c r="N66" s="1572"/>
      <c r="O66" s="1572"/>
      <c r="P66" s="1572"/>
      <c r="Q66" s="1572"/>
      <c r="R66" s="1572"/>
      <c r="S66" s="1572"/>
      <c r="T66" s="1572"/>
      <c r="U66" s="1572"/>
      <c r="V66" s="1572"/>
      <c r="W66" s="1572"/>
      <c r="X66" s="1590"/>
      <c r="Y66" s="1590"/>
      <c r="Z66" s="1664"/>
      <c r="AA66" s="1571"/>
      <c r="AB66" s="1571"/>
      <c r="AC66" s="1571"/>
      <c r="AD66" s="1571"/>
      <c r="AE66" s="1571"/>
      <c r="AF66" s="1573"/>
      <c r="AG66" s="1573"/>
      <c r="AH66" s="1573"/>
    </row>
    <row r="67" ht="40.5" customHeight="1">
      <c r="A67" s="1666"/>
      <c r="B67" s="1667"/>
      <c r="C67" s="1571"/>
      <c r="D67" s="1572"/>
      <c r="E67" s="1572"/>
      <c r="F67" s="1572"/>
      <c r="G67" s="1572"/>
      <c r="H67" s="1572"/>
      <c r="I67" s="1572"/>
      <c r="J67" s="1572"/>
      <c r="K67" s="1581"/>
      <c r="L67" s="13"/>
      <c r="M67" s="1572"/>
      <c r="N67" s="1572"/>
      <c r="O67" s="1572"/>
      <c r="P67" s="1572"/>
      <c r="Q67" s="1572"/>
      <c r="R67" s="1572"/>
      <c r="S67" s="1572"/>
      <c r="T67" s="1572"/>
      <c r="U67" s="1572"/>
      <c r="V67" s="1572"/>
      <c r="W67" s="1572"/>
      <c r="X67" s="1571"/>
      <c r="Y67" s="1572"/>
      <c r="Z67" s="1664"/>
      <c r="AA67" s="1571"/>
      <c r="AB67" s="1571"/>
      <c r="AC67" s="1571"/>
      <c r="AD67" s="1571"/>
      <c r="AE67" s="1571"/>
      <c r="AF67" s="1573"/>
      <c r="AG67" s="1573"/>
      <c r="AH67" s="1573"/>
    </row>
    <row r="68" ht="40.5" customHeight="1">
      <c r="A68" s="1666"/>
      <c r="B68" s="1667"/>
      <c r="C68" s="1571"/>
      <c r="D68" s="1571"/>
      <c r="E68" s="1572"/>
      <c r="F68" s="1572"/>
      <c r="G68" s="1572"/>
      <c r="H68" s="1572"/>
      <c r="I68" s="1572"/>
      <c r="J68" s="1572"/>
      <c r="K68" s="1581"/>
      <c r="L68" s="13"/>
      <c r="M68" s="1572"/>
      <c r="N68" s="1572"/>
      <c r="O68" s="1572"/>
      <c r="P68" s="1572"/>
      <c r="Q68" s="1572"/>
      <c r="R68" s="1572"/>
      <c r="S68" s="1572"/>
      <c r="T68" s="1572"/>
      <c r="U68" s="1572"/>
      <c r="V68" s="1572"/>
      <c r="W68" s="1572"/>
      <c r="X68" s="1571"/>
      <c r="Y68" s="1571"/>
      <c r="Z68" s="1664"/>
      <c r="AA68" s="1571"/>
      <c r="AB68" s="1571"/>
      <c r="AC68" s="1571"/>
      <c r="AD68" s="1571"/>
      <c r="AE68" s="1571"/>
      <c r="AF68" s="1573"/>
      <c r="AG68" s="1573"/>
      <c r="AH68" s="1573"/>
    </row>
    <row r="69" ht="40.5" customHeight="1">
      <c r="A69" s="1666"/>
      <c r="B69" s="1667"/>
      <c r="C69" s="1572"/>
      <c r="D69" s="1571"/>
      <c r="E69" s="1572"/>
      <c r="F69" s="1572"/>
      <c r="G69" s="1572"/>
      <c r="H69" s="1572"/>
      <c r="I69" s="1572"/>
      <c r="J69" s="1572"/>
      <c r="K69" s="1572"/>
      <c r="L69" s="1572"/>
      <c r="M69" s="1572"/>
      <c r="N69" s="1572"/>
      <c r="O69" s="1572"/>
      <c r="P69" s="1572"/>
      <c r="Q69" s="1572"/>
      <c r="R69" s="1572"/>
      <c r="S69" s="1572"/>
      <c r="T69" s="1572"/>
      <c r="U69" s="1572"/>
      <c r="V69" s="1572"/>
      <c r="W69" s="1572"/>
      <c r="X69" s="1572"/>
      <c r="Y69" s="1571"/>
      <c r="Z69" s="1570"/>
      <c r="AA69" s="1571"/>
      <c r="AB69" s="1571"/>
      <c r="AC69" s="1571"/>
      <c r="AD69" s="1571"/>
      <c r="AE69" s="1571"/>
      <c r="AF69" s="1573"/>
      <c r="AG69" s="1573"/>
      <c r="AH69" s="1573"/>
    </row>
    <row r="70" ht="40.5" customHeight="1">
      <c r="A70" s="1666"/>
      <c r="B70" s="1667"/>
      <c r="C70" s="1572"/>
      <c r="D70" s="1571"/>
      <c r="E70" s="1572"/>
      <c r="F70" s="1572"/>
      <c r="G70" s="1572"/>
      <c r="H70" s="1572"/>
      <c r="I70" s="1572"/>
      <c r="J70" s="1572"/>
      <c r="K70" s="1572"/>
      <c r="L70" s="1572"/>
      <c r="M70" s="1572"/>
      <c r="N70" s="1572"/>
      <c r="O70" s="1572"/>
      <c r="P70" s="1572"/>
      <c r="Q70" s="1572"/>
      <c r="R70" s="1572"/>
      <c r="S70" s="1572"/>
      <c r="T70" s="1572"/>
      <c r="U70" s="1572"/>
      <c r="V70" s="1572"/>
      <c r="W70" s="1572"/>
      <c r="X70" s="1572"/>
      <c r="Y70" s="1571"/>
      <c r="Z70" s="1570"/>
      <c r="AA70" s="1571"/>
      <c r="AB70" s="1571"/>
      <c r="AC70" s="1571"/>
      <c r="AD70" s="1571"/>
      <c r="AE70" s="1571"/>
      <c r="AF70" s="1573"/>
      <c r="AG70" s="1573"/>
      <c r="AH70" s="1573"/>
    </row>
    <row r="71" ht="40.5" customHeight="1">
      <c r="A71" s="1666"/>
      <c r="B71" s="1667"/>
      <c r="C71" s="1571"/>
      <c r="D71" s="1571"/>
      <c r="E71" s="1572"/>
      <c r="F71" s="1572"/>
      <c r="G71" s="1572"/>
      <c r="H71" s="1572"/>
      <c r="I71" s="1572"/>
      <c r="J71" s="1572"/>
      <c r="K71" s="1572"/>
      <c r="L71" s="1572"/>
      <c r="M71" s="1572"/>
      <c r="N71" s="1572"/>
      <c r="O71" s="1572"/>
      <c r="P71" s="1572"/>
      <c r="Q71" s="1572"/>
      <c r="R71" s="1572"/>
      <c r="S71" s="1572"/>
      <c r="T71" s="1572"/>
      <c r="U71" s="1572"/>
      <c r="V71" s="1572"/>
      <c r="W71" s="1572"/>
      <c r="X71" s="1571"/>
      <c r="Y71" s="1571"/>
      <c r="Z71" s="1570"/>
      <c r="AA71" s="1571"/>
      <c r="AB71" s="1571"/>
      <c r="AC71" s="1571"/>
      <c r="AD71" s="1571"/>
      <c r="AE71" s="1571"/>
      <c r="AF71" s="1573"/>
      <c r="AG71" s="1573"/>
      <c r="AH71" s="1573"/>
    </row>
    <row r="72" ht="40.5" customHeight="1">
      <c r="A72" s="1666"/>
      <c r="B72" s="1667"/>
      <c r="C72" s="1571"/>
      <c r="D72" s="1571"/>
      <c r="E72" s="1572"/>
      <c r="F72" s="1572"/>
      <c r="G72" s="1572"/>
      <c r="H72" s="1572"/>
      <c r="I72" s="1572"/>
      <c r="J72" s="1572"/>
      <c r="K72" s="1572"/>
      <c r="L72" s="1572"/>
      <c r="M72" s="1572"/>
      <c r="N72" s="1572"/>
      <c r="O72" s="1572"/>
      <c r="P72" s="1572"/>
      <c r="Q72" s="1572"/>
      <c r="R72" s="1572"/>
      <c r="S72" s="1572"/>
      <c r="T72" s="1572"/>
      <c r="U72" s="1572"/>
      <c r="V72" s="1572"/>
      <c r="W72" s="1572"/>
      <c r="X72" s="1571"/>
      <c r="Y72" s="1571"/>
      <c r="Z72" s="1570"/>
      <c r="AA72" s="1571"/>
      <c r="AB72" s="1571"/>
      <c r="AC72" s="1571"/>
      <c r="AD72" s="1571"/>
      <c r="AE72" s="1571"/>
      <c r="AF72" s="1573"/>
      <c r="AG72" s="1573"/>
      <c r="AH72" s="1573"/>
    </row>
    <row r="73" ht="40.5" customHeight="1">
      <c r="A73" s="1666"/>
      <c r="B73" s="1667"/>
      <c r="C73" s="1571"/>
      <c r="D73" s="1571"/>
      <c r="E73" s="1572"/>
      <c r="F73" s="1572"/>
      <c r="G73" s="1572"/>
      <c r="H73" s="1572"/>
      <c r="I73" s="1572"/>
      <c r="J73" s="1572"/>
      <c r="K73" s="1572"/>
      <c r="L73" s="1572"/>
      <c r="M73" s="1572"/>
      <c r="N73" s="1572"/>
      <c r="O73" s="1572"/>
      <c r="P73" s="1572"/>
      <c r="Q73" s="1572"/>
      <c r="R73" s="1572"/>
      <c r="S73" s="1572"/>
      <c r="T73" s="1572"/>
      <c r="U73" s="1572"/>
      <c r="V73" s="1572"/>
      <c r="W73" s="1572"/>
      <c r="X73" s="1571"/>
      <c r="Y73" s="1571"/>
      <c r="Z73" s="1570"/>
      <c r="AA73" s="1571"/>
      <c r="AB73" s="1571"/>
      <c r="AC73" s="1571"/>
      <c r="AD73" s="1571"/>
      <c r="AE73" s="1571"/>
      <c r="AF73" s="1573"/>
      <c r="AG73" s="1573"/>
      <c r="AH73" s="1573"/>
    </row>
    <row r="74" ht="40.5" customHeight="1">
      <c r="A74" s="1666"/>
      <c r="B74" s="1667"/>
      <c r="C74" s="1571"/>
      <c r="D74" s="1571"/>
      <c r="E74" s="1572"/>
      <c r="F74" s="1572"/>
      <c r="G74" s="1572"/>
      <c r="H74" s="1572"/>
      <c r="I74" s="1572"/>
      <c r="J74" s="1572"/>
      <c r="K74" s="1572"/>
      <c r="L74" s="1572"/>
      <c r="M74" s="1572"/>
      <c r="N74" s="1572"/>
      <c r="O74" s="1572"/>
      <c r="P74" s="1572"/>
      <c r="Q74" s="1572"/>
      <c r="R74" s="1572"/>
      <c r="S74" s="1572"/>
      <c r="T74" s="1572"/>
      <c r="U74" s="1572"/>
      <c r="V74" s="1572"/>
      <c r="W74" s="1572"/>
      <c r="X74" s="1571"/>
      <c r="Y74" s="1571"/>
      <c r="Z74" s="1570"/>
      <c r="AA74" s="1571"/>
      <c r="AB74" s="1571"/>
      <c r="AC74" s="1571"/>
      <c r="AD74" s="1571"/>
      <c r="AE74" s="1571"/>
      <c r="AF74" s="1573"/>
      <c r="AG74" s="1573"/>
      <c r="AH74" s="1573"/>
    </row>
    <row r="75" ht="40.5" customHeight="1">
      <c r="A75" s="1666"/>
      <c r="B75" s="1667"/>
      <c r="C75" s="1571"/>
      <c r="D75" s="1571"/>
      <c r="E75" s="1572"/>
      <c r="F75" s="1572"/>
      <c r="G75" s="1572"/>
      <c r="H75" s="1572"/>
      <c r="I75" s="1572"/>
      <c r="J75" s="1572"/>
      <c r="K75" s="1572"/>
      <c r="L75" s="1572"/>
      <c r="M75" s="1572"/>
      <c r="N75" s="1572"/>
      <c r="O75" s="1572"/>
      <c r="P75" s="1572"/>
      <c r="Q75" s="1572"/>
      <c r="R75" s="1572"/>
      <c r="S75" s="1572"/>
      <c r="T75" s="1572"/>
      <c r="U75" s="1572"/>
      <c r="V75" s="1572"/>
      <c r="W75" s="1572"/>
      <c r="X75" s="1571"/>
      <c r="Y75" s="1571"/>
      <c r="Z75" s="1570"/>
      <c r="AA75" s="1571"/>
      <c r="AB75" s="1571"/>
      <c r="AC75" s="1571"/>
      <c r="AD75" s="1571"/>
      <c r="AE75" s="1571"/>
      <c r="AF75" s="1573"/>
      <c r="AG75" s="1573"/>
      <c r="AH75" s="1573"/>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76">
    <mergeCell ref="J27:K27"/>
    <mergeCell ref="J28:K28"/>
    <mergeCell ref="G29:H29"/>
    <mergeCell ref="J29:K29"/>
    <mergeCell ref="G30:H30"/>
    <mergeCell ref="J30:K30"/>
    <mergeCell ref="G31:I32"/>
    <mergeCell ref="E31:F31"/>
    <mergeCell ref="E32:F32"/>
    <mergeCell ref="E33:F33"/>
    <mergeCell ref="G33:Q34"/>
    <mergeCell ref="E34:F34"/>
    <mergeCell ref="N35:O35"/>
    <mergeCell ref="N36:O36"/>
    <mergeCell ref="N16:O16"/>
    <mergeCell ref="P16:Q16"/>
    <mergeCell ref="T16:V16"/>
    <mergeCell ref="N17:O17"/>
    <mergeCell ref="T17:V17"/>
    <mergeCell ref="N18:O18"/>
    <mergeCell ref="T18:V18"/>
    <mergeCell ref="N19:O19"/>
    <mergeCell ref="P19:Q19"/>
    <mergeCell ref="T19:V19"/>
    <mergeCell ref="N20:O20"/>
    <mergeCell ref="P20:Q20"/>
    <mergeCell ref="T20:V20"/>
    <mergeCell ref="N21:O21"/>
    <mergeCell ref="T21:V21"/>
    <mergeCell ref="P21:Q21"/>
    <mergeCell ref="R21:S21"/>
    <mergeCell ref="N22:O22"/>
    <mergeCell ref="P22:S22"/>
    <mergeCell ref="T22:V22"/>
    <mergeCell ref="R23:V23"/>
    <mergeCell ref="E24:V24"/>
    <mergeCell ref="H25:I25"/>
    <mergeCell ref="J25:K25"/>
    <mergeCell ref="L25:M25"/>
    <mergeCell ref="N25:O25"/>
    <mergeCell ref="P25:Q25"/>
    <mergeCell ref="R25:S25"/>
    <mergeCell ref="T25:V25"/>
    <mergeCell ref="E25:F25"/>
    <mergeCell ref="E26:F26"/>
    <mergeCell ref="J26:K26"/>
    <mergeCell ref="L26:M26"/>
    <mergeCell ref="N26:O26"/>
    <mergeCell ref="R26:S26"/>
    <mergeCell ref="T26:V26"/>
    <mergeCell ref="G26:I26"/>
    <mergeCell ref="G27:H27"/>
    <mergeCell ref="L27:M27"/>
    <mergeCell ref="N27:O27"/>
    <mergeCell ref="P27:Q27"/>
    <mergeCell ref="T27:V27"/>
    <mergeCell ref="G28:H28"/>
    <mergeCell ref="T35:V35"/>
    <mergeCell ref="T36:V36"/>
    <mergeCell ref="H43:J43"/>
    <mergeCell ref="G46:H46"/>
    <mergeCell ref="J46:K46"/>
    <mergeCell ref="E20:F20"/>
    <mergeCell ref="H20:I20"/>
    <mergeCell ref="A35:A45"/>
    <mergeCell ref="E35:F35"/>
    <mergeCell ref="H35:I35"/>
    <mergeCell ref="J35:K35"/>
    <mergeCell ref="J37:K37"/>
    <mergeCell ref="E43:F44"/>
    <mergeCell ref="G43:G44"/>
    <mergeCell ref="K43:L44"/>
    <mergeCell ref="H44:J44"/>
    <mergeCell ref="I46:I47"/>
    <mergeCell ref="L46:M46"/>
    <mergeCell ref="G47:H47"/>
    <mergeCell ref="J47:K47"/>
    <mergeCell ref="L47:M47"/>
    <mergeCell ref="G48:H49"/>
    <mergeCell ref="J50:K50"/>
    <mergeCell ref="L50:M50"/>
    <mergeCell ref="J51:K51"/>
    <mergeCell ref="L51:M51"/>
    <mergeCell ref="C57:D57"/>
    <mergeCell ref="G57:I57"/>
    <mergeCell ref="J57:M57"/>
    <mergeCell ref="J52:K52"/>
    <mergeCell ref="L52:M52"/>
    <mergeCell ref="H53:I53"/>
    <mergeCell ref="J53:K53"/>
    <mergeCell ref="L53:M53"/>
    <mergeCell ref="E54:M55"/>
    <mergeCell ref="N54:O54"/>
    <mergeCell ref="H38:I38"/>
    <mergeCell ref="J38:K38"/>
    <mergeCell ref="K66:L66"/>
    <mergeCell ref="K67:L67"/>
    <mergeCell ref="K68:L68"/>
    <mergeCell ref="E39:F39"/>
    <mergeCell ref="H39:I39"/>
    <mergeCell ref="E40:F40"/>
    <mergeCell ref="H40:I40"/>
    <mergeCell ref="E41:F41"/>
    <mergeCell ref="H41:I41"/>
    <mergeCell ref="E42:F42"/>
    <mergeCell ref="H42:I42"/>
    <mergeCell ref="A46:A56"/>
    <mergeCell ref="A57:A65"/>
    <mergeCell ref="E36:F36"/>
    <mergeCell ref="E38:F38"/>
    <mergeCell ref="E48:F48"/>
    <mergeCell ref="E49:F49"/>
    <mergeCell ref="E50:F50"/>
    <mergeCell ref="E51:F51"/>
    <mergeCell ref="E52:F52"/>
    <mergeCell ref="T1:V1"/>
    <mergeCell ref="X1:Y1"/>
    <mergeCell ref="T3:V6"/>
    <mergeCell ref="E1:F1"/>
    <mergeCell ref="E2:F2"/>
    <mergeCell ref="G2:I2"/>
    <mergeCell ref="J2:M2"/>
    <mergeCell ref="N2:O2"/>
    <mergeCell ref="P2:Q2"/>
    <mergeCell ref="T2:V2"/>
    <mergeCell ref="J3:K3"/>
    <mergeCell ref="L3:M3"/>
    <mergeCell ref="N3:O3"/>
    <mergeCell ref="P3:Q3"/>
    <mergeCell ref="J4:K4"/>
    <mergeCell ref="L4:M4"/>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P15:Q15"/>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P7:Q7"/>
    <mergeCell ref="R7:S7"/>
    <mergeCell ref="H8:I8"/>
    <mergeCell ref="J8:K8"/>
    <mergeCell ref="L8:M8"/>
    <mergeCell ref="N8:O8"/>
    <mergeCell ref="P8:Q8"/>
    <mergeCell ref="R8:S8"/>
    <mergeCell ref="H9:I9"/>
    <mergeCell ref="J9:K9"/>
    <mergeCell ref="L9:M9"/>
    <mergeCell ref="N9:O9"/>
    <mergeCell ref="E10:F10"/>
    <mergeCell ref="H10:I10"/>
    <mergeCell ref="S10:V10"/>
    <mergeCell ref="T11:V11"/>
    <mergeCell ref="U13:V13"/>
    <mergeCell ref="U14:V14"/>
    <mergeCell ref="T15:V15"/>
    <mergeCell ref="E19:F19"/>
    <mergeCell ref="H19:I19"/>
    <mergeCell ref="J19:K19"/>
    <mergeCell ref="L19:M19"/>
    <mergeCell ref="J20:K20"/>
    <mergeCell ref="L20:M20"/>
    <mergeCell ref="E21:F22"/>
    <mergeCell ref="H21:M21"/>
    <mergeCell ref="H22:M22"/>
    <mergeCell ref="J10:K10"/>
    <mergeCell ref="L10:M10"/>
    <mergeCell ref="A13:A23"/>
    <mergeCell ref="E13:F13"/>
    <mergeCell ref="J13:K13"/>
    <mergeCell ref="L13:M13"/>
    <mergeCell ref="E14:F14"/>
    <mergeCell ref="H36:I36"/>
    <mergeCell ref="J36:K36"/>
    <mergeCell ref="E37:F37"/>
    <mergeCell ref="H37:I37"/>
    <mergeCell ref="T48:V48"/>
    <mergeCell ref="T49:V49"/>
    <mergeCell ref="P46:Q46"/>
    <mergeCell ref="R46:S46"/>
    <mergeCell ref="T46:V46"/>
    <mergeCell ref="P47:Q47"/>
    <mergeCell ref="T47:V47"/>
    <mergeCell ref="N48:Q48"/>
    <mergeCell ref="N49:Q49"/>
    <mergeCell ref="L30:M30"/>
    <mergeCell ref="J31:M31"/>
    <mergeCell ref="J32:M32"/>
    <mergeCell ref="L28:M28"/>
    <mergeCell ref="N28:O28"/>
    <mergeCell ref="T28:V32"/>
    <mergeCell ref="L29:M29"/>
    <mergeCell ref="N29:O29"/>
    <mergeCell ref="R29:R30"/>
    <mergeCell ref="N30:O30"/>
    <mergeCell ref="T38:V38"/>
    <mergeCell ref="T39:V39"/>
    <mergeCell ref="T41:V41"/>
    <mergeCell ref="T42:V42"/>
    <mergeCell ref="L40:M40"/>
    <mergeCell ref="L41:M41"/>
    <mergeCell ref="N41:O41"/>
    <mergeCell ref="L42:M42"/>
    <mergeCell ref="N42:O42"/>
    <mergeCell ref="N43:O43"/>
    <mergeCell ref="N44:O44"/>
    <mergeCell ref="N31:O31"/>
    <mergeCell ref="N32:O32"/>
    <mergeCell ref="N37:Q37"/>
    <mergeCell ref="T37:V37"/>
    <mergeCell ref="N38:Q38"/>
    <mergeCell ref="L39:M39"/>
    <mergeCell ref="T40:V40"/>
    <mergeCell ref="P39:Q39"/>
    <mergeCell ref="P40:Q40"/>
    <mergeCell ref="P41:Q41"/>
    <mergeCell ref="P42:Q42"/>
    <mergeCell ref="R42:S42"/>
    <mergeCell ref="P43:P44"/>
    <mergeCell ref="Q43:V44"/>
    <mergeCell ref="P50:Q50"/>
    <mergeCell ref="T50:V50"/>
    <mergeCell ref="P51:Q51"/>
    <mergeCell ref="P54:V55"/>
    <mergeCell ref="P57:S58"/>
    <mergeCell ref="X57:Y57"/>
  </mergeCells>
  <conditionalFormatting sqref="E1:S86 T1:T4 U1:U31 T6:T86 V32:V34 U35:U86 V50:V52 W51">
    <cfRule type="containsText" dxfId="0" priority="1" operator="containsText" text="Физика">
      <formula>NOT(ISERROR(SEARCH(("Физика"),(E1))))</formula>
    </cfRule>
  </conditionalFormatting>
  <conditionalFormatting sqref="E54:W55">
    <cfRule type="containsText" dxfId="1" priority="2" operator="containsText" text="Шерашова">
      <formula>NOT(ISERROR(SEARCH(("Шерашова"),(E54))))</formula>
    </cfRule>
  </conditionalFormatting>
  <conditionalFormatting sqref="E2:S53 T2:T4 U2:U31 T6:T53 V32:V34 U35:U53 V50:V52 W51 P57 K61:L68">
    <cfRule type="containsText" dxfId="2" priority="3" operator="containsText" text="Шерашова">
      <formula>NOT(ISERROR(SEARCH(("Шерашова"),(E2))))</formula>
    </cfRule>
  </conditionalFormatting>
  <conditionalFormatting sqref="E2:S53 T2:T4 U2:U31 T6:T53 V32:V34 U35:U53 V50:V52 W51 P57 K61:L68">
    <cfRule type="containsText" dxfId="3" priority="4" operator="containsText" text="Англ">
      <formula>NOT(ISERROR(SEARCH(("Англ"),(E2))))</formula>
    </cfRule>
  </conditionalFormatting>
  <conditionalFormatting sqref="E2:S53 T2:T4 U2:U31 T6:T53 V32:V34 U35:U53 V50:V52 W51 P57 K61:L68">
    <cfRule type="containsText" dxfId="4" priority="5" operator="containsText" text="Театр">
      <formula>NOT(ISERROR(SEARCH(("Театр"),(E2))))</formula>
    </cfRule>
  </conditionalFormatting>
  <conditionalFormatting sqref="E2:S53 T2:T4 U2:U31 T6:T53 V32:V34 U35:U53 V50:V52 W51 P57 K61:L68">
    <cfRule type="containsText" dxfId="5" priority="6" operator="containsText" text="Колечкин">
      <formula>NOT(ISERROR(SEARCH(("Колечкин"),(E2))))</formula>
    </cfRule>
  </conditionalFormatting>
  <conditionalFormatting sqref="E2:G72 H2:H73 I2:S72 T2:T4 U2:W72 T6:T72">
    <cfRule type="containsText" dxfId="0" priority="7" operator="containsText" text="Репнев">
      <formula>NOT(ISERROR(SEARCH(("Репнев"),(E2))))</formula>
    </cfRule>
  </conditionalFormatting>
  <conditionalFormatting sqref="E2:G65 H2:H73 I2:J65 K2:L68 M2:S65 T2:T4 U2:W65 T6:T65">
    <cfRule type="containsText" dxfId="6" priority="8" operator="containsText" text="Рогацкина">
      <formula>NOT(ISERROR(SEARCH(("Рогацкина"),(E2))))</formula>
    </cfRule>
  </conditionalFormatting>
  <conditionalFormatting sqref="E2:G67 H2:H73 I2:J67 K2:L68 M2:S67 T2:T4 U2:W67 T6:T67">
    <cfRule type="containsText" dxfId="7" priority="9" operator="containsText" text="Белоусова">
      <formula>NOT(ISERROR(SEARCH(("Белоусова"),(E2))))</formula>
    </cfRule>
  </conditionalFormatting>
  <conditionalFormatting sqref="E2:G60 H2:H73 I2:J65 K2:L68 M2:M65 N2:S60 T2:T4 U2:W60 T6:T60">
    <cfRule type="containsText" dxfId="8" priority="10" operator="containsText" text="Караванова">
      <formula>NOT(ISERROR(SEARCH(("Караванова"),(E2))))</formula>
    </cfRule>
  </conditionalFormatting>
  <conditionalFormatting sqref="E2:G63 H2:H73 I2:J65 K2:L68 M2:M65 N2:S63 T2:T4 U2:W63 T6:T63">
    <cfRule type="containsText" dxfId="9" priority="11" operator="containsText" text="Дронзик">
      <formula>NOT(ISERROR(SEARCH(("Дронзик"),(E2))))</formula>
    </cfRule>
  </conditionalFormatting>
  <conditionalFormatting sqref="E2:G64 H2:H73 I2:J65 K2:L68 M2:M65 N2:S64 T2:T4 U2:W64 T6:T64">
    <cfRule type="containsText" dxfId="10" priority="12" operator="containsText" text="Старунова">
      <formula>NOT(ISERROR(SEARCH(("Старунова"),(E2))))</formula>
    </cfRule>
  </conditionalFormatting>
  <conditionalFormatting sqref="E2:G62 H2:H73 I2:J65 K2:L68 M2:M65 N2:S62 T2:T4 U2:W62 T6:T62">
    <cfRule type="containsText" dxfId="11" priority="13" operator="containsText" text="Харитонов">
      <formula>NOT(ISERROR(SEARCH(("Харитонов"),(E2))))</formula>
    </cfRule>
  </conditionalFormatting>
  <conditionalFormatting sqref="E2:G67 H2:H73 I2:J67 K2:L68 M2:S67 T2:T4 U2:W67 T6:T67">
    <cfRule type="containsText" dxfId="12" priority="14" operator="containsText" text="Хуснутдинов">
      <formula>NOT(ISERROR(SEARCH(("Хуснутдинов"),(E2))))</formula>
    </cfRule>
  </conditionalFormatting>
  <conditionalFormatting sqref="E2:G66 H2:H73 I2:J66 K2:L68 M2:S66 T2:T4 U2:W66 T6:T66">
    <cfRule type="containsText" dxfId="13" priority="15" operator="containsText" text="Решетников">
      <formula>NOT(ISERROR(SEARCH(("Решетников"),(E2))))</formula>
    </cfRule>
  </conditionalFormatting>
  <conditionalFormatting sqref="E2:G69 H2:H73 I2:S69 T2:T4 U2:W69 T6:T69">
    <cfRule type="containsText" dxfId="14" priority="16" operator="containsText" text="Заводов">
      <formula>NOT(ISERROR(SEARCH(("Заводов"),(E2))))</formula>
    </cfRule>
  </conditionalFormatting>
  <conditionalFormatting sqref="E1:G66 H1:H73 I1:J66 K1:L68 M1:S66 T1:T4 U1:W66 T6:T66">
    <cfRule type="containsText" dxfId="15" priority="17" operator="containsText" text="Абрамов">
      <formula>NOT(ISERROR(SEARCH(("Абрамов"),(E1))))</formula>
    </cfRule>
  </conditionalFormatting>
  <conditionalFormatting sqref="E2:G67 H2:H73 I2:J67 K2:L68 M2:S67 T2:T4 U2:W67 T6:T67">
    <cfRule type="containsText" dxfId="16" priority="18" operator="containsText" text="Климов">
      <formula>NOT(ISERROR(SEARCH(("Климов"),(E2))))</formula>
    </cfRule>
  </conditionalFormatting>
  <conditionalFormatting sqref="E2:G61 H2:H73 I2:J65 K2:L68 M2:M65 N2:S61 T2:T4 U2:W61 T6:T61">
    <cfRule type="containsText" dxfId="17" priority="19" operator="containsText" text="Клейменов">
      <formula>NOT(ISERROR(SEARCH(("Клейменов"),(E2))))</formula>
    </cfRule>
  </conditionalFormatting>
  <conditionalFormatting sqref="E2:G68 H2:H73 I2:S68 T2:T4 U2:W68 T6:T68">
    <cfRule type="containsText" dxfId="18" priority="20" operator="containsText" text="Попович">
      <formula>NOT(ISERROR(SEARCH(("Попович"),(E2))))</formula>
    </cfRule>
  </conditionalFormatting>
  <conditionalFormatting sqref="E2:G68 H2:H73 I2:S68 T2:T4 U2:W68 T6:T68">
    <cfRule type="containsText" dxfId="19" priority="21" operator="containsText" text="Исмаилов">
      <formula>NOT(ISERROR(SEARCH(("Исмаилов"),(E2))))</formula>
    </cfRule>
  </conditionalFormatting>
  <conditionalFormatting sqref="E2:E20 F2:F12 G2:I45 J2:K49 L2:Q45 R2:S6 T2:T4 U2:V8 T6:T8 S10:S32 T10:V45 R11:R46 F15:F17 F19:F20 E24:F30 E32:E53 F32:F45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S65 T2:T4 U2:W65 T6:T65">
    <cfRule type="containsText" dxfId="21" priority="23" operator="containsText" text="Краснова">
      <formula>NOT(ISERROR(SEARCH(("Краснова"),(E2))))</formula>
    </cfRule>
  </conditionalFormatting>
  <conditionalFormatting sqref="E2:G65 H2:H73 I2:J65 K2:L68 M2:S65 T2:T4 U2:W65 T6:T65">
    <cfRule type="containsText" dxfId="22" priority="24" operator="containsText" text="Белоус">
      <formula>NOT(ISERROR(SEARCH(("Белоус"),(E2))))</formula>
    </cfRule>
  </conditionalFormatting>
  <conditionalFormatting sqref="E2:G65 H2:H73 I2:J65 K2:L68 M2:S65 T2:T4 U2:W65 T6:T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5: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Q31:Q32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9:N30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13:U14 T15:T16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H7:H8 E24 G25 E26 F28 R27:S28 E29:E30 H35:H36 G37:G38 E48:E49 N52:N54">
      <formula1>IF(COUNTA(filter($E8:$W8,ARRAYFORMULA(ISERROR(FIND(join(",",filter(split($H$83,","),ARRAYFORMULA(ISERROR(FIND(split($H$83,","),E7)))=FALSE)),$E8:$W8))=FALSE)))&gt;1,FALSE,TRUE)</formula1>
    </dataValidation>
    <dataValidation type="custom" allowBlank="1" showDropDown="1" sqref="N2 R2 T2 G2:G3 J2:J3 L4 P2:P4 G5:H6 K5:M6 L7:L8 P7:P8 T7:U8 G7:G9 H10 J9:J10 N9:N10 Q9:Q10 S10 W2:W10 E12:W12 E13:E14 H13:H14 L13:L14 E17:E18 G15:G18 S17:S18 H19:H20 J15:J20 L17:L20 G21 R19:R21 T21 G22:H22 G23:R23 P25 R25 Q26 E27:F27 P27 E28 I27:I28 Q28 T28 F29:G30 P29:Q30 J31:J32 W13:W32 R33:R34 T33:W34 G35:G36 L35:M36 P35:Q36 H37:H38 J37:J38 L37:N38 E37:E40 G39:G40 J39:K40 N39:P40 R37:S40 R41:T41 J41:L42 T42 E43 G41:H43 K43 Q43 H44 M43:N44 W35:W44 E45:W45 I46 F46:G47 L46:L47 N46:P47 G48 L48:M49 L51 N50:O51 I50:I52 G53:H53 O52:P53 E54 P54 N55:O55 W46:W55 E56:W56 E57:G57 J57 N57:O57 E58: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P43">
      <formula1>IF(COUNTA(filter($E40:$W40,ARRAYFORMULA(ISERROR(FIND(join(",",filter(split($H$83,","),ARRAYFORMULA(ISERROR(FIND(split($H$83,","),P43)))=FALSE)),$E40:$W40))=FALSE)))&gt;1,FALSE,TRUE)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P32">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F7 L25">
      <formula1>IF(COUNTA(filter($E7:$W7,ARRAYFORMULA(ISERROR(FIND(join(",",filter(split($H$83,","),ARRAYFORMULA(ISERROR(FIND(split($H$83,","),E4)))=FALSE)),$E7:$W7))=FALSE)))&gt;1,FALSE,TRUE)</formula1>
    </dataValidation>
    <dataValidation type="custom" allowBlank="1" showDropDown="1" sqref="P26 P28 S29:S30 S32 R47:R48 T51:V52 P57">
      <formula1>IF(COUNTA(filter($E25:$W25,ARRAYFORMULA(ISERROR(FIND(join(",",filter(split($H$83,","),ARRAYFORMULA(ISERROR(FIND(split($H$83,","),P26)))=FALSE)),$E25:$W25))=FALSE)))&gt;1,FALSE,TRUE)</formula1>
    </dataValidation>
    <dataValidation type="custom" allowBlank="1" showDropDown="1" sqref="P13:P16 G27:G28 L27:L28 J30 N31:N32 E35:E36 J35:J36 N35:N36 T39:T40 E41:E42 P41:P42 R46 T47:T48 K48:K49 P50:P51 E50:E52">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2" max="2" width="13.75"/>
    <col customWidth="1" min="3" max="3" width="18.5"/>
    <col customWidth="1" min="4" max="4" width="7.13"/>
    <col customWidth="1" min="5" max="5" width="6.13"/>
    <col customWidth="1" min="6" max="6" width="13.63"/>
    <col customWidth="1" min="7" max="7" width="15.13"/>
    <col customWidth="1" min="8" max="8" width="14.88"/>
    <col customWidth="1" min="9" max="9" width="6.88"/>
    <col customWidth="1" min="10" max="10" width="5.75"/>
    <col customWidth="1" min="11" max="11" width="15.0"/>
    <col customWidth="1" min="12" max="12" width="14.5"/>
    <col customWidth="1" min="13" max="13" width="15.5"/>
    <col customWidth="1" min="14" max="14" width="15.25"/>
    <col customWidth="1" min="15" max="15" width="6.88"/>
    <col customWidth="1" min="16" max="16" width="6.25"/>
    <col customWidth="1" min="17" max="17" width="14.38"/>
    <col customWidth="1" min="18" max="18" width="14.63"/>
    <col customWidth="1" min="19" max="19" width="7.0"/>
    <col customWidth="1" min="20" max="20" width="6.25"/>
    <col customWidth="1" min="21" max="21" width="15.0"/>
    <col customWidth="1" min="22" max="22" width="14.75"/>
    <col customWidth="1" min="23" max="23" width="7.0"/>
    <col customWidth="1" min="24" max="24" width="7.13"/>
    <col customWidth="1" min="25" max="25" width="14.63"/>
    <col customWidth="1" min="26" max="26" width="15.25"/>
    <col customWidth="1" min="27" max="27" width="6.88"/>
    <col customWidth="1" min="29" max="29" width="14.0"/>
    <col customWidth="1" min="30" max="30" width="14.63"/>
  </cols>
  <sheetData>
    <row r="1">
      <c r="A1" s="1668" t="s">
        <v>14764</v>
      </c>
      <c r="E1" s="1668" t="s">
        <v>2792</v>
      </c>
      <c r="J1" s="1669" t="s">
        <v>2793</v>
      </c>
      <c r="P1" s="1668" t="s">
        <v>4</v>
      </c>
      <c r="T1" s="1668" t="s">
        <v>5</v>
      </c>
      <c r="X1" s="1668" t="s">
        <v>6</v>
      </c>
      <c r="AB1" s="1668" t="s">
        <v>7</v>
      </c>
    </row>
    <row r="2">
      <c r="B2" s="953" t="s">
        <v>14765</v>
      </c>
      <c r="C2" s="953" t="s">
        <v>14766</v>
      </c>
      <c r="F2" s="953" t="s">
        <v>14766</v>
      </c>
      <c r="G2" s="953" t="s">
        <v>14765</v>
      </c>
      <c r="H2" s="953" t="s">
        <v>14767</v>
      </c>
      <c r="J2" s="977"/>
      <c r="K2" s="1185" t="s">
        <v>14768</v>
      </c>
      <c r="L2" s="1185" t="s">
        <v>14765</v>
      </c>
      <c r="M2" s="1185" t="s">
        <v>14766</v>
      </c>
      <c r="N2" s="1185" t="s">
        <v>14767</v>
      </c>
      <c r="Q2" s="1185" t="s">
        <v>14768</v>
      </c>
      <c r="R2" s="1185" t="s">
        <v>14767</v>
      </c>
      <c r="U2" s="1185" t="s">
        <v>14768</v>
      </c>
      <c r="V2" s="1185" t="s">
        <v>14767</v>
      </c>
      <c r="Y2" s="1185" t="s">
        <v>14768</v>
      </c>
      <c r="Z2" s="1185" t="s">
        <v>14767</v>
      </c>
      <c r="AC2" s="1185" t="s">
        <v>14768</v>
      </c>
      <c r="AD2" s="1185" t="s">
        <v>14767</v>
      </c>
    </row>
    <row r="3">
      <c r="B3" s="953" t="s">
        <v>14769</v>
      </c>
      <c r="C3" s="953" t="s">
        <v>14770</v>
      </c>
      <c r="F3" s="953" t="s">
        <v>14771</v>
      </c>
      <c r="G3" s="953" t="s">
        <v>14772</v>
      </c>
      <c r="H3" s="953" t="s">
        <v>14773</v>
      </c>
      <c r="J3" s="977"/>
      <c r="K3" s="953" t="s">
        <v>14771</v>
      </c>
      <c r="L3" s="953" t="s">
        <v>14771</v>
      </c>
      <c r="M3" s="953" t="s">
        <v>14772</v>
      </c>
      <c r="N3" s="953" t="s">
        <v>14772</v>
      </c>
      <c r="Q3" s="1670" t="s">
        <v>14774</v>
      </c>
      <c r="R3" s="1670" t="s">
        <v>14774</v>
      </c>
      <c r="U3" s="1670" t="s">
        <v>14774</v>
      </c>
      <c r="V3" s="1670" t="s">
        <v>14774</v>
      </c>
      <c r="Y3" s="1670" t="s">
        <v>14775</v>
      </c>
      <c r="Z3" s="1670" t="s">
        <v>14776</v>
      </c>
      <c r="AC3" s="1670" t="s">
        <v>14775</v>
      </c>
      <c r="AD3" s="1670" t="s">
        <v>14776</v>
      </c>
    </row>
    <row r="4" ht="9.75" customHeight="1">
      <c r="J4" s="977"/>
    </row>
    <row r="5">
      <c r="A5" s="1671">
        <v>1.0</v>
      </c>
      <c r="B5" s="1672" t="s">
        <v>14777</v>
      </c>
      <c r="C5" s="1672" t="s">
        <v>14778</v>
      </c>
      <c r="E5" s="1671">
        <v>1.0</v>
      </c>
      <c r="F5" s="1673" t="s">
        <v>14779</v>
      </c>
      <c r="G5" s="1673" t="s">
        <v>14780</v>
      </c>
      <c r="H5" s="1673" t="s">
        <v>14781</v>
      </c>
      <c r="J5" s="1671">
        <v>1.0</v>
      </c>
      <c r="K5" s="1674" t="s">
        <v>13378</v>
      </c>
      <c r="L5" s="1674" t="s">
        <v>14782</v>
      </c>
      <c r="M5" s="1674" t="s">
        <v>14783</v>
      </c>
      <c r="N5" s="1674" t="s">
        <v>14784</v>
      </c>
      <c r="P5" s="1671">
        <v>1.0</v>
      </c>
      <c r="Q5" s="1675" t="s">
        <v>14785</v>
      </c>
      <c r="R5" s="1675" t="s">
        <v>14786</v>
      </c>
      <c r="T5" s="1671">
        <v>1.0</v>
      </c>
      <c r="U5" s="1675" t="s">
        <v>14787</v>
      </c>
      <c r="V5" s="1675" t="s">
        <v>14788</v>
      </c>
      <c r="X5" s="1671">
        <v>1.0</v>
      </c>
      <c r="Y5" s="1675" t="s">
        <v>14789</v>
      </c>
      <c r="Z5" s="1676" t="s">
        <v>14790</v>
      </c>
      <c r="AB5" s="1671">
        <v>1.0</v>
      </c>
      <c r="AC5" s="1675" t="s">
        <v>14207</v>
      </c>
      <c r="AD5" s="1675" t="s">
        <v>14791</v>
      </c>
    </row>
    <row r="6">
      <c r="A6" s="1671">
        <v>2.0</v>
      </c>
      <c r="B6" s="1672" t="s">
        <v>14792</v>
      </c>
      <c r="C6" s="1672" t="s">
        <v>14793</v>
      </c>
      <c r="E6" s="1671">
        <v>2.0</v>
      </c>
      <c r="F6" s="1673" t="s">
        <v>14794</v>
      </c>
      <c r="G6" s="1673" t="s">
        <v>14795</v>
      </c>
      <c r="H6" s="1673" t="s">
        <v>12792</v>
      </c>
      <c r="J6" s="1671">
        <v>2.0</v>
      </c>
      <c r="K6" s="1674" t="s">
        <v>14796</v>
      </c>
      <c r="L6" s="1674" t="s">
        <v>14797</v>
      </c>
      <c r="M6" s="1674" t="s">
        <v>13560</v>
      </c>
      <c r="N6" s="1674" t="s">
        <v>14798</v>
      </c>
      <c r="P6" s="1671">
        <v>2.0</v>
      </c>
      <c r="Q6" s="1675" t="s">
        <v>14799</v>
      </c>
      <c r="R6" s="1675" t="s">
        <v>14800</v>
      </c>
      <c r="T6" s="1671">
        <v>2.0</v>
      </c>
      <c r="U6" s="1675" t="s">
        <v>14801</v>
      </c>
      <c r="V6" s="1676" t="s">
        <v>14802</v>
      </c>
      <c r="X6" s="1671">
        <v>2.0</v>
      </c>
      <c r="Y6" s="1675" t="s">
        <v>14803</v>
      </c>
      <c r="Z6" s="1675" t="s">
        <v>14804</v>
      </c>
      <c r="AB6" s="1671">
        <v>2.0</v>
      </c>
      <c r="AC6" s="1675" t="s">
        <v>14043</v>
      </c>
      <c r="AD6" s="1675" t="s">
        <v>13542</v>
      </c>
    </row>
    <row r="7">
      <c r="A7" s="1671">
        <v>3.0</v>
      </c>
      <c r="B7" s="1672" t="s">
        <v>14805</v>
      </c>
      <c r="C7" s="1672" t="s">
        <v>14806</v>
      </c>
      <c r="E7" s="1671">
        <v>3.0</v>
      </c>
      <c r="F7" s="1673" t="s">
        <v>14807</v>
      </c>
      <c r="G7" s="1673" t="s">
        <v>14808</v>
      </c>
      <c r="H7" s="1673" t="s">
        <v>14809</v>
      </c>
      <c r="J7" s="1671">
        <v>3.0</v>
      </c>
      <c r="K7" s="1674" t="s">
        <v>14810</v>
      </c>
      <c r="L7" s="1674" t="s">
        <v>14811</v>
      </c>
      <c r="M7" s="1677" t="s">
        <v>14812</v>
      </c>
      <c r="N7" s="1677" t="s">
        <v>14813</v>
      </c>
      <c r="P7" s="1671">
        <v>3.0</v>
      </c>
      <c r="Q7" s="1675" t="s">
        <v>14814</v>
      </c>
      <c r="R7" s="1675" t="s">
        <v>14815</v>
      </c>
      <c r="T7" s="1671">
        <v>3.0</v>
      </c>
      <c r="U7" s="1675" t="s">
        <v>14816</v>
      </c>
      <c r="V7" s="1675" t="s">
        <v>14817</v>
      </c>
      <c r="X7" s="1671">
        <v>3.0</v>
      </c>
      <c r="Y7" s="1675" t="s">
        <v>14818</v>
      </c>
      <c r="Z7" s="1675" t="s">
        <v>14819</v>
      </c>
      <c r="AB7" s="1671">
        <v>3.0</v>
      </c>
      <c r="AC7" s="1675" t="s">
        <v>14820</v>
      </c>
      <c r="AD7" s="1675" t="s">
        <v>14176</v>
      </c>
    </row>
    <row r="8">
      <c r="A8" s="1671">
        <v>4.0</v>
      </c>
      <c r="B8" s="1672" t="s">
        <v>14821</v>
      </c>
      <c r="C8" s="1672" t="s">
        <v>14822</v>
      </c>
      <c r="E8" s="1671">
        <v>4.0</v>
      </c>
      <c r="F8" s="1673" t="s">
        <v>14823</v>
      </c>
      <c r="G8" s="1673" t="s">
        <v>14824</v>
      </c>
      <c r="H8" s="1673" t="s">
        <v>14825</v>
      </c>
      <c r="J8" s="1671">
        <v>4.0</v>
      </c>
      <c r="K8" s="1674" t="s">
        <v>14826</v>
      </c>
      <c r="L8" s="1674" t="s">
        <v>14827</v>
      </c>
      <c r="M8" s="1677" t="s">
        <v>14828</v>
      </c>
      <c r="N8" s="1674" t="s">
        <v>14829</v>
      </c>
      <c r="P8" s="1671">
        <v>4.0</v>
      </c>
      <c r="Q8" s="1675" t="s">
        <v>14830</v>
      </c>
      <c r="R8" s="1675" t="s">
        <v>14831</v>
      </c>
      <c r="T8" s="1671">
        <v>4.0</v>
      </c>
      <c r="U8" s="1675" t="s">
        <v>14832</v>
      </c>
      <c r="V8" s="1675" t="s">
        <v>14833</v>
      </c>
      <c r="X8" s="1671">
        <v>4.0</v>
      </c>
      <c r="Y8" s="1675" t="s">
        <v>14814</v>
      </c>
      <c r="Z8" s="1675" t="s">
        <v>14834</v>
      </c>
      <c r="AB8" s="1671">
        <v>4.0</v>
      </c>
      <c r="AC8" s="1675" t="s">
        <v>14158</v>
      </c>
      <c r="AD8" s="1675" t="s">
        <v>14148</v>
      </c>
    </row>
    <row r="9">
      <c r="A9" s="1671">
        <v>5.0</v>
      </c>
      <c r="B9" s="1672" t="s">
        <v>14835</v>
      </c>
      <c r="C9" s="1672" t="s">
        <v>14836</v>
      </c>
      <c r="E9" s="1671">
        <v>5.0</v>
      </c>
      <c r="F9" s="1673" t="s">
        <v>14837</v>
      </c>
      <c r="G9" s="1673" t="s">
        <v>14838</v>
      </c>
      <c r="H9" s="1673" t="s">
        <v>14839</v>
      </c>
      <c r="J9" s="1671">
        <v>5.0</v>
      </c>
      <c r="K9" s="1674" t="s">
        <v>14840</v>
      </c>
      <c r="L9" s="1674" t="s">
        <v>14841</v>
      </c>
      <c r="M9" s="1674" t="s">
        <v>14842</v>
      </c>
      <c r="N9" s="1674" t="s">
        <v>14843</v>
      </c>
      <c r="P9" s="1671">
        <v>5.0</v>
      </c>
      <c r="Q9" s="1675" t="s">
        <v>14844</v>
      </c>
      <c r="R9" s="1675" t="s">
        <v>14845</v>
      </c>
      <c r="T9" s="1671">
        <v>5.0</v>
      </c>
      <c r="U9" s="1675" t="s">
        <v>14846</v>
      </c>
      <c r="V9" s="1675" t="s">
        <v>14847</v>
      </c>
      <c r="X9" s="1671">
        <v>5.0</v>
      </c>
      <c r="Y9" s="1675" t="s">
        <v>14848</v>
      </c>
      <c r="Z9" s="1675" t="s">
        <v>14849</v>
      </c>
      <c r="AB9" s="1671">
        <v>5.0</v>
      </c>
      <c r="AC9" s="1675" t="s">
        <v>14107</v>
      </c>
      <c r="AD9" s="1675" t="s">
        <v>14104</v>
      </c>
    </row>
    <row r="10">
      <c r="A10" s="1671">
        <v>6.0</v>
      </c>
      <c r="B10" s="1672" t="s">
        <v>14850</v>
      </c>
      <c r="C10" s="1672" t="s">
        <v>14851</v>
      </c>
      <c r="E10" s="1671">
        <v>6.0</v>
      </c>
      <c r="F10" s="1673" t="s">
        <v>14852</v>
      </c>
      <c r="G10" s="1673" t="s">
        <v>14853</v>
      </c>
      <c r="H10" s="1673" t="s">
        <v>14854</v>
      </c>
      <c r="J10" s="1671">
        <v>6.0</v>
      </c>
      <c r="K10" s="1674" t="s">
        <v>14855</v>
      </c>
      <c r="L10" s="1674" t="s">
        <v>14856</v>
      </c>
      <c r="M10" s="1674" t="s">
        <v>14857</v>
      </c>
      <c r="N10" s="1674" t="s">
        <v>14858</v>
      </c>
      <c r="P10" s="1671">
        <v>6.0</v>
      </c>
      <c r="Q10" s="1675" t="s">
        <v>14859</v>
      </c>
      <c r="R10" s="1675" t="s">
        <v>14860</v>
      </c>
      <c r="T10" s="1671">
        <v>6.0</v>
      </c>
      <c r="U10" s="1675" t="s">
        <v>14861</v>
      </c>
      <c r="V10" s="1675" t="s">
        <v>14862</v>
      </c>
      <c r="X10" s="1671">
        <v>6.0</v>
      </c>
      <c r="Y10" s="1675" t="s">
        <v>14863</v>
      </c>
      <c r="Z10" s="1675" t="s">
        <v>14864</v>
      </c>
      <c r="AB10" s="1671">
        <v>6.0</v>
      </c>
      <c r="AC10" s="1675" t="s">
        <v>14172</v>
      </c>
      <c r="AD10" s="1675" t="s">
        <v>14197</v>
      </c>
    </row>
    <row r="11">
      <c r="A11" s="1671">
        <v>7.0</v>
      </c>
      <c r="B11" s="1672" t="s">
        <v>14865</v>
      </c>
      <c r="C11" s="1672" t="s">
        <v>14866</v>
      </c>
      <c r="E11" s="1671">
        <v>7.0</v>
      </c>
      <c r="F11" s="1673" t="s">
        <v>14867</v>
      </c>
      <c r="G11" s="1673" t="s">
        <v>14868</v>
      </c>
      <c r="H11" s="1673" t="s">
        <v>14869</v>
      </c>
      <c r="J11" s="1671">
        <v>7.0</v>
      </c>
      <c r="K11" s="1674" t="s">
        <v>14870</v>
      </c>
      <c r="L11" s="1674" t="s">
        <v>14871</v>
      </c>
      <c r="M11" s="1674" t="s">
        <v>14872</v>
      </c>
      <c r="N11" s="1674" t="s">
        <v>14873</v>
      </c>
      <c r="P11" s="1671">
        <v>7.0</v>
      </c>
      <c r="Q11" s="1675" t="s">
        <v>14874</v>
      </c>
      <c r="R11" s="1675" t="s">
        <v>14875</v>
      </c>
      <c r="T11" s="1671">
        <v>7.0</v>
      </c>
      <c r="U11" s="1676" t="s">
        <v>14876</v>
      </c>
      <c r="V11" s="1675" t="s">
        <v>14877</v>
      </c>
      <c r="X11" s="1671">
        <v>7.0</v>
      </c>
      <c r="Y11" s="1675" t="s">
        <v>14878</v>
      </c>
      <c r="Z11" s="1675" t="s">
        <v>14879</v>
      </c>
      <c r="AB11" s="1671">
        <v>7.0</v>
      </c>
      <c r="AC11" s="1675" t="s">
        <v>13132</v>
      </c>
      <c r="AD11" s="1675" t="s">
        <v>14130</v>
      </c>
    </row>
    <row r="12">
      <c r="A12" s="1671">
        <v>8.0</v>
      </c>
      <c r="B12" s="1672" t="s">
        <v>14880</v>
      </c>
      <c r="C12" s="1672" t="s">
        <v>14881</v>
      </c>
      <c r="E12" s="1671">
        <v>8.0</v>
      </c>
      <c r="F12" s="1673" t="s">
        <v>14882</v>
      </c>
      <c r="G12" s="1673" t="s">
        <v>14883</v>
      </c>
      <c r="H12" s="1673" t="s">
        <v>14884</v>
      </c>
      <c r="J12" s="1671">
        <v>8.0</v>
      </c>
      <c r="K12" s="1674" t="s">
        <v>14885</v>
      </c>
      <c r="L12" s="1674" t="s">
        <v>14886</v>
      </c>
      <c r="M12" s="1674" t="s">
        <v>14887</v>
      </c>
      <c r="N12" s="1674" t="s">
        <v>14888</v>
      </c>
      <c r="P12" s="1671">
        <v>8.0</v>
      </c>
      <c r="Q12" s="1675" t="s">
        <v>14889</v>
      </c>
      <c r="R12" s="1675" t="s">
        <v>14890</v>
      </c>
      <c r="T12" s="1671">
        <v>8.0</v>
      </c>
      <c r="U12" s="1675" t="s">
        <v>14891</v>
      </c>
      <c r="V12" s="1675" t="s">
        <v>14892</v>
      </c>
      <c r="X12" s="1671">
        <v>8.0</v>
      </c>
      <c r="Y12" s="1675" t="s">
        <v>14893</v>
      </c>
      <c r="Z12" s="1675" t="s">
        <v>14894</v>
      </c>
      <c r="AB12" s="1671">
        <v>8.0</v>
      </c>
      <c r="AC12" s="1675" t="s">
        <v>14895</v>
      </c>
      <c r="AD12" s="1675" t="s">
        <v>14032</v>
      </c>
    </row>
    <row r="13">
      <c r="A13" s="1671">
        <v>9.0</v>
      </c>
      <c r="B13" s="1672" t="s">
        <v>14896</v>
      </c>
      <c r="C13" s="1672" t="s">
        <v>14897</v>
      </c>
      <c r="E13" s="1671">
        <v>9.0</v>
      </c>
      <c r="F13" s="1673" t="s">
        <v>14898</v>
      </c>
      <c r="G13" s="1673" t="s">
        <v>14899</v>
      </c>
      <c r="H13" s="1673" t="s">
        <v>14900</v>
      </c>
      <c r="J13" s="1671">
        <v>9.0</v>
      </c>
      <c r="K13" s="1674" t="s">
        <v>13519</v>
      </c>
      <c r="L13" s="1674" t="s">
        <v>14901</v>
      </c>
      <c r="M13" s="1674" t="s">
        <v>14902</v>
      </c>
      <c r="N13" s="1674" t="s">
        <v>14903</v>
      </c>
      <c r="P13" s="1671">
        <v>9.0</v>
      </c>
      <c r="Q13" s="1675" t="s">
        <v>14904</v>
      </c>
      <c r="R13" s="1675" t="s">
        <v>14905</v>
      </c>
      <c r="T13" s="1671">
        <v>9.0</v>
      </c>
      <c r="U13" s="1675" t="s">
        <v>14906</v>
      </c>
      <c r="V13" s="1675" t="s">
        <v>14907</v>
      </c>
      <c r="X13" s="1671">
        <v>9.0</v>
      </c>
      <c r="Y13" s="1675" t="s">
        <v>14908</v>
      </c>
      <c r="Z13" s="1675" t="s">
        <v>14909</v>
      </c>
      <c r="AB13" s="1671">
        <v>9.0</v>
      </c>
      <c r="AC13" s="1675" t="s">
        <v>14054</v>
      </c>
      <c r="AD13" s="1675" t="s">
        <v>13694</v>
      </c>
    </row>
    <row r="14">
      <c r="A14" s="1671">
        <v>10.0</v>
      </c>
      <c r="B14" s="1672" t="s">
        <v>14910</v>
      </c>
      <c r="C14" s="1672" t="s">
        <v>14911</v>
      </c>
      <c r="E14" s="1671">
        <v>10.0</v>
      </c>
      <c r="F14" s="1673" t="s">
        <v>14912</v>
      </c>
      <c r="G14" s="1673" t="s">
        <v>14913</v>
      </c>
      <c r="H14" s="1673" t="s">
        <v>14914</v>
      </c>
      <c r="J14" s="1671">
        <v>10.0</v>
      </c>
      <c r="K14" s="1674" t="s">
        <v>14915</v>
      </c>
      <c r="L14" s="1674" t="s">
        <v>14916</v>
      </c>
      <c r="M14" s="1674" t="s">
        <v>14917</v>
      </c>
      <c r="N14" s="1674" t="s">
        <v>14918</v>
      </c>
      <c r="P14" s="1671">
        <v>10.0</v>
      </c>
      <c r="Q14" s="1675" t="s">
        <v>14919</v>
      </c>
      <c r="R14" s="1675" t="s">
        <v>14920</v>
      </c>
      <c r="T14" s="1671">
        <v>10.0</v>
      </c>
      <c r="U14" s="1675" t="s">
        <v>14921</v>
      </c>
      <c r="V14" s="957" t="s">
        <v>14922</v>
      </c>
      <c r="X14" s="1671">
        <v>10.0</v>
      </c>
      <c r="Y14" s="1675" t="s">
        <v>14923</v>
      </c>
      <c r="Z14" s="1675" t="s">
        <v>14924</v>
      </c>
      <c r="AB14" s="1671">
        <v>10.0</v>
      </c>
      <c r="AC14" s="1675" t="s">
        <v>14186</v>
      </c>
      <c r="AD14" s="1675" t="s">
        <v>13791</v>
      </c>
    </row>
    <row r="15">
      <c r="A15" s="1671">
        <v>11.0</v>
      </c>
      <c r="B15" s="1672" t="s">
        <v>14925</v>
      </c>
      <c r="C15" s="1672" t="s">
        <v>14926</v>
      </c>
      <c r="E15" s="1671">
        <v>11.0</v>
      </c>
      <c r="F15" s="1673" t="s">
        <v>14927</v>
      </c>
      <c r="G15" s="1673" t="s">
        <v>14928</v>
      </c>
      <c r="H15" s="199"/>
      <c r="J15" s="1671">
        <v>11.0</v>
      </c>
      <c r="K15" s="1677" t="s">
        <v>14929</v>
      </c>
      <c r="L15" s="1674" t="s">
        <v>14930</v>
      </c>
      <c r="M15" s="1674" t="s">
        <v>14931</v>
      </c>
      <c r="N15" s="1674" t="s">
        <v>14932</v>
      </c>
      <c r="P15" s="1671">
        <v>11.0</v>
      </c>
      <c r="Q15" s="1675" t="s">
        <v>14933</v>
      </c>
      <c r="R15" s="1675" t="s">
        <v>14934</v>
      </c>
      <c r="T15" s="1671">
        <v>11.0</v>
      </c>
      <c r="U15" s="1675" t="s">
        <v>14935</v>
      </c>
      <c r="V15" s="1675"/>
      <c r="X15" s="1671">
        <v>11.0</v>
      </c>
      <c r="Y15" s="199"/>
      <c r="Z15" s="1675" t="s">
        <v>14936</v>
      </c>
      <c r="AB15" s="1671">
        <v>11.0</v>
      </c>
      <c r="AC15" s="1675" t="s">
        <v>14022</v>
      </c>
      <c r="AD15" s="1675" t="s">
        <v>14101</v>
      </c>
    </row>
    <row r="16">
      <c r="A16" s="1671">
        <v>12.0</v>
      </c>
      <c r="B16" s="1672" t="s">
        <v>14937</v>
      </c>
      <c r="C16" s="1672" t="s">
        <v>14938</v>
      </c>
      <c r="E16" s="1671">
        <v>12.0</v>
      </c>
      <c r="F16" s="1673" t="s">
        <v>14939</v>
      </c>
      <c r="G16" s="1678"/>
      <c r="H16" s="199"/>
      <c r="J16" s="1671">
        <v>12.0</v>
      </c>
      <c r="K16" s="1674"/>
      <c r="L16" s="1674" t="s">
        <v>14940</v>
      </c>
      <c r="M16" s="1674" t="s">
        <v>14941</v>
      </c>
      <c r="N16" s="1674" t="s">
        <v>14942</v>
      </c>
      <c r="P16" s="1671">
        <v>12.0</v>
      </c>
      <c r="Q16" s="1675" t="s">
        <v>14943</v>
      </c>
      <c r="R16" s="199"/>
      <c r="T16" s="1671">
        <v>12.0</v>
      </c>
      <c r="U16" s="957" t="s">
        <v>14944</v>
      </c>
      <c r="V16" s="199"/>
      <c r="X16" s="1671">
        <v>12.0</v>
      </c>
      <c r="Y16" s="199"/>
      <c r="Z16" s="1675" t="s">
        <v>14945</v>
      </c>
      <c r="AB16" s="1671">
        <v>12.0</v>
      </c>
      <c r="AC16" s="1675" t="s">
        <v>14946</v>
      </c>
      <c r="AD16" s="1675" t="s">
        <v>14078</v>
      </c>
    </row>
    <row r="17">
      <c r="A17" s="1671">
        <v>13.0</v>
      </c>
      <c r="B17" s="1672" t="s">
        <v>14947</v>
      </c>
      <c r="C17" s="1679" t="s">
        <v>14948</v>
      </c>
      <c r="E17" s="1671">
        <v>13.0</v>
      </c>
      <c r="F17" s="1678"/>
      <c r="G17" s="199"/>
      <c r="H17" s="199"/>
      <c r="J17" s="1671">
        <v>13.0</v>
      </c>
      <c r="K17" s="1674"/>
      <c r="L17" s="957" t="s">
        <v>14949</v>
      </c>
      <c r="M17" s="1674" t="s">
        <v>14950</v>
      </c>
      <c r="N17" s="1674" t="s">
        <v>14951</v>
      </c>
      <c r="P17" s="1671">
        <v>13.0</v>
      </c>
      <c r="Q17" s="957" t="s">
        <v>14952</v>
      </c>
      <c r="R17" s="199"/>
      <c r="T17" s="1671">
        <v>13.0</v>
      </c>
      <c r="U17" s="199"/>
      <c r="V17" s="199"/>
      <c r="X17" s="1671">
        <v>13.0</v>
      </c>
      <c r="Y17" s="199"/>
      <c r="Z17" s="1675" t="s">
        <v>14953</v>
      </c>
      <c r="AB17" s="1671">
        <v>13.0</v>
      </c>
      <c r="AC17" s="1675" t="s">
        <v>14144</v>
      </c>
      <c r="AD17" s="1675" t="s">
        <v>14162</v>
      </c>
    </row>
    <row r="18">
      <c r="A18" s="1671">
        <v>14.0</v>
      </c>
      <c r="B18" s="1679" t="s">
        <v>14954</v>
      </c>
      <c r="C18" s="957" t="s">
        <v>14955</v>
      </c>
      <c r="E18" s="1671">
        <v>14.0</v>
      </c>
      <c r="F18" s="199"/>
      <c r="H18" s="199"/>
      <c r="J18" s="1671">
        <v>14.0</v>
      </c>
      <c r="K18" s="1674"/>
      <c r="L18" s="199"/>
      <c r="M18" s="199"/>
      <c r="N18" s="1674" t="s">
        <v>14956</v>
      </c>
      <c r="P18" s="1671">
        <v>14.0</v>
      </c>
      <c r="Q18" s="199"/>
      <c r="R18" s="199"/>
      <c r="T18" s="1671">
        <v>14.0</v>
      </c>
      <c r="U18" s="199"/>
      <c r="V18" s="199"/>
      <c r="X18" s="1671">
        <v>14.0</v>
      </c>
      <c r="Y18" s="199"/>
      <c r="Z18" s="957" t="s">
        <v>14957</v>
      </c>
      <c r="AB18" s="1671">
        <v>14.0</v>
      </c>
      <c r="AC18" s="199"/>
      <c r="AD18" s="199"/>
    </row>
    <row r="19">
      <c r="A19" s="1671">
        <v>15.0</v>
      </c>
      <c r="B19" s="1679" t="s">
        <v>12226</v>
      </c>
      <c r="C19" s="1680"/>
      <c r="E19" s="977"/>
      <c r="J19" s="1671">
        <v>15.0</v>
      </c>
      <c r="K19" s="199"/>
      <c r="L19" s="199"/>
      <c r="M19" s="199"/>
      <c r="N19" s="1674" t="s">
        <v>14958</v>
      </c>
    </row>
    <row r="20">
      <c r="B20" s="1681" t="s">
        <v>14959</v>
      </c>
      <c r="C20" s="489"/>
      <c r="E20" s="977"/>
      <c r="J20" s="977"/>
    </row>
    <row r="21">
      <c r="E21" s="977"/>
      <c r="J21" s="977"/>
    </row>
    <row r="22">
      <c r="E22" s="977"/>
      <c r="J22" s="977"/>
    </row>
    <row r="23">
      <c r="E23" s="977"/>
      <c r="J23" s="977"/>
    </row>
    <row r="24">
      <c r="E24" s="977"/>
      <c r="J24" s="977"/>
    </row>
    <row r="25">
      <c r="J25" s="977"/>
    </row>
    <row r="26">
      <c r="J26" s="977"/>
    </row>
    <row r="27">
      <c r="J27" s="977"/>
    </row>
    <row r="28">
      <c r="J28" s="977"/>
    </row>
    <row r="29">
      <c r="J29" s="977"/>
    </row>
    <row r="30">
      <c r="J30" s="977"/>
    </row>
    <row r="31">
      <c r="J31" s="977"/>
    </row>
    <row r="32">
      <c r="J32" s="977"/>
    </row>
    <row r="33">
      <c r="J33" s="977"/>
    </row>
    <row r="34">
      <c r="J34" s="977"/>
    </row>
    <row r="35">
      <c r="J35" s="977"/>
    </row>
    <row r="36">
      <c r="J36" s="977"/>
    </row>
    <row r="37">
      <c r="J37" s="977"/>
    </row>
    <row r="38">
      <c r="J38" s="977"/>
    </row>
    <row r="39">
      <c r="J39" s="977"/>
    </row>
    <row r="40">
      <c r="J40" s="977"/>
    </row>
    <row r="41">
      <c r="J41" s="977"/>
    </row>
    <row r="42">
      <c r="J42" s="977"/>
    </row>
    <row r="43">
      <c r="J43" s="977"/>
    </row>
    <row r="44">
      <c r="J44" s="977"/>
    </row>
    <row r="45">
      <c r="J45" s="977"/>
    </row>
    <row r="46">
      <c r="J46" s="977"/>
    </row>
    <row r="47">
      <c r="J47" s="977"/>
    </row>
    <row r="48">
      <c r="J48" s="977"/>
    </row>
    <row r="49">
      <c r="J49" s="977"/>
    </row>
    <row r="50">
      <c r="J50" s="977"/>
    </row>
    <row r="51">
      <c r="J51" s="977"/>
    </row>
    <row r="52">
      <c r="J52" s="977"/>
    </row>
    <row r="53">
      <c r="J53" s="977"/>
    </row>
    <row r="54">
      <c r="J54" s="977"/>
    </row>
    <row r="55">
      <c r="J55" s="977"/>
    </row>
    <row r="56">
      <c r="J56" s="977"/>
    </row>
    <row r="57">
      <c r="J57" s="977"/>
    </row>
    <row r="58">
      <c r="J58" s="977"/>
    </row>
    <row r="59">
      <c r="J59" s="977"/>
    </row>
    <row r="60">
      <c r="J60" s="977"/>
    </row>
    <row r="61">
      <c r="J61" s="977"/>
    </row>
    <row r="62">
      <c r="J62" s="977"/>
    </row>
    <row r="63">
      <c r="J63" s="977"/>
    </row>
    <row r="64">
      <c r="J64" s="977"/>
    </row>
    <row r="65">
      <c r="J65" s="977"/>
    </row>
    <row r="66">
      <c r="J66" s="977"/>
    </row>
    <row r="67">
      <c r="J67" s="977"/>
    </row>
    <row r="68">
      <c r="J68" s="977"/>
    </row>
    <row r="69">
      <c r="J69" s="977"/>
    </row>
    <row r="70">
      <c r="J70" s="977"/>
    </row>
    <row r="71">
      <c r="J71" s="977"/>
    </row>
    <row r="72">
      <c r="J72" s="977"/>
    </row>
    <row r="73">
      <c r="J73" s="977"/>
    </row>
    <row r="74">
      <c r="J74" s="977"/>
    </row>
    <row r="75">
      <c r="J75" s="977"/>
    </row>
    <row r="76">
      <c r="J76" s="977"/>
    </row>
    <row r="77">
      <c r="J77" s="977"/>
    </row>
    <row r="78">
      <c r="J78" s="977"/>
    </row>
    <row r="79">
      <c r="J79" s="977"/>
    </row>
    <row r="80">
      <c r="J80" s="977"/>
    </row>
    <row r="81">
      <c r="J81" s="977"/>
    </row>
    <row r="82">
      <c r="J82" s="977"/>
    </row>
    <row r="83">
      <c r="J83" s="977"/>
    </row>
    <row r="84">
      <c r="J84" s="977"/>
    </row>
    <row r="85">
      <c r="J85" s="977"/>
    </row>
    <row r="86">
      <c r="J86" s="977"/>
    </row>
    <row r="87">
      <c r="J87" s="977"/>
    </row>
    <row r="88">
      <c r="J88" s="977"/>
    </row>
    <row r="89">
      <c r="J89" s="977"/>
    </row>
    <row r="90">
      <c r="J90" s="977"/>
    </row>
    <row r="91">
      <c r="J91" s="977"/>
    </row>
    <row r="92">
      <c r="J92" s="977"/>
    </row>
    <row r="93">
      <c r="J93" s="977"/>
    </row>
    <row r="94">
      <c r="J94" s="977"/>
    </row>
    <row r="95">
      <c r="J95" s="977"/>
    </row>
    <row r="96">
      <c r="J96" s="977"/>
    </row>
    <row r="97">
      <c r="J97" s="977"/>
    </row>
    <row r="98">
      <c r="J98" s="977"/>
    </row>
    <row r="99">
      <c r="J99" s="977"/>
    </row>
    <row r="100">
      <c r="J100" s="977"/>
    </row>
    <row r="101">
      <c r="J101" s="977"/>
    </row>
    <row r="102">
      <c r="J102" s="977"/>
    </row>
    <row r="103">
      <c r="J103" s="977"/>
    </row>
    <row r="104">
      <c r="J104" s="977"/>
    </row>
    <row r="105">
      <c r="J105" s="977"/>
    </row>
    <row r="106">
      <c r="J106" s="977"/>
    </row>
    <row r="107">
      <c r="J107" s="977"/>
    </row>
    <row r="108">
      <c r="J108" s="977"/>
    </row>
    <row r="109">
      <c r="J109" s="977"/>
    </row>
    <row r="110">
      <c r="J110" s="977"/>
    </row>
    <row r="111">
      <c r="J111" s="977"/>
    </row>
    <row r="112">
      <c r="J112" s="977"/>
    </row>
    <row r="113">
      <c r="J113" s="977"/>
    </row>
    <row r="114">
      <c r="J114" s="977"/>
    </row>
    <row r="115">
      <c r="J115" s="977"/>
    </row>
    <row r="116">
      <c r="J116" s="977"/>
    </row>
    <row r="117">
      <c r="J117" s="977"/>
    </row>
    <row r="118">
      <c r="J118" s="977"/>
    </row>
    <row r="119">
      <c r="J119" s="977"/>
    </row>
    <row r="120">
      <c r="J120" s="977"/>
    </row>
    <row r="121">
      <c r="J121" s="977"/>
    </row>
    <row r="122">
      <c r="J122" s="977"/>
    </row>
    <row r="123">
      <c r="J123" s="977"/>
    </row>
    <row r="124">
      <c r="J124" s="977"/>
    </row>
    <row r="125">
      <c r="J125" s="977"/>
    </row>
    <row r="126">
      <c r="J126" s="977"/>
    </row>
    <row r="127">
      <c r="J127" s="977"/>
    </row>
    <row r="128">
      <c r="J128" s="977"/>
    </row>
    <row r="129">
      <c r="J129" s="977"/>
    </row>
    <row r="130">
      <c r="J130" s="977"/>
    </row>
    <row r="131">
      <c r="J131" s="977"/>
    </row>
    <row r="132">
      <c r="J132" s="977"/>
    </row>
    <row r="133">
      <c r="J133" s="977"/>
    </row>
    <row r="134">
      <c r="J134" s="977"/>
    </row>
    <row r="135">
      <c r="J135" s="977"/>
    </row>
    <row r="136">
      <c r="J136" s="977"/>
    </row>
    <row r="137">
      <c r="J137" s="977"/>
    </row>
    <row r="138">
      <c r="J138" s="977"/>
    </row>
    <row r="139">
      <c r="J139" s="977"/>
    </row>
    <row r="140">
      <c r="J140" s="977"/>
    </row>
    <row r="141">
      <c r="J141" s="977"/>
    </row>
    <row r="142">
      <c r="J142" s="977"/>
    </row>
    <row r="143">
      <c r="J143" s="977"/>
    </row>
    <row r="144">
      <c r="J144" s="977"/>
    </row>
    <row r="145">
      <c r="J145" s="977"/>
    </row>
    <row r="146">
      <c r="J146" s="977"/>
    </row>
    <row r="147">
      <c r="J147" s="977"/>
    </row>
    <row r="148">
      <c r="J148" s="977"/>
    </row>
    <row r="149">
      <c r="J149" s="977"/>
    </row>
    <row r="150">
      <c r="J150" s="977"/>
    </row>
    <row r="151">
      <c r="J151" s="977"/>
    </row>
    <row r="152">
      <c r="J152" s="977"/>
    </row>
    <row r="153">
      <c r="J153" s="977"/>
    </row>
    <row r="154">
      <c r="J154" s="977"/>
    </row>
    <row r="155">
      <c r="J155" s="977"/>
    </row>
    <row r="156">
      <c r="J156" s="977"/>
    </row>
    <row r="157">
      <c r="J157" s="977"/>
    </row>
    <row r="158">
      <c r="J158" s="977"/>
    </row>
    <row r="159">
      <c r="J159" s="977"/>
    </row>
    <row r="160">
      <c r="J160" s="977"/>
    </row>
    <row r="161">
      <c r="J161" s="977"/>
    </row>
    <row r="162">
      <c r="J162" s="977"/>
    </row>
    <row r="163">
      <c r="J163" s="977"/>
    </row>
    <row r="164">
      <c r="J164" s="977"/>
    </row>
    <row r="165">
      <c r="J165" s="977"/>
    </row>
    <row r="166">
      <c r="J166" s="977"/>
    </row>
    <row r="167">
      <c r="J167" s="977"/>
    </row>
    <row r="168">
      <c r="J168" s="977"/>
    </row>
    <row r="169">
      <c r="J169" s="977"/>
    </row>
    <row r="170">
      <c r="J170" s="977"/>
    </row>
    <row r="171">
      <c r="J171" s="977"/>
    </row>
    <row r="172">
      <c r="J172" s="977"/>
    </row>
    <row r="173">
      <c r="J173" s="977"/>
    </row>
    <row r="174">
      <c r="J174" s="977"/>
    </row>
    <row r="175">
      <c r="J175" s="977"/>
    </row>
    <row r="176">
      <c r="J176" s="977"/>
    </row>
    <row r="177">
      <c r="J177" s="977"/>
    </row>
    <row r="178">
      <c r="J178" s="977"/>
    </row>
    <row r="179">
      <c r="J179" s="977"/>
    </row>
    <row r="180">
      <c r="J180" s="977"/>
    </row>
    <row r="181">
      <c r="J181" s="977"/>
    </row>
    <row r="182">
      <c r="J182" s="977"/>
    </row>
    <row r="183">
      <c r="J183" s="977"/>
    </row>
    <row r="184">
      <c r="J184" s="977"/>
    </row>
    <row r="185">
      <c r="J185" s="977"/>
    </row>
    <row r="186">
      <c r="J186" s="977"/>
    </row>
    <row r="187">
      <c r="J187" s="977"/>
    </row>
    <row r="188">
      <c r="J188" s="977"/>
    </row>
    <row r="189">
      <c r="J189" s="977"/>
    </row>
    <row r="190">
      <c r="J190" s="977"/>
    </row>
    <row r="191">
      <c r="J191" s="977"/>
    </row>
    <row r="192">
      <c r="J192" s="977"/>
    </row>
    <row r="193">
      <c r="J193" s="977"/>
    </row>
    <row r="194">
      <c r="J194" s="977"/>
    </row>
    <row r="195">
      <c r="J195" s="977"/>
    </row>
    <row r="196">
      <c r="J196" s="977"/>
    </row>
    <row r="197">
      <c r="J197" s="977"/>
    </row>
    <row r="198">
      <c r="J198" s="977"/>
    </row>
    <row r="199">
      <c r="J199" s="977"/>
    </row>
    <row r="200">
      <c r="J200" s="977"/>
    </row>
    <row r="201">
      <c r="J201" s="977"/>
    </row>
    <row r="202">
      <c r="J202" s="977"/>
    </row>
    <row r="203">
      <c r="J203" s="977"/>
    </row>
    <row r="204">
      <c r="J204" s="977"/>
    </row>
    <row r="205">
      <c r="J205" s="977"/>
    </row>
    <row r="206">
      <c r="J206" s="977"/>
    </row>
    <row r="207">
      <c r="J207" s="977"/>
    </row>
    <row r="208">
      <c r="J208" s="977"/>
    </row>
    <row r="209">
      <c r="J209" s="977"/>
    </row>
    <row r="210">
      <c r="J210" s="977"/>
    </row>
    <row r="211">
      <c r="J211" s="977"/>
    </row>
    <row r="212">
      <c r="J212" s="977"/>
    </row>
    <row r="213">
      <c r="J213" s="977"/>
    </row>
    <row r="214">
      <c r="J214" s="977"/>
    </row>
    <row r="215">
      <c r="J215" s="977"/>
    </row>
    <row r="216">
      <c r="J216" s="977"/>
    </row>
    <row r="217">
      <c r="J217" s="977"/>
    </row>
    <row r="218">
      <c r="J218" s="977"/>
    </row>
    <row r="219">
      <c r="J219" s="977"/>
    </row>
    <row r="220">
      <c r="J220" s="977"/>
    </row>
    <row r="221">
      <c r="J221" s="977"/>
    </row>
    <row r="222">
      <c r="J222" s="977"/>
    </row>
    <row r="223">
      <c r="J223" s="977"/>
    </row>
    <row r="224">
      <c r="J224" s="977"/>
    </row>
    <row r="225">
      <c r="J225" s="977"/>
    </row>
    <row r="226">
      <c r="J226" s="977"/>
    </row>
    <row r="227">
      <c r="J227" s="977"/>
    </row>
    <row r="228">
      <c r="J228" s="977"/>
    </row>
    <row r="229">
      <c r="J229" s="977"/>
    </row>
    <row r="230">
      <c r="J230" s="977"/>
    </row>
    <row r="231">
      <c r="J231" s="977"/>
    </row>
    <row r="232">
      <c r="J232" s="977"/>
    </row>
    <row r="233">
      <c r="J233" s="977"/>
    </row>
    <row r="234">
      <c r="J234" s="977"/>
    </row>
    <row r="235">
      <c r="J235" s="977"/>
    </row>
    <row r="236">
      <c r="J236" s="977"/>
    </row>
    <row r="237">
      <c r="J237" s="977"/>
    </row>
    <row r="238">
      <c r="J238" s="977"/>
    </row>
    <row r="239">
      <c r="J239" s="977"/>
    </row>
    <row r="240">
      <c r="J240" s="977"/>
    </row>
    <row r="241">
      <c r="J241" s="977"/>
    </row>
    <row r="242">
      <c r="J242" s="977"/>
    </row>
    <row r="243">
      <c r="J243" s="977"/>
    </row>
    <row r="244">
      <c r="J244" s="977"/>
    </row>
    <row r="245">
      <c r="J245" s="977"/>
    </row>
    <row r="246">
      <c r="J246" s="977"/>
    </row>
    <row r="247">
      <c r="J247" s="977"/>
    </row>
    <row r="248">
      <c r="J248" s="977"/>
    </row>
    <row r="249">
      <c r="J249" s="977"/>
    </row>
    <row r="250">
      <c r="J250" s="977"/>
    </row>
    <row r="251">
      <c r="J251" s="977"/>
    </row>
    <row r="252">
      <c r="J252" s="977"/>
    </row>
    <row r="253">
      <c r="J253" s="977"/>
    </row>
    <row r="254">
      <c r="J254" s="977"/>
    </row>
    <row r="255">
      <c r="J255" s="977"/>
    </row>
    <row r="256">
      <c r="J256" s="977"/>
    </row>
    <row r="257">
      <c r="J257" s="977"/>
    </row>
    <row r="258">
      <c r="J258" s="977"/>
    </row>
    <row r="259">
      <c r="J259" s="977"/>
    </row>
    <row r="260">
      <c r="J260" s="977"/>
    </row>
    <row r="261">
      <c r="J261" s="977"/>
    </row>
    <row r="262">
      <c r="J262" s="977"/>
    </row>
    <row r="263">
      <c r="J263" s="977"/>
    </row>
    <row r="264">
      <c r="J264" s="977"/>
    </row>
    <row r="265">
      <c r="J265" s="977"/>
    </row>
    <row r="266">
      <c r="J266" s="977"/>
    </row>
    <row r="267">
      <c r="J267" s="977"/>
    </row>
    <row r="268">
      <c r="J268" s="977"/>
    </row>
    <row r="269">
      <c r="J269" s="977"/>
    </row>
    <row r="270">
      <c r="J270" s="977"/>
    </row>
    <row r="271">
      <c r="J271" s="977"/>
    </row>
    <row r="272">
      <c r="J272" s="977"/>
    </row>
    <row r="273">
      <c r="J273" s="977"/>
    </row>
    <row r="274">
      <c r="J274" s="977"/>
    </row>
    <row r="275">
      <c r="J275" s="977"/>
    </row>
    <row r="276">
      <c r="J276" s="977"/>
    </row>
    <row r="277">
      <c r="J277" s="977"/>
    </row>
    <row r="278">
      <c r="J278" s="977"/>
    </row>
    <row r="279">
      <c r="J279" s="977"/>
    </row>
    <row r="280">
      <c r="J280" s="977"/>
    </row>
    <row r="281">
      <c r="J281" s="977"/>
    </row>
    <row r="282">
      <c r="J282" s="977"/>
    </row>
    <row r="283">
      <c r="J283" s="977"/>
    </row>
    <row r="284">
      <c r="J284" s="977"/>
    </row>
    <row r="285">
      <c r="J285" s="977"/>
    </row>
    <row r="286">
      <c r="J286" s="977"/>
    </row>
    <row r="287">
      <c r="J287" s="977"/>
    </row>
    <row r="288">
      <c r="J288" s="977"/>
    </row>
    <row r="289">
      <c r="J289" s="977"/>
    </row>
    <row r="290">
      <c r="J290" s="977"/>
    </row>
    <row r="291">
      <c r="J291" s="977"/>
    </row>
    <row r="292">
      <c r="J292" s="977"/>
    </row>
    <row r="293">
      <c r="J293" s="977"/>
    </row>
    <row r="294">
      <c r="J294" s="977"/>
    </row>
    <row r="295">
      <c r="J295" s="977"/>
    </row>
    <row r="296">
      <c r="J296" s="977"/>
    </row>
    <row r="297">
      <c r="J297" s="977"/>
    </row>
    <row r="298">
      <c r="J298" s="977"/>
    </row>
    <row r="299">
      <c r="J299" s="977"/>
    </row>
    <row r="300">
      <c r="J300" s="977"/>
    </row>
    <row r="301">
      <c r="J301" s="977"/>
    </row>
    <row r="302">
      <c r="J302" s="977"/>
    </row>
    <row r="303">
      <c r="J303" s="977"/>
    </row>
    <row r="304">
      <c r="J304" s="977"/>
    </row>
    <row r="305">
      <c r="J305" s="977"/>
    </row>
    <row r="306">
      <c r="J306" s="977"/>
    </row>
    <row r="307">
      <c r="J307" s="977"/>
    </row>
    <row r="308">
      <c r="J308" s="977"/>
    </row>
    <row r="309">
      <c r="J309" s="977"/>
    </row>
    <row r="310">
      <c r="J310" s="977"/>
    </row>
    <row r="311">
      <c r="J311" s="977"/>
    </row>
    <row r="312">
      <c r="J312" s="977"/>
    </row>
    <row r="313">
      <c r="J313" s="977"/>
    </row>
    <row r="314">
      <c r="J314" s="977"/>
    </row>
    <row r="315">
      <c r="J315" s="977"/>
    </row>
    <row r="316">
      <c r="J316" s="977"/>
    </row>
    <row r="317">
      <c r="J317" s="977"/>
    </row>
    <row r="318">
      <c r="J318" s="977"/>
    </row>
    <row r="319">
      <c r="J319" s="977"/>
    </row>
    <row r="320">
      <c r="J320" s="977"/>
    </row>
    <row r="321">
      <c r="J321" s="977"/>
    </row>
    <row r="322">
      <c r="J322" s="977"/>
    </row>
    <row r="323">
      <c r="J323" s="977"/>
    </row>
    <row r="324">
      <c r="J324" s="977"/>
    </row>
    <row r="325">
      <c r="J325" s="977"/>
    </row>
    <row r="326">
      <c r="J326" s="977"/>
    </row>
    <row r="327">
      <c r="J327" s="977"/>
    </row>
    <row r="328">
      <c r="J328" s="977"/>
    </row>
    <row r="329">
      <c r="J329" s="977"/>
    </row>
    <row r="330">
      <c r="J330" s="977"/>
    </row>
    <row r="331">
      <c r="J331" s="977"/>
    </row>
    <row r="332">
      <c r="J332" s="977"/>
    </row>
    <row r="333">
      <c r="J333" s="977"/>
    </row>
    <row r="334">
      <c r="J334" s="977"/>
    </row>
    <row r="335">
      <c r="J335" s="977"/>
    </row>
    <row r="336">
      <c r="J336" s="977"/>
    </row>
    <row r="337">
      <c r="J337" s="977"/>
    </row>
    <row r="338">
      <c r="J338" s="977"/>
    </row>
    <row r="339">
      <c r="J339" s="977"/>
    </row>
    <row r="340">
      <c r="J340" s="977"/>
    </row>
    <row r="341">
      <c r="J341" s="977"/>
    </row>
    <row r="342">
      <c r="J342" s="977"/>
    </row>
    <row r="343">
      <c r="J343" s="977"/>
    </row>
    <row r="344">
      <c r="J344" s="977"/>
    </row>
    <row r="345">
      <c r="J345" s="977"/>
    </row>
    <row r="346">
      <c r="J346" s="977"/>
    </row>
    <row r="347">
      <c r="J347" s="977"/>
    </row>
    <row r="348">
      <c r="J348" s="977"/>
    </row>
    <row r="349">
      <c r="J349" s="977"/>
    </row>
    <row r="350">
      <c r="J350" s="977"/>
    </row>
    <row r="351">
      <c r="J351" s="977"/>
    </row>
    <row r="352">
      <c r="J352" s="977"/>
    </row>
    <row r="353">
      <c r="J353" s="977"/>
    </row>
    <row r="354">
      <c r="J354" s="977"/>
    </row>
    <row r="355">
      <c r="J355" s="977"/>
    </row>
    <row r="356">
      <c r="J356" s="977"/>
    </row>
    <row r="357">
      <c r="J357" s="977"/>
    </row>
    <row r="358">
      <c r="J358" s="977"/>
    </row>
    <row r="359">
      <c r="J359" s="977"/>
    </row>
    <row r="360">
      <c r="J360" s="977"/>
    </row>
    <row r="361">
      <c r="J361" s="977"/>
    </row>
    <row r="362">
      <c r="J362" s="977"/>
    </row>
    <row r="363">
      <c r="J363" s="977"/>
    </row>
    <row r="364">
      <c r="J364" s="977"/>
    </row>
    <row r="365">
      <c r="J365" s="977"/>
    </row>
    <row r="366">
      <c r="J366" s="977"/>
    </row>
    <row r="367">
      <c r="J367" s="977"/>
    </row>
    <row r="368">
      <c r="J368" s="977"/>
    </row>
    <row r="369">
      <c r="J369" s="977"/>
    </row>
    <row r="370">
      <c r="J370" s="977"/>
    </row>
    <row r="371">
      <c r="J371" s="977"/>
    </row>
    <row r="372">
      <c r="J372" s="977"/>
    </row>
    <row r="373">
      <c r="J373" s="977"/>
    </row>
    <row r="374">
      <c r="J374" s="977"/>
    </row>
    <row r="375">
      <c r="J375" s="977"/>
    </row>
    <row r="376">
      <c r="J376" s="977"/>
    </row>
    <row r="377">
      <c r="J377" s="977"/>
    </row>
    <row r="378">
      <c r="J378" s="977"/>
    </row>
    <row r="379">
      <c r="J379" s="977"/>
    </row>
    <row r="380">
      <c r="J380" s="977"/>
    </row>
    <row r="381">
      <c r="J381" s="977"/>
    </row>
    <row r="382">
      <c r="J382" s="977"/>
    </row>
    <row r="383">
      <c r="J383" s="977"/>
    </row>
    <row r="384">
      <c r="J384" s="977"/>
    </row>
    <row r="385">
      <c r="J385" s="977"/>
    </row>
    <row r="386">
      <c r="J386" s="977"/>
    </row>
    <row r="387">
      <c r="J387" s="977"/>
    </row>
    <row r="388">
      <c r="J388" s="977"/>
    </row>
    <row r="389">
      <c r="J389" s="977"/>
    </row>
    <row r="390">
      <c r="J390" s="977"/>
    </row>
    <row r="391">
      <c r="J391" s="977"/>
    </row>
    <row r="392">
      <c r="J392" s="977"/>
    </row>
    <row r="393">
      <c r="J393" s="977"/>
    </row>
    <row r="394">
      <c r="J394" s="977"/>
    </row>
    <row r="395">
      <c r="J395" s="977"/>
    </row>
    <row r="396">
      <c r="J396" s="977"/>
    </row>
    <row r="397">
      <c r="J397" s="977"/>
    </row>
    <row r="398">
      <c r="J398" s="977"/>
    </row>
    <row r="399">
      <c r="J399" s="977"/>
    </row>
    <row r="400">
      <c r="J400" s="977"/>
    </row>
    <row r="401">
      <c r="J401" s="977"/>
    </row>
    <row r="402">
      <c r="J402" s="977"/>
    </row>
    <row r="403">
      <c r="J403" s="977"/>
    </row>
    <row r="404">
      <c r="J404" s="977"/>
    </row>
    <row r="405">
      <c r="J405" s="977"/>
    </row>
    <row r="406">
      <c r="J406" s="977"/>
    </row>
    <row r="407">
      <c r="J407" s="977"/>
    </row>
    <row r="408">
      <c r="J408" s="977"/>
    </row>
    <row r="409">
      <c r="J409" s="977"/>
    </row>
    <row r="410">
      <c r="J410" s="977"/>
    </row>
    <row r="411">
      <c r="J411" s="977"/>
    </row>
    <row r="412">
      <c r="J412" s="977"/>
    </row>
    <row r="413">
      <c r="J413" s="977"/>
    </row>
    <row r="414">
      <c r="J414" s="977"/>
    </row>
    <row r="415">
      <c r="J415" s="977"/>
    </row>
    <row r="416">
      <c r="J416" s="977"/>
    </row>
    <row r="417">
      <c r="J417" s="977"/>
    </row>
    <row r="418">
      <c r="J418" s="977"/>
    </row>
    <row r="419">
      <c r="J419" s="977"/>
    </row>
    <row r="420">
      <c r="J420" s="977"/>
    </row>
    <row r="421">
      <c r="J421" s="977"/>
    </row>
    <row r="422">
      <c r="J422" s="977"/>
    </row>
    <row r="423">
      <c r="J423" s="977"/>
    </row>
    <row r="424">
      <c r="J424" s="977"/>
    </row>
    <row r="425">
      <c r="J425" s="977"/>
    </row>
    <row r="426">
      <c r="J426" s="977"/>
    </row>
    <row r="427">
      <c r="J427" s="977"/>
    </row>
    <row r="428">
      <c r="J428" s="977"/>
    </row>
    <row r="429">
      <c r="J429" s="977"/>
    </row>
    <row r="430">
      <c r="J430" s="977"/>
    </row>
    <row r="431">
      <c r="J431" s="977"/>
    </row>
    <row r="432">
      <c r="J432" s="977"/>
    </row>
    <row r="433">
      <c r="J433" s="977"/>
    </row>
    <row r="434">
      <c r="J434" s="977"/>
    </row>
    <row r="435">
      <c r="J435" s="977"/>
    </row>
    <row r="436">
      <c r="J436" s="977"/>
    </row>
    <row r="437">
      <c r="J437" s="977"/>
    </row>
    <row r="438">
      <c r="J438" s="977"/>
    </row>
    <row r="439">
      <c r="J439" s="977"/>
    </row>
    <row r="440">
      <c r="J440" s="977"/>
    </row>
    <row r="441">
      <c r="J441" s="977"/>
    </row>
    <row r="442">
      <c r="J442" s="977"/>
    </row>
    <row r="443">
      <c r="J443" s="977"/>
    </row>
    <row r="444">
      <c r="J444" s="977"/>
    </row>
    <row r="445">
      <c r="J445" s="977"/>
    </row>
    <row r="446">
      <c r="J446" s="977"/>
    </row>
    <row r="447">
      <c r="J447" s="977"/>
    </row>
    <row r="448">
      <c r="J448" s="977"/>
    </row>
    <row r="449">
      <c r="J449" s="977"/>
    </row>
    <row r="450">
      <c r="J450" s="977"/>
    </row>
    <row r="451">
      <c r="J451" s="977"/>
    </row>
    <row r="452">
      <c r="J452" s="977"/>
    </row>
    <row r="453">
      <c r="J453" s="977"/>
    </row>
    <row r="454">
      <c r="J454" s="977"/>
    </row>
    <row r="455">
      <c r="J455" s="977"/>
    </row>
    <row r="456">
      <c r="J456" s="977"/>
    </row>
    <row r="457">
      <c r="J457" s="977"/>
    </row>
    <row r="458">
      <c r="J458" s="977"/>
    </row>
    <row r="459">
      <c r="J459" s="977"/>
    </row>
    <row r="460">
      <c r="J460" s="977"/>
    </row>
    <row r="461">
      <c r="J461" s="977"/>
    </row>
    <row r="462">
      <c r="J462" s="977"/>
    </row>
    <row r="463">
      <c r="J463" s="977"/>
    </row>
    <row r="464">
      <c r="J464" s="977"/>
    </row>
    <row r="465">
      <c r="J465" s="977"/>
    </row>
    <row r="466">
      <c r="J466" s="977"/>
    </row>
    <row r="467">
      <c r="J467" s="977"/>
    </row>
    <row r="468">
      <c r="J468" s="977"/>
    </row>
    <row r="469">
      <c r="J469" s="977"/>
    </row>
    <row r="470">
      <c r="J470" s="977"/>
    </row>
    <row r="471">
      <c r="J471" s="977"/>
    </row>
    <row r="472">
      <c r="J472" s="977"/>
    </row>
    <row r="473">
      <c r="J473" s="977"/>
    </row>
    <row r="474">
      <c r="J474" s="977"/>
    </row>
    <row r="475">
      <c r="J475" s="977"/>
    </row>
    <row r="476">
      <c r="J476" s="977"/>
    </row>
    <row r="477">
      <c r="J477" s="977"/>
    </row>
    <row r="478">
      <c r="J478" s="977"/>
    </row>
    <row r="479">
      <c r="J479" s="977"/>
    </row>
    <row r="480">
      <c r="J480" s="977"/>
    </row>
    <row r="481">
      <c r="J481" s="977"/>
    </row>
    <row r="482">
      <c r="J482" s="977"/>
    </row>
    <row r="483">
      <c r="J483" s="977"/>
    </row>
    <row r="484">
      <c r="J484" s="977"/>
    </row>
    <row r="485">
      <c r="J485" s="977"/>
    </row>
    <row r="486">
      <c r="J486" s="977"/>
    </row>
    <row r="487">
      <c r="J487" s="977"/>
    </row>
    <row r="488">
      <c r="J488" s="977"/>
    </row>
    <row r="489">
      <c r="J489" s="977"/>
    </row>
    <row r="490">
      <c r="J490" s="977"/>
    </row>
    <row r="491">
      <c r="J491" s="977"/>
    </row>
    <row r="492">
      <c r="J492" s="977"/>
    </row>
    <row r="493">
      <c r="J493" s="977"/>
    </row>
    <row r="494">
      <c r="J494" s="977"/>
    </row>
    <row r="495">
      <c r="J495" s="977"/>
    </row>
    <row r="496">
      <c r="J496" s="977"/>
    </row>
    <row r="497">
      <c r="J497" s="977"/>
    </row>
    <row r="498">
      <c r="J498" s="977"/>
    </row>
    <row r="499">
      <c r="J499" s="977"/>
    </row>
    <row r="500">
      <c r="J500" s="977"/>
    </row>
    <row r="501">
      <c r="J501" s="977"/>
    </row>
    <row r="502">
      <c r="J502" s="977"/>
    </row>
    <row r="503">
      <c r="J503" s="977"/>
    </row>
    <row r="504">
      <c r="J504" s="977"/>
    </row>
    <row r="505">
      <c r="J505" s="977"/>
    </row>
    <row r="506">
      <c r="J506" s="977"/>
    </row>
    <row r="507">
      <c r="J507" s="977"/>
    </row>
    <row r="508">
      <c r="J508" s="977"/>
    </row>
    <row r="509">
      <c r="J509" s="977"/>
    </row>
    <row r="510">
      <c r="J510" s="977"/>
    </row>
    <row r="511">
      <c r="J511" s="977"/>
    </row>
    <row r="512">
      <c r="J512" s="977"/>
    </row>
    <row r="513">
      <c r="J513" s="977"/>
    </row>
    <row r="514">
      <c r="J514" s="977"/>
    </row>
    <row r="515">
      <c r="J515" s="977"/>
    </row>
    <row r="516">
      <c r="J516" s="977"/>
    </row>
    <row r="517">
      <c r="J517" s="977"/>
    </row>
    <row r="518">
      <c r="J518" s="977"/>
    </row>
    <row r="519">
      <c r="J519" s="977"/>
    </row>
    <row r="520">
      <c r="J520" s="977"/>
    </row>
    <row r="521">
      <c r="J521" s="977"/>
    </row>
    <row r="522">
      <c r="J522" s="977"/>
    </row>
    <row r="523">
      <c r="J523" s="977"/>
    </row>
    <row r="524">
      <c r="J524" s="977"/>
    </row>
    <row r="525">
      <c r="J525" s="977"/>
    </row>
    <row r="526">
      <c r="J526" s="977"/>
    </row>
    <row r="527">
      <c r="J527" s="977"/>
    </row>
    <row r="528">
      <c r="J528" s="977"/>
    </row>
    <row r="529">
      <c r="J529" s="977"/>
    </row>
    <row r="530">
      <c r="J530" s="977"/>
    </row>
    <row r="531">
      <c r="J531" s="977"/>
    </row>
    <row r="532">
      <c r="J532" s="977"/>
    </row>
    <row r="533">
      <c r="J533" s="977"/>
    </row>
    <row r="534">
      <c r="J534" s="977"/>
    </row>
    <row r="535">
      <c r="J535" s="977"/>
    </row>
    <row r="536">
      <c r="J536" s="977"/>
    </row>
    <row r="537">
      <c r="J537" s="977"/>
    </row>
    <row r="538">
      <c r="J538" s="977"/>
    </row>
    <row r="539">
      <c r="J539" s="977"/>
    </row>
    <row r="540">
      <c r="J540" s="977"/>
    </row>
    <row r="541">
      <c r="J541" s="977"/>
    </row>
    <row r="542">
      <c r="J542" s="977"/>
    </row>
    <row r="543">
      <c r="J543" s="977"/>
    </row>
    <row r="544">
      <c r="J544" s="977"/>
    </row>
    <row r="545">
      <c r="J545" s="977"/>
    </row>
    <row r="546">
      <c r="J546" s="977"/>
    </row>
    <row r="547">
      <c r="J547" s="977"/>
    </row>
    <row r="548">
      <c r="J548" s="977"/>
    </row>
    <row r="549">
      <c r="J549" s="977"/>
    </row>
    <row r="550">
      <c r="J550" s="977"/>
    </row>
    <row r="551">
      <c r="J551" s="977"/>
    </row>
    <row r="552">
      <c r="J552" s="977"/>
    </row>
    <row r="553">
      <c r="J553" s="977"/>
    </row>
    <row r="554">
      <c r="J554" s="977"/>
    </row>
    <row r="555">
      <c r="J555" s="977"/>
    </row>
    <row r="556">
      <c r="J556" s="977"/>
    </row>
    <row r="557">
      <c r="J557" s="977"/>
    </row>
    <row r="558">
      <c r="J558" s="977"/>
    </row>
    <row r="559">
      <c r="J559" s="977"/>
    </row>
    <row r="560">
      <c r="J560" s="977"/>
    </row>
    <row r="561">
      <c r="J561" s="977"/>
    </row>
    <row r="562">
      <c r="J562" s="977"/>
    </row>
    <row r="563">
      <c r="J563" s="977"/>
    </row>
    <row r="564">
      <c r="J564" s="977"/>
    </row>
    <row r="565">
      <c r="J565" s="977"/>
    </row>
    <row r="566">
      <c r="J566" s="977"/>
    </row>
    <row r="567">
      <c r="J567" s="977"/>
    </row>
    <row r="568">
      <c r="J568" s="977"/>
    </row>
    <row r="569">
      <c r="J569" s="977"/>
    </row>
    <row r="570">
      <c r="J570" s="977"/>
    </row>
    <row r="571">
      <c r="J571" s="977"/>
    </row>
    <row r="572">
      <c r="J572" s="977"/>
    </row>
    <row r="573">
      <c r="J573" s="977"/>
    </row>
    <row r="574">
      <c r="J574" s="977"/>
    </row>
    <row r="575">
      <c r="J575" s="977"/>
    </row>
    <row r="576">
      <c r="J576" s="977"/>
    </row>
    <row r="577">
      <c r="J577" s="977"/>
    </row>
    <row r="578">
      <c r="J578" s="977"/>
    </row>
    <row r="579">
      <c r="J579" s="977"/>
    </row>
    <row r="580">
      <c r="J580" s="977"/>
    </row>
    <row r="581">
      <c r="J581" s="977"/>
    </row>
    <row r="582">
      <c r="J582" s="977"/>
    </row>
    <row r="583">
      <c r="J583" s="977"/>
    </row>
    <row r="584">
      <c r="J584" s="977"/>
    </row>
    <row r="585">
      <c r="J585" s="977"/>
    </row>
    <row r="586">
      <c r="J586" s="977"/>
    </row>
    <row r="587">
      <c r="J587" s="977"/>
    </row>
    <row r="588">
      <c r="J588" s="977"/>
    </row>
    <row r="589">
      <c r="J589" s="977"/>
    </row>
    <row r="590">
      <c r="J590" s="977"/>
    </row>
    <row r="591">
      <c r="J591" s="977"/>
    </row>
    <row r="592">
      <c r="J592" s="977"/>
    </row>
    <row r="593">
      <c r="J593" s="977"/>
    </row>
    <row r="594">
      <c r="J594" s="977"/>
    </row>
    <row r="595">
      <c r="J595" s="977"/>
    </row>
    <row r="596">
      <c r="J596" s="977"/>
    </row>
    <row r="597">
      <c r="J597" s="977"/>
    </row>
    <row r="598">
      <c r="J598" s="977"/>
    </row>
    <row r="599">
      <c r="J599" s="977"/>
    </row>
    <row r="600">
      <c r="J600" s="977"/>
    </row>
    <row r="601">
      <c r="J601" s="977"/>
    </row>
    <row r="602">
      <c r="J602" s="977"/>
    </row>
    <row r="603">
      <c r="J603" s="977"/>
    </row>
    <row r="604">
      <c r="J604" s="977"/>
    </row>
    <row r="605">
      <c r="J605" s="977"/>
    </row>
    <row r="606">
      <c r="J606" s="977"/>
    </row>
    <row r="607">
      <c r="J607" s="977"/>
    </row>
    <row r="608">
      <c r="J608" s="977"/>
    </row>
    <row r="609">
      <c r="J609" s="977"/>
    </row>
    <row r="610">
      <c r="J610" s="977"/>
    </row>
    <row r="611">
      <c r="J611" s="977"/>
    </row>
    <row r="612">
      <c r="J612" s="977"/>
    </row>
    <row r="613">
      <c r="J613" s="977"/>
    </row>
    <row r="614">
      <c r="J614" s="977"/>
    </row>
    <row r="615">
      <c r="J615" s="977"/>
    </row>
    <row r="616">
      <c r="J616" s="977"/>
    </row>
    <row r="617">
      <c r="J617" s="977"/>
    </row>
    <row r="618">
      <c r="J618" s="977"/>
    </row>
    <row r="619">
      <c r="J619" s="977"/>
    </row>
    <row r="620">
      <c r="J620" s="977"/>
    </row>
    <row r="621">
      <c r="J621" s="977"/>
    </row>
    <row r="622">
      <c r="J622" s="977"/>
    </row>
    <row r="623">
      <c r="J623" s="977"/>
    </row>
    <row r="624">
      <c r="J624" s="977"/>
    </row>
    <row r="625">
      <c r="J625" s="977"/>
    </row>
    <row r="626">
      <c r="J626" s="977"/>
    </row>
    <row r="627">
      <c r="J627" s="977"/>
    </row>
    <row r="628">
      <c r="J628" s="977"/>
    </row>
    <row r="629">
      <c r="J629" s="977"/>
    </row>
    <row r="630">
      <c r="J630" s="977"/>
    </row>
    <row r="631">
      <c r="J631" s="977"/>
    </row>
    <row r="632">
      <c r="J632" s="977"/>
    </row>
    <row r="633">
      <c r="J633" s="977"/>
    </row>
    <row r="634">
      <c r="J634" s="977"/>
    </row>
    <row r="635">
      <c r="J635" s="977"/>
    </row>
    <row r="636">
      <c r="J636" s="977"/>
    </row>
    <row r="637">
      <c r="J637" s="977"/>
    </row>
    <row r="638">
      <c r="J638" s="977"/>
    </row>
    <row r="639">
      <c r="J639" s="977"/>
    </row>
    <row r="640">
      <c r="J640" s="977"/>
    </row>
    <row r="641">
      <c r="J641" s="977"/>
    </row>
    <row r="642">
      <c r="J642" s="977"/>
    </row>
    <row r="643">
      <c r="J643" s="977"/>
    </row>
    <row r="644">
      <c r="J644" s="977"/>
    </row>
    <row r="645">
      <c r="J645" s="977"/>
    </row>
    <row r="646">
      <c r="J646" s="977"/>
    </row>
    <row r="647">
      <c r="J647" s="977"/>
    </row>
    <row r="648">
      <c r="J648" s="977"/>
    </row>
    <row r="649">
      <c r="J649" s="977"/>
    </row>
    <row r="650">
      <c r="J650" s="977"/>
    </row>
    <row r="651">
      <c r="J651" s="977"/>
    </row>
    <row r="652">
      <c r="J652" s="977"/>
    </row>
    <row r="653">
      <c r="J653" s="977"/>
    </row>
    <row r="654">
      <c r="J654" s="977"/>
    </row>
    <row r="655">
      <c r="J655" s="977"/>
    </row>
    <row r="656">
      <c r="J656" s="977"/>
    </row>
    <row r="657">
      <c r="J657" s="977"/>
    </row>
    <row r="658">
      <c r="J658" s="977"/>
    </row>
    <row r="659">
      <c r="J659" s="977"/>
    </row>
    <row r="660">
      <c r="J660" s="977"/>
    </row>
    <row r="661">
      <c r="J661" s="977"/>
    </row>
    <row r="662">
      <c r="J662" s="977"/>
    </row>
    <row r="663">
      <c r="J663" s="977"/>
    </row>
    <row r="664">
      <c r="J664" s="977"/>
    </row>
    <row r="665">
      <c r="J665" s="977"/>
    </row>
    <row r="666">
      <c r="J666" s="977"/>
    </row>
    <row r="667">
      <c r="J667" s="977"/>
    </row>
    <row r="668">
      <c r="J668" s="977"/>
    </row>
    <row r="669">
      <c r="J669" s="977"/>
    </row>
    <row r="670">
      <c r="J670" s="977"/>
    </row>
    <row r="671">
      <c r="J671" s="977"/>
    </row>
    <row r="672">
      <c r="J672" s="977"/>
    </row>
    <row r="673">
      <c r="J673" s="977"/>
    </row>
    <row r="674">
      <c r="J674" s="977"/>
    </row>
    <row r="675">
      <c r="J675" s="977"/>
    </row>
    <row r="676">
      <c r="J676" s="977"/>
    </row>
    <row r="677">
      <c r="J677" s="977"/>
    </row>
    <row r="678">
      <c r="J678" s="977"/>
    </row>
    <row r="679">
      <c r="J679" s="977"/>
    </row>
    <row r="680">
      <c r="J680" s="977"/>
    </row>
    <row r="681">
      <c r="J681" s="977"/>
    </row>
    <row r="682">
      <c r="J682" s="977"/>
    </row>
    <row r="683">
      <c r="J683" s="977"/>
    </row>
    <row r="684">
      <c r="J684" s="977"/>
    </row>
    <row r="685">
      <c r="J685" s="977"/>
    </row>
    <row r="686">
      <c r="J686" s="977"/>
    </row>
    <row r="687">
      <c r="J687" s="977"/>
    </row>
    <row r="688">
      <c r="J688" s="977"/>
    </row>
    <row r="689">
      <c r="J689" s="977"/>
    </row>
    <row r="690">
      <c r="J690" s="977"/>
    </row>
    <row r="691">
      <c r="J691" s="977"/>
    </row>
    <row r="692">
      <c r="J692" s="977"/>
    </row>
    <row r="693">
      <c r="J693" s="977"/>
    </row>
    <row r="694">
      <c r="J694" s="977"/>
    </row>
    <row r="695">
      <c r="J695" s="977"/>
    </row>
    <row r="696">
      <c r="J696" s="977"/>
    </row>
    <row r="697">
      <c r="J697" s="977"/>
    </row>
    <row r="698">
      <c r="J698" s="977"/>
    </row>
    <row r="699">
      <c r="J699" s="977"/>
    </row>
    <row r="700">
      <c r="J700" s="977"/>
    </row>
    <row r="701">
      <c r="J701" s="977"/>
    </row>
    <row r="702">
      <c r="J702" s="977"/>
    </row>
    <row r="703">
      <c r="J703" s="977"/>
    </row>
    <row r="704">
      <c r="J704" s="977"/>
    </row>
    <row r="705">
      <c r="J705" s="977"/>
    </row>
    <row r="706">
      <c r="J706" s="977"/>
    </row>
    <row r="707">
      <c r="J707" s="977"/>
    </row>
    <row r="708">
      <c r="J708" s="977"/>
    </row>
    <row r="709">
      <c r="J709" s="977"/>
    </row>
    <row r="710">
      <c r="J710" s="977"/>
    </row>
    <row r="711">
      <c r="J711" s="977"/>
    </row>
    <row r="712">
      <c r="J712" s="977"/>
    </row>
    <row r="713">
      <c r="J713" s="977"/>
    </row>
    <row r="714">
      <c r="J714" s="977"/>
    </row>
    <row r="715">
      <c r="J715" s="977"/>
    </row>
    <row r="716">
      <c r="J716" s="977"/>
    </row>
    <row r="717">
      <c r="J717" s="977"/>
    </row>
    <row r="718">
      <c r="J718" s="977"/>
    </row>
    <row r="719">
      <c r="J719" s="977"/>
    </row>
    <row r="720">
      <c r="J720" s="977"/>
    </row>
    <row r="721">
      <c r="J721" s="977"/>
    </row>
    <row r="722">
      <c r="J722" s="977"/>
    </row>
    <row r="723">
      <c r="J723" s="977"/>
    </row>
    <row r="724">
      <c r="J724" s="977"/>
    </row>
    <row r="725">
      <c r="J725" s="977"/>
    </row>
    <row r="726">
      <c r="J726" s="977"/>
    </row>
    <row r="727">
      <c r="J727" s="977"/>
    </row>
    <row r="728">
      <c r="J728" s="977"/>
    </row>
    <row r="729">
      <c r="J729" s="977"/>
    </row>
    <row r="730">
      <c r="J730" s="977"/>
    </row>
    <row r="731">
      <c r="J731" s="977"/>
    </row>
    <row r="732">
      <c r="J732" s="977"/>
    </row>
    <row r="733">
      <c r="J733" s="977"/>
    </row>
    <row r="734">
      <c r="J734" s="977"/>
    </row>
    <row r="735">
      <c r="J735" s="977"/>
    </row>
    <row r="736">
      <c r="J736" s="977"/>
    </row>
    <row r="737">
      <c r="J737" s="977"/>
    </row>
    <row r="738">
      <c r="J738" s="977"/>
    </row>
    <row r="739">
      <c r="J739" s="977"/>
    </row>
    <row r="740">
      <c r="J740" s="977"/>
    </row>
    <row r="741">
      <c r="J741" s="977"/>
    </row>
    <row r="742">
      <c r="J742" s="977"/>
    </row>
    <row r="743">
      <c r="J743" s="977"/>
    </row>
    <row r="744">
      <c r="J744" s="977"/>
    </row>
    <row r="745">
      <c r="J745" s="977"/>
    </row>
    <row r="746">
      <c r="J746" s="977"/>
    </row>
    <row r="747">
      <c r="J747" s="977"/>
    </row>
    <row r="748">
      <c r="J748" s="977"/>
    </row>
    <row r="749">
      <c r="J749" s="977"/>
    </row>
    <row r="750">
      <c r="J750" s="977"/>
    </row>
    <row r="751">
      <c r="J751" s="977"/>
    </row>
    <row r="752">
      <c r="J752" s="977"/>
    </row>
    <row r="753">
      <c r="J753" s="977"/>
    </row>
    <row r="754">
      <c r="J754" s="977"/>
    </row>
    <row r="755">
      <c r="J755" s="977"/>
    </row>
    <row r="756">
      <c r="J756" s="977"/>
    </row>
    <row r="757">
      <c r="J757" s="977"/>
    </row>
    <row r="758">
      <c r="J758" s="977"/>
    </row>
    <row r="759">
      <c r="J759" s="977"/>
    </row>
    <row r="760">
      <c r="J760" s="977"/>
    </row>
    <row r="761">
      <c r="J761" s="977"/>
    </row>
    <row r="762">
      <c r="J762" s="977"/>
    </row>
    <row r="763">
      <c r="J763" s="977"/>
    </row>
    <row r="764">
      <c r="J764" s="977"/>
    </row>
    <row r="765">
      <c r="J765" s="977"/>
    </row>
    <row r="766">
      <c r="J766" s="977"/>
    </row>
    <row r="767">
      <c r="J767" s="977"/>
    </row>
    <row r="768">
      <c r="J768" s="977"/>
    </row>
    <row r="769">
      <c r="J769" s="977"/>
    </row>
    <row r="770">
      <c r="J770" s="977"/>
    </row>
    <row r="771">
      <c r="J771" s="977"/>
    </row>
    <row r="772">
      <c r="J772" s="977"/>
    </row>
    <row r="773">
      <c r="J773" s="977"/>
    </row>
    <row r="774">
      <c r="J774" s="977"/>
    </row>
    <row r="775">
      <c r="J775" s="977"/>
    </row>
    <row r="776">
      <c r="J776" s="977"/>
    </row>
    <row r="777">
      <c r="J777" s="977"/>
    </row>
    <row r="778">
      <c r="J778" s="977"/>
    </row>
    <row r="779">
      <c r="J779" s="977"/>
    </row>
    <row r="780">
      <c r="J780" s="977"/>
    </row>
    <row r="781">
      <c r="J781" s="977"/>
    </row>
    <row r="782">
      <c r="J782" s="977"/>
    </row>
    <row r="783">
      <c r="J783" s="977"/>
    </row>
    <row r="784">
      <c r="J784" s="977"/>
    </row>
    <row r="785">
      <c r="J785" s="977"/>
    </row>
    <row r="786">
      <c r="J786" s="977"/>
    </row>
    <row r="787">
      <c r="J787" s="977"/>
    </row>
    <row r="788">
      <c r="J788" s="977"/>
    </row>
    <row r="789">
      <c r="J789" s="977"/>
    </row>
    <row r="790">
      <c r="J790" s="977"/>
    </row>
    <row r="791">
      <c r="J791" s="977"/>
    </row>
    <row r="792">
      <c r="J792" s="977"/>
    </row>
    <row r="793">
      <c r="J793" s="977"/>
    </row>
    <row r="794">
      <c r="J794" s="977"/>
    </row>
    <row r="795">
      <c r="J795" s="977"/>
    </row>
    <row r="796">
      <c r="J796" s="977"/>
    </row>
    <row r="797">
      <c r="J797" s="977"/>
    </row>
    <row r="798">
      <c r="J798" s="977"/>
    </row>
    <row r="799">
      <c r="J799" s="977"/>
    </row>
    <row r="800">
      <c r="J800" s="977"/>
    </row>
    <row r="801">
      <c r="J801" s="977"/>
    </row>
    <row r="802">
      <c r="J802" s="977"/>
    </row>
    <row r="803">
      <c r="J803" s="977"/>
    </row>
    <row r="804">
      <c r="J804" s="977"/>
    </row>
    <row r="805">
      <c r="J805" s="977"/>
    </row>
    <row r="806">
      <c r="J806" s="977"/>
    </row>
    <row r="807">
      <c r="J807" s="977"/>
    </row>
    <row r="808">
      <c r="J808" s="977"/>
    </row>
    <row r="809">
      <c r="J809" s="977"/>
    </row>
    <row r="810">
      <c r="J810" s="977"/>
    </row>
    <row r="811">
      <c r="J811" s="977"/>
    </row>
    <row r="812">
      <c r="J812" s="977"/>
    </row>
    <row r="813">
      <c r="J813" s="977"/>
    </row>
    <row r="814">
      <c r="J814" s="977"/>
    </row>
    <row r="815">
      <c r="J815" s="977"/>
    </row>
    <row r="816">
      <c r="J816" s="977"/>
    </row>
    <row r="817">
      <c r="J817" s="977"/>
    </row>
    <row r="818">
      <c r="J818" s="977"/>
    </row>
    <row r="819">
      <c r="J819" s="977"/>
    </row>
    <row r="820">
      <c r="J820" s="977"/>
    </row>
    <row r="821">
      <c r="J821" s="977"/>
    </row>
    <row r="822">
      <c r="J822" s="977"/>
    </row>
    <row r="823">
      <c r="J823" s="977"/>
    </row>
    <row r="824">
      <c r="J824" s="977"/>
    </row>
    <row r="825">
      <c r="J825" s="977"/>
    </row>
    <row r="826">
      <c r="J826" s="977"/>
    </row>
    <row r="827">
      <c r="J827" s="977"/>
    </row>
    <row r="828">
      <c r="J828" s="977"/>
    </row>
    <row r="829">
      <c r="J829" s="977"/>
    </row>
    <row r="830">
      <c r="J830" s="977"/>
    </row>
    <row r="831">
      <c r="J831" s="977"/>
    </row>
    <row r="832">
      <c r="J832" s="977"/>
    </row>
    <row r="833">
      <c r="J833" s="977"/>
    </row>
    <row r="834">
      <c r="J834" s="977"/>
    </row>
    <row r="835">
      <c r="J835" s="977"/>
    </row>
    <row r="836">
      <c r="J836" s="977"/>
    </row>
    <row r="837">
      <c r="J837" s="977"/>
    </row>
    <row r="838">
      <c r="J838" s="977"/>
    </row>
    <row r="839">
      <c r="J839" s="977"/>
    </row>
    <row r="840">
      <c r="J840" s="977"/>
    </row>
    <row r="841">
      <c r="J841" s="977"/>
    </row>
    <row r="842">
      <c r="J842" s="977"/>
    </row>
    <row r="843">
      <c r="J843" s="977"/>
    </row>
    <row r="844">
      <c r="J844" s="977"/>
    </row>
    <row r="845">
      <c r="J845" s="977"/>
    </row>
    <row r="846">
      <c r="J846" s="977"/>
    </row>
    <row r="847">
      <c r="J847" s="977"/>
    </row>
    <row r="848">
      <c r="J848" s="977"/>
    </row>
    <row r="849">
      <c r="J849" s="977"/>
    </row>
    <row r="850">
      <c r="J850" s="977"/>
    </row>
    <row r="851">
      <c r="J851" s="977"/>
    </row>
    <row r="852">
      <c r="J852" s="977"/>
    </row>
    <row r="853">
      <c r="J853" s="977"/>
    </row>
    <row r="854">
      <c r="J854" s="977"/>
    </row>
    <row r="855">
      <c r="J855" s="977"/>
    </row>
    <row r="856">
      <c r="J856" s="977"/>
    </row>
    <row r="857">
      <c r="J857" s="977"/>
    </row>
    <row r="858">
      <c r="J858" s="977"/>
    </row>
    <row r="859">
      <c r="J859" s="977"/>
    </row>
    <row r="860">
      <c r="J860" s="977"/>
    </row>
    <row r="861">
      <c r="J861" s="977"/>
    </row>
    <row r="862">
      <c r="J862" s="977"/>
    </row>
    <row r="863">
      <c r="J863" s="977"/>
    </row>
    <row r="864">
      <c r="J864" s="977"/>
    </row>
    <row r="865">
      <c r="J865" s="977"/>
    </row>
    <row r="866">
      <c r="J866" s="977"/>
    </row>
    <row r="867">
      <c r="J867" s="977"/>
    </row>
    <row r="868">
      <c r="J868" s="977"/>
    </row>
    <row r="869">
      <c r="J869" s="977"/>
    </row>
    <row r="870">
      <c r="J870" s="977"/>
    </row>
    <row r="871">
      <c r="J871" s="977"/>
    </row>
    <row r="872">
      <c r="J872" s="977"/>
    </row>
    <row r="873">
      <c r="J873" s="977"/>
    </row>
    <row r="874">
      <c r="J874" s="977"/>
    </row>
    <row r="875">
      <c r="J875" s="977"/>
    </row>
    <row r="876">
      <c r="J876" s="977"/>
    </row>
    <row r="877">
      <c r="J877" s="977"/>
    </row>
    <row r="878">
      <c r="J878" s="977"/>
    </row>
    <row r="879">
      <c r="J879" s="977"/>
    </row>
    <row r="880">
      <c r="J880" s="977"/>
    </row>
    <row r="881">
      <c r="J881" s="977"/>
    </row>
    <row r="882">
      <c r="J882" s="977"/>
    </row>
    <row r="883">
      <c r="J883" s="977"/>
    </row>
    <row r="884">
      <c r="J884" s="977"/>
    </row>
    <row r="885">
      <c r="J885" s="977"/>
    </row>
    <row r="886">
      <c r="J886" s="977"/>
    </row>
    <row r="887">
      <c r="J887" s="977"/>
    </row>
    <row r="888">
      <c r="J888" s="977"/>
    </row>
    <row r="889">
      <c r="J889" s="977"/>
    </row>
    <row r="890">
      <c r="J890" s="977"/>
    </row>
    <row r="891">
      <c r="J891" s="977"/>
    </row>
    <row r="892">
      <c r="J892" s="977"/>
    </row>
    <row r="893">
      <c r="J893" s="977"/>
    </row>
    <row r="894">
      <c r="J894" s="977"/>
    </row>
    <row r="895">
      <c r="J895" s="977"/>
    </row>
    <row r="896">
      <c r="J896" s="977"/>
    </row>
    <row r="897">
      <c r="J897" s="977"/>
    </row>
    <row r="898">
      <c r="J898" s="977"/>
    </row>
    <row r="899">
      <c r="J899" s="977"/>
    </row>
    <row r="900">
      <c r="J900" s="977"/>
    </row>
    <row r="901">
      <c r="J901" s="977"/>
    </row>
    <row r="902">
      <c r="J902" s="977"/>
    </row>
    <row r="903">
      <c r="J903" s="977"/>
    </row>
    <row r="904">
      <c r="J904" s="977"/>
    </row>
    <row r="905">
      <c r="J905" s="977"/>
    </row>
    <row r="906">
      <c r="J906" s="977"/>
    </row>
    <row r="907">
      <c r="J907" s="977"/>
    </row>
    <row r="908">
      <c r="J908" s="977"/>
    </row>
    <row r="909">
      <c r="J909" s="977"/>
    </row>
    <row r="910">
      <c r="J910" s="977"/>
    </row>
    <row r="911">
      <c r="J911" s="977"/>
    </row>
    <row r="912">
      <c r="J912" s="977"/>
    </row>
    <row r="913">
      <c r="J913" s="977"/>
    </row>
    <row r="914">
      <c r="J914" s="977"/>
    </row>
    <row r="915">
      <c r="J915" s="977"/>
    </row>
    <row r="916">
      <c r="J916" s="977"/>
    </row>
    <row r="917">
      <c r="J917" s="977"/>
    </row>
    <row r="918">
      <c r="J918" s="977"/>
    </row>
    <row r="919">
      <c r="J919" s="977"/>
    </row>
    <row r="920">
      <c r="J920" s="977"/>
    </row>
    <row r="921">
      <c r="J921" s="977"/>
    </row>
    <row r="922">
      <c r="J922" s="977"/>
    </row>
    <row r="923">
      <c r="J923" s="977"/>
    </row>
    <row r="924">
      <c r="J924" s="977"/>
    </row>
    <row r="925">
      <c r="J925" s="977"/>
    </row>
    <row r="926">
      <c r="J926" s="977"/>
    </row>
    <row r="927">
      <c r="J927" s="977"/>
    </row>
    <row r="928">
      <c r="J928" s="977"/>
    </row>
    <row r="929">
      <c r="J929" s="977"/>
    </row>
    <row r="930">
      <c r="J930" s="977"/>
    </row>
    <row r="931">
      <c r="J931" s="977"/>
    </row>
    <row r="932">
      <c r="J932" s="977"/>
    </row>
    <row r="933">
      <c r="J933" s="977"/>
    </row>
    <row r="934">
      <c r="J934" s="977"/>
    </row>
    <row r="935">
      <c r="J935" s="977"/>
    </row>
    <row r="936">
      <c r="J936" s="977"/>
    </row>
    <row r="937">
      <c r="J937" s="977"/>
    </row>
    <row r="938">
      <c r="J938" s="977"/>
    </row>
    <row r="939">
      <c r="J939" s="977"/>
    </row>
    <row r="940">
      <c r="J940" s="977"/>
    </row>
    <row r="941">
      <c r="J941" s="977"/>
    </row>
    <row r="942">
      <c r="J942" s="977"/>
    </row>
    <row r="943">
      <c r="J943" s="977"/>
    </row>
    <row r="944">
      <c r="J944" s="977"/>
    </row>
    <row r="945">
      <c r="J945" s="977"/>
    </row>
    <row r="946">
      <c r="J946" s="977"/>
    </row>
    <row r="947">
      <c r="J947" s="977"/>
    </row>
    <row r="948">
      <c r="J948" s="977"/>
    </row>
    <row r="949">
      <c r="J949" s="977"/>
    </row>
    <row r="950">
      <c r="J950" s="977"/>
    </row>
    <row r="951">
      <c r="J951" s="977"/>
    </row>
    <row r="952">
      <c r="J952" s="977"/>
    </row>
    <row r="953">
      <c r="J953" s="977"/>
    </row>
    <row r="954">
      <c r="J954" s="977"/>
    </row>
    <row r="955">
      <c r="J955" s="977"/>
    </row>
    <row r="956">
      <c r="J956" s="977"/>
    </row>
    <row r="957">
      <c r="J957" s="977"/>
    </row>
    <row r="958">
      <c r="J958" s="977"/>
    </row>
    <row r="959">
      <c r="J959" s="977"/>
    </row>
    <row r="960">
      <c r="J960" s="977"/>
    </row>
    <row r="961">
      <c r="J961" s="977"/>
    </row>
    <row r="962">
      <c r="J962" s="977"/>
    </row>
    <row r="963">
      <c r="J963" s="977"/>
    </row>
    <row r="964">
      <c r="J964" s="977"/>
    </row>
    <row r="965">
      <c r="J965" s="977"/>
    </row>
    <row r="966">
      <c r="J966" s="977"/>
    </row>
    <row r="967">
      <c r="J967" s="977"/>
    </row>
    <row r="968">
      <c r="J968" s="977"/>
    </row>
    <row r="969">
      <c r="J969" s="977"/>
    </row>
    <row r="970">
      <c r="J970" s="977"/>
    </row>
    <row r="971">
      <c r="J971" s="977"/>
    </row>
    <row r="972">
      <c r="J972" s="977"/>
    </row>
    <row r="973">
      <c r="J973" s="977"/>
    </row>
    <row r="974">
      <c r="J974" s="977"/>
    </row>
    <row r="975">
      <c r="J975" s="977"/>
    </row>
    <row r="976">
      <c r="J976" s="977"/>
    </row>
    <row r="977">
      <c r="J977" s="977"/>
    </row>
    <row r="978">
      <c r="J978" s="977"/>
    </row>
    <row r="979">
      <c r="J979" s="977"/>
    </row>
    <row r="980">
      <c r="J980" s="977"/>
    </row>
    <row r="981">
      <c r="J981" s="977"/>
    </row>
    <row r="982">
      <c r="J982" s="977"/>
    </row>
    <row r="983">
      <c r="J983" s="977"/>
    </row>
    <row r="984">
      <c r="J984" s="977"/>
    </row>
    <row r="985">
      <c r="J985" s="977"/>
    </row>
    <row r="986">
      <c r="J986" s="977"/>
    </row>
    <row r="987">
      <c r="J987" s="977"/>
    </row>
    <row r="988">
      <c r="J988" s="977"/>
    </row>
    <row r="989">
      <c r="J989" s="977"/>
    </row>
    <row r="990">
      <c r="J990" s="977"/>
    </row>
    <row r="991">
      <c r="J991" s="977"/>
    </row>
    <row r="992">
      <c r="J992" s="977"/>
    </row>
    <row r="993">
      <c r="J993" s="977"/>
    </row>
    <row r="994">
      <c r="J994" s="977"/>
    </row>
    <row r="995">
      <c r="J995" s="977"/>
    </row>
    <row r="996">
      <c r="J996" s="977"/>
    </row>
    <row r="997">
      <c r="J997" s="977"/>
    </row>
    <row r="998">
      <c r="J998" s="977"/>
    </row>
    <row r="999">
      <c r="J999" s="977"/>
    </row>
    <row r="1000">
      <c r="J1000" s="977"/>
    </row>
    <row r="1001">
      <c r="J1001" s="977"/>
    </row>
    <row r="1002">
      <c r="J1002" s="977"/>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38"/>
    <col customWidth="1" min="2" max="2" width="3.25"/>
    <col customWidth="1" min="3" max="4" width="5.25"/>
    <col customWidth="1" min="5" max="6" width="16.25"/>
    <col customWidth="1" min="7" max="7" width="20.88"/>
    <col customWidth="1" min="8" max="8" width="15.63"/>
    <col customWidth="1" min="9" max="9" width="14.5"/>
    <col customWidth="1" min="10" max="10" width="13.88"/>
    <col customWidth="1" min="11" max="11" width="14.25"/>
    <col customWidth="1" min="13" max="13" width="11.38"/>
    <col customWidth="1" min="14" max="14" width="15.25"/>
    <col customWidth="1" min="15" max="15" width="14.25"/>
    <col customWidth="1" min="16" max="16" width="16.88"/>
    <col customWidth="1" min="17" max="17" width="14.13"/>
    <col customWidth="1" min="18" max="18" width="16.38"/>
    <col customWidth="1" min="19" max="19" width="15.75"/>
    <col customWidth="1" min="20" max="20" width="14.25"/>
    <col hidden="1" min="23" max="23" width="12.63"/>
    <col customWidth="1" min="26" max="26" width="18.0"/>
    <col customWidth="1" min="28" max="28" width="20.88"/>
  </cols>
  <sheetData>
    <row r="1" ht="40.5" customHeight="1">
      <c r="A1" s="1"/>
      <c r="B1" s="2"/>
      <c r="C1" s="3" t="s">
        <v>0</v>
      </c>
      <c r="D1" s="4"/>
      <c r="E1" s="5" t="s">
        <v>1</v>
      </c>
      <c r="F1" s="6"/>
      <c r="G1" s="7" t="s">
        <v>2</v>
      </c>
      <c r="H1" s="8"/>
      <c r="I1" s="4"/>
      <c r="J1" s="9" t="s">
        <v>3</v>
      </c>
      <c r="K1" s="8"/>
      <c r="L1" s="8"/>
      <c r="M1" s="4"/>
      <c r="N1" s="10" t="s">
        <v>4</v>
      </c>
      <c r="O1" s="4"/>
      <c r="P1" s="10" t="s">
        <v>5</v>
      </c>
      <c r="Q1" s="4"/>
      <c r="R1" s="10" t="s">
        <v>6</v>
      </c>
      <c r="S1" s="4"/>
      <c r="T1" s="9" t="s">
        <v>7</v>
      </c>
      <c r="U1" s="8"/>
      <c r="V1" s="4"/>
      <c r="W1" s="11" t="s">
        <v>8</v>
      </c>
      <c r="X1" s="12" t="s">
        <v>0</v>
      </c>
      <c r="Y1" s="13"/>
      <c r="Z1" s="11" t="s">
        <v>9</v>
      </c>
      <c r="AA1" s="14"/>
      <c r="AB1" s="11" t="s">
        <v>10</v>
      </c>
      <c r="AC1" s="15" t="s">
        <v>11</v>
      </c>
      <c r="AD1" s="16">
        <f>1/24/60</f>
        <v>0.0006944444444</v>
      </c>
      <c r="AE1" s="16"/>
      <c r="AF1" s="17"/>
      <c r="AG1" s="17"/>
      <c r="AH1" s="17"/>
    </row>
    <row r="2" ht="40.5" customHeight="1">
      <c r="A2" s="887" t="s">
        <v>497</v>
      </c>
      <c r="B2" s="19">
        <v>1.0</v>
      </c>
      <c r="C2" s="20" t="s">
        <v>12</v>
      </c>
      <c r="D2" s="20" t="s">
        <v>13</v>
      </c>
      <c r="E2" s="21" t="s">
        <v>14960</v>
      </c>
      <c r="F2" s="22"/>
      <c r="G2" s="23" t="s">
        <v>14961</v>
      </c>
      <c r="H2" s="24"/>
      <c r="I2" s="25"/>
      <c r="J2" s="21" t="s">
        <v>14962</v>
      </c>
      <c r="K2" s="24"/>
      <c r="L2" s="24"/>
      <c r="M2" s="25"/>
      <c r="N2" s="21" t="s">
        <v>14963</v>
      </c>
      <c r="O2" s="25"/>
      <c r="P2" s="21" t="s">
        <v>14964</v>
      </c>
      <c r="Q2" s="25"/>
      <c r="R2" s="21" t="s">
        <v>14965</v>
      </c>
      <c r="S2" s="25"/>
      <c r="T2" s="21" t="s">
        <v>14966</v>
      </c>
      <c r="U2" s="24"/>
      <c r="V2" s="22"/>
      <c r="W2" s="26"/>
      <c r="X2" s="27" t="s">
        <v>12</v>
      </c>
      <c r="Y2" s="27" t="s">
        <v>13</v>
      </c>
      <c r="Z2" s="28"/>
      <c r="AA2" s="14"/>
      <c r="AB2" s="15"/>
      <c r="AC2" s="14"/>
      <c r="AD2" s="14"/>
      <c r="AE2" s="14"/>
      <c r="AF2" s="29"/>
      <c r="AG2" s="29"/>
      <c r="AH2" s="29"/>
    </row>
    <row r="3" ht="40.5" customHeight="1">
      <c r="A3" s="30"/>
      <c r="B3" s="31">
        <v>2.0</v>
      </c>
      <c r="C3" s="32" t="s">
        <v>21</v>
      </c>
      <c r="D3" s="32" t="s">
        <v>22</v>
      </c>
      <c r="E3" s="33" t="s">
        <v>14967</v>
      </c>
      <c r="F3" s="34" t="s">
        <v>14968</v>
      </c>
      <c r="G3" s="35" t="s">
        <v>25</v>
      </c>
      <c r="H3" s="36"/>
      <c r="I3" s="13"/>
      <c r="J3" s="37" t="s">
        <v>14969</v>
      </c>
      <c r="K3" s="13"/>
      <c r="L3" s="38" t="s">
        <v>14970</v>
      </c>
      <c r="M3" s="13"/>
      <c r="N3" s="37" t="s">
        <v>14971</v>
      </c>
      <c r="O3" s="13"/>
      <c r="P3" s="37" t="s">
        <v>14972</v>
      </c>
      <c r="Q3" s="13"/>
      <c r="R3" s="39" t="s">
        <v>14973</v>
      </c>
      <c r="S3" s="40" t="s">
        <v>14974</v>
      </c>
      <c r="T3" s="37" t="s">
        <v>32</v>
      </c>
      <c r="U3" s="36"/>
      <c r="V3" s="41"/>
      <c r="W3" s="26"/>
      <c r="X3" s="42" t="s">
        <v>21</v>
      </c>
      <c r="Y3" s="42" t="s">
        <v>22</v>
      </c>
      <c r="Z3" s="28"/>
      <c r="AA3" s="14"/>
      <c r="AB3" s="15" t="str">
        <f>IFERROR(__xludf.DUMMYFUNCTION("join("","",filter(split($H$83,"",""),ARRAYFORMULA(ISERROR(FIND(split($H$83,"",""),CONCATENATE(E3:V3))))=TRUE))"),"201,404,405,406,410,АЗ")</f>
        <v>201,404,405,406,410,АЗ</v>
      </c>
      <c r="AC3" s="14"/>
      <c r="AD3" s="14"/>
      <c r="AE3" s="14"/>
      <c r="AF3" s="29"/>
      <c r="AG3" s="29"/>
      <c r="AH3" s="29"/>
    </row>
    <row r="4" ht="40.5" customHeight="1">
      <c r="A4" s="30"/>
      <c r="B4" s="31">
        <v>3.0</v>
      </c>
      <c r="C4" s="32" t="s">
        <v>33</v>
      </c>
      <c r="D4" s="32" t="s">
        <v>34</v>
      </c>
      <c r="E4" s="33" t="s">
        <v>14975</v>
      </c>
      <c r="F4" s="39" t="s">
        <v>14976</v>
      </c>
      <c r="G4" s="43" t="s">
        <v>14977</v>
      </c>
      <c r="H4" s="44" t="s">
        <v>14978</v>
      </c>
      <c r="I4" s="45" t="s">
        <v>14979</v>
      </c>
      <c r="J4" s="46" t="s">
        <v>14980</v>
      </c>
      <c r="K4" s="13"/>
      <c r="L4" s="45" t="s">
        <v>14981</v>
      </c>
      <c r="M4" s="13"/>
      <c r="N4" s="37" t="s">
        <v>14982</v>
      </c>
      <c r="O4" s="13"/>
      <c r="P4" s="37" t="s">
        <v>14983</v>
      </c>
      <c r="Q4" s="13"/>
      <c r="R4" s="39" t="s">
        <v>14984</v>
      </c>
      <c r="S4" s="40" t="s">
        <v>14985</v>
      </c>
      <c r="T4" s="37" t="s">
        <v>46</v>
      </c>
      <c r="U4" s="36"/>
      <c r="V4" s="41"/>
      <c r="W4" s="26"/>
      <c r="X4" s="42" t="s">
        <v>33</v>
      </c>
      <c r="Y4" s="42" t="s">
        <v>34</v>
      </c>
      <c r="Z4" s="48" t="s">
        <v>47</v>
      </c>
      <c r="AA4" s="14"/>
      <c r="AB4" s="15" t="str">
        <f>IFERROR(__xludf.DUMMYFUNCTION("join("","",filter(split($H$83,"",""),ARRAYFORMULA(ISERROR(FIND(split($H$83,"",""),CONCATENATE(E4:V4))))=TRUE))"),"КЗ,201,202,404,406,АЗ")</f>
        <v>КЗ,201,202,404,406,АЗ</v>
      </c>
      <c r="AC4" s="14"/>
      <c r="AD4" s="14"/>
      <c r="AE4" s="14"/>
      <c r="AF4" s="29"/>
      <c r="AG4" s="29"/>
      <c r="AH4" s="29"/>
    </row>
    <row r="5" ht="40.5" customHeight="1">
      <c r="A5" s="30"/>
      <c r="B5" s="31">
        <v>4.0</v>
      </c>
      <c r="C5" s="32" t="s">
        <v>48</v>
      </c>
      <c r="D5" s="32" t="s">
        <v>49</v>
      </c>
      <c r="E5" s="33" t="s">
        <v>14986</v>
      </c>
      <c r="F5" s="39" t="s">
        <v>14987</v>
      </c>
      <c r="G5" s="43" t="s">
        <v>14988</v>
      </c>
      <c r="H5" s="45" t="s">
        <v>14989</v>
      </c>
      <c r="I5" s="13"/>
      <c r="J5" s="33" t="s">
        <v>14990</v>
      </c>
      <c r="K5" s="44" t="s">
        <v>14991</v>
      </c>
      <c r="L5" s="44" t="s">
        <v>14992</v>
      </c>
      <c r="M5" s="45" t="s">
        <v>14993</v>
      </c>
      <c r="N5" s="37" t="s">
        <v>10288</v>
      </c>
      <c r="O5" s="13"/>
      <c r="P5" s="37" t="s">
        <v>14994</v>
      </c>
      <c r="Q5" s="13"/>
      <c r="R5" s="51" t="s">
        <v>14995</v>
      </c>
      <c r="S5" s="13"/>
      <c r="T5" s="52" t="s">
        <v>14996</v>
      </c>
      <c r="U5" s="36"/>
      <c r="V5" s="41"/>
      <c r="W5" s="26"/>
      <c r="X5" s="42" t="s">
        <v>48</v>
      </c>
      <c r="Y5" s="42" t="s">
        <v>49</v>
      </c>
      <c r="Z5" s="48" t="s">
        <v>57</v>
      </c>
      <c r="AA5" s="14"/>
      <c r="AB5" s="15" t="str">
        <f>IFERROR(__xludf.DUMMYFUNCTION("join("","",filter(split($H$83,"",""),ARRAYFORMULA(ISERROR(FIND(split($H$83,"",""),CONCATENATE(E5:V5))))=TRUE))"),"СЗ,КЗ,202,206,406")</f>
        <v>СЗ,КЗ,202,206,406</v>
      </c>
      <c r="AC5" s="14"/>
      <c r="AD5" s="14"/>
      <c r="AE5" s="14"/>
      <c r="AF5" s="29"/>
      <c r="AG5" s="29"/>
      <c r="AH5" s="29"/>
    </row>
    <row r="6" ht="40.5" customHeight="1">
      <c r="A6" s="30"/>
      <c r="B6" s="31">
        <v>5.0</v>
      </c>
      <c r="C6" s="32" t="s">
        <v>58</v>
      </c>
      <c r="D6" s="53">
        <v>44847.0</v>
      </c>
      <c r="E6" s="39" t="s">
        <v>14997</v>
      </c>
      <c r="F6" s="34" t="s">
        <v>14998</v>
      </c>
      <c r="G6" s="43" t="s">
        <v>14999</v>
      </c>
      <c r="H6" s="45" t="s">
        <v>15000</v>
      </c>
      <c r="I6" s="13"/>
      <c r="J6" s="33" t="s">
        <v>15001</v>
      </c>
      <c r="K6" s="44" t="s">
        <v>64</v>
      </c>
      <c r="L6" s="44" t="s">
        <v>15002</v>
      </c>
      <c r="M6" s="45" t="s">
        <v>15003</v>
      </c>
      <c r="N6" s="37" t="s">
        <v>10277</v>
      </c>
      <c r="O6" s="13"/>
      <c r="P6" s="37" t="s">
        <v>15004</v>
      </c>
      <c r="Q6" s="13"/>
      <c r="R6" s="51" t="s">
        <v>15005</v>
      </c>
      <c r="S6" s="13"/>
      <c r="T6" s="52" t="s">
        <v>15006</v>
      </c>
      <c r="U6" s="36"/>
      <c r="V6" s="41"/>
      <c r="W6" s="26"/>
      <c r="X6" s="42" t="s">
        <v>58</v>
      </c>
      <c r="Y6" s="54">
        <v>44847.0</v>
      </c>
      <c r="Z6" s="48" t="s">
        <v>70</v>
      </c>
      <c r="AA6" s="14"/>
      <c r="AB6" s="15" t="str">
        <f>IFERROR(__xludf.DUMMYFUNCTION("join("","",filter(split($H$83,"",""),ARRAYFORMULA(ISERROR(FIND(split($H$83,"",""),CONCATENATE(E6:V6))))=TRUE))"),"СЗ,КЗ,202,206,406")</f>
        <v>СЗ,КЗ,202,206,406</v>
      </c>
      <c r="AC6" s="14"/>
      <c r="AD6" s="14"/>
      <c r="AE6" s="14"/>
      <c r="AF6" s="29"/>
      <c r="AG6" s="29"/>
      <c r="AH6" s="29"/>
    </row>
    <row r="7" ht="42.0" customHeight="1">
      <c r="A7" s="30"/>
      <c r="B7" s="31">
        <v>6.0</v>
      </c>
      <c r="C7" s="55" t="s">
        <v>71</v>
      </c>
      <c r="D7" s="56" t="s">
        <v>72</v>
      </c>
      <c r="E7" s="39" t="s">
        <v>15007</v>
      </c>
      <c r="F7" s="34" t="s">
        <v>15008</v>
      </c>
      <c r="G7" s="43" t="s">
        <v>15009</v>
      </c>
      <c r="H7" s="45" t="s">
        <v>15010</v>
      </c>
      <c r="I7" s="13"/>
      <c r="J7" s="37" t="s">
        <v>15011</v>
      </c>
      <c r="K7" s="13"/>
      <c r="L7" s="45" t="s">
        <v>15012</v>
      </c>
      <c r="M7" s="13"/>
      <c r="N7" s="37" t="s">
        <v>15013</v>
      </c>
      <c r="O7" s="13"/>
      <c r="P7" s="37" t="s">
        <v>15014</v>
      </c>
      <c r="Q7" s="13"/>
      <c r="R7" s="57" t="s">
        <v>15015</v>
      </c>
      <c r="T7" s="33" t="s">
        <v>15016</v>
      </c>
      <c r="U7" s="45" t="s">
        <v>15017</v>
      </c>
      <c r="V7" s="41"/>
      <c r="W7" s="26"/>
      <c r="X7" s="58" t="s">
        <v>71</v>
      </c>
      <c r="Y7" s="59" t="s">
        <v>72</v>
      </c>
      <c r="Z7" s="48" t="s">
        <v>84</v>
      </c>
      <c r="AA7" s="14"/>
      <c r="AB7" s="15" t="str">
        <f>IFERROR(__xludf.DUMMYFUNCTION("join("","",filter(split($H$83,"",""),ARRAYFORMULA(ISERROR(FIND(split($H$83,"",""),CONCATENATE(E7:V7))))=TRUE))"),"КЗ,202,206,403,406,АЗ")</f>
        <v>КЗ,202,206,403,406,АЗ</v>
      </c>
      <c r="AC7" s="14"/>
      <c r="AD7" s="14"/>
      <c r="AE7" s="14"/>
      <c r="AF7" s="29"/>
      <c r="AG7" s="29"/>
      <c r="AH7" s="29"/>
    </row>
    <row r="8" ht="42.0" customHeight="1">
      <c r="A8" s="30"/>
      <c r="B8" s="31">
        <v>7.0</v>
      </c>
      <c r="C8" s="32" t="s">
        <v>85</v>
      </c>
      <c r="D8" s="32" t="s">
        <v>86</v>
      </c>
      <c r="E8" s="319" t="s">
        <v>15018</v>
      </c>
      <c r="F8" s="39" t="s">
        <v>15019</v>
      </c>
      <c r="G8" s="43" t="s">
        <v>15020</v>
      </c>
      <c r="H8" s="45" t="s">
        <v>15021</v>
      </c>
      <c r="I8" s="13"/>
      <c r="J8" s="37" t="s">
        <v>15022</v>
      </c>
      <c r="K8" s="13"/>
      <c r="L8" s="45" t="s">
        <v>15023</v>
      </c>
      <c r="M8" s="13"/>
      <c r="N8" s="37" t="s">
        <v>15024</v>
      </c>
      <c r="O8" s="13"/>
      <c r="P8" s="37" t="s">
        <v>15025</v>
      </c>
      <c r="Q8" s="13"/>
      <c r="R8" s="37" t="s">
        <v>15026</v>
      </c>
      <c r="S8" s="13"/>
      <c r="T8" s="43" t="s">
        <v>15027</v>
      </c>
      <c r="U8" s="45" t="s">
        <v>15028</v>
      </c>
      <c r="V8" s="41"/>
      <c r="W8" s="26"/>
      <c r="X8" s="42" t="s">
        <v>85</v>
      </c>
      <c r="Y8" s="42" t="s">
        <v>86</v>
      </c>
      <c r="Z8" s="48" t="s">
        <v>97</v>
      </c>
      <c r="AA8" s="14"/>
      <c r="AB8" s="15" t="str">
        <f>IFERROR(__xludf.DUMMYFUNCTION("join("","",filter(split($H$83,"",""),ARRAYFORMULA(ISERROR(FIND(split($H$83,"",""),CONCATENATE(E8:V8))))=TRUE))"),"КЗ,202,206,406,409,410,АЗ")</f>
        <v>КЗ,202,206,406,409,410,АЗ</v>
      </c>
      <c r="AC8" s="14"/>
      <c r="AD8" s="14"/>
      <c r="AE8" s="14"/>
      <c r="AF8" s="29"/>
      <c r="AG8" s="29"/>
      <c r="AH8" s="29"/>
    </row>
    <row r="9" ht="40.5" customHeight="1">
      <c r="A9" s="30"/>
      <c r="B9" s="31">
        <v>8.0</v>
      </c>
      <c r="C9" s="32" t="s">
        <v>98</v>
      </c>
      <c r="D9" s="32" t="s">
        <v>99</v>
      </c>
      <c r="E9" s="39" t="s">
        <v>15029</v>
      </c>
      <c r="F9" s="319" t="s">
        <v>15030</v>
      </c>
      <c r="G9" s="43" t="s">
        <v>15031</v>
      </c>
      <c r="H9" s="45" t="s">
        <v>15032</v>
      </c>
      <c r="I9" s="13"/>
      <c r="J9" s="37" t="s">
        <v>15033</v>
      </c>
      <c r="K9" s="13"/>
      <c r="L9" s="45" t="s">
        <v>15034</v>
      </c>
      <c r="M9" s="13"/>
      <c r="N9" s="61" t="s">
        <v>15035</v>
      </c>
      <c r="O9" s="13"/>
      <c r="P9" s="62" t="s">
        <v>15036</v>
      </c>
      <c r="Q9" s="45" t="s">
        <v>15037</v>
      </c>
      <c r="R9" s="63" t="s">
        <v>108</v>
      </c>
      <c r="S9" s="64"/>
      <c r="T9" s="64"/>
      <c r="U9" s="64"/>
      <c r="V9" s="64"/>
      <c r="W9" s="26"/>
      <c r="X9" s="42" t="s">
        <v>98</v>
      </c>
      <c r="Y9" s="42" t="s">
        <v>99</v>
      </c>
      <c r="Z9" s="11"/>
      <c r="AA9" s="14"/>
      <c r="AB9" s="15" t="str">
        <f>IFERROR(__xludf.DUMMYFUNCTION("join("","",filter(split($H$83,"",""),ARRAYFORMULA(ISERROR(FIND(split($H$83,"",""),CONCATENATE(E9:V9))))=TRUE))"),"КЗ,206,405,406,409,410,АЗ")</f>
        <v>КЗ,206,405,406,409,410,АЗ</v>
      </c>
      <c r="AC9" s="14"/>
      <c r="AD9" s="14"/>
      <c r="AE9" s="14"/>
      <c r="AF9" s="29"/>
      <c r="AG9" s="29"/>
      <c r="AH9" s="29"/>
    </row>
    <row r="10" ht="75.75" customHeight="1">
      <c r="A10" s="30"/>
      <c r="B10" s="31">
        <v>9.0</v>
      </c>
      <c r="C10" s="65">
        <v>44697.0</v>
      </c>
      <c r="D10" s="44" t="s">
        <v>109</v>
      </c>
      <c r="E10" s="66" t="s">
        <v>15038</v>
      </c>
      <c r="F10" s="67"/>
      <c r="G10" s="43" t="s">
        <v>15039</v>
      </c>
      <c r="H10" s="45" t="s">
        <v>15040</v>
      </c>
      <c r="I10" s="13"/>
      <c r="J10" s="37" t="s">
        <v>15041</v>
      </c>
      <c r="K10" s="13"/>
      <c r="L10" s="45" t="s">
        <v>15042</v>
      </c>
      <c r="M10" s="13"/>
      <c r="N10" s="61" t="s">
        <v>15043</v>
      </c>
      <c r="O10" s="13"/>
      <c r="P10" s="62" t="s">
        <v>15044</v>
      </c>
      <c r="Q10" s="68" t="s">
        <v>117</v>
      </c>
      <c r="R10" s="37" t="s">
        <v>15045</v>
      </c>
      <c r="S10" s="68" t="s">
        <v>15046</v>
      </c>
      <c r="T10" s="36"/>
      <c r="U10" s="36"/>
      <c r="V10" s="41"/>
      <c r="W10" s="26"/>
      <c r="X10" s="69">
        <v>44697.0</v>
      </c>
      <c r="Y10" s="70" t="s">
        <v>109</v>
      </c>
      <c r="Z10" s="28"/>
      <c r="AA10" s="14"/>
      <c r="AB10" s="15" t="str">
        <f>IFERROR(__xludf.DUMMYFUNCTION("join("","",filter(split($H$83,"",""),ARRAYFORMULA(ISERROR(FIND(split($H$83,"",""),CONCATENATE(E10:V10))))=TRUE))"),"КЗ,206,210,403,405,406,408,409,АЗ")</f>
        <v>КЗ,206,210,403,405,406,408,409,АЗ</v>
      </c>
      <c r="AC10" s="14"/>
      <c r="AD10" s="14"/>
      <c r="AE10" s="14"/>
      <c r="AF10" s="29"/>
      <c r="AG10" s="29"/>
      <c r="AH10" s="29"/>
    </row>
    <row r="11" ht="49.5" customHeight="1">
      <c r="A11" s="30"/>
      <c r="B11" s="31">
        <v>10.0</v>
      </c>
      <c r="C11" s="44" t="s">
        <v>120</v>
      </c>
      <c r="D11" s="44" t="s">
        <v>121</v>
      </c>
      <c r="E11" s="71" t="s">
        <v>122</v>
      </c>
      <c r="F11" s="64"/>
      <c r="G11" s="64"/>
      <c r="H11" s="64"/>
      <c r="I11" s="64"/>
      <c r="J11" s="64"/>
      <c r="K11" s="64"/>
      <c r="L11" s="64"/>
      <c r="M11" s="64"/>
      <c r="N11" s="64"/>
      <c r="O11" s="64"/>
      <c r="P11" s="64"/>
      <c r="Q11" s="64"/>
      <c r="R11" s="64"/>
      <c r="S11" s="72"/>
      <c r="T11" s="73" t="s">
        <v>15047</v>
      </c>
      <c r="U11" s="36"/>
      <c r="V11" s="41"/>
      <c r="W11" s="26"/>
      <c r="X11" s="70" t="s">
        <v>120</v>
      </c>
      <c r="Y11" s="70" t="s">
        <v>121</v>
      </c>
      <c r="Z11" s="28"/>
      <c r="AA11" s="14"/>
      <c r="AB11" s="15" t="str">
        <f>IFERROR(__xludf.DUMMYFUNCTION("join("","",filter(split($H$83,"",""),ARRAYFORMULA(ISERROR(FIND(split($H$83,"",""),CONCATENATE(F11:V11))))=TRUE))"),"СЗ,КЗ,201,202,206,209,210,401,402,403,404,405,406,408,409,410")</f>
        <v>СЗ,КЗ,201,202,206,209,210,401,402,403,404,405,406,408,409,410</v>
      </c>
      <c r="AC11" s="14"/>
      <c r="AD11" s="14"/>
      <c r="AE11" s="14"/>
      <c r="AF11" s="29"/>
      <c r="AG11" s="29"/>
      <c r="AH11" s="29"/>
    </row>
    <row r="12" ht="40.5" customHeight="1">
      <c r="A12" s="74"/>
      <c r="B12" s="75">
        <v>11.0</v>
      </c>
      <c r="C12" s="76" t="s">
        <v>124</v>
      </c>
      <c r="D12" s="76" t="s">
        <v>125</v>
      </c>
      <c r="E12" s="76"/>
      <c r="F12" s="76"/>
      <c r="G12" s="76"/>
      <c r="H12" s="76"/>
      <c r="I12" s="76"/>
      <c r="J12" s="76"/>
      <c r="K12" s="76"/>
      <c r="L12" s="76"/>
      <c r="M12" s="76"/>
      <c r="N12" s="76"/>
      <c r="O12" s="76"/>
      <c r="P12" s="76"/>
      <c r="Q12" s="76"/>
      <c r="R12" s="76"/>
      <c r="S12" s="76"/>
      <c r="T12" s="77"/>
      <c r="U12" s="77"/>
      <c r="V12" s="78"/>
      <c r="W12" s="26"/>
      <c r="X12" s="79" t="s">
        <v>124</v>
      </c>
      <c r="Y12" s="79" t="s">
        <v>125</v>
      </c>
      <c r="Z12" s="28"/>
      <c r="AA12" s="14"/>
      <c r="AB12" s="15" t="str">
        <f>IFERROR(__xludf.DUMMYFUNCTION("join("","",filter(split($H$83,"",""),ARRAYFORMULA(ISERROR(FIND(split($H$83,"",""),CONCATENATE(E12:V12))))=TRUE))"),"СЗ,КЗ,201,202,206,209,210,401,402,403,404,405,406,408,409,410,АЗ")</f>
        <v>СЗ,КЗ,201,202,206,209,210,401,402,403,404,405,406,408,409,410,АЗ</v>
      </c>
      <c r="AC12" s="14"/>
      <c r="AD12" s="14"/>
      <c r="AE12" s="14"/>
      <c r="AF12" s="29"/>
      <c r="AG12" s="29"/>
      <c r="AH12" s="29"/>
    </row>
    <row r="13" ht="40.5" customHeight="1">
      <c r="A13" s="887" t="s">
        <v>550</v>
      </c>
      <c r="B13" s="19">
        <v>1.0</v>
      </c>
      <c r="C13" s="20" t="s">
        <v>12</v>
      </c>
      <c r="D13" s="20" t="s">
        <v>13</v>
      </c>
      <c r="E13" s="80" t="s">
        <v>15048</v>
      </c>
      <c r="F13" s="25"/>
      <c r="G13" s="81" t="s">
        <v>15049</v>
      </c>
      <c r="H13" s="80" t="s">
        <v>15050</v>
      </c>
      <c r="I13" s="22"/>
      <c r="J13" s="23" t="s">
        <v>15051</v>
      </c>
      <c r="K13" s="25"/>
      <c r="L13" s="80" t="s">
        <v>15052</v>
      </c>
      <c r="M13" s="25"/>
      <c r="N13" s="82" t="s">
        <v>15053</v>
      </c>
      <c r="O13" s="25"/>
      <c r="P13" s="21" t="s">
        <v>15054</v>
      </c>
      <c r="Q13" s="22"/>
      <c r="R13" s="23" t="s">
        <v>15055</v>
      </c>
      <c r="S13" s="22"/>
      <c r="T13" s="84" t="s">
        <v>15056</v>
      </c>
      <c r="U13" s="80" t="s">
        <v>15057</v>
      </c>
      <c r="V13" s="22"/>
      <c r="W13" s="26"/>
      <c r="X13" s="27" t="s">
        <v>12</v>
      </c>
      <c r="Y13" s="27" t="s">
        <v>13</v>
      </c>
      <c r="Z13" s="28"/>
      <c r="AA13" s="85"/>
      <c r="AB13" s="15" t="str">
        <f>IFERROR(__xludf.DUMMYFUNCTION("join("","",filter(split($H$83,"",""),ARRAYFORMULA(ISERROR(FIND(split($H$83,"",""),CONCATENATE(E13:V13))))=TRUE))"),"СЗ,КЗ,202,206,403,410,АЗ")</f>
        <v>СЗ,КЗ,202,206,403,410,АЗ</v>
      </c>
      <c r="AC13" s="14"/>
      <c r="AD13" s="14"/>
      <c r="AE13" s="14"/>
      <c r="AF13" s="29"/>
      <c r="AG13" s="29"/>
      <c r="AH13" s="29"/>
    </row>
    <row r="14" ht="40.5" customHeight="1">
      <c r="A14" s="30"/>
      <c r="B14" s="31">
        <v>2.0</v>
      </c>
      <c r="C14" s="32" t="s">
        <v>21</v>
      </c>
      <c r="D14" s="32" t="s">
        <v>22</v>
      </c>
      <c r="E14" s="45" t="s">
        <v>15058</v>
      </c>
      <c r="F14" s="13"/>
      <c r="G14" s="46" t="s">
        <v>15059</v>
      </c>
      <c r="H14" s="86" t="s">
        <v>15060</v>
      </c>
      <c r="I14" s="41"/>
      <c r="J14" s="35" t="s">
        <v>15061</v>
      </c>
      <c r="K14" s="13"/>
      <c r="L14" s="45" t="s">
        <v>15062</v>
      </c>
      <c r="M14" s="13"/>
      <c r="N14" s="87" t="s">
        <v>15063</v>
      </c>
      <c r="O14" s="13"/>
      <c r="P14" s="21" t="s">
        <v>15064</v>
      </c>
      <c r="Q14" s="22"/>
      <c r="R14" s="35" t="s">
        <v>15065</v>
      </c>
      <c r="S14" s="41"/>
      <c r="T14" s="43" t="s">
        <v>15066</v>
      </c>
      <c r="U14" s="45" t="s">
        <v>15067</v>
      </c>
      <c r="V14" s="41"/>
      <c r="W14" s="26"/>
      <c r="X14" s="42" t="s">
        <v>21</v>
      </c>
      <c r="Y14" s="42" t="s">
        <v>22</v>
      </c>
      <c r="Z14" s="28"/>
      <c r="AA14" s="85"/>
      <c r="AB14" s="15" t="str">
        <f>IFERROR(__xludf.DUMMYFUNCTION("join("","",filter(split($H$83,"",""),ARRAYFORMULA(ISERROR(FIND(split($H$83,"",""),CONCATENATE(E14:V14))))=TRUE))"),"СЗ,КЗ,202,206,403,410,АЗ")</f>
        <v>СЗ,КЗ,202,206,403,410,АЗ</v>
      </c>
      <c r="AC14" s="14"/>
      <c r="AD14" s="14"/>
      <c r="AE14" s="14"/>
      <c r="AF14" s="29"/>
      <c r="AG14" s="29"/>
      <c r="AH14" s="29"/>
    </row>
    <row r="15" ht="40.5" customHeight="1">
      <c r="A15" s="30"/>
      <c r="B15" s="31">
        <v>3.0</v>
      </c>
      <c r="C15" s="32" t="s">
        <v>33</v>
      </c>
      <c r="D15" s="32" t="s">
        <v>34</v>
      </c>
      <c r="E15" s="40" t="s">
        <v>15068</v>
      </c>
      <c r="F15" s="13"/>
      <c r="G15" s="37" t="s">
        <v>15069</v>
      </c>
      <c r="H15" s="36"/>
      <c r="I15" s="41"/>
      <c r="J15" s="35" t="s">
        <v>15070</v>
      </c>
      <c r="K15" s="13"/>
      <c r="L15" s="45" t="s">
        <v>15071</v>
      </c>
      <c r="M15" s="13"/>
      <c r="N15" s="89" t="s">
        <v>15072</v>
      </c>
      <c r="O15" s="13"/>
      <c r="P15" s="37" t="s">
        <v>15073</v>
      </c>
      <c r="Q15" s="90" t="s">
        <v>15074</v>
      </c>
      <c r="R15" s="43" t="s">
        <v>15075</v>
      </c>
      <c r="S15" s="34" t="s">
        <v>15076</v>
      </c>
      <c r="T15" s="91" t="s">
        <v>15077</v>
      </c>
      <c r="U15" s="36"/>
      <c r="V15" s="41"/>
      <c r="W15" s="26"/>
      <c r="X15" s="42" t="s">
        <v>33</v>
      </c>
      <c r="Y15" s="42" t="s">
        <v>34</v>
      </c>
      <c r="Z15" s="48" t="s">
        <v>47</v>
      </c>
      <c r="AA15" s="85" t="str">
        <f>AA$5</f>
        <v/>
      </c>
      <c r="AB15" s="15" t="str">
        <f>IFERROR(__xludf.DUMMYFUNCTION("join("","",filter(split($H$83,"",""),ARRAYFORMULA(ISERROR(FIND(split($H$83,"",""),CONCATENATE(E15:V15))))=TRUE))"),"КЗ,206,403,406,408,410,АЗ")</f>
        <v>КЗ,206,403,406,408,410,АЗ</v>
      </c>
      <c r="AC15" s="14"/>
      <c r="AD15" s="14"/>
      <c r="AE15" s="14"/>
      <c r="AF15" s="29"/>
      <c r="AG15" s="29"/>
      <c r="AH15" s="29"/>
    </row>
    <row r="16" ht="40.5" customHeight="1">
      <c r="A16" s="30"/>
      <c r="B16" s="31">
        <v>4.0</v>
      </c>
      <c r="C16" s="32" t="s">
        <v>48</v>
      </c>
      <c r="D16" s="32" t="s">
        <v>49</v>
      </c>
      <c r="E16" s="40" t="s">
        <v>15078</v>
      </c>
      <c r="F16" s="13"/>
      <c r="G16" s="37" t="s">
        <v>15079</v>
      </c>
      <c r="H16" s="36"/>
      <c r="I16" s="41"/>
      <c r="J16" s="35" t="s">
        <v>15080</v>
      </c>
      <c r="K16" s="13"/>
      <c r="L16" s="45" t="s">
        <v>15081</v>
      </c>
      <c r="M16" s="13"/>
      <c r="N16" s="89" t="s">
        <v>15082</v>
      </c>
      <c r="O16" s="13"/>
      <c r="P16" s="37" t="s">
        <v>160</v>
      </c>
      <c r="Q16" s="90" t="s">
        <v>15083</v>
      </c>
      <c r="R16" s="43" t="s">
        <v>15084</v>
      </c>
      <c r="S16" s="34" t="s">
        <v>15085</v>
      </c>
      <c r="T16" s="91" t="s">
        <v>15086</v>
      </c>
      <c r="U16" s="36"/>
      <c r="V16" s="41"/>
      <c r="W16" s="26"/>
      <c r="X16" s="42" t="s">
        <v>48</v>
      </c>
      <c r="Y16" s="42" t="s">
        <v>49</v>
      </c>
      <c r="Z16" s="48" t="s">
        <v>57</v>
      </c>
      <c r="AA16" s="85" t="str">
        <f>AA$6</f>
        <v/>
      </c>
      <c r="AB16" s="15" t="str">
        <f>IFERROR(__xludf.DUMMYFUNCTION("join("","",filter(split($H$83,"",""),ARRAYFORMULA(ISERROR(FIND(split($H$83,"",""),CONCATENATE(E16:V16))))=TRUE))"),"КЗ,206,403,406,408,410,АЗ")</f>
        <v>КЗ,206,403,406,408,410,АЗ</v>
      </c>
      <c r="AC16" s="14"/>
      <c r="AD16" s="14"/>
      <c r="AE16" s="14"/>
      <c r="AF16" s="29"/>
      <c r="AG16" s="29"/>
      <c r="AH16" s="29"/>
    </row>
    <row r="17" ht="40.5" customHeight="1">
      <c r="A17" s="30"/>
      <c r="B17" s="31">
        <v>5.0</v>
      </c>
      <c r="C17" s="32" t="s">
        <v>58</v>
      </c>
      <c r="D17" s="53">
        <v>44847.0</v>
      </c>
      <c r="E17" s="45" t="s">
        <v>15087</v>
      </c>
      <c r="F17" s="13"/>
      <c r="G17" s="33" t="s">
        <v>15088</v>
      </c>
      <c r="H17" s="45" t="s">
        <v>15089</v>
      </c>
      <c r="I17" s="41"/>
      <c r="J17" s="35" t="s">
        <v>15090</v>
      </c>
      <c r="K17" s="13"/>
      <c r="L17" s="40" t="s">
        <v>15091</v>
      </c>
      <c r="M17" s="13"/>
      <c r="N17" s="45" t="s">
        <v>15092</v>
      </c>
      <c r="O17" s="13"/>
      <c r="P17" s="33" t="s">
        <v>15093</v>
      </c>
      <c r="Q17" s="34" t="s">
        <v>15094</v>
      </c>
      <c r="R17" s="90" t="s">
        <v>15095</v>
      </c>
      <c r="S17" s="92" t="s">
        <v>15096</v>
      </c>
      <c r="T17" s="93" t="s">
        <v>15097</v>
      </c>
      <c r="U17" s="36"/>
      <c r="V17" s="41"/>
      <c r="W17" s="26"/>
      <c r="X17" s="42" t="s">
        <v>58</v>
      </c>
      <c r="Y17" s="54">
        <v>44847.0</v>
      </c>
      <c r="Z17" s="48" t="s">
        <v>70</v>
      </c>
      <c r="AA17" s="85" t="str">
        <f>AA$7</f>
        <v/>
      </c>
      <c r="AB17" s="15" t="str">
        <f>IFERROR(__xludf.DUMMYFUNCTION("join("","",filter(split($H$83,"",""),ARRAYFORMULA(ISERROR(FIND(split($H$83,"",""),CONCATENATE(E17:V17))))=TRUE))"),"СЗ,206,403,408,410,АЗ")</f>
        <v>СЗ,206,403,408,410,АЗ</v>
      </c>
      <c r="AC17" s="14"/>
      <c r="AD17" s="14"/>
      <c r="AE17" s="14"/>
      <c r="AF17" s="29"/>
      <c r="AG17" s="29"/>
      <c r="AH17" s="29"/>
    </row>
    <row r="18" ht="40.5" customHeight="1">
      <c r="A18" s="30"/>
      <c r="B18" s="31">
        <v>6.0</v>
      </c>
      <c r="C18" s="55" t="s">
        <v>71</v>
      </c>
      <c r="D18" s="56" t="s">
        <v>72</v>
      </c>
      <c r="E18" s="45" t="s">
        <v>15098</v>
      </c>
      <c r="F18" s="13"/>
      <c r="G18" s="33" t="s">
        <v>15099</v>
      </c>
      <c r="H18" s="45" t="s">
        <v>15100</v>
      </c>
      <c r="I18" s="41"/>
      <c r="J18" s="35" t="s">
        <v>15101</v>
      </c>
      <c r="K18" s="13"/>
      <c r="L18" s="40" t="s">
        <v>15102</v>
      </c>
      <c r="M18" s="13"/>
      <c r="N18" s="45" t="s">
        <v>15103</v>
      </c>
      <c r="O18" s="13"/>
      <c r="P18" s="33" t="s">
        <v>15104</v>
      </c>
      <c r="Q18" s="34" t="s">
        <v>15105</v>
      </c>
      <c r="R18" s="90" t="s">
        <v>15106</v>
      </c>
      <c r="S18" s="92" t="s">
        <v>15107</v>
      </c>
      <c r="T18" s="93" t="s">
        <v>15108</v>
      </c>
      <c r="U18" s="36"/>
      <c r="V18" s="41"/>
      <c r="W18" s="26"/>
      <c r="X18" s="58" t="s">
        <v>71</v>
      </c>
      <c r="Y18" s="59" t="s">
        <v>72</v>
      </c>
      <c r="Z18" s="48" t="s">
        <v>84</v>
      </c>
      <c r="AA18" s="85" t="str">
        <f>AA$8</f>
        <v/>
      </c>
      <c r="AB18" s="15" t="str">
        <f>IFERROR(__xludf.DUMMYFUNCTION("join("","",filter(split($H$83,"",""),ARRAYFORMULA(ISERROR(FIND(split($H$83,"",""),CONCATENATE(E18:V18))))=TRUE))"),"СЗ,206,403,408,410,АЗ")</f>
        <v>СЗ,206,403,408,410,АЗ</v>
      </c>
      <c r="AC18" s="14"/>
      <c r="AD18" s="14"/>
      <c r="AE18" s="14"/>
      <c r="AF18" s="29"/>
      <c r="AG18" s="29"/>
      <c r="AH18" s="29"/>
    </row>
    <row r="19" ht="40.5" customHeight="1">
      <c r="A19" s="30"/>
      <c r="B19" s="31">
        <v>7.0</v>
      </c>
      <c r="C19" s="32" t="s">
        <v>85</v>
      </c>
      <c r="D19" s="32" t="s">
        <v>86</v>
      </c>
      <c r="E19" s="94" t="s">
        <v>15109</v>
      </c>
      <c r="F19" s="13"/>
      <c r="G19" s="33" t="s">
        <v>15110</v>
      </c>
      <c r="H19" s="45" t="s">
        <v>15111</v>
      </c>
      <c r="I19" s="41"/>
      <c r="J19" s="95" t="s">
        <v>15112</v>
      </c>
      <c r="K19" s="13"/>
      <c r="L19" s="45" t="s">
        <v>15113</v>
      </c>
      <c r="M19" s="13"/>
      <c r="N19" s="45" t="s">
        <v>15114</v>
      </c>
      <c r="O19" s="13"/>
      <c r="P19" s="37" t="s">
        <v>15115</v>
      </c>
      <c r="Q19" s="41"/>
      <c r="R19" s="96" t="s">
        <v>15116</v>
      </c>
      <c r="S19" s="97" t="s">
        <v>15117</v>
      </c>
      <c r="T19" s="93" t="s">
        <v>15118</v>
      </c>
      <c r="U19" s="36"/>
      <c r="V19" s="41"/>
      <c r="W19" s="26"/>
      <c r="X19" s="42" t="s">
        <v>85</v>
      </c>
      <c r="Y19" s="42" t="s">
        <v>86</v>
      </c>
      <c r="Z19" s="48" t="s">
        <v>97</v>
      </c>
      <c r="AA19" s="85" t="str">
        <f>AA$9</f>
        <v/>
      </c>
      <c r="AB19" s="15" t="str">
        <f>IFERROR(__xludf.DUMMYFUNCTION("join("","",filter(split($H$83,"",""),ARRAYFORMULA(ISERROR(FIND(split($H$83,"",""),CONCATENATE(E19:V19))))=TRUE))"),"СЗ,206,403,404,405,410,АЗ")</f>
        <v>СЗ,206,403,404,405,410,АЗ</v>
      </c>
      <c r="AC19" s="14"/>
      <c r="AD19" s="14"/>
      <c r="AE19" s="14"/>
      <c r="AF19" s="29"/>
      <c r="AG19" s="29"/>
      <c r="AH19" s="29"/>
    </row>
    <row r="20" ht="40.5" customHeight="1">
      <c r="A20" s="30"/>
      <c r="B20" s="31">
        <v>8.0</v>
      </c>
      <c r="C20" s="32" t="s">
        <v>98</v>
      </c>
      <c r="D20" s="32" t="s">
        <v>99</v>
      </c>
      <c r="E20" s="94" t="s">
        <v>15119</v>
      </c>
      <c r="F20" s="13"/>
      <c r="G20" s="33" t="s">
        <v>15120</v>
      </c>
      <c r="H20" s="45" t="s">
        <v>15121</v>
      </c>
      <c r="I20" s="41"/>
      <c r="J20" s="95" t="s">
        <v>15122</v>
      </c>
      <c r="K20" s="13"/>
      <c r="L20" s="45" t="s">
        <v>15123</v>
      </c>
      <c r="M20" s="13"/>
      <c r="N20" s="45" t="s">
        <v>15124</v>
      </c>
      <c r="O20" s="13"/>
      <c r="P20" s="37" t="s">
        <v>15125</v>
      </c>
      <c r="Q20" s="41"/>
      <c r="R20" s="96" t="s">
        <v>15126</v>
      </c>
      <c r="S20" s="97" t="s">
        <v>15127</v>
      </c>
      <c r="T20" s="93" t="s">
        <v>15128</v>
      </c>
      <c r="U20" s="36"/>
      <c r="V20" s="41"/>
      <c r="W20" s="26"/>
      <c r="X20" s="42" t="s">
        <v>98</v>
      </c>
      <c r="Y20" s="42" t="s">
        <v>99</v>
      </c>
      <c r="Z20" s="11"/>
      <c r="AA20" s="98"/>
      <c r="AB20" s="15" t="str">
        <f>IFERROR(__xludf.DUMMYFUNCTION("join("","",filter(split($H$83,"",""),ARRAYFORMULA(ISERROR(FIND(split($H$83,"",""),CONCATENATE(E20:V20))))=TRUE))"),"СЗ,206,403,404,405,410,АЗ")</f>
        <v>СЗ,206,403,404,405,410,АЗ</v>
      </c>
      <c r="AC20" s="14"/>
      <c r="AD20" s="14"/>
      <c r="AE20" s="14"/>
      <c r="AF20" s="29"/>
      <c r="AG20" s="29"/>
      <c r="AH20" s="29"/>
    </row>
    <row r="21" ht="40.5" customHeight="1">
      <c r="A21" s="30"/>
      <c r="B21" s="31">
        <v>9.0</v>
      </c>
      <c r="C21" s="65">
        <v>44697.0</v>
      </c>
      <c r="D21" s="44" t="s">
        <v>109</v>
      </c>
      <c r="E21" s="99" t="s">
        <v>206</v>
      </c>
      <c r="F21" s="4"/>
      <c r="G21" s="100" t="s">
        <v>207</v>
      </c>
      <c r="H21" s="101" t="s">
        <v>208</v>
      </c>
      <c r="I21" s="36"/>
      <c r="J21" s="36"/>
      <c r="K21" s="36"/>
      <c r="L21" s="36"/>
      <c r="M21" s="13"/>
      <c r="N21" s="45" t="s">
        <v>15129</v>
      </c>
      <c r="O21" s="13"/>
      <c r="P21" s="102" t="s">
        <v>15130</v>
      </c>
      <c r="Q21" s="41"/>
      <c r="R21" s="35" t="s">
        <v>15131</v>
      </c>
      <c r="S21" s="41"/>
      <c r="T21" s="103" t="s">
        <v>15132</v>
      </c>
      <c r="U21" s="36"/>
      <c r="V21" s="41"/>
      <c r="W21" s="26"/>
      <c r="X21" s="69">
        <v>44697.0</v>
      </c>
      <c r="Y21" s="70" t="s">
        <v>109</v>
      </c>
      <c r="Z21" s="28"/>
      <c r="AA21" s="98"/>
      <c r="AB21" s="15" t="str">
        <f>IFERROR(__xludf.DUMMYFUNCTION("join("","",filter(split($H$83,"",""),ARRAYFORMULA(ISERROR(FIND(split($H$83,"",""),CONCATENATE(E21:V21))))=TRUE))"),"201,206,210,401,403,404,405,406,408,АЗ")</f>
        <v>201,206,210,401,403,404,405,406,408,АЗ</v>
      </c>
      <c r="AC21" s="14"/>
      <c r="AD21" s="14"/>
      <c r="AE21" s="14"/>
      <c r="AF21" s="29"/>
      <c r="AG21" s="29"/>
      <c r="AH21" s="29"/>
    </row>
    <row r="22" ht="40.5" customHeight="1">
      <c r="A22" s="30"/>
      <c r="B22" s="31">
        <v>10.0</v>
      </c>
      <c r="C22" s="44" t="s">
        <v>120</v>
      </c>
      <c r="D22" s="44" t="s">
        <v>121</v>
      </c>
      <c r="E22" s="104"/>
      <c r="F22" s="72"/>
      <c r="G22" s="105"/>
      <c r="H22" s="106" t="s">
        <v>213</v>
      </c>
      <c r="I22" s="36"/>
      <c r="J22" s="36"/>
      <c r="K22" s="36"/>
      <c r="L22" s="36"/>
      <c r="M22" s="13"/>
      <c r="N22" s="45" t="s">
        <v>15133</v>
      </c>
      <c r="O22" s="13"/>
      <c r="P22" s="101" t="s">
        <v>215</v>
      </c>
      <c r="Q22" s="36"/>
      <c r="R22" s="36"/>
      <c r="S22" s="13"/>
      <c r="T22" s="107" t="s">
        <v>15134</v>
      </c>
      <c r="U22" s="36"/>
      <c r="V22" s="41"/>
      <c r="W22" s="26"/>
      <c r="X22" s="70" t="s">
        <v>120</v>
      </c>
      <c r="Y22" s="70" t="s">
        <v>121</v>
      </c>
      <c r="Z22" s="28"/>
      <c r="AA22" s="98"/>
      <c r="AB22" s="15" t="str">
        <f>IFERROR(__xludf.DUMMYFUNCTION("join("","",filter(split($H$83,"",""),ARRAYFORMULA(ISERROR(FIND(split($H$83,"",""),CONCATENATE(E22:V22))))=TRUE))"),"201,202,206,209,210,401,403,404,405,406,408,409,АЗ")</f>
        <v>201,202,206,209,210,401,403,404,405,406,408,409,АЗ</v>
      </c>
      <c r="AC22" s="14"/>
      <c r="AD22" s="14"/>
      <c r="AE22" s="14"/>
      <c r="AF22" s="29"/>
      <c r="AG22" s="29"/>
      <c r="AH22" s="29"/>
    </row>
    <row r="23" ht="40.5" customHeight="1">
      <c r="A23" s="74"/>
      <c r="B23" s="75">
        <v>11.0</v>
      </c>
      <c r="C23" s="76" t="s">
        <v>124</v>
      </c>
      <c r="D23" s="76" t="s">
        <v>125</v>
      </c>
      <c r="E23" s="108"/>
      <c r="F23" s="109"/>
      <c r="G23" s="110"/>
      <c r="H23" s="111"/>
      <c r="I23" s="112"/>
      <c r="J23" s="113"/>
      <c r="K23" s="111"/>
      <c r="L23" s="111"/>
      <c r="M23" s="111"/>
      <c r="N23" s="111"/>
      <c r="O23" s="111"/>
      <c r="P23" s="111"/>
      <c r="Q23" s="111"/>
      <c r="R23" s="114" t="s">
        <v>15135</v>
      </c>
      <c r="S23" s="115"/>
      <c r="T23" s="115"/>
      <c r="U23" s="115"/>
      <c r="V23" s="67"/>
      <c r="W23" s="26"/>
      <c r="X23" s="79" t="s">
        <v>124</v>
      </c>
      <c r="Y23" s="79" t="s">
        <v>125</v>
      </c>
      <c r="Z23" s="28" t="str">
        <f/>
        <v>#ERROR!</v>
      </c>
      <c r="AA23" s="98"/>
      <c r="AB23" s="15" t="str">
        <f>IFERROR(__xludf.DUMMYFUNCTION("join("","",filter(split($H$83,"",""),ARRAYFORMULA(ISERROR(FIND(split($H$83,"",""),CONCATENATE(E23:V23))))=TRUE))"),"КЗ,201,202,206,209,210,401,402,403,404,405,406,408,409,410,АЗ")</f>
        <v>КЗ,201,202,206,209,210,401,402,403,404,405,406,408,409,410,АЗ</v>
      </c>
      <c r="AC23" s="14"/>
      <c r="AD23" s="14"/>
      <c r="AE23" s="14"/>
      <c r="AF23" s="29"/>
      <c r="AG23" s="29"/>
      <c r="AH23" s="29"/>
    </row>
    <row r="24" ht="40.5" customHeight="1">
      <c r="A24" s="1682" t="s">
        <v>592</v>
      </c>
      <c r="B24" s="19">
        <v>1.0</v>
      </c>
      <c r="C24" s="20" t="s">
        <v>12</v>
      </c>
      <c r="D24" s="20" t="s">
        <v>13</v>
      </c>
      <c r="E24" s="21" t="s">
        <v>15136</v>
      </c>
      <c r="F24" s="22"/>
      <c r="G24" s="116" t="s">
        <v>15137</v>
      </c>
      <c r="H24" s="117" t="s">
        <v>15138</v>
      </c>
      <c r="I24" s="22"/>
      <c r="J24" s="118" t="s">
        <v>221</v>
      </c>
      <c r="K24" s="24"/>
      <c r="L24" s="24"/>
      <c r="M24" s="25"/>
      <c r="N24" s="80" t="s">
        <v>15139</v>
      </c>
      <c r="O24" s="25"/>
      <c r="P24" s="585" t="s">
        <v>15140</v>
      </c>
      <c r="Q24" s="24"/>
      <c r="R24" s="24"/>
      <c r="S24" s="22"/>
      <c r="T24" s="121" t="s">
        <v>15141</v>
      </c>
      <c r="U24" s="24"/>
      <c r="V24" s="22"/>
      <c r="W24" s="26"/>
      <c r="X24" s="27" t="s">
        <v>12</v>
      </c>
      <c r="Y24" s="27" t="s">
        <v>13</v>
      </c>
      <c r="Z24" s="28"/>
      <c r="AA24" s="14"/>
      <c r="AB24" s="15" t="str">
        <f>IFERROR(__xludf.DUMMYFUNCTION("join("","",filter(split($H$83,"",""),ARRAYFORMULA(ISERROR(FIND(split($H$83,"",""),CONCATENATE(E24:V24))))=TRUE))"),"СЗ,206,210,401,402,403,404,405,406,409,410,АЗ")</f>
        <v>СЗ,206,210,401,402,403,404,405,406,409,410,АЗ</v>
      </c>
      <c r="AC24" s="14"/>
      <c r="AD24" s="14"/>
      <c r="AE24" s="14"/>
      <c r="AF24" s="29"/>
      <c r="AG24" s="29"/>
      <c r="AH24" s="29"/>
    </row>
    <row r="25" ht="40.5" customHeight="1">
      <c r="A25" s="274"/>
      <c r="B25" s="31">
        <v>2.0</v>
      </c>
      <c r="C25" s="32" t="s">
        <v>21</v>
      </c>
      <c r="D25" s="32" t="s">
        <v>22</v>
      </c>
      <c r="E25" s="51" t="s">
        <v>15142</v>
      </c>
      <c r="F25" s="41"/>
      <c r="G25" s="39" t="s">
        <v>15143</v>
      </c>
      <c r="H25" s="89" t="s">
        <v>15144</v>
      </c>
      <c r="I25" s="41"/>
      <c r="J25" s="35" t="s">
        <v>15145</v>
      </c>
      <c r="K25" s="13"/>
      <c r="L25" s="40" t="s">
        <v>15146</v>
      </c>
      <c r="M25" s="13"/>
      <c r="N25" s="40" t="s">
        <v>231</v>
      </c>
      <c r="O25" s="13"/>
      <c r="P25" s="37" t="s">
        <v>15147</v>
      </c>
      <c r="Q25" s="13"/>
      <c r="R25" s="122" t="s">
        <v>15148</v>
      </c>
      <c r="S25" s="41"/>
      <c r="T25" s="103" t="s">
        <v>15149</v>
      </c>
      <c r="U25" s="36"/>
      <c r="V25" s="41"/>
      <c r="W25" s="26"/>
      <c r="X25" s="42" t="s">
        <v>21</v>
      </c>
      <c r="Y25" s="42" t="s">
        <v>22</v>
      </c>
      <c r="Z25" s="28"/>
      <c r="AA25" s="14"/>
      <c r="AB25" s="15" t="str">
        <f>IFERROR(__xludf.DUMMYFUNCTION("join("","",filter(split($H$83,"",""),ARRAYFORMULA(ISERROR(FIND(split($H$83,"",""),CONCATENATE(E25:V25))))=TRUE))"),"СЗ,КЗ,206,209,210,403,404,405,410,АЗ")</f>
        <v>СЗ,КЗ,206,209,210,403,404,405,410,АЗ</v>
      </c>
      <c r="AC25" s="14"/>
      <c r="AD25" s="14"/>
      <c r="AE25" s="14"/>
      <c r="AF25" s="29"/>
      <c r="AG25" s="29"/>
      <c r="AH25" s="29"/>
    </row>
    <row r="26" ht="40.5" customHeight="1">
      <c r="A26" s="274"/>
      <c r="B26" s="31">
        <v>3.0</v>
      </c>
      <c r="C26" s="32" t="s">
        <v>33</v>
      </c>
      <c r="D26" s="32" t="s">
        <v>34</v>
      </c>
      <c r="E26" s="37" t="s">
        <v>15150</v>
      </c>
      <c r="F26" s="41"/>
      <c r="G26" s="51" t="s">
        <v>15151</v>
      </c>
      <c r="H26" s="36"/>
      <c r="I26" s="41"/>
      <c r="J26" s="95" t="s">
        <v>15152</v>
      </c>
      <c r="K26" s="13"/>
      <c r="L26" s="123" t="s">
        <v>15153</v>
      </c>
      <c r="M26" s="41"/>
      <c r="N26" s="40" t="s">
        <v>231</v>
      </c>
      <c r="O26" s="13"/>
      <c r="P26" s="39" t="s">
        <v>15154</v>
      </c>
      <c r="Q26" s="124" t="s">
        <v>15155</v>
      </c>
      <c r="R26" s="89" t="s">
        <v>15156</v>
      </c>
      <c r="S26" s="41"/>
      <c r="T26" s="125" t="s">
        <v>15157</v>
      </c>
      <c r="U26" s="36"/>
      <c r="V26" s="41"/>
      <c r="W26" s="26"/>
      <c r="X26" s="42" t="s">
        <v>33</v>
      </c>
      <c r="Y26" s="42" t="s">
        <v>34</v>
      </c>
      <c r="Z26" s="48" t="s">
        <v>47</v>
      </c>
      <c r="AA26" s="85" t="str">
        <f>AA$5</f>
        <v/>
      </c>
      <c r="AB26" s="15" t="str">
        <f>IFERROR(__xludf.DUMMYFUNCTION("join("","",filter(split($H$83,"",""),ARRAYFORMULA(ISERROR(FIND(split($H$83,"",""),CONCATENATE(E26:V26))))=TRUE))"),"СЗ,КЗ,206,210,403,404,405,408,410,АЗ")</f>
        <v>СЗ,КЗ,206,210,403,404,405,408,410,АЗ</v>
      </c>
      <c r="AC26" s="14"/>
      <c r="AD26" s="14"/>
      <c r="AE26" s="14"/>
      <c r="AF26" s="29"/>
      <c r="AG26" s="29"/>
      <c r="AH26" s="29"/>
    </row>
    <row r="27" ht="54.0" customHeight="1">
      <c r="A27" s="274"/>
      <c r="B27" s="31">
        <v>4.0</v>
      </c>
      <c r="C27" s="32" t="s">
        <v>48</v>
      </c>
      <c r="D27" s="32" t="s">
        <v>49</v>
      </c>
      <c r="E27" s="33" t="s">
        <v>15158</v>
      </c>
      <c r="F27" s="126" t="s">
        <v>15159</v>
      </c>
      <c r="G27" s="37" t="s">
        <v>15160</v>
      </c>
      <c r="H27" s="13"/>
      <c r="I27" s="92" t="s">
        <v>15161</v>
      </c>
      <c r="J27" s="107" t="s">
        <v>15162</v>
      </c>
      <c r="K27" s="13"/>
      <c r="L27" s="45" t="s">
        <v>15163</v>
      </c>
      <c r="M27" s="13"/>
      <c r="N27" s="127" t="s">
        <v>15164</v>
      </c>
      <c r="O27" s="13"/>
      <c r="P27" s="37" t="s">
        <v>15165</v>
      </c>
      <c r="Q27" s="13"/>
      <c r="R27" s="132" t="s">
        <v>15166</v>
      </c>
      <c r="S27" s="34" t="s">
        <v>15167</v>
      </c>
      <c r="T27" s="125" t="s">
        <v>15168</v>
      </c>
      <c r="U27" s="36"/>
      <c r="V27" s="41"/>
      <c r="W27" s="26"/>
      <c r="X27" s="42" t="s">
        <v>48</v>
      </c>
      <c r="Y27" s="42" t="s">
        <v>49</v>
      </c>
      <c r="Z27" s="48" t="s">
        <v>57</v>
      </c>
      <c r="AA27" s="85" t="str">
        <f>AA$6</f>
        <v/>
      </c>
      <c r="AB27" s="15" t="str">
        <f>IFERROR(__xludf.DUMMYFUNCTION("join("","",filter(split($H$83,"",""),ARRAYFORMULA(ISERROR(FIND(split($H$83,"",""),CONCATENATE(E27:V27))))=TRUE))"),"СЗ,202,206,403,404,408,410,АЗ")</f>
        <v>СЗ,202,206,403,404,408,410,АЗ</v>
      </c>
      <c r="AC27" s="14"/>
      <c r="AD27" s="14"/>
      <c r="AE27" s="14"/>
      <c r="AF27" s="29"/>
      <c r="AG27" s="29"/>
      <c r="AH27" s="29"/>
    </row>
    <row r="28" ht="53.25" customHeight="1">
      <c r="A28" s="274"/>
      <c r="B28" s="31">
        <v>5.0</v>
      </c>
      <c r="C28" s="32" t="s">
        <v>58</v>
      </c>
      <c r="D28" s="53">
        <v>44847.0</v>
      </c>
      <c r="E28" s="33" t="s">
        <v>15169</v>
      </c>
      <c r="F28" s="126" t="s">
        <v>15170</v>
      </c>
      <c r="G28" s="37" t="s">
        <v>15171</v>
      </c>
      <c r="H28" s="13"/>
      <c r="I28" s="92" t="s">
        <v>15172</v>
      </c>
      <c r="J28" s="123" t="s">
        <v>15173</v>
      </c>
      <c r="K28" s="41"/>
      <c r="L28" s="45" t="s">
        <v>15174</v>
      </c>
      <c r="M28" s="13"/>
      <c r="N28" s="89" t="s">
        <v>15175</v>
      </c>
      <c r="O28" s="13"/>
      <c r="P28" s="39" t="s">
        <v>15176</v>
      </c>
      <c r="Q28" s="124" t="s">
        <v>15177</v>
      </c>
      <c r="R28" s="132" t="s">
        <v>15178</v>
      </c>
      <c r="S28" s="34" t="s">
        <v>15179</v>
      </c>
      <c r="T28" s="128" t="s">
        <v>15180</v>
      </c>
      <c r="U28" s="8"/>
      <c r="V28" s="129"/>
      <c r="W28" s="26"/>
      <c r="X28" s="42" t="s">
        <v>58</v>
      </c>
      <c r="Y28" s="54">
        <v>44847.0</v>
      </c>
      <c r="Z28" s="48" t="s">
        <v>70</v>
      </c>
      <c r="AA28" s="85" t="str">
        <f>AA$7</f>
        <v/>
      </c>
      <c r="AB28" s="15" t="str">
        <f>IFERROR(__xludf.DUMMYFUNCTION("join("","",filter(split($H$83,"",""),ARRAYFORMULA(ISERROR(FIND(split($H$83,"",""),CONCATENATE(E28:V28))))=TRUE))"),"СЗ,206,209,403,404,408,410")</f>
        <v>СЗ,206,209,403,404,408,410</v>
      </c>
      <c r="AC28" s="14"/>
      <c r="AD28" s="14"/>
      <c r="AE28" s="14"/>
      <c r="AF28" s="29"/>
      <c r="AG28" s="29"/>
      <c r="AH28" s="29"/>
    </row>
    <row r="29" ht="40.5" customHeight="1">
      <c r="A29" s="274"/>
      <c r="B29" s="31">
        <v>6.0</v>
      </c>
      <c r="C29" s="55" t="s">
        <v>71</v>
      </c>
      <c r="D29" s="56" t="s">
        <v>72</v>
      </c>
      <c r="E29" s="126" t="s">
        <v>15181</v>
      </c>
      <c r="F29" s="34" t="s">
        <v>15182</v>
      </c>
      <c r="G29" s="40" t="s">
        <v>15183</v>
      </c>
      <c r="H29" s="41"/>
      <c r="I29" s="34" t="s">
        <v>15184</v>
      </c>
      <c r="J29" s="123" t="s">
        <v>15185</v>
      </c>
      <c r="K29" s="41"/>
      <c r="L29" s="89" t="s">
        <v>15186</v>
      </c>
      <c r="M29" s="13"/>
      <c r="N29" s="130" t="s">
        <v>15187</v>
      </c>
      <c r="O29" s="13"/>
      <c r="P29" s="131" t="s">
        <v>15188</v>
      </c>
      <c r="Q29" s="132" t="s">
        <v>15189</v>
      </c>
      <c r="R29" s="437"/>
      <c r="S29" s="92" t="s">
        <v>15190</v>
      </c>
      <c r="V29" s="134"/>
      <c r="W29" s="26"/>
      <c r="X29" s="58" t="s">
        <v>71</v>
      </c>
      <c r="Y29" s="59" t="s">
        <v>72</v>
      </c>
      <c r="Z29" s="48" t="s">
        <v>84</v>
      </c>
      <c r="AA29" s="85" t="str">
        <f>AA$8</f>
        <v/>
      </c>
      <c r="AB29" s="15" t="str">
        <f>IFERROR(__xludf.DUMMYFUNCTION("join("","",filter(split($H$83,"",""),ARRAYFORMULA(ISERROR(FIND(split($H$83,"",""),CONCATENATE(E29:V29))))=TRUE))"),"СЗ,201,206,403,404,405,408,410,АЗ")</f>
        <v>СЗ,201,206,403,404,405,408,410,АЗ</v>
      </c>
      <c r="AC29" s="14"/>
      <c r="AD29" s="14"/>
      <c r="AE29" s="14"/>
      <c r="AF29" s="29"/>
      <c r="AG29" s="29"/>
      <c r="AH29" s="29"/>
    </row>
    <row r="30" ht="40.5" customHeight="1">
      <c r="A30" s="274"/>
      <c r="B30" s="31">
        <v>7.0</v>
      </c>
      <c r="C30" s="32" t="s">
        <v>85</v>
      </c>
      <c r="D30" s="32" t="s">
        <v>86</v>
      </c>
      <c r="E30" s="126" t="s">
        <v>15191</v>
      </c>
      <c r="F30" s="34" t="s">
        <v>15192</v>
      </c>
      <c r="G30" s="40" t="s">
        <v>15193</v>
      </c>
      <c r="H30" s="41"/>
      <c r="I30" s="34" t="s">
        <v>15194</v>
      </c>
      <c r="J30" s="35" t="s">
        <v>15195</v>
      </c>
      <c r="K30" s="13"/>
      <c r="L30" s="123" t="s">
        <v>15196</v>
      </c>
      <c r="M30" s="41"/>
      <c r="N30" s="130" t="s">
        <v>15197</v>
      </c>
      <c r="O30" s="13"/>
      <c r="P30" s="131" t="s">
        <v>15198</v>
      </c>
      <c r="Q30" s="132" t="s">
        <v>15199</v>
      </c>
      <c r="R30" s="173"/>
      <c r="S30" s="92" t="s">
        <v>15200</v>
      </c>
      <c r="V30" s="134"/>
      <c r="W30" s="26"/>
      <c r="X30" s="42" t="s">
        <v>85</v>
      </c>
      <c r="Y30" s="42" t="s">
        <v>86</v>
      </c>
      <c r="Z30" s="48" t="s">
        <v>97</v>
      </c>
      <c r="AA30" s="85" t="str">
        <f>AA$9</f>
        <v/>
      </c>
      <c r="AB30" s="15" t="str">
        <f>IFERROR(__xludf.DUMMYFUNCTION("join("","",filter(split($H$83,"",""),ARRAYFORMULA(ISERROR(FIND(split($H$83,"",""),CONCATENATE(E30:V30))))=TRUE))"),"СЗ,206,403,404,405,408,409,410,АЗ")</f>
        <v>СЗ,206,403,404,405,408,409,410,АЗ</v>
      </c>
      <c r="AC30" s="14"/>
      <c r="AD30" s="14"/>
      <c r="AE30" s="14"/>
      <c r="AF30" s="29"/>
      <c r="AG30" s="29"/>
      <c r="AH30" s="29"/>
    </row>
    <row r="31" ht="52.5" customHeight="1">
      <c r="A31" s="274"/>
      <c r="B31" s="31">
        <v>8.0</v>
      </c>
      <c r="C31" s="32" t="s">
        <v>98</v>
      </c>
      <c r="D31" s="32" t="s">
        <v>99</v>
      </c>
      <c r="E31" s="46" t="s">
        <v>15201</v>
      </c>
      <c r="F31" s="41"/>
      <c r="G31" s="137" t="s">
        <v>15202</v>
      </c>
      <c r="H31" s="8"/>
      <c r="I31" s="129"/>
      <c r="J31" s="840" t="s">
        <v>15203</v>
      </c>
      <c r="K31" s="36"/>
      <c r="L31" s="36"/>
      <c r="M31" s="13"/>
      <c r="N31" s="45" t="s">
        <v>15204</v>
      </c>
      <c r="O31" s="13"/>
      <c r="P31" s="140" t="s">
        <v>15205</v>
      </c>
      <c r="Q31" s="4"/>
      <c r="R31" s="144"/>
      <c r="S31" s="133" t="s">
        <v>276</v>
      </c>
      <c r="V31" s="134"/>
      <c r="W31" s="26"/>
      <c r="X31" s="42" t="s">
        <v>98</v>
      </c>
      <c r="Y31" s="42" t="s">
        <v>99</v>
      </c>
      <c r="Z31" s="11"/>
      <c r="AA31" s="14"/>
      <c r="AB31" s="15" t="str">
        <f>IFERROR(__xludf.DUMMYFUNCTION("join("","",filter(split($H$83,"",""),ARRAYFORMULA(ISERROR(FIND(split($H$83,"",""),CONCATENATE(E31:V31))))=TRUE))"),"СЗ,КЗ,201,206,401,403,404,405,406,408,409,АЗ")</f>
        <v>СЗ,КЗ,201,206,401,403,404,405,406,408,409,АЗ</v>
      </c>
      <c r="AC31" s="14"/>
      <c r="AD31" s="14"/>
      <c r="AE31" s="14"/>
      <c r="AF31" s="29"/>
      <c r="AG31" s="29"/>
      <c r="AH31" s="29"/>
    </row>
    <row r="32" ht="57.0" customHeight="1">
      <c r="A32" s="274"/>
      <c r="B32" s="31">
        <v>9.0</v>
      </c>
      <c r="C32" s="65">
        <v>44697.0</v>
      </c>
      <c r="D32" s="44" t="s">
        <v>109</v>
      </c>
      <c r="E32" s="141" t="s">
        <v>15206</v>
      </c>
      <c r="F32" s="13"/>
      <c r="G32" s="142"/>
      <c r="H32" s="64"/>
      <c r="I32" s="88"/>
      <c r="J32" s="840" t="s">
        <v>15207</v>
      </c>
      <c r="K32" s="36"/>
      <c r="L32" s="36"/>
      <c r="M32" s="13"/>
      <c r="N32" s="45" t="s">
        <v>15208</v>
      </c>
      <c r="O32" s="13"/>
      <c r="P32" s="142"/>
      <c r="Q32" s="72"/>
      <c r="R32" s="144"/>
      <c r="S32" s="92"/>
      <c r="T32" s="64"/>
      <c r="U32" s="64"/>
      <c r="V32" s="88"/>
      <c r="W32" s="26"/>
      <c r="X32" s="69">
        <v>44697.0</v>
      </c>
      <c r="Y32" s="70" t="s">
        <v>109</v>
      </c>
      <c r="Z32" s="28"/>
      <c r="AA32" s="14"/>
      <c r="AB32" s="15" t="str">
        <f>IFERROR(__xludf.DUMMYFUNCTION("join("","",filter(split($H$83,"",""),ARRAYFORMULA(ISERROR(FIND(split($H$83,"",""),CONCATENATE(E32:V32))))=TRUE))"),"СЗ,КЗ,201,206,210,401,402,403,404,405,406,408,409,АЗ")</f>
        <v>СЗ,КЗ,201,206,210,401,402,403,404,405,406,408,409,АЗ</v>
      </c>
      <c r="AC32" s="14"/>
      <c r="AD32" s="14"/>
      <c r="AE32" s="14"/>
      <c r="AF32" s="29"/>
      <c r="AG32" s="29"/>
      <c r="AH32" s="29"/>
    </row>
    <row r="33" ht="40.5" customHeight="1">
      <c r="A33" s="274"/>
      <c r="B33" s="31">
        <v>10.0</v>
      </c>
      <c r="C33" s="44" t="s">
        <v>120</v>
      </c>
      <c r="D33" s="44" t="s">
        <v>121</v>
      </c>
      <c r="E33" s="141" t="s">
        <v>15209</v>
      </c>
      <c r="F33" s="13"/>
      <c r="G33" s="145" t="s">
        <v>296</v>
      </c>
      <c r="H33" s="8"/>
      <c r="I33" s="8"/>
      <c r="J33" s="8"/>
      <c r="K33" s="8"/>
      <c r="L33" s="8"/>
      <c r="M33" s="8"/>
      <c r="N33" s="8"/>
      <c r="O33" s="8"/>
      <c r="P33" s="8"/>
      <c r="Q33" s="4"/>
      <c r="R33" s="146"/>
      <c r="S33" s="147"/>
      <c r="T33" s="148"/>
      <c r="U33" s="149"/>
      <c r="V33" s="150"/>
      <c r="W33" s="26"/>
      <c r="X33" s="70" t="s">
        <v>120</v>
      </c>
      <c r="Y33" s="70" t="s">
        <v>121</v>
      </c>
      <c r="Z33" s="28"/>
      <c r="AA33" s="14"/>
      <c r="AB33" s="15"/>
      <c r="AC33" s="14"/>
      <c r="AD33" s="14"/>
      <c r="AE33" s="14"/>
      <c r="AF33" s="29"/>
      <c r="AG33" s="29"/>
      <c r="AH33" s="29"/>
    </row>
    <row r="34" ht="40.5" customHeight="1">
      <c r="A34" s="289"/>
      <c r="B34" s="75">
        <v>11.0</v>
      </c>
      <c r="C34" s="76" t="s">
        <v>124</v>
      </c>
      <c r="D34" s="76" t="s">
        <v>125</v>
      </c>
      <c r="E34" s="141" t="s">
        <v>15210</v>
      </c>
      <c r="F34" s="13"/>
      <c r="G34" s="151"/>
      <c r="H34" s="151"/>
      <c r="I34" s="151"/>
      <c r="J34" s="151"/>
      <c r="K34" s="151"/>
      <c r="L34" s="151"/>
      <c r="M34" s="151"/>
      <c r="N34" s="151"/>
      <c r="O34" s="151"/>
      <c r="P34" s="151"/>
      <c r="Q34" s="152"/>
      <c r="R34" s="153"/>
      <c r="S34" s="154"/>
      <c r="T34" s="113"/>
      <c r="U34" s="155"/>
      <c r="V34" s="112"/>
      <c r="W34" s="26"/>
      <c r="X34" s="79" t="s">
        <v>124</v>
      </c>
      <c r="Y34" s="79" t="s">
        <v>125</v>
      </c>
      <c r="Z34" s="28"/>
      <c r="AA34" s="14"/>
      <c r="AB34" s="15" t="str">
        <f>IFERROR(__xludf.DUMMYFUNCTION("join("","",filter(split($H$83,"",""),ARRAYFORMULA(ISERROR(FIND(split($H$83,"",""),CONCATENATE(E34:V34))))=TRUE))"),"СЗ,КЗ,201,202,206,209,210,401,402,403,404,405,406,408,409,АЗ")</f>
        <v>СЗ,КЗ,201,202,206,209,210,401,402,403,404,405,406,408,409,АЗ</v>
      </c>
      <c r="AC34" s="14"/>
      <c r="AD34" s="14"/>
      <c r="AE34" s="14"/>
      <c r="AF34" s="29"/>
      <c r="AG34" s="29"/>
      <c r="AH34" s="29"/>
    </row>
    <row r="35" ht="60.0" customHeight="1">
      <c r="A35" s="887" t="s">
        <v>15211</v>
      </c>
      <c r="B35" s="19">
        <v>1.0</v>
      </c>
      <c r="C35" s="20" t="s">
        <v>12</v>
      </c>
      <c r="D35" s="20" t="s">
        <v>13</v>
      </c>
      <c r="E35" s="80" t="s">
        <v>15212</v>
      </c>
      <c r="F35" s="25"/>
      <c r="G35" s="156" t="s">
        <v>15213</v>
      </c>
      <c r="H35" s="117" t="s">
        <v>15214</v>
      </c>
      <c r="I35" s="25"/>
      <c r="J35" s="157" t="s">
        <v>15215</v>
      </c>
      <c r="K35" s="13"/>
      <c r="L35" s="156" t="s">
        <v>15216</v>
      </c>
      <c r="M35" s="156" t="s">
        <v>15217</v>
      </c>
      <c r="N35" s="80" t="s">
        <v>15218</v>
      </c>
      <c r="O35" s="25"/>
      <c r="P35" s="156" t="s">
        <v>15219</v>
      </c>
      <c r="Q35" s="156" t="s">
        <v>15220</v>
      </c>
      <c r="R35" s="159" t="s">
        <v>15221</v>
      </c>
      <c r="S35" s="160" t="s">
        <v>15222</v>
      </c>
      <c r="T35" s="161" t="s">
        <v>15223</v>
      </c>
      <c r="U35" s="24"/>
      <c r="V35" s="22"/>
      <c r="W35" s="26"/>
      <c r="X35" s="27" t="s">
        <v>12</v>
      </c>
      <c r="Y35" s="27" t="s">
        <v>13</v>
      </c>
      <c r="Z35" s="28"/>
      <c r="AA35" s="14"/>
      <c r="AB35" s="15" t="str">
        <f>IFERROR(__xludf.DUMMYFUNCTION("join("","",filter(split($H$83,"",""),ARRAYFORMULA(ISERROR(FIND(split($H$83,"",""),CONCATENATE(E35:V35))))=TRUE))"),"СЗ,206,406,410,АЗ")</f>
        <v>СЗ,206,406,410,АЗ</v>
      </c>
      <c r="AC35" s="14"/>
      <c r="AD35" s="14"/>
      <c r="AE35" s="14"/>
      <c r="AF35" s="29"/>
      <c r="AG35" s="29"/>
      <c r="AH35" s="29"/>
    </row>
    <row r="36" ht="54.0" customHeight="1">
      <c r="A36" s="30"/>
      <c r="B36" s="31">
        <v>2.0</v>
      </c>
      <c r="C36" s="32" t="s">
        <v>21</v>
      </c>
      <c r="D36" s="32" t="s">
        <v>22</v>
      </c>
      <c r="E36" s="45" t="s">
        <v>15224</v>
      </c>
      <c r="F36" s="13"/>
      <c r="G36" s="44" t="s">
        <v>15225</v>
      </c>
      <c r="H36" s="40" t="s">
        <v>312</v>
      </c>
      <c r="I36" s="13"/>
      <c r="J36" s="157" t="s">
        <v>313</v>
      </c>
      <c r="K36" s="13"/>
      <c r="L36" s="44" t="s">
        <v>15226</v>
      </c>
      <c r="M36" s="44" t="s">
        <v>15227</v>
      </c>
      <c r="N36" s="45" t="s">
        <v>316</v>
      </c>
      <c r="O36" s="13"/>
      <c r="P36" s="44" t="s">
        <v>15228</v>
      </c>
      <c r="Q36" s="44" t="s">
        <v>15229</v>
      </c>
      <c r="R36" s="162" t="s">
        <v>15230</v>
      </c>
      <c r="S36" s="90" t="s">
        <v>320</v>
      </c>
      <c r="T36" s="163" t="s">
        <v>15231</v>
      </c>
      <c r="U36" s="36"/>
      <c r="V36" s="41"/>
      <c r="W36" s="26"/>
      <c r="X36" s="42" t="s">
        <v>21</v>
      </c>
      <c r="Y36" s="42" t="s">
        <v>22</v>
      </c>
      <c r="Z36" s="28"/>
      <c r="AA36" s="14"/>
      <c r="AB36" s="15" t="str">
        <f>IFERROR(__xludf.DUMMYFUNCTION("join("","",filter(split($H$83,"",""),ARRAYFORMULA(ISERROR(FIND(split($H$83,"",""),CONCATENATE(E36:V36))))=TRUE))"),"СЗ,206,406,410,АЗ")</f>
        <v>СЗ,206,406,410,АЗ</v>
      </c>
      <c r="AC36" s="14"/>
      <c r="AD36" s="14"/>
      <c r="AE36" s="14"/>
      <c r="AF36" s="29"/>
      <c r="AG36" s="29"/>
      <c r="AH36" s="29"/>
    </row>
    <row r="37" ht="56.25" customHeight="1">
      <c r="A37" s="30"/>
      <c r="B37" s="31">
        <v>3.0</v>
      </c>
      <c r="C37" s="32" t="s">
        <v>33</v>
      </c>
      <c r="D37" s="32" t="s">
        <v>34</v>
      </c>
      <c r="E37" s="45" t="s">
        <v>15232</v>
      </c>
      <c r="F37" s="13"/>
      <c r="G37" s="132" t="s">
        <v>15233</v>
      </c>
      <c r="H37" s="45" t="s">
        <v>15234</v>
      </c>
      <c r="I37" s="13"/>
      <c r="J37" s="45" t="s">
        <v>15235</v>
      </c>
      <c r="K37" s="13"/>
      <c r="L37" s="44" t="s">
        <v>15236</v>
      </c>
      <c r="M37" s="44" t="s">
        <v>15237</v>
      </c>
      <c r="N37" s="164" t="s">
        <v>15238</v>
      </c>
      <c r="O37" s="36"/>
      <c r="P37" s="36"/>
      <c r="Q37" s="13"/>
      <c r="R37" s="44" t="s">
        <v>15239</v>
      </c>
      <c r="S37" s="44" t="s">
        <v>15240</v>
      </c>
      <c r="T37" s="87" t="s">
        <v>15241</v>
      </c>
      <c r="U37" s="36"/>
      <c r="V37" s="41"/>
      <c r="W37" s="26"/>
      <c r="X37" s="42" t="s">
        <v>33</v>
      </c>
      <c r="Y37" s="42" t="s">
        <v>34</v>
      </c>
      <c r="Z37" s="48" t="s">
        <v>47</v>
      </c>
      <c r="AA37" s="85" t="str">
        <f>AA$5</f>
        <v/>
      </c>
      <c r="AB37" s="15" t="str">
        <f>IFERROR(__xludf.DUMMYFUNCTION("join("","",filter(split($H$83,"",""),ARRAYFORMULA(ISERROR(FIND(split($H$83,"",""),CONCATENATE(E37:V37))))=TRUE))"),"КЗ,206,403,406,410,АЗ")</f>
        <v>КЗ,206,403,406,410,АЗ</v>
      </c>
      <c r="AC37" s="14"/>
      <c r="AD37" s="14"/>
      <c r="AE37" s="14"/>
      <c r="AF37" s="29"/>
      <c r="AG37" s="29"/>
      <c r="AH37" s="29"/>
    </row>
    <row r="38" ht="51.75" customHeight="1">
      <c r="A38" s="30"/>
      <c r="B38" s="31">
        <v>4.0</v>
      </c>
      <c r="C38" s="32" t="s">
        <v>48</v>
      </c>
      <c r="D38" s="32" t="s">
        <v>49</v>
      </c>
      <c r="E38" s="45" t="s">
        <v>15242</v>
      </c>
      <c r="F38" s="13"/>
      <c r="G38" s="132" t="s">
        <v>15243</v>
      </c>
      <c r="H38" s="45" t="s">
        <v>15244</v>
      </c>
      <c r="I38" s="13"/>
      <c r="J38" s="45" t="s">
        <v>15245</v>
      </c>
      <c r="K38" s="13"/>
      <c r="L38" s="44" t="s">
        <v>15246</v>
      </c>
      <c r="M38" s="44" t="s">
        <v>15247</v>
      </c>
      <c r="N38" s="164" t="s">
        <v>15248</v>
      </c>
      <c r="O38" s="36"/>
      <c r="P38" s="36"/>
      <c r="Q38" s="13"/>
      <c r="R38" s="44" t="s">
        <v>15249</v>
      </c>
      <c r="S38" s="44" t="s">
        <v>15250</v>
      </c>
      <c r="T38" s="87" t="s">
        <v>15251</v>
      </c>
      <c r="U38" s="36"/>
      <c r="V38" s="41"/>
      <c r="W38" s="26"/>
      <c r="X38" s="42" t="s">
        <v>48</v>
      </c>
      <c r="Y38" s="42" t="s">
        <v>49</v>
      </c>
      <c r="Z38" s="48" t="s">
        <v>57</v>
      </c>
      <c r="AA38" s="85" t="str">
        <f>AA$6</f>
        <v/>
      </c>
      <c r="AB38" s="15" t="str">
        <f>IFERROR(__xludf.DUMMYFUNCTION("join("","",filter(split($H$83,"",""),ARRAYFORMULA(ISERROR(FIND(split($H$83,"",""),CONCATENATE(E38:V38))))=TRUE))"),"КЗ,206,403,406,410,АЗ")</f>
        <v>КЗ,206,403,406,410,АЗ</v>
      </c>
      <c r="AC38" s="14"/>
      <c r="AD38" s="14"/>
      <c r="AE38" s="14"/>
      <c r="AF38" s="29"/>
      <c r="AG38" s="29"/>
      <c r="AH38" s="29"/>
    </row>
    <row r="39" ht="58.5" customHeight="1">
      <c r="A39" s="30"/>
      <c r="B39" s="31">
        <v>5.0</v>
      </c>
      <c r="C39" s="32" t="s">
        <v>58</v>
      </c>
      <c r="D39" s="53">
        <v>44847.0</v>
      </c>
      <c r="E39" s="45" t="s">
        <v>15252</v>
      </c>
      <c r="F39" s="13"/>
      <c r="G39" s="44" t="s">
        <v>15253</v>
      </c>
      <c r="H39" s="45" t="s">
        <v>15254</v>
      </c>
      <c r="I39" s="13"/>
      <c r="J39" s="44" t="s">
        <v>15255</v>
      </c>
      <c r="K39" s="44" t="s">
        <v>15256</v>
      </c>
      <c r="L39" s="45" t="s">
        <v>15257</v>
      </c>
      <c r="M39" s="13"/>
      <c r="N39" s="44" t="s">
        <v>15258</v>
      </c>
      <c r="O39" s="44" t="s">
        <v>15259</v>
      </c>
      <c r="P39" s="45" t="s">
        <v>15260</v>
      </c>
      <c r="Q39" s="13"/>
      <c r="R39" s="44" t="s">
        <v>15261</v>
      </c>
      <c r="S39" s="132" t="s">
        <v>15262</v>
      </c>
      <c r="T39" s="45" t="s">
        <v>15263</v>
      </c>
      <c r="U39" s="36"/>
      <c r="V39" s="41"/>
      <c r="W39" s="26"/>
      <c r="X39" s="42" t="s">
        <v>58</v>
      </c>
      <c r="Y39" s="54">
        <v>44847.0</v>
      </c>
      <c r="Z39" s="48" t="s">
        <v>70</v>
      </c>
      <c r="AA39" s="85" t="str">
        <f>AA$7</f>
        <v/>
      </c>
      <c r="AB39" s="15" t="str">
        <f>IFERROR(__xludf.DUMMYFUNCTION("join("","",filter(split($H$83,"",""),ARRAYFORMULA(ISERROR(FIND(split($H$83,"",""),CONCATENATE(E39:V39))))=TRUE))"),"СЗ,КЗ,206,403,406,АЗ")</f>
        <v>СЗ,КЗ,206,403,406,АЗ</v>
      </c>
      <c r="AC39" s="14"/>
      <c r="AD39" s="14"/>
      <c r="AE39" s="14"/>
      <c r="AF39" s="29"/>
      <c r="AG39" s="29"/>
      <c r="AH39" s="29"/>
    </row>
    <row r="40" ht="54.0" customHeight="1">
      <c r="A40" s="30"/>
      <c r="B40" s="31">
        <v>6.0</v>
      </c>
      <c r="C40" s="55" t="s">
        <v>71</v>
      </c>
      <c r="D40" s="56" t="s">
        <v>72</v>
      </c>
      <c r="E40" s="45" t="s">
        <v>15264</v>
      </c>
      <c r="F40" s="13"/>
      <c r="G40" s="44" t="s">
        <v>355</v>
      </c>
      <c r="H40" s="45" t="s">
        <v>15265</v>
      </c>
      <c r="I40" s="13"/>
      <c r="J40" s="44" t="s">
        <v>15266</v>
      </c>
      <c r="K40" s="44" t="s">
        <v>15267</v>
      </c>
      <c r="L40" s="45" t="s">
        <v>15268</v>
      </c>
      <c r="M40" s="13"/>
      <c r="N40" s="44" t="s">
        <v>15269</v>
      </c>
      <c r="O40" s="44" t="s">
        <v>15270</v>
      </c>
      <c r="P40" s="45" t="s">
        <v>15271</v>
      </c>
      <c r="Q40" s="13"/>
      <c r="R40" s="44" t="s">
        <v>15272</v>
      </c>
      <c r="S40" s="132" t="s">
        <v>15273</v>
      </c>
      <c r="T40" s="45" t="s">
        <v>15274</v>
      </c>
      <c r="U40" s="36"/>
      <c r="V40" s="41"/>
      <c r="W40" s="26"/>
      <c r="X40" s="58" t="s">
        <v>71</v>
      </c>
      <c r="Y40" s="59" t="s">
        <v>72</v>
      </c>
      <c r="Z40" s="48" t="s">
        <v>84</v>
      </c>
      <c r="AA40" s="85" t="str">
        <f>AA$8</f>
        <v/>
      </c>
      <c r="AB40" s="15" t="str">
        <f>IFERROR(__xludf.DUMMYFUNCTION("join("","",filter(split($H$83,"",""),ARRAYFORMULA(ISERROR(FIND(split($H$83,"",""),CONCATENATE(E40:V40))))=TRUE))"),"СЗ,КЗ,206,403,406,АЗ")</f>
        <v>СЗ,КЗ,206,403,406,АЗ</v>
      </c>
      <c r="AC40" s="14"/>
      <c r="AD40" s="14"/>
      <c r="AE40" s="14"/>
      <c r="AF40" s="29"/>
      <c r="AG40" s="29"/>
      <c r="AH40" s="29"/>
    </row>
    <row r="41" ht="48.75" customHeight="1">
      <c r="A41" s="30"/>
      <c r="B41" s="31">
        <v>7.0</v>
      </c>
      <c r="C41" s="32" t="s">
        <v>85</v>
      </c>
      <c r="D41" s="32" t="s">
        <v>86</v>
      </c>
      <c r="E41" s="45" t="s">
        <v>15275</v>
      </c>
      <c r="F41" s="13"/>
      <c r="G41" s="44" t="s">
        <v>15276</v>
      </c>
      <c r="H41" s="45" t="s">
        <v>15277</v>
      </c>
      <c r="I41" s="13"/>
      <c r="J41" s="44" t="s">
        <v>15278</v>
      </c>
      <c r="K41" s="44" t="s">
        <v>15279</v>
      </c>
      <c r="L41" s="45" t="s">
        <v>15280</v>
      </c>
      <c r="M41" s="13"/>
      <c r="N41" s="87" t="s">
        <v>15281</v>
      </c>
      <c r="O41" s="13"/>
      <c r="P41" s="45" t="s">
        <v>15282</v>
      </c>
      <c r="Q41" s="13"/>
      <c r="R41" s="44" t="s">
        <v>15283</v>
      </c>
      <c r="S41" s="44" t="s">
        <v>15284</v>
      </c>
      <c r="T41" s="165" t="s">
        <v>15285</v>
      </c>
      <c r="U41" s="36"/>
      <c r="V41" s="41"/>
      <c r="W41" s="26"/>
      <c r="X41" s="42" t="s">
        <v>85</v>
      </c>
      <c r="Y41" s="42" t="s">
        <v>86</v>
      </c>
      <c r="Z41" s="48" t="s">
        <v>97</v>
      </c>
      <c r="AA41" s="85" t="str">
        <f>AA$9</f>
        <v/>
      </c>
      <c r="AB41" s="15" t="str">
        <f>IFERROR(__xludf.DUMMYFUNCTION("join("","",filter(split($H$83,"",""),ARRAYFORMULA(ISERROR(FIND(split($H$83,"",""),CONCATENATE(E41:V41))))=TRUE))"),"СЗ,КЗ,206,210,403,406,АЗ")</f>
        <v>СЗ,КЗ,206,210,403,406,АЗ</v>
      </c>
      <c r="AC41" s="14"/>
      <c r="AD41" s="14"/>
      <c r="AE41" s="14"/>
      <c r="AF41" s="29"/>
      <c r="AG41" s="29"/>
      <c r="AH41" s="29"/>
    </row>
    <row r="42" ht="52.5" customHeight="1">
      <c r="A42" s="30"/>
      <c r="B42" s="31">
        <v>8.0</v>
      </c>
      <c r="C42" s="32" t="s">
        <v>98</v>
      </c>
      <c r="D42" s="32" t="s">
        <v>99</v>
      </c>
      <c r="E42" s="45" t="s">
        <v>15286</v>
      </c>
      <c r="F42" s="13"/>
      <c r="G42" s="44" t="s">
        <v>15287</v>
      </c>
      <c r="H42" s="45" t="s">
        <v>379</v>
      </c>
      <c r="I42" s="13"/>
      <c r="J42" s="44" t="s">
        <v>15288</v>
      </c>
      <c r="K42" s="44" t="s">
        <v>15289</v>
      </c>
      <c r="L42" s="45" t="s">
        <v>15290</v>
      </c>
      <c r="M42" s="13"/>
      <c r="N42" s="87" t="s">
        <v>15291</v>
      </c>
      <c r="O42" s="13"/>
      <c r="P42" s="45" t="s">
        <v>15292</v>
      </c>
      <c r="Q42" s="13"/>
      <c r="R42" s="166"/>
      <c r="S42" s="13"/>
      <c r="T42" s="165" t="s">
        <v>15293</v>
      </c>
      <c r="U42" s="36"/>
      <c r="V42" s="41"/>
      <c r="W42" s="26"/>
      <c r="X42" s="42" t="s">
        <v>98</v>
      </c>
      <c r="Y42" s="42" t="s">
        <v>99</v>
      </c>
      <c r="Z42" s="11"/>
      <c r="AA42" s="14"/>
      <c r="AB42" s="15" t="str">
        <f>IFERROR(__xludf.DUMMYFUNCTION("join("","",filter(split($H$83,"",""),ARRAYFORMULA(ISERROR(FIND(split($H$83,"",""),CONCATENATE(E42:V42))))=TRUE))"),"СЗ,КЗ,206,210,403,404,405,406,АЗ")</f>
        <v>СЗ,КЗ,206,210,403,404,405,406,АЗ</v>
      </c>
      <c r="AC42" s="14"/>
      <c r="AD42" s="14"/>
      <c r="AE42" s="14"/>
      <c r="AF42" s="29"/>
      <c r="AG42" s="29"/>
      <c r="AH42" s="29"/>
    </row>
    <row r="43" ht="40.5" customHeight="1">
      <c r="A43" s="30"/>
      <c r="B43" s="31">
        <v>9.0</v>
      </c>
      <c r="C43" s="65">
        <v>44697.0</v>
      </c>
      <c r="D43" s="44" t="s">
        <v>109</v>
      </c>
      <c r="E43" s="167" t="s">
        <v>15294</v>
      </c>
      <c r="F43" s="4"/>
      <c r="G43" s="168"/>
      <c r="H43" s="169" t="s">
        <v>15295</v>
      </c>
      <c r="I43" s="36"/>
      <c r="J43" s="13"/>
      <c r="K43" s="170"/>
      <c r="L43" s="4"/>
      <c r="M43" s="171"/>
      <c r="N43" s="45" t="s">
        <v>15296</v>
      </c>
      <c r="O43" s="13"/>
      <c r="P43" s="33" t="s">
        <v>15297</v>
      </c>
      <c r="Q43" s="172" t="s">
        <v>390</v>
      </c>
      <c r="R43" s="8"/>
      <c r="S43" s="8"/>
      <c r="T43" s="8"/>
      <c r="U43" s="8"/>
      <c r="V43" s="129"/>
      <c r="W43" s="26"/>
      <c r="X43" s="69">
        <v>44697.0</v>
      </c>
      <c r="Y43" s="70" t="s">
        <v>109</v>
      </c>
      <c r="Z43" s="28"/>
      <c r="AA43" s="14"/>
      <c r="AB43" s="15" t="str">
        <f>IFERROR(__xludf.DUMMYFUNCTION("join("","",filter(split($H$83,"",""),ARRAYFORMULA(ISERROR(FIND(split($H$83,"",""),CONCATENATE(E43:V43))))=TRUE))"),"КЗ,202,206,209,401,403,404,405,406,408,409,АЗ")</f>
        <v>КЗ,202,206,209,401,403,404,405,406,408,409,АЗ</v>
      </c>
      <c r="AC43" s="14"/>
      <c r="AD43" s="14"/>
      <c r="AE43" s="14"/>
      <c r="AF43" s="29"/>
      <c r="AG43" s="29"/>
      <c r="AH43" s="29"/>
    </row>
    <row r="44" ht="40.5" customHeight="1">
      <c r="A44" s="30"/>
      <c r="B44" s="31">
        <v>10.0</v>
      </c>
      <c r="C44" s="44" t="s">
        <v>120</v>
      </c>
      <c r="D44" s="44" t="s">
        <v>121</v>
      </c>
      <c r="E44" s="104"/>
      <c r="F44" s="72"/>
      <c r="G44" s="173"/>
      <c r="H44" s="169" t="s">
        <v>15298</v>
      </c>
      <c r="I44" s="36"/>
      <c r="J44" s="13"/>
      <c r="K44" s="104"/>
      <c r="L44" s="72"/>
      <c r="M44" s="171"/>
      <c r="N44" s="45" t="s">
        <v>15299</v>
      </c>
      <c r="O44" s="13"/>
      <c r="P44" s="33" t="s">
        <v>15300</v>
      </c>
      <c r="Q44" s="104"/>
      <c r="R44" s="64"/>
      <c r="S44" s="64"/>
      <c r="T44" s="64"/>
      <c r="U44" s="64"/>
      <c r="V44" s="88"/>
      <c r="W44" s="26"/>
      <c r="X44" s="70" t="s">
        <v>120</v>
      </c>
      <c r="Y44" s="70" t="s">
        <v>121</v>
      </c>
      <c r="Z44" s="28"/>
      <c r="AA44" s="14"/>
      <c r="AB44" s="15" t="str">
        <f>IFERROR(__xludf.DUMMYFUNCTION("join("","",filter(split($H$83,"",""),ARRAYFORMULA(ISERROR(FIND(split($H$83,"",""),CONCATENATE(E44:V44))))=TRUE))"),"КЗ,201,202,206,209,401,403,404,405,406,408,409,410,АЗ")</f>
        <v>КЗ,201,202,206,209,401,403,404,405,406,408,409,410,АЗ</v>
      </c>
      <c r="AC44" s="14"/>
      <c r="AD44" s="14"/>
      <c r="AE44" s="14"/>
      <c r="AF44" s="29"/>
      <c r="AG44" s="29"/>
      <c r="AH44" s="29"/>
    </row>
    <row r="45" ht="40.5" customHeight="1">
      <c r="A45" s="74"/>
      <c r="B45" s="75">
        <v>11.0</v>
      </c>
      <c r="C45" s="76" t="s">
        <v>124</v>
      </c>
      <c r="D45" s="76" t="s">
        <v>125</v>
      </c>
      <c r="E45" s="111"/>
      <c r="F45" s="111"/>
      <c r="G45" s="111"/>
      <c r="H45" s="111"/>
      <c r="I45" s="111"/>
      <c r="J45" s="111"/>
      <c r="K45" s="111"/>
      <c r="L45" s="111"/>
      <c r="M45" s="111"/>
      <c r="N45" s="111"/>
      <c r="O45" s="111"/>
      <c r="P45" s="111"/>
      <c r="Q45" s="111"/>
      <c r="R45" s="111"/>
      <c r="S45" s="111"/>
      <c r="T45" s="111"/>
      <c r="U45" s="111"/>
      <c r="V45" s="112"/>
      <c r="W45" s="26"/>
      <c r="X45" s="79" t="s">
        <v>124</v>
      </c>
      <c r="Y45" s="79" t="s">
        <v>125</v>
      </c>
      <c r="Z45" s="28"/>
      <c r="AA45" s="14"/>
      <c r="AB45" s="15" t="str">
        <f>IFERROR(__xludf.DUMMYFUNCTION("join("","",filter(split($H$83,"",""),ARRAYFORMULA(ISERROR(FIND(split($H$83,"",""),CONCATENATE(E45:V45))))=TRUE))"),"СЗ,КЗ,201,202,206,209,210,401,402,403,404,405,406,408,409,410,АЗ")</f>
        <v>СЗ,КЗ,201,202,206,209,210,401,402,403,404,405,406,408,409,410,АЗ</v>
      </c>
      <c r="AC45" s="14"/>
      <c r="AD45" s="14"/>
      <c r="AE45" s="14"/>
      <c r="AF45" s="29"/>
      <c r="AG45" s="29"/>
      <c r="AH45" s="29"/>
    </row>
    <row r="46" ht="40.5" customHeight="1">
      <c r="A46" s="887" t="s">
        <v>648</v>
      </c>
      <c r="B46" s="19">
        <v>1.0</v>
      </c>
      <c r="C46" s="20" t="s">
        <v>12</v>
      </c>
      <c r="D46" s="20" t="s">
        <v>13</v>
      </c>
      <c r="E46" s="156" t="s">
        <v>15301</v>
      </c>
      <c r="F46" s="156" t="s">
        <v>15302</v>
      </c>
      <c r="G46" s="80" t="s">
        <v>15303</v>
      </c>
      <c r="H46" s="25"/>
      <c r="I46" s="174" t="s">
        <v>15304</v>
      </c>
      <c r="J46" s="175" t="s">
        <v>15305</v>
      </c>
      <c r="K46" s="25"/>
      <c r="L46" s="80" t="s">
        <v>15306</v>
      </c>
      <c r="M46" s="25"/>
      <c r="N46" s="156" t="s">
        <v>15307</v>
      </c>
      <c r="O46" s="156" t="s">
        <v>15308</v>
      </c>
      <c r="P46" s="80" t="s">
        <v>15309</v>
      </c>
      <c r="Q46" s="25"/>
      <c r="R46" s="80" t="s">
        <v>15310</v>
      </c>
      <c r="S46" s="25"/>
      <c r="T46" s="80" t="s">
        <v>15311</v>
      </c>
      <c r="U46" s="24"/>
      <c r="V46" s="22"/>
      <c r="W46" s="26"/>
      <c r="X46" s="27" t="s">
        <v>12</v>
      </c>
      <c r="Y46" s="27" t="s">
        <v>13</v>
      </c>
      <c r="Z46" s="28"/>
      <c r="AA46" s="14"/>
      <c r="AB46" s="15" t="str">
        <f>IFERROR(__xludf.DUMMYFUNCTION("join("","",filter(split($H$83,"",""),ARRAYFORMULA(ISERROR(FIND(split($H$83,"",""),CONCATENATE(E46:V46))))=TRUE))"),"СЗ,КЗ,206,402,408,409,410")</f>
        <v>СЗ,КЗ,206,402,408,409,410</v>
      </c>
      <c r="AC46" s="14"/>
      <c r="AD46" s="14"/>
      <c r="AE46" s="14"/>
      <c r="AF46" s="29"/>
      <c r="AG46" s="29"/>
      <c r="AH46" s="29"/>
    </row>
    <row r="47" ht="40.5" customHeight="1">
      <c r="A47" s="30"/>
      <c r="B47" s="31">
        <v>2.0</v>
      </c>
      <c r="C47" s="32" t="s">
        <v>21</v>
      </c>
      <c r="D47" s="32" t="s">
        <v>22</v>
      </c>
      <c r="E47" s="44" t="s">
        <v>15312</v>
      </c>
      <c r="F47" s="44" t="s">
        <v>15313</v>
      </c>
      <c r="G47" s="45" t="s">
        <v>15314</v>
      </c>
      <c r="H47" s="13"/>
      <c r="I47" s="173"/>
      <c r="J47" s="157" t="s">
        <v>15315</v>
      </c>
      <c r="K47" s="13"/>
      <c r="L47" s="80" t="s">
        <v>15316</v>
      </c>
      <c r="M47" s="25"/>
      <c r="N47" s="44" t="s">
        <v>15317</v>
      </c>
      <c r="O47" s="44" t="s">
        <v>15318</v>
      </c>
      <c r="P47" s="45" t="s">
        <v>15319</v>
      </c>
      <c r="Q47" s="13"/>
      <c r="R47" s="44" t="s">
        <v>15320</v>
      </c>
      <c r="S47" s="90" t="s">
        <v>15321</v>
      </c>
      <c r="T47" s="45" t="s">
        <v>15322</v>
      </c>
      <c r="U47" s="36"/>
      <c r="V47" s="41"/>
      <c r="W47" s="26"/>
      <c r="X47" s="42" t="s">
        <v>21</v>
      </c>
      <c r="Y47" s="42" t="s">
        <v>22</v>
      </c>
      <c r="Z47" s="28"/>
      <c r="AA47" s="14"/>
      <c r="AB47" s="15" t="str">
        <f>IFERROR(__xludf.DUMMYFUNCTION("join("","",filter(split($H$83,"",""),ARRAYFORMULA(ISERROR(FIND(split($H$83,"",""),CONCATENATE(E47:V47))))=TRUE))"),"СЗ,КЗ,206,408,409,410,АЗ")</f>
        <v>СЗ,КЗ,206,408,409,410,АЗ</v>
      </c>
      <c r="AC47" s="14"/>
      <c r="AD47" s="14"/>
      <c r="AE47" s="14"/>
      <c r="AF47" s="29"/>
      <c r="AG47" s="29"/>
      <c r="AH47" s="29"/>
    </row>
    <row r="48" ht="40.5" customHeight="1">
      <c r="A48" s="30"/>
      <c r="B48" s="31">
        <v>3.0</v>
      </c>
      <c r="C48" s="32" t="s">
        <v>33</v>
      </c>
      <c r="D48" s="32" t="s">
        <v>34</v>
      </c>
      <c r="E48" s="40" t="s">
        <v>15323</v>
      </c>
      <c r="F48" s="13"/>
      <c r="G48" s="176" t="s">
        <v>15324</v>
      </c>
      <c r="H48" s="4"/>
      <c r="I48" s="90" t="s">
        <v>15325</v>
      </c>
      <c r="J48" s="44" t="s">
        <v>15326</v>
      </c>
      <c r="K48" s="44" t="s">
        <v>15327</v>
      </c>
      <c r="L48" s="44" t="s">
        <v>15328</v>
      </c>
      <c r="M48" s="44" t="s">
        <v>15329</v>
      </c>
      <c r="N48" s="164" t="s">
        <v>15330</v>
      </c>
      <c r="O48" s="36"/>
      <c r="P48" s="36"/>
      <c r="Q48" s="13"/>
      <c r="R48" s="44" t="s">
        <v>15331</v>
      </c>
      <c r="S48" s="90" t="s">
        <v>15332</v>
      </c>
      <c r="T48" s="45" t="s">
        <v>15333</v>
      </c>
      <c r="U48" s="36"/>
      <c r="V48" s="41"/>
      <c r="W48" s="26"/>
      <c r="X48" s="42" t="s">
        <v>33</v>
      </c>
      <c r="Y48" s="42" t="s">
        <v>34</v>
      </c>
      <c r="Z48" s="48" t="s">
        <v>47</v>
      </c>
      <c r="AA48" s="85" t="str">
        <f>AA$5</f>
        <v/>
      </c>
      <c r="AB48" s="15" t="str">
        <f>IFERROR(__xludf.DUMMYFUNCTION("join("","",filter(split($H$83,"",""),ARRAYFORMULA(ISERROR(FIND(split($H$83,"",""),CONCATENATE(E48:V48))))=TRUE))"),"СЗ,КЗ,206,209,409,410")</f>
        <v>СЗ,КЗ,206,209,409,410</v>
      </c>
      <c r="AC48" s="14"/>
      <c r="AD48" s="14"/>
      <c r="AE48" s="14"/>
      <c r="AF48" s="29"/>
      <c r="AG48" s="29"/>
      <c r="AH48" s="29"/>
    </row>
    <row r="49" ht="40.5" customHeight="1">
      <c r="A49" s="30"/>
      <c r="B49" s="31">
        <v>4.0</v>
      </c>
      <c r="C49" s="32" t="s">
        <v>48</v>
      </c>
      <c r="D49" s="32" t="s">
        <v>49</v>
      </c>
      <c r="E49" s="40" t="s">
        <v>15334</v>
      </c>
      <c r="F49" s="13"/>
      <c r="G49" s="104"/>
      <c r="H49" s="72"/>
      <c r="I49" s="90" t="s">
        <v>15335</v>
      </c>
      <c r="J49" s="44" t="s">
        <v>15336</v>
      </c>
      <c r="K49" s="44" t="s">
        <v>15337</v>
      </c>
      <c r="L49" s="44" t="s">
        <v>15338</v>
      </c>
      <c r="M49" s="44" t="s">
        <v>15339</v>
      </c>
      <c r="N49" s="164" t="s">
        <v>15340</v>
      </c>
      <c r="O49" s="36"/>
      <c r="P49" s="36"/>
      <c r="Q49" s="13"/>
      <c r="R49" s="97" t="s">
        <v>15341</v>
      </c>
      <c r="S49" s="133" t="s">
        <v>15342</v>
      </c>
      <c r="T49" s="45" t="s">
        <v>15343</v>
      </c>
      <c r="U49" s="36"/>
      <c r="V49" s="41"/>
      <c r="W49" s="26"/>
      <c r="X49" s="42" t="s">
        <v>48</v>
      </c>
      <c r="Y49" s="42" t="s">
        <v>49</v>
      </c>
      <c r="Z49" s="48" t="s">
        <v>57</v>
      </c>
      <c r="AA49" s="85" t="str">
        <f>AA$6</f>
        <v/>
      </c>
      <c r="AB49" s="15" t="str">
        <f>IFERROR(__xludf.DUMMYFUNCTION("join("","",filter(split($H$83,"",""),ARRAYFORMULA(ISERROR(FIND(split($H$83,"",""),CONCATENATE(E49:V49))))=TRUE))"),"СЗ,КЗ,201,206,409,410,АЗ")</f>
        <v>СЗ,КЗ,201,206,409,410,АЗ</v>
      </c>
      <c r="AC49" s="14"/>
      <c r="AD49" s="14"/>
      <c r="AE49" s="14"/>
      <c r="AF49" s="29"/>
      <c r="AG49" s="29"/>
      <c r="AH49" s="29"/>
    </row>
    <row r="50" ht="40.5" customHeight="1">
      <c r="A50" s="30"/>
      <c r="B50" s="31">
        <v>5.0</v>
      </c>
      <c r="C50" s="32" t="s">
        <v>58</v>
      </c>
      <c r="D50" s="53">
        <v>44847.0</v>
      </c>
      <c r="E50" s="45" t="s">
        <v>15344</v>
      </c>
      <c r="F50" s="13"/>
      <c r="G50" s="44" t="s">
        <v>15345</v>
      </c>
      <c r="H50" s="44" t="s">
        <v>15346</v>
      </c>
      <c r="I50" s="44" t="s">
        <v>15347</v>
      </c>
      <c r="J50" s="45" t="s">
        <v>15348</v>
      </c>
      <c r="K50" s="13"/>
      <c r="L50" s="45" t="s">
        <v>15349</v>
      </c>
      <c r="M50" s="13"/>
      <c r="N50" s="177" t="s">
        <v>15350</v>
      </c>
      <c r="O50" s="124" t="s">
        <v>15351</v>
      </c>
      <c r="P50" s="45" t="s">
        <v>15352</v>
      </c>
      <c r="Q50" s="13"/>
      <c r="R50" s="97" t="s">
        <v>15353</v>
      </c>
      <c r="S50" s="133" t="s">
        <v>15354</v>
      </c>
      <c r="T50" s="45" t="s">
        <v>15355</v>
      </c>
      <c r="U50" s="36"/>
      <c r="V50" s="41"/>
      <c r="W50" s="26"/>
      <c r="X50" s="42" t="s">
        <v>58</v>
      </c>
      <c r="Y50" s="54">
        <v>44847.0</v>
      </c>
      <c r="Z50" s="48" t="s">
        <v>70</v>
      </c>
      <c r="AA50" s="85" t="str">
        <f>AA$7</f>
        <v/>
      </c>
      <c r="AB50" s="15" t="str">
        <f>IFERROR(__xludf.DUMMYFUNCTION("join("","",filter(split($H$83,"",""),ARRAYFORMULA(ISERROR(FIND(split($H$83,"",""),CONCATENATE(E50:V50))))=TRUE))"),"СЗ,КЗ,206,401,404,406,408,410")</f>
        <v>СЗ,КЗ,206,401,404,406,408,410</v>
      </c>
      <c r="AC50" s="14"/>
      <c r="AD50" s="14"/>
      <c r="AE50" s="14"/>
      <c r="AF50" s="29"/>
      <c r="AG50" s="29"/>
      <c r="AH50" s="29"/>
    </row>
    <row r="51" ht="48.75" customHeight="1">
      <c r="A51" s="30"/>
      <c r="B51" s="31">
        <v>6.0</v>
      </c>
      <c r="C51" s="55" t="s">
        <v>71</v>
      </c>
      <c r="D51" s="56" t="s">
        <v>72</v>
      </c>
      <c r="E51" s="45" t="s">
        <v>15356</v>
      </c>
      <c r="F51" s="13"/>
      <c r="G51" s="44" t="s">
        <v>15357</v>
      </c>
      <c r="H51" s="44" t="s">
        <v>15358</v>
      </c>
      <c r="I51" s="44" t="s">
        <v>15359</v>
      </c>
      <c r="J51" s="45" t="s">
        <v>15360</v>
      </c>
      <c r="K51" s="13"/>
      <c r="L51" s="45" t="s">
        <v>15361</v>
      </c>
      <c r="M51" s="13"/>
      <c r="N51" s="177" t="s">
        <v>15362</v>
      </c>
      <c r="O51" s="124" t="s">
        <v>15363</v>
      </c>
      <c r="P51" s="45" t="s">
        <v>15364</v>
      </c>
      <c r="Q51" s="13"/>
      <c r="R51" s="162" t="s">
        <v>15365</v>
      </c>
      <c r="S51" s="178" t="s">
        <v>15366</v>
      </c>
      <c r="T51" s="44" t="s">
        <v>15367</v>
      </c>
      <c r="U51" s="44" t="s">
        <v>15368</v>
      </c>
      <c r="V51" s="34"/>
      <c r="W51" s="179"/>
      <c r="X51" s="58" t="s">
        <v>71</v>
      </c>
      <c r="Y51" s="59" t="s">
        <v>72</v>
      </c>
      <c r="Z51" s="48" t="s">
        <v>84</v>
      </c>
      <c r="AA51" s="85"/>
      <c r="AB51" s="15" t="str">
        <f>IFERROR(__xludf.DUMMYFUNCTION("join("","",filter(split($H$83,"",""),ARRAYFORMULA(ISERROR(FIND(split($H$83,"",""),CONCATENATE(E51:V51))))=TRUE))"),"СЗ,206,404,406,410")</f>
        <v>СЗ,206,404,406,410</v>
      </c>
      <c r="AC51" s="15" t="str">
        <f>IFERROR(__xludf.DUMMYFUNCTION("join("","",filter(split(#REF!,"",""),ARRAYFORMULA(ISERROR(FIND(split(#REF!,"",""),CONCATENATE(E51:S51))))=TRUE))"),"#REF!")</f>
        <v>#REF!</v>
      </c>
      <c r="AD51" s="14"/>
      <c r="AE51" s="14"/>
      <c r="AF51" s="29"/>
      <c r="AG51" s="29"/>
      <c r="AH51" s="29"/>
    </row>
    <row r="52" ht="55.5" customHeight="1">
      <c r="A52" s="30"/>
      <c r="B52" s="31">
        <v>7.0</v>
      </c>
      <c r="C52" s="32" t="s">
        <v>85</v>
      </c>
      <c r="D52" s="32" t="s">
        <v>86</v>
      </c>
      <c r="E52" s="45" t="s">
        <v>15369</v>
      </c>
      <c r="F52" s="13"/>
      <c r="G52" s="44" t="s">
        <v>15370</v>
      </c>
      <c r="H52" s="44" t="s">
        <v>15371</v>
      </c>
      <c r="I52" s="44" t="s">
        <v>15372</v>
      </c>
      <c r="J52" s="45" t="s">
        <v>15373</v>
      </c>
      <c r="K52" s="13"/>
      <c r="L52" s="45" t="s">
        <v>15374</v>
      </c>
      <c r="M52" s="13"/>
      <c r="N52" s="86" t="s">
        <v>15375</v>
      </c>
      <c r="O52" s="13"/>
      <c r="P52" s="124" t="s">
        <v>15376</v>
      </c>
      <c r="Q52" s="37" t="s">
        <v>15377</v>
      </c>
      <c r="R52" s="180" t="s">
        <v>15378</v>
      </c>
      <c r="S52" s="181" t="s">
        <v>15379</v>
      </c>
      <c r="T52" s="44" t="s">
        <v>472</v>
      </c>
      <c r="U52" s="44"/>
      <c r="V52" s="34"/>
      <c r="W52" s="26"/>
      <c r="X52" s="42" t="s">
        <v>85</v>
      </c>
      <c r="Y52" s="42" t="s">
        <v>86</v>
      </c>
      <c r="Z52" s="48" t="s">
        <v>97</v>
      </c>
      <c r="AA52" s="85" t="str">
        <f>AA$9</f>
        <v/>
      </c>
      <c r="AB52" s="15" t="str">
        <f>IFERROR(__xludf.DUMMYFUNCTION("join("","",filter(split($H$83,"",""),ARRAYFORMULA(ISERROR(FIND(split($H$83,"",""),CONCATENATE(E52:V52))))=TRUE))"),"СЗ,206,404,410")</f>
        <v>СЗ,206,404,410</v>
      </c>
      <c r="AC52" s="14"/>
      <c r="AD52" s="14"/>
      <c r="AE52" s="14"/>
      <c r="AF52" s="29"/>
      <c r="AG52" s="29"/>
      <c r="AH52" s="29"/>
    </row>
    <row r="53" ht="51.75" customHeight="1">
      <c r="A53" s="30"/>
      <c r="B53" s="31">
        <v>8.0</v>
      </c>
      <c r="C53" s="32" t="s">
        <v>98</v>
      </c>
      <c r="D53" s="32" t="s">
        <v>99</v>
      </c>
      <c r="E53" s="44" t="s">
        <v>15380</v>
      </c>
      <c r="F53" s="44" t="s">
        <v>15381</v>
      </c>
      <c r="G53" s="416" t="s">
        <v>1913</v>
      </c>
      <c r="H53" s="86" t="s">
        <v>15382</v>
      </c>
      <c r="I53" s="13"/>
      <c r="J53" s="45" t="s">
        <v>15383</v>
      </c>
      <c r="K53" s="13"/>
      <c r="L53" s="45" t="s">
        <v>15384</v>
      </c>
      <c r="M53" s="13"/>
      <c r="N53" s="182"/>
      <c r="O53" s="177" t="s">
        <v>15385</v>
      </c>
      <c r="P53" s="124" t="s">
        <v>15386</v>
      </c>
      <c r="Q53" s="37" t="s">
        <v>160</v>
      </c>
      <c r="R53" s="183" t="s">
        <v>15387</v>
      </c>
      <c r="S53" s="181" t="s">
        <v>15388</v>
      </c>
      <c r="T53" s="144"/>
      <c r="U53" s="144"/>
      <c r="V53" s="184"/>
      <c r="W53" s="26"/>
      <c r="X53" s="42" t="s">
        <v>98</v>
      </c>
      <c r="Y53" s="42" t="s">
        <v>99</v>
      </c>
      <c r="Z53" s="11"/>
      <c r="AA53" s="14"/>
      <c r="AB53" s="15" t="str">
        <f>IFERROR(__xludf.DUMMYFUNCTION("join("","",filter(split($H$83,"",""),ARRAYFORMULA(ISERROR(FIND(split($H$83,"",""),CONCATENATE(E53:V53))))=TRUE))"),"СЗ,201,206,404,405,408,410")</f>
        <v>СЗ,201,206,404,405,408,410</v>
      </c>
      <c r="AC53" s="14"/>
      <c r="AD53" s="14"/>
      <c r="AE53" s="14"/>
      <c r="AF53" s="29"/>
      <c r="AG53" s="29"/>
      <c r="AH53" s="29"/>
    </row>
    <row r="54" ht="71.25" customHeight="1">
      <c r="A54" s="30"/>
      <c r="B54" s="31">
        <v>9.0</v>
      </c>
      <c r="C54" s="65">
        <v>44697.0</v>
      </c>
      <c r="D54" s="44" t="s">
        <v>109</v>
      </c>
      <c r="E54" s="187" t="s">
        <v>480</v>
      </c>
      <c r="F54" s="8"/>
      <c r="G54" s="8"/>
      <c r="H54" s="8"/>
      <c r="I54" s="8"/>
      <c r="J54" s="8"/>
      <c r="K54" s="8"/>
      <c r="L54" s="8"/>
      <c r="M54" s="8"/>
      <c r="N54" s="163"/>
      <c r="O54" s="177" t="s">
        <v>9846</v>
      </c>
      <c r="P54" s="187" t="s">
        <v>480</v>
      </c>
      <c r="Q54" s="8"/>
      <c r="R54" s="8"/>
      <c r="S54" s="8"/>
      <c r="T54" s="8"/>
      <c r="U54" s="8"/>
      <c r="V54" s="8"/>
      <c r="W54" s="186"/>
      <c r="X54" s="69">
        <v>44697.0</v>
      </c>
      <c r="Y54" s="70" t="s">
        <v>109</v>
      </c>
      <c r="Z54" s="28"/>
      <c r="AA54" s="14"/>
      <c r="AB54" s="15" t="str">
        <f>IFERROR(__xludf.DUMMYFUNCTION("join("","",filter(split($H$83,"",""),ARRAYFORMULA(ISERROR(FIND(split($H$83,"",""),CONCATENATE(E54:V54))))=TRUE))"),"206,209,403,404,405,408,409,410,АЗ")</f>
        <v>206,209,403,404,405,408,409,410,АЗ</v>
      </c>
      <c r="AC54" s="14"/>
      <c r="AD54" s="14"/>
      <c r="AE54" s="14"/>
      <c r="AF54" s="29"/>
      <c r="AG54" s="29"/>
      <c r="AH54" s="29"/>
    </row>
    <row r="55" ht="40.5" customHeight="1">
      <c r="A55" s="30"/>
      <c r="B55" s="31">
        <v>10.0</v>
      </c>
      <c r="C55" s="44" t="s">
        <v>120</v>
      </c>
      <c r="D55" s="44" t="s">
        <v>121</v>
      </c>
      <c r="E55" s="104"/>
      <c r="F55" s="64"/>
      <c r="G55" s="64"/>
      <c r="H55" s="64"/>
      <c r="I55" s="64"/>
      <c r="J55" s="64"/>
      <c r="K55" s="64"/>
      <c r="L55" s="64"/>
      <c r="M55" s="64"/>
      <c r="N55" s="188"/>
      <c r="O55" s="189"/>
      <c r="P55" s="104"/>
      <c r="Q55" s="64"/>
      <c r="R55" s="64"/>
      <c r="S55" s="64"/>
      <c r="T55" s="64"/>
      <c r="U55" s="64"/>
      <c r="V55" s="64"/>
      <c r="W55" s="190"/>
      <c r="X55" s="70" t="s">
        <v>120</v>
      </c>
      <c r="Y55" s="70" t="s">
        <v>121</v>
      </c>
      <c r="Z55" s="28"/>
      <c r="AA55" s="14"/>
      <c r="AB55" s="15" t="str">
        <f>IFERROR(__xludf.DUMMYFUNCTION("join("","",filter(split($H$83,"",""),ARRAYFORMULA(ISERROR(FIND(split($H$83,"",""),CONCATENATE(E55:V55))))=TRUE))"),"СЗ,КЗ,201,202,206,209,210,401,402,403,404,405,406,408,409,410,АЗ")</f>
        <v>СЗ,КЗ,201,202,206,209,210,401,402,403,404,405,406,408,409,410,АЗ</v>
      </c>
      <c r="AC55" s="14"/>
      <c r="AD55" s="14"/>
      <c r="AE55" s="14"/>
      <c r="AF55" s="29"/>
      <c r="AG55" s="29"/>
      <c r="AH55" s="29"/>
    </row>
    <row r="56" ht="40.5" customHeight="1">
      <c r="A56" s="74"/>
      <c r="B56" s="75">
        <v>11.0</v>
      </c>
      <c r="C56" s="76" t="s">
        <v>124</v>
      </c>
      <c r="D56" s="76" t="s">
        <v>125</v>
      </c>
      <c r="E56" s="111"/>
      <c r="F56" s="111"/>
      <c r="G56" s="111"/>
      <c r="H56" s="111"/>
      <c r="I56" s="111"/>
      <c r="J56" s="111"/>
      <c r="K56" s="111"/>
      <c r="L56" s="111"/>
      <c r="M56" s="111"/>
      <c r="N56" s="111"/>
      <c r="O56" s="111"/>
      <c r="P56" s="111"/>
      <c r="Q56" s="111"/>
      <c r="R56" s="111"/>
      <c r="S56" s="111"/>
      <c r="T56" s="111"/>
      <c r="U56" s="111"/>
      <c r="V56" s="112"/>
      <c r="W56" s="26"/>
      <c r="X56" s="79" t="s">
        <v>124</v>
      </c>
      <c r="Y56" s="79" t="s">
        <v>125</v>
      </c>
      <c r="Z56" s="28"/>
      <c r="AA56" s="14"/>
      <c r="AB56" s="15" t="str">
        <f>IFERROR(__xludf.DUMMYFUNCTION("join("","",filter(split($H$83,"",""),ARRAYFORMULA(ISERROR(FIND(split($H$83,"",""),CONCATENATE(E56:V56))))=TRUE))"),"СЗ,КЗ,201,202,206,209,210,401,402,403,404,405,406,408,409,410,АЗ")</f>
        <v>СЗ,КЗ,201,202,206,209,210,401,402,403,404,405,406,408,409,410,АЗ</v>
      </c>
      <c r="AC56" s="14"/>
      <c r="AD56" s="14"/>
      <c r="AE56" s="14"/>
      <c r="AF56" s="29"/>
      <c r="AG56" s="29"/>
      <c r="AH56" s="29"/>
    </row>
    <row r="57" ht="40.5" customHeight="1">
      <c r="A57" s="887" t="s">
        <v>15389</v>
      </c>
      <c r="B57" s="191">
        <v>1.0</v>
      </c>
      <c r="C57" s="192" t="str">
        <f>D$1</f>
        <v/>
      </c>
      <c r="D57" s="72"/>
      <c r="E57" s="193"/>
      <c r="F57" s="193"/>
      <c r="G57" s="194" t="s">
        <v>481</v>
      </c>
      <c r="H57" s="64"/>
      <c r="I57" s="72"/>
      <c r="J57" s="195"/>
      <c r="K57" s="64"/>
      <c r="L57" s="64"/>
      <c r="M57" s="72"/>
      <c r="N57" s="193"/>
      <c r="O57" s="177"/>
      <c r="P57" s="187" t="s">
        <v>482</v>
      </c>
      <c r="Q57" s="8"/>
      <c r="R57" s="8"/>
      <c r="S57" s="4"/>
      <c r="T57" s="193"/>
      <c r="U57" s="193"/>
      <c r="V57" s="193"/>
      <c r="W57" s="15"/>
      <c r="X57" s="197" t="str">
        <f>Y$1</f>
        <v/>
      </c>
      <c r="Y57" s="13"/>
      <c r="Z57" s="28"/>
      <c r="AA57" s="14"/>
      <c r="AB57" s="15"/>
      <c r="AC57" s="14"/>
      <c r="AD57" s="14"/>
      <c r="AE57" s="14"/>
      <c r="AF57" s="29"/>
      <c r="AG57" s="29"/>
      <c r="AH57" s="29"/>
    </row>
    <row r="58" ht="40.5" customHeight="1">
      <c r="A58" s="30"/>
      <c r="B58" s="31">
        <v>2.0</v>
      </c>
      <c r="C58" s="85"/>
      <c r="D58" s="85"/>
      <c r="E58" s="15"/>
      <c r="F58" s="15"/>
      <c r="G58" s="15"/>
      <c r="H58" s="15"/>
      <c r="I58" s="15"/>
      <c r="J58" s="15"/>
      <c r="K58" s="15"/>
      <c r="L58" s="15"/>
      <c r="M58" s="15"/>
      <c r="N58" s="15"/>
      <c r="O58" s="177"/>
      <c r="P58" s="104"/>
      <c r="Q58" s="64"/>
      <c r="R58" s="64"/>
      <c r="S58" s="72"/>
      <c r="T58" s="15"/>
      <c r="U58" s="15"/>
      <c r="V58" s="15"/>
      <c r="W58" s="15"/>
      <c r="X58" s="85"/>
      <c r="Y58" s="85"/>
      <c r="Z58" s="198"/>
      <c r="AA58" s="14"/>
      <c r="AB58" s="15"/>
      <c r="AC58" s="14"/>
      <c r="AD58" s="14"/>
      <c r="AE58" s="14"/>
      <c r="AF58" s="29"/>
      <c r="AG58" s="29"/>
      <c r="AH58" s="29"/>
    </row>
    <row r="59" ht="40.5" customHeight="1">
      <c r="A59" s="30"/>
      <c r="B59" s="31">
        <v>3.0</v>
      </c>
      <c r="C59" s="85"/>
      <c r="D59" s="85"/>
      <c r="E59" s="15"/>
      <c r="F59" s="15"/>
      <c r="G59" s="15"/>
      <c r="H59" s="15"/>
      <c r="I59" s="15"/>
      <c r="J59" s="44"/>
      <c r="K59" s="44"/>
      <c r="L59" s="44"/>
      <c r="M59" s="44"/>
      <c r="N59" s="15"/>
      <c r="O59" s="15"/>
      <c r="P59" s="199"/>
      <c r="Q59" s="199"/>
      <c r="R59" s="199"/>
      <c r="S59" s="199"/>
      <c r="T59" s="15"/>
      <c r="U59" s="15"/>
      <c r="V59" s="15"/>
      <c r="W59" s="15"/>
      <c r="X59" s="85"/>
      <c r="Y59" s="85"/>
      <c r="Z59" s="198"/>
      <c r="AA59" s="85" t="str">
        <f>AA$5</f>
        <v/>
      </c>
      <c r="AB59" s="15"/>
      <c r="AC59" s="14"/>
      <c r="AD59" s="14"/>
      <c r="AE59" s="14"/>
      <c r="AF59" s="29"/>
      <c r="AG59" s="29"/>
      <c r="AH59" s="29"/>
    </row>
    <row r="60" ht="40.5" customHeight="1">
      <c r="A60" s="30"/>
      <c r="B60" s="31">
        <v>4.0</v>
      </c>
      <c r="C60" s="85"/>
      <c r="D60" s="85"/>
      <c r="E60" s="15"/>
      <c r="F60" s="15"/>
      <c r="G60" s="15"/>
      <c r="H60" s="15"/>
      <c r="I60" s="15"/>
      <c r="J60" s="44"/>
      <c r="K60" s="44"/>
      <c r="L60" s="44"/>
      <c r="M60" s="44"/>
      <c r="N60" s="15"/>
      <c r="O60" s="15"/>
      <c r="P60" s="199"/>
      <c r="Q60" s="199"/>
      <c r="R60" s="199"/>
      <c r="S60" s="199"/>
      <c r="T60" s="15"/>
      <c r="U60" s="15"/>
      <c r="V60" s="15"/>
      <c r="W60" s="15"/>
      <c r="X60" s="85"/>
      <c r="Y60" s="85"/>
      <c r="Z60" s="198"/>
      <c r="AA60" s="85" t="str">
        <f>AA$6</f>
        <v/>
      </c>
      <c r="AB60" s="15"/>
      <c r="AC60" s="14"/>
      <c r="AD60" s="14"/>
      <c r="AE60" s="14"/>
      <c r="AF60" s="29"/>
      <c r="AG60" s="29"/>
      <c r="AH60" s="29"/>
    </row>
    <row r="61" ht="40.5" customHeight="1">
      <c r="A61" s="30"/>
      <c r="B61" s="31">
        <v>5.0</v>
      </c>
      <c r="C61" s="85"/>
      <c r="D61" s="85"/>
      <c r="E61" s="15"/>
      <c r="F61" s="15"/>
      <c r="G61" s="15"/>
      <c r="H61" s="15"/>
      <c r="I61" s="15"/>
      <c r="J61" s="44"/>
      <c r="K61" s="44"/>
      <c r="L61" s="44"/>
      <c r="M61" s="44"/>
      <c r="N61" s="15"/>
      <c r="O61" s="15"/>
      <c r="P61" s="15"/>
      <c r="Q61" s="15"/>
      <c r="R61" s="15"/>
      <c r="S61" s="15"/>
      <c r="T61" s="15"/>
      <c r="U61" s="15"/>
      <c r="V61" s="15"/>
      <c r="W61" s="15"/>
      <c r="X61" s="85"/>
      <c r="Y61" s="85"/>
      <c r="Z61" s="198"/>
      <c r="AA61" s="85" t="str">
        <f>AA$7</f>
        <v/>
      </c>
      <c r="AB61" s="15"/>
      <c r="AC61" s="14"/>
      <c r="AD61" s="14"/>
      <c r="AE61" s="14"/>
      <c r="AF61" s="29"/>
      <c r="AG61" s="29"/>
      <c r="AH61" s="29"/>
    </row>
    <row r="62" ht="40.5" customHeight="1">
      <c r="A62" s="30"/>
      <c r="B62" s="31">
        <v>6.0</v>
      </c>
      <c r="C62" s="85"/>
      <c r="D62" s="85"/>
      <c r="E62" s="15"/>
      <c r="F62" s="15"/>
      <c r="G62" s="15"/>
      <c r="H62" s="15"/>
      <c r="I62" s="15"/>
      <c r="J62" s="44"/>
      <c r="K62" s="44"/>
      <c r="L62" s="44"/>
      <c r="M62" s="44"/>
      <c r="N62" s="15"/>
      <c r="O62" s="15"/>
      <c r="P62" s="15"/>
      <c r="Q62" s="15"/>
      <c r="R62" s="15"/>
      <c r="S62" s="15"/>
      <c r="T62" s="15"/>
      <c r="U62" s="15"/>
      <c r="V62" s="15"/>
      <c r="W62" s="15"/>
      <c r="X62" s="85"/>
      <c r="Y62" s="85"/>
      <c r="Z62" s="198"/>
      <c r="AA62" s="85" t="str">
        <f>AA$8</f>
        <v/>
      </c>
      <c r="AB62" s="15"/>
      <c r="AC62" s="14"/>
      <c r="AD62" s="14"/>
      <c r="AE62" s="14"/>
      <c r="AF62" s="29"/>
      <c r="AG62" s="29"/>
      <c r="AH62" s="29"/>
    </row>
    <row r="63" ht="40.5" customHeight="1">
      <c r="A63" s="30"/>
      <c r="B63" s="31">
        <v>7.0</v>
      </c>
      <c r="C63" s="85"/>
      <c r="D63" s="85"/>
      <c r="E63" s="15"/>
      <c r="F63" s="15"/>
      <c r="G63" s="15"/>
      <c r="H63" s="15"/>
      <c r="I63" s="15"/>
      <c r="J63" s="44"/>
      <c r="K63" s="44"/>
      <c r="L63" s="44"/>
      <c r="M63" s="44"/>
      <c r="N63" s="15"/>
      <c r="O63" s="15"/>
      <c r="P63" s="15"/>
      <c r="Q63" s="15"/>
      <c r="R63" s="15"/>
      <c r="S63" s="15"/>
      <c r="T63" s="15"/>
      <c r="U63" s="15"/>
      <c r="V63" s="15"/>
      <c r="W63" s="15"/>
      <c r="X63" s="85"/>
      <c r="Y63" s="85"/>
      <c r="Z63" s="198"/>
      <c r="AA63" s="85"/>
      <c r="AB63" s="14"/>
      <c r="AC63" s="14"/>
      <c r="AD63" s="14"/>
      <c r="AE63" s="14"/>
      <c r="AF63" s="29"/>
      <c r="AG63" s="29"/>
      <c r="AH63" s="29"/>
    </row>
    <row r="64" ht="40.5" customHeight="1">
      <c r="A64" s="30"/>
      <c r="B64" s="31">
        <v>8.0</v>
      </c>
      <c r="C64" s="85"/>
      <c r="D64" s="85"/>
      <c r="E64" s="15"/>
      <c r="F64" s="15"/>
      <c r="G64" s="15"/>
      <c r="H64" s="15"/>
      <c r="I64" s="15"/>
      <c r="J64" s="44"/>
      <c r="K64" s="44"/>
      <c r="L64" s="44"/>
      <c r="M64" s="44"/>
      <c r="N64" s="15"/>
      <c r="O64" s="15"/>
      <c r="P64" s="15"/>
      <c r="Q64" s="15"/>
      <c r="R64" s="15"/>
      <c r="S64" s="15"/>
      <c r="T64" s="15"/>
      <c r="U64" s="15"/>
      <c r="V64" s="15"/>
      <c r="W64" s="15"/>
      <c r="X64" s="85"/>
      <c r="Y64" s="85"/>
      <c r="Z64" s="198"/>
      <c r="AA64" s="85" t="str">
        <f>AA$9</f>
        <v/>
      </c>
      <c r="AB64" s="14"/>
      <c r="AC64" s="14"/>
      <c r="AD64" s="14"/>
      <c r="AE64" s="14"/>
      <c r="AF64" s="29"/>
      <c r="AG64" s="29"/>
      <c r="AH64" s="29"/>
    </row>
    <row r="65" ht="40.5" customHeight="1">
      <c r="A65" s="74"/>
      <c r="B65" s="31">
        <v>9.0</v>
      </c>
      <c r="C65" s="85"/>
      <c r="D65" s="85"/>
      <c r="E65" s="15"/>
      <c r="F65" s="15"/>
      <c r="G65" s="15"/>
      <c r="H65" s="15"/>
      <c r="I65" s="15"/>
      <c r="J65" s="44"/>
      <c r="K65" s="44"/>
      <c r="L65" s="44"/>
      <c r="M65" s="44"/>
      <c r="N65" s="15"/>
      <c r="O65" s="15"/>
      <c r="P65" s="15"/>
      <c r="Q65" s="15"/>
      <c r="R65" s="15"/>
      <c r="S65" s="15"/>
      <c r="T65" s="15"/>
      <c r="U65" s="15"/>
      <c r="V65" s="15"/>
      <c r="W65" s="15"/>
      <c r="X65" s="85"/>
      <c r="Y65" s="85"/>
      <c r="Z65" s="198"/>
      <c r="AA65" s="14"/>
      <c r="AB65" s="15"/>
      <c r="AC65" s="14"/>
      <c r="AD65" s="14"/>
      <c r="AE65" s="14"/>
      <c r="AF65" s="29"/>
      <c r="AG65" s="29"/>
      <c r="AH65" s="29"/>
    </row>
    <row r="66" ht="40.5" customHeight="1">
      <c r="A66" s="201"/>
      <c r="B66" s="200"/>
      <c r="C66" s="85"/>
      <c r="D66" s="85"/>
      <c r="E66" s="15"/>
      <c r="F66" s="15"/>
      <c r="G66" s="15"/>
      <c r="H66" s="15"/>
      <c r="I66" s="15"/>
      <c r="J66" s="15"/>
      <c r="K66" s="45"/>
      <c r="L66" s="13"/>
      <c r="M66" s="15"/>
      <c r="N66" s="15"/>
      <c r="O66" s="15"/>
      <c r="P66" s="15"/>
      <c r="Q66" s="15"/>
      <c r="R66" s="15"/>
      <c r="S66" s="15"/>
      <c r="T66" s="15"/>
      <c r="U66" s="15"/>
      <c r="V66" s="15"/>
      <c r="W66" s="15"/>
      <c r="X66" s="85"/>
      <c r="Y66" s="85"/>
      <c r="Z66" s="198" t="str">
        <f>Z$12</f>
        <v/>
      </c>
      <c r="AA66" s="14"/>
      <c r="AB66" s="14"/>
      <c r="AC66" s="14"/>
      <c r="AD66" s="14"/>
      <c r="AE66" s="14"/>
      <c r="AF66" s="29"/>
      <c r="AG66" s="29"/>
      <c r="AH66" s="29"/>
    </row>
    <row r="67" ht="40.5" customHeight="1">
      <c r="A67" s="201"/>
      <c r="B67" s="200"/>
      <c r="C67" s="14"/>
      <c r="D67" s="15"/>
      <c r="E67" s="15"/>
      <c r="F67" s="15"/>
      <c r="G67" s="15"/>
      <c r="H67" s="15"/>
      <c r="I67" s="15"/>
      <c r="J67" s="15"/>
      <c r="K67" s="45"/>
      <c r="L67" s="13"/>
      <c r="M67" s="15"/>
      <c r="N67" s="15"/>
      <c r="O67" s="15"/>
      <c r="P67" s="15"/>
      <c r="Q67" s="15"/>
      <c r="R67" s="15"/>
      <c r="S67" s="15"/>
      <c r="T67" s="15"/>
      <c r="U67" s="15"/>
      <c r="V67" s="15"/>
      <c r="W67" s="15"/>
      <c r="X67" s="14"/>
      <c r="Y67" s="15"/>
      <c r="Z67" s="198" t="str">
        <f>#REF!</f>
        <v>#REF!</v>
      </c>
      <c r="AA67" s="14"/>
      <c r="AB67" s="14"/>
      <c r="AC67" s="14"/>
      <c r="AD67" s="14"/>
      <c r="AE67" s="14"/>
      <c r="AF67" s="29"/>
      <c r="AG67" s="29"/>
      <c r="AH67" s="29"/>
    </row>
    <row r="68" ht="40.5" customHeight="1">
      <c r="A68" s="201"/>
      <c r="B68" s="200"/>
      <c r="C68" s="14"/>
      <c r="D68" s="14"/>
      <c r="E68" s="15"/>
      <c r="F68" s="15"/>
      <c r="G68" s="15"/>
      <c r="H68" s="15"/>
      <c r="I68" s="15"/>
      <c r="J68" s="15"/>
      <c r="K68" s="45"/>
      <c r="L68" s="13"/>
      <c r="M68" s="15"/>
      <c r="N68" s="15"/>
      <c r="O68" s="15"/>
      <c r="P68" s="15"/>
      <c r="Q68" s="15"/>
      <c r="R68" s="15"/>
      <c r="S68" s="15"/>
      <c r="T68" s="15"/>
      <c r="U68" s="15"/>
      <c r="V68" s="15"/>
      <c r="W68" s="15"/>
      <c r="X68" s="14"/>
      <c r="Y68" s="14"/>
      <c r="Z68" s="198"/>
      <c r="AA68" s="14"/>
      <c r="AB68" s="14"/>
      <c r="AC68" s="14"/>
      <c r="AD68" s="14"/>
      <c r="AE68" s="14"/>
      <c r="AF68" s="29"/>
      <c r="AG68" s="29"/>
      <c r="AH68" s="29"/>
    </row>
    <row r="69" ht="40.5" customHeight="1">
      <c r="A69" s="201"/>
      <c r="B69" s="200"/>
      <c r="C69" s="15"/>
      <c r="D69" s="14"/>
      <c r="E69" s="15"/>
      <c r="F69" s="15"/>
      <c r="G69" s="15"/>
      <c r="H69" s="15"/>
      <c r="I69" s="15"/>
      <c r="J69" s="15"/>
      <c r="K69" s="15"/>
      <c r="L69" s="15"/>
      <c r="M69" s="15"/>
      <c r="N69" s="15"/>
      <c r="O69" s="15"/>
      <c r="P69" s="15"/>
      <c r="Q69" s="15"/>
      <c r="R69" s="15"/>
      <c r="S69" s="15"/>
      <c r="T69" s="15"/>
      <c r="U69" s="15"/>
      <c r="V69" s="15"/>
      <c r="W69" s="15"/>
      <c r="X69" s="15"/>
      <c r="Y69" s="14"/>
      <c r="Z69" s="28"/>
      <c r="AA69" s="14"/>
      <c r="AB69" s="14"/>
      <c r="AC69" s="14"/>
      <c r="AD69" s="14"/>
      <c r="AE69" s="14"/>
      <c r="AF69" s="29"/>
      <c r="AG69" s="29"/>
      <c r="AH69" s="29"/>
    </row>
    <row r="70" ht="40.5" customHeight="1">
      <c r="A70" s="201"/>
      <c r="B70" s="200"/>
      <c r="C70" s="15"/>
      <c r="D70" s="14"/>
      <c r="E70" s="15"/>
      <c r="F70" s="15"/>
      <c r="G70" s="15"/>
      <c r="H70" s="15"/>
      <c r="I70" s="15"/>
      <c r="J70" s="15"/>
      <c r="K70" s="15"/>
      <c r="L70" s="15"/>
      <c r="M70" s="15"/>
      <c r="N70" s="15"/>
      <c r="O70" s="15"/>
      <c r="P70" s="15"/>
      <c r="Q70" s="15"/>
      <c r="R70" s="15"/>
      <c r="S70" s="15"/>
      <c r="T70" s="15"/>
      <c r="U70" s="15"/>
      <c r="V70" s="15"/>
      <c r="W70" s="15"/>
      <c r="X70" s="15"/>
      <c r="Y70" s="14"/>
      <c r="Z70" s="28"/>
      <c r="AA70" s="14"/>
      <c r="AB70" s="14"/>
      <c r="AC70" s="14"/>
      <c r="AD70" s="14"/>
      <c r="AE70" s="14"/>
      <c r="AF70" s="29"/>
      <c r="AG70" s="29"/>
      <c r="AH70" s="29"/>
    </row>
    <row r="71" ht="40.5" customHeight="1">
      <c r="A71" s="201"/>
      <c r="B71" s="200"/>
      <c r="C71" s="14"/>
      <c r="D71" s="14"/>
      <c r="E71" s="15"/>
      <c r="F71" s="15"/>
      <c r="G71" s="15"/>
      <c r="H71" s="15"/>
      <c r="I71" s="15"/>
      <c r="J71" s="15"/>
      <c r="K71" s="15"/>
      <c r="L71" s="15"/>
      <c r="M71" s="15"/>
      <c r="N71" s="15"/>
      <c r="O71" s="15"/>
      <c r="P71" s="15"/>
      <c r="Q71" s="15"/>
      <c r="R71" s="15"/>
      <c r="S71" s="15"/>
      <c r="T71" s="15"/>
      <c r="U71" s="15"/>
      <c r="V71" s="15"/>
      <c r="W71" s="15"/>
      <c r="X71" s="14"/>
      <c r="Y71" s="14"/>
      <c r="Z71" s="28"/>
      <c r="AA71" s="14"/>
      <c r="AB71" s="14"/>
      <c r="AC71" s="14"/>
      <c r="AD71" s="14"/>
      <c r="AE71" s="14"/>
      <c r="AF71" s="29"/>
      <c r="AG71" s="29"/>
      <c r="AH71" s="29"/>
    </row>
    <row r="72" ht="40.5" customHeight="1">
      <c r="A72" s="201"/>
      <c r="B72" s="200"/>
      <c r="C72" s="14"/>
      <c r="D72" s="14"/>
      <c r="E72" s="15"/>
      <c r="F72" s="15"/>
      <c r="G72" s="15"/>
      <c r="H72" s="15"/>
      <c r="I72" s="15"/>
      <c r="J72" s="15"/>
      <c r="K72" s="15"/>
      <c r="L72" s="15"/>
      <c r="M72" s="15"/>
      <c r="N72" s="15"/>
      <c r="O72" s="15"/>
      <c r="P72" s="15"/>
      <c r="Q72" s="15"/>
      <c r="R72" s="15"/>
      <c r="S72" s="15"/>
      <c r="T72" s="15"/>
      <c r="U72" s="15"/>
      <c r="V72" s="15"/>
      <c r="W72" s="15"/>
      <c r="X72" s="14"/>
      <c r="Y72" s="14"/>
      <c r="Z72" s="28"/>
      <c r="AA72" s="14"/>
      <c r="AB72" s="14"/>
      <c r="AC72" s="14"/>
      <c r="AD72" s="14"/>
      <c r="AE72" s="14"/>
      <c r="AF72" s="29"/>
      <c r="AG72" s="29"/>
      <c r="AH72" s="29"/>
    </row>
    <row r="73" ht="40.5" customHeight="1">
      <c r="A73" s="201"/>
      <c r="B73" s="200"/>
      <c r="C73" s="14"/>
      <c r="D73" s="14"/>
      <c r="E73" s="15"/>
      <c r="F73" s="15"/>
      <c r="G73" s="15"/>
      <c r="H73" s="15"/>
      <c r="I73" s="15"/>
      <c r="J73" s="15"/>
      <c r="K73" s="15"/>
      <c r="L73" s="15"/>
      <c r="M73" s="15"/>
      <c r="N73" s="15"/>
      <c r="O73" s="15"/>
      <c r="P73" s="15"/>
      <c r="Q73" s="15"/>
      <c r="R73" s="15"/>
      <c r="S73" s="15"/>
      <c r="T73" s="15"/>
      <c r="U73" s="15"/>
      <c r="V73" s="15"/>
      <c r="W73" s="15"/>
      <c r="X73" s="14"/>
      <c r="Y73" s="14"/>
      <c r="Z73" s="28"/>
      <c r="AA73" s="14"/>
      <c r="AB73" s="14"/>
      <c r="AC73" s="14"/>
      <c r="AD73" s="14"/>
      <c r="AE73" s="14"/>
      <c r="AF73" s="29"/>
      <c r="AG73" s="29"/>
      <c r="AH73" s="29"/>
    </row>
    <row r="74" ht="40.5" customHeight="1">
      <c r="A74" s="201"/>
      <c r="B74" s="200"/>
      <c r="C74" s="14"/>
      <c r="D74" s="14"/>
      <c r="E74" s="15"/>
      <c r="F74" s="15"/>
      <c r="G74" s="15"/>
      <c r="H74" s="15"/>
      <c r="I74" s="15"/>
      <c r="J74" s="15"/>
      <c r="K74" s="15"/>
      <c r="L74" s="15"/>
      <c r="M74" s="15"/>
      <c r="N74" s="15"/>
      <c r="O74" s="15"/>
      <c r="P74" s="15"/>
      <c r="Q74" s="15"/>
      <c r="R74" s="15"/>
      <c r="S74" s="15"/>
      <c r="T74" s="15"/>
      <c r="U74" s="15"/>
      <c r="V74" s="15"/>
      <c r="W74" s="15"/>
      <c r="X74" s="14"/>
      <c r="Y74" s="14"/>
      <c r="Z74" s="28"/>
      <c r="AA74" s="14"/>
      <c r="AB74" s="14"/>
      <c r="AC74" s="14"/>
      <c r="AD74" s="14"/>
      <c r="AE74" s="14"/>
      <c r="AF74" s="29"/>
      <c r="AG74" s="29"/>
      <c r="AH74" s="29"/>
    </row>
    <row r="75" ht="40.5" customHeight="1">
      <c r="A75" s="201"/>
      <c r="B75" s="200"/>
      <c r="C75" s="14"/>
      <c r="D75" s="14"/>
      <c r="E75" s="15"/>
      <c r="F75" s="15"/>
      <c r="G75" s="15"/>
      <c r="H75" s="15"/>
      <c r="I75" s="15"/>
      <c r="J75" s="15"/>
      <c r="K75" s="15"/>
      <c r="L75" s="15"/>
      <c r="M75" s="15"/>
      <c r="N75" s="15"/>
      <c r="O75" s="15"/>
      <c r="P75" s="15"/>
      <c r="Q75" s="15"/>
      <c r="R75" s="15"/>
      <c r="S75" s="15"/>
      <c r="T75" s="15"/>
      <c r="U75" s="15"/>
      <c r="V75" s="15"/>
      <c r="W75" s="15"/>
      <c r="X75" s="14"/>
      <c r="Y75" s="14"/>
      <c r="Z75" s="28"/>
      <c r="AA75" s="14"/>
      <c r="AB75" s="14"/>
      <c r="AC75" s="14"/>
      <c r="AD75" s="14"/>
      <c r="AE75" s="14"/>
      <c r="AF75" s="29"/>
      <c r="AG75" s="29"/>
      <c r="AH75" s="29"/>
    </row>
    <row r="76" ht="40.5" customHeight="1">
      <c r="A76" s="201"/>
      <c r="B76" s="200"/>
      <c r="C76" s="14"/>
      <c r="D76" s="14"/>
      <c r="E76" s="15"/>
      <c r="F76" s="15"/>
      <c r="G76" s="15"/>
      <c r="H76" s="15"/>
      <c r="I76" s="15"/>
      <c r="J76" s="15"/>
      <c r="K76" s="15"/>
      <c r="L76" s="15"/>
      <c r="M76" s="15"/>
      <c r="N76" s="15"/>
      <c r="O76" s="15"/>
      <c r="P76" s="15"/>
      <c r="Q76" s="15"/>
      <c r="R76" s="15"/>
      <c r="S76" s="15"/>
      <c r="T76" s="15"/>
      <c r="U76" s="15"/>
      <c r="V76" s="15"/>
      <c r="W76" s="15"/>
      <c r="X76" s="14"/>
      <c r="Y76" s="14"/>
      <c r="Z76" s="28"/>
      <c r="AA76" s="14"/>
      <c r="AB76" s="14"/>
      <c r="AC76" s="14"/>
      <c r="AD76" s="14"/>
      <c r="AE76" s="14"/>
      <c r="AF76" s="29"/>
      <c r="AG76" s="29"/>
      <c r="AH76" s="29"/>
    </row>
    <row r="77" ht="40.5" customHeight="1">
      <c r="A77" s="201"/>
      <c r="B77" s="200"/>
      <c r="C77" s="14"/>
      <c r="D77" s="14"/>
      <c r="E77" s="15"/>
      <c r="F77" s="15"/>
      <c r="G77" s="15"/>
      <c r="H77" s="15"/>
      <c r="I77" s="15"/>
      <c r="J77" s="15"/>
      <c r="K77" s="15"/>
      <c r="L77" s="15"/>
      <c r="M77" s="15"/>
      <c r="N77" s="15"/>
      <c r="O77" s="15"/>
      <c r="P77" s="15"/>
      <c r="Q77" s="15"/>
      <c r="R77" s="15"/>
      <c r="S77" s="15"/>
      <c r="T77" s="15"/>
      <c r="U77" s="15"/>
      <c r="V77" s="15"/>
      <c r="W77" s="15"/>
      <c r="X77" s="14"/>
      <c r="Y77" s="14"/>
      <c r="Z77" s="28"/>
      <c r="AA77" s="14"/>
      <c r="AB77" s="14"/>
      <c r="AC77" s="14"/>
      <c r="AD77" s="14"/>
      <c r="AE77" s="14"/>
      <c r="AF77" s="29"/>
      <c r="AG77" s="29"/>
      <c r="AH77" s="29"/>
    </row>
    <row r="78" ht="40.5" customHeight="1">
      <c r="A78" s="201"/>
      <c r="B78" s="200"/>
      <c r="C78" s="14"/>
      <c r="D78" s="14"/>
      <c r="E78" s="15"/>
      <c r="F78" s="15"/>
      <c r="G78" s="15"/>
      <c r="H78" s="15"/>
      <c r="I78" s="15"/>
      <c r="J78" s="15"/>
      <c r="K78" s="15"/>
      <c r="L78" s="15"/>
      <c r="M78" s="15"/>
      <c r="N78" s="15"/>
      <c r="O78" s="15"/>
      <c r="P78" s="15"/>
      <c r="Q78" s="15"/>
      <c r="R78" s="15"/>
      <c r="S78" s="15"/>
      <c r="T78" s="15"/>
      <c r="U78" s="15"/>
      <c r="V78" s="15"/>
      <c r="W78" s="15"/>
      <c r="X78" s="14"/>
      <c r="Y78" s="14"/>
      <c r="Z78" s="28"/>
      <c r="AA78" s="14"/>
      <c r="AB78" s="14"/>
      <c r="AC78" s="14"/>
      <c r="AD78" s="14"/>
      <c r="AE78" s="14"/>
      <c r="AF78" s="29"/>
      <c r="AG78" s="29"/>
      <c r="AH78" s="29"/>
    </row>
    <row r="79" ht="40.5" customHeight="1">
      <c r="A79" s="201"/>
      <c r="B79" s="200"/>
      <c r="C79" s="14"/>
      <c r="D79" s="14"/>
      <c r="E79" s="15"/>
      <c r="F79" s="15"/>
      <c r="G79" s="15"/>
      <c r="H79" s="15"/>
      <c r="I79" s="15"/>
      <c r="J79" s="15"/>
      <c r="K79" s="15"/>
      <c r="L79" s="15"/>
      <c r="M79" s="15"/>
      <c r="N79" s="15"/>
      <c r="O79" s="15"/>
      <c r="P79" s="15"/>
      <c r="Q79" s="15"/>
      <c r="R79" s="15"/>
      <c r="S79" s="15"/>
      <c r="T79" s="15"/>
      <c r="U79" s="15"/>
      <c r="V79" s="15"/>
      <c r="W79" s="15"/>
      <c r="X79" s="14"/>
      <c r="Y79" s="14"/>
      <c r="Z79" s="28"/>
      <c r="AA79" s="14"/>
      <c r="AB79" s="14"/>
      <c r="AC79" s="14"/>
      <c r="AD79" s="14"/>
      <c r="AE79" s="14"/>
      <c r="AF79" s="29"/>
      <c r="AG79" s="29"/>
      <c r="AH79" s="29"/>
    </row>
    <row r="80" ht="40.5" customHeight="1">
      <c r="A80" s="201"/>
      <c r="B80" s="200"/>
      <c r="C80" s="14"/>
      <c r="D80" s="14"/>
      <c r="E80" s="15"/>
      <c r="F80" s="15"/>
      <c r="G80" s="15"/>
      <c r="H80" s="15"/>
      <c r="I80" s="15"/>
      <c r="J80" s="15"/>
      <c r="K80" s="15"/>
      <c r="L80" s="15"/>
      <c r="M80" s="15"/>
      <c r="N80" s="15"/>
      <c r="O80" s="15"/>
      <c r="P80" s="15"/>
      <c r="Q80" s="15"/>
      <c r="R80" s="15"/>
      <c r="S80" s="15"/>
      <c r="T80" s="15"/>
      <c r="U80" s="15"/>
      <c r="V80" s="15"/>
      <c r="W80" s="15"/>
      <c r="X80" s="14"/>
      <c r="Y80" s="14"/>
      <c r="Z80" s="28"/>
      <c r="AA80" s="14"/>
      <c r="AB80" s="14"/>
      <c r="AC80" s="14"/>
      <c r="AD80" s="14"/>
      <c r="AE80" s="14"/>
      <c r="AF80" s="29"/>
      <c r="AG80" s="29"/>
      <c r="AH80" s="29"/>
    </row>
    <row r="81" ht="40.5" customHeight="1">
      <c r="A81" s="201"/>
      <c r="B81" s="200"/>
      <c r="C81" s="14"/>
      <c r="D81" s="14"/>
      <c r="E81" s="15"/>
      <c r="F81" s="15"/>
      <c r="G81" s="15"/>
      <c r="H81" s="15"/>
      <c r="I81" s="15"/>
      <c r="J81" s="15"/>
      <c r="K81" s="15"/>
      <c r="L81" s="15"/>
      <c r="M81" s="15"/>
      <c r="N81" s="15"/>
      <c r="O81" s="15"/>
      <c r="P81" s="15"/>
      <c r="Q81" s="15"/>
      <c r="R81" s="15"/>
      <c r="S81" s="15"/>
      <c r="T81" s="15"/>
      <c r="U81" s="15"/>
      <c r="V81" s="15"/>
      <c r="W81" s="15"/>
      <c r="X81" s="14"/>
      <c r="Y81" s="14"/>
      <c r="Z81" s="28"/>
      <c r="AA81" s="14"/>
      <c r="AB81" s="14"/>
      <c r="AC81" s="14"/>
      <c r="AD81" s="14"/>
      <c r="AE81" s="14"/>
      <c r="AF81" s="29"/>
      <c r="AG81" s="29"/>
      <c r="AH81" s="29"/>
    </row>
    <row r="82" ht="40.5" customHeight="1">
      <c r="A82" s="201"/>
      <c r="B82" s="200"/>
      <c r="C82" s="14"/>
      <c r="D82" s="14"/>
      <c r="E82" s="44" t="s">
        <v>484</v>
      </c>
      <c r="F82" s="15"/>
      <c r="G82" s="15"/>
      <c r="H82" s="15"/>
      <c r="I82" s="15"/>
      <c r="J82" s="15"/>
      <c r="K82" s="15"/>
      <c r="L82" s="15"/>
      <c r="M82" s="15"/>
      <c r="N82" s="15"/>
      <c r="O82" s="15"/>
      <c r="P82" s="15"/>
      <c r="Q82" s="15"/>
      <c r="R82" s="15"/>
      <c r="S82" s="15"/>
      <c r="T82" s="15"/>
      <c r="U82" s="15"/>
      <c r="V82" s="15"/>
      <c r="W82" s="15"/>
      <c r="X82" s="14"/>
      <c r="Y82" s="14"/>
      <c r="Z82" s="28"/>
      <c r="AA82" s="14"/>
      <c r="AB82" s="14"/>
      <c r="AC82" s="14"/>
      <c r="AD82" s="14"/>
      <c r="AE82" s="14"/>
      <c r="AF82" s="29"/>
      <c r="AG82" s="29"/>
      <c r="AH82" s="29"/>
    </row>
    <row r="83" ht="40.5" customHeight="1">
      <c r="A83" s="201"/>
      <c r="B83" s="200"/>
      <c r="C83" s="14"/>
      <c r="D83" s="14"/>
      <c r="E83" s="202" t="s">
        <v>485</v>
      </c>
      <c r="F83" s="203"/>
      <c r="G83" s="203"/>
      <c r="H83" s="204" t="s">
        <v>486</v>
      </c>
      <c r="I83" s="15"/>
      <c r="J83" s="15"/>
      <c r="K83" s="15"/>
      <c r="L83" s="15"/>
      <c r="M83" s="15"/>
      <c r="N83" s="15"/>
      <c r="O83" s="15"/>
      <c r="P83" s="15"/>
      <c r="Q83" s="15"/>
      <c r="R83" s="15"/>
      <c r="S83" s="15"/>
      <c r="T83" s="15"/>
      <c r="U83" s="15"/>
      <c r="V83" s="15"/>
      <c r="W83" s="15"/>
      <c r="X83" s="14"/>
      <c r="Y83" s="14"/>
      <c r="Z83" s="28"/>
      <c r="AA83" s="14"/>
      <c r="AB83" s="14"/>
      <c r="AC83" s="14"/>
      <c r="AD83" s="14"/>
      <c r="AE83" s="14"/>
      <c r="AF83" s="29"/>
      <c r="AG83" s="29"/>
      <c r="AH83" s="29"/>
    </row>
    <row r="84" ht="40.5" customHeight="1">
      <c r="A84" s="201"/>
      <c r="B84" s="200"/>
      <c r="C84" s="14"/>
      <c r="D84" s="14"/>
      <c r="E84" s="15"/>
      <c r="F84" s="15"/>
      <c r="G84" s="15"/>
      <c r="H84" s="15"/>
      <c r="I84" s="15"/>
      <c r="J84" s="15"/>
      <c r="K84" s="15"/>
      <c r="L84" s="15"/>
      <c r="M84" s="15"/>
      <c r="N84" s="15"/>
      <c r="O84" s="15"/>
      <c r="P84" s="15"/>
      <c r="Q84" s="15"/>
      <c r="R84" s="15"/>
      <c r="S84" s="15"/>
      <c r="T84" s="15"/>
      <c r="U84" s="15"/>
      <c r="V84" s="15"/>
      <c r="W84" s="15"/>
      <c r="X84" s="14"/>
      <c r="Y84" s="14"/>
      <c r="Z84" s="28"/>
      <c r="AA84" s="14"/>
      <c r="AB84" s="14"/>
      <c r="AC84" s="14"/>
      <c r="AD84" s="14"/>
      <c r="AE84" s="14"/>
      <c r="AF84" s="29"/>
      <c r="AG84" s="29"/>
      <c r="AH84" s="29"/>
    </row>
    <row r="85" ht="40.5" customHeight="1">
      <c r="A85" s="201"/>
      <c r="B85" s="200"/>
      <c r="C85" s="14"/>
      <c r="D85" s="14"/>
      <c r="E85" s="15"/>
      <c r="F85" s="15"/>
      <c r="G85" s="15"/>
      <c r="H85" s="15"/>
      <c r="I85" s="15"/>
      <c r="J85" s="205" t="s">
        <v>487</v>
      </c>
      <c r="K85" s="205" t="b">
        <f>IFERROR(__xludf.DUMMYFUNCTION("IF(COUNTA(filter($E3:$W3,ARRAYFORMULA(ISERROR(FIND(join("","",filter(split($H$83,"",""),ARRAYFORMULA(ISERROR(FIND(split($H$83,"",""),E3)))=FALSE)),$E3:$W3))=FALSE)))&gt;1,FALSE,TRUE)"),TRUE)</f>
        <v>1</v>
      </c>
      <c r="L85" s="15"/>
      <c r="M85" s="15"/>
      <c r="N85" s="15"/>
      <c r="O85" s="15"/>
      <c r="P85" s="15"/>
      <c r="Q85" s="15"/>
      <c r="R85" s="15"/>
      <c r="S85" s="15"/>
      <c r="T85" s="15"/>
      <c r="U85" s="15"/>
      <c r="V85" s="15"/>
      <c r="W85" s="15"/>
      <c r="X85" s="14"/>
      <c r="Y85" s="14"/>
      <c r="Z85" s="28"/>
      <c r="AA85" s="14"/>
      <c r="AB85" s="14"/>
      <c r="AC85" s="14"/>
      <c r="AD85" s="14"/>
      <c r="AE85" s="14"/>
      <c r="AF85" s="29"/>
      <c r="AG85" s="29"/>
      <c r="AH85" s="29"/>
    </row>
    <row r="86" ht="40.5" customHeight="1">
      <c r="A86" s="201"/>
      <c r="B86" s="200"/>
      <c r="C86" s="14"/>
      <c r="D86" s="14"/>
      <c r="E86" s="15"/>
      <c r="F86" s="15"/>
      <c r="G86" s="15"/>
      <c r="H86" s="15"/>
      <c r="I86" s="15"/>
      <c r="J86" s="15"/>
      <c r="K86" s="15"/>
      <c r="L86" s="15"/>
      <c r="M86" s="15"/>
      <c r="N86" s="15"/>
      <c r="O86" s="15"/>
      <c r="P86" s="15"/>
      <c r="Q86" s="15"/>
      <c r="R86" s="15"/>
      <c r="S86" s="15"/>
      <c r="T86" s="15"/>
      <c r="U86" s="15"/>
      <c r="V86" s="15"/>
      <c r="W86" s="15"/>
      <c r="X86" s="14"/>
      <c r="Y86" s="14"/>
      <c r="Z86" s="28"/>
      <c r="AA86" s="14"/>
      <c r="AB86" s="14"/>
      <c r="AC86" s="14"/>
      <c r="AD86" s="14"/>
      <c r="AE86" s="14"/>
      <c r="AF86" s="29"/>
      <c r="AG86" s="29"/>
      <c r="AH86" s="29"/>
    </row>
  </sheetData>
  <mergeCells count="284">
    <mergeCell ref="E15:F15"/>
    <mergeCell ref="G15:I15"/>
    <mergeCell ref="E16:F16"/>
    <mergeCell ref="G16:I16"/>
    <mergeCell ref="J16:K16"/>
    <mergeCell ref="L16:M16"/>
    <mergeCell ref="E17:F17"/>
    <mergeCell ref="H17:I17"/>
    <mergeCell ref="J17:K17"/>
    <mergeCell ref="L17:M17"/>
    <mergeCell ref="E18:F18"/>
    <mergeCell ref="H18:I18"/>
    <mergeCell ref="J18:K18"/>
    <mergeCell ref="L18:M18"/>
    <mergeCell ref="E21:F22"/>
    <mergeCell ref="G21:G22"/>
    <mergeCell ref="A24:A34"/>
    <mergeCell ref="E24:F24"/>
    <mergeCell ref="E25:F25"/>
    <mergeCell ref="E26:F26"/>
    <mergeCell ref="G29:H29"/>
    <mergeCell ref="H38:I38"/>
    <mergeCell ref="H39:I39"/>
    <mergeCell ref="H40:I40"/>
    <mergeCell ref="H41:I41"/>
    <mergeCell ref="H42:I42"/>
    <mergeCell ref="I46:I47"/>
    <mergeCell ref="H53:I53"/>
    <mergeCell ref="G30:H30"/>
    <mergeCell ref="E31:F31"/>
    <mergeCell ref="G31:I32"/>
    <mergeCell ref="E32:F32"/>
    <mergeCell ref="H35:I35"/>
    <mergeCell ref="H36:I36"/>
    <mergeCell ref="H37:I37"/>
    <mergeCell ref="E39:F39"/>
    <mergeCell ref="E40:F40"/>
    <mergeCell ref="A35:A45"/>
    <mergeCell ref="A46:A56"/>
    <mergeCell ref="A57:A65"/>
    <mergeCell ref="E33:F33"/>
    <mergeCell ref="E34:F34"/>
    <mergeCell ref="E35:F35"/>
    <mergeCell ref="E36:F36"/>
    <mergeCell ref="E37:F37"/>
    <mergeCell ref="E38:F38"/>
    <mergeCell ref="E43:F44"/>
    <mergeCell ref="E49:F49"/>
    <mergeCell ref="E50:F50"/>
    <mergeCell ref="E51:F51"/>
    <mergeCell ref="E52:F52"/>
    <mergeCell ref="C57:D57"/>
    <mergeCell ref="G57:I57"/>
    <mergeCell ref="E41:F41"/>
    <mergeCell ref="E42:F42"/>
    <mergeCell ref="G43:G44"/>
    <mergeCell ref="G46:H46"/>
    <mergeCell ref="G47:H47"/>
    <mergeCell ref="E48:F48"/>
    <mergeCell ref="G48:H49"/>
    <mergeCell ref="J29:K29"/>
    <mergeCell ref="L29:M29"/>
    <mergeCell ref="J30:K30"/>
    <mergeCell ref="L30:M30"/>
    <mergeCell ref="J31:M31"/>
    <mergeCell ref="J32:M32"/>
    <mergeCell ref="J35:K35"/>
    <mergeCell ref="J36:K36"/>
    <mergeCell ref="J37:K37"/>
    <mergeCell ref="J38:K38"/>
    <mergeCell ref="L39:M39"/>
    <mergeCell ref="L40:M40"/>
    <mergeCell ref="L41:M41"/>
    <mergeCell ref="L42:M42"/>
    <mergeCell ref="J51:K51"/>
    <mergeCell ref="J52:K52"/>
    <mergeCell ref="J53:K53"/>
    <mergeCell ref="L52:M52"/>
    <mergeCell ref="L53:M53"/>
    <mergeCell ref="J57:M57"/>
    <mergeCell ref="K66:L66"/>
    <mergeCell ref="K67:L67"/>
    <mergeCell ref="K68:L68"/>
    <mergeCell ref="J46:K46"/>
    <mergeCell ref="L46:M46"/>
    <mergeCell ref="J47:K47"/>
    <mergeCell ref="L47:M47"/>
    <mergeCell ref="J50:K50"/>
    <mergeCell ref="L50:M50"/>
    <mergeCell ref="L51:M51"/>
    <mergeCell ref="E19:F19"/>
    <mergeCell ref="H19:I19"/>
    <mergeCell ref="J19:K19"/>
    <mergeCell ref="L19:M19"/>
    <mergeCell ref="E20:F20"/>
    <mergeCell ref="H20:I20"/>
    <mergeCell ref="J20:K20"/>
    <mergeCell ref="L20:M20"/>
    <mergeCell ref="J10:K10"/>
    <mergeCell ref="L10:M10"/>
    <mergeCell ref="A13:A23"/>
    <mergeCell ref="E13:F13"/>
    <mergeCell ref="J13:K13"/>
    <mergeCell ref="L13:M13"/>
    <mergeCell ref="E14:F14"/>
    <mergeCell ref="H21:M21"/>
    <mergeCell ref="H22:M22"/>
    <mergeCell ref="H24:I24"/>
    <mergeCell ref="J24:M24"/>
    <mergeCell ref="H25:I25"/>
    <mergeCell ref="J25:K25"/>
    <mergeCell ref="L25:M25"/>
    <mergeCell ref="H43:J43"/>
    <mergeCell ref="K43:L44"/>
    <mergeCell ref="H44:J44"/>
    <mergeCell ref="E54:M55"/>
    <mergeCell ref="P47:Q47"/>
    <mergeCell ref="N48:Q48"/>
    <mergeCell ref="N49:Q49"/>
    <mergeCell ref="X57:Y57"/>
    <mergeCell ref="N43:O43"/>
    <mergeCell ref="Q43:V44"/>
    <mergeCell ref="N44:O44"/>
    <mergeCell ref="P46:Q46"/>
    <mergeCell ref="R46:S46"/>
    <mergeCell ref="T46:V46"/>
    <mergeCell ref="T47:V47"/>
    <mergeCell ref="N17:O17"/>
    <mergeCell ref="T17:V17"/>
    <mergeCell ref="N18:O18"/>
    <mergeCell ref="T18:V18"/>
    <mergeCell ref="N19:O19"/>
    <mergeCell ref="P19:Q19"/>
    <mergeCell ref="T19:V19"/>
    <mergeCell ref="N20:O20"/>
    <mergeCell ref="P20:Q20"/>
    <mergeCell ref="T20:V20"/>
    <mergeCell ref="N21:O21"/>
    <mergeCell ref="P21:Q21"/>
    <mergeCell ref="R21:S21"/>
    <mergeCell ref="T21:V21"/>
    <mergeCell ref="T22:V22"/>
    <mergeCell ref="R23:V23"/>
    <mergeCell ref="N24:O24"/>
    <mergeCell ref="P24:S24"/>
    <mergeCell ref="T24:V24"/>
    <mergeCell ref="N25:O25"/>
    <mergeCell ref="P25:Q25"/>
    <mergeCell ref="N26:O26"/>
    <mergeCell ref="R26:S26"/>
    <mergeCell ref="T26:V26"/>
    <mergeCell ref="N27:O27"/>
    <mergeCell ref="P27:Q27"/>
    <mergeCell ref="T27:V27"/>
    <mergeCell ref="N29:O29"/>
    <mergeCell ref="R25:S25"/>
    <mergeCell ref="T25:V25"/>
    <mergeCell ref="T28:V32"/>
    <mergeCell ref="R29:R30"/>
    <mergeCell ref="T35:V35"/>
    <mergeCell ref="T36:V36"/>
    <mergeCell ref="T37:V37"/>
    <mergeCell ref="N30:O30"/>
    <mergeCell ref="N31:O31"/>
    <mergeCell ref="P31:Q32"/>
    <mergeCell ref="N32:O32"/>
    <mergeCell ref="N36:O36"/>
    <mergeCell ref="N37:Q37"/>
    <mergeCell ref="N38:Q38"/>
    <mergeCell ref="T48:V48"/>
    <mergeCell ref="T49:V49"/>
    <mergeCell ref="P50:Q50"/>
    <mergeCell ref="T50:V50"/>
    <mergeCell ref="P51:Q51"/>
    <mergeCell ref="N52:O52"/>
    <mergeCell ref="P54:V55"/>
    <mergeCell ref="P57:S58"/>
    <mergeCell ref="T1:V1"/>
    <mergeCell ref="X1:Y1"/>
    <mergeCell ref="E1:F1"/>
    <mergeCell ref="E2:F2"/>
    <mergeCell ref="G2:I2"/>
    <mergeCell ref="J2:M2"/>
    <mergeCell ref="N2:O2"/>
    <mergeCell ref="P2:Q2"/>
    <mergeCell ref="T2:V2"/>
    <mergeCell ref="J3:K3"/>
    <mergeCell ref="L3:M3"/>
    <mergeCell ref="N3:O3"/>
    <mergeCell ref="P3:Q3"/>
    <mergeCell ref="T3:V3"/>
    <mergeCell ref="J4:K4"/>
    <mergeCell ref="L4:M4"/>
    <mergeCell ref="T4:V4"/>
    <mergeCell ref="T5:V5"/>
    <mergeCell ref="T6:V6"/>
    <mergeCell ref="N4:O4"/>
    <mergeCell ref="P4:Q4"/>
    <mergeCell ref="H5:I5"/>
    <mergeCell ref="N5:O5"/>
    <mergeCell ref="P5:Q5"/>
    <mergeCell ref="R5:S5"/>
    <mergeCell ref="H6:I6"/>
    <mergeCell ref="N6:O6"/>
    <mergeCell ref="P6:Q6"/>
    <mergeCell ref="R6:S6"/>
    <mergeCell ref="H7:I7"/>
    <mergeCell ref="J7:K7"/>
    <mergeCell ref="L7:M7"/>
    <mergeCell ref="N7:O7"/>
    <mergeCell ref="U7:V7"/>
    <mergeCell ref="U8:V8"/>
    <mergeCell ref="R9:V9"/>
    <mergeCell ref="G1:I1"/>
    <mergeCell ref="G3:I3"/>
    <mergeCell ref="N10:O10"/>
    <mergeCell ref="E11:S11"/>
    <mergeCell ref="N13:O13"/>
    <mergeCell ref="P13:Q13"/>
    <mergeCell ref="R13:S13"/>
    <mergeCell ref="C1:D1"/>
    <mergeCell ref="J1:M1"/>
    <mergeCell ref="N1:O1"/>
    <mergeCell ref="P1:Q1"/>
    <mergeCell ref="R1:S1"/>
    <mergeCell ref="A2:A12"/>
    <mergeCell ref="R2:S2"/>
    <mergeCell ref="H13:I13"/>
    <mergeCell ref="H14:I14"/>
    <mergeCell ref="J14:K14"/>
    <mergeCell ref="L14:M14"/>
    <mergeCell ref="N14:O14"/>
    <mergeCell ref="P14:Q14"/>
    <mergeCell ref="R14:S14"/>
    <mergeCell ref="J15:K15"/>
    <mergeCell ref="L15:M15"/>
    <mergeCell ref="N15:O15"/>
    <mergeCell ref="T15:V15"/>
    <mergeCell ref="T16:V16"/>
    <mergeCell ref="E10:F10"/>
    <mergeCell ref="H10:I10"/>
    <mergeCell ref="S10:V10"/>
    <mergeCell ref="T11:V11"/>
    <mergeCell ref="U13:V13"/>
    <mergeCell ref="U14:V14"/>
    <mergeCell ref="N16:O16"/>
    <mergeCell ref="P7:Q7"/>
    <mergeCell ref="R7:S7"/>
    <mergeCell ref="H8:I8"/>
    <mergeCell ref="J8:K8"/>
    <mergeCell ref="L8:M8"/>
    <mergeCell ref="N8:O8"/>
    <mergeCell ref="P8:Q8"/>
    <mergeCell ref="R8:S8"/>
    <mergeCell ref="H9:I9"/>
    <mergeCell ref="J9:K9"/>
    <mergeCell ref="L9:M9"/>
    <mergeCell ref="N9:O9"/>
    <mergeCell ref="N22:O22"/>
    <mergeCell ref="P22:S22"/>
    <mergeCell ref="J28:K28"/>
    <mergeCell ref="L28:M28"/>
    <mergeCell ref="N28:O28"/>
    <mergeCell ref="G33:Q34"/>
    <mergeCell ref="N35:O35"/>
    <mergeCell ref="G26:I26"/>
    <mergeCell ref="J26:K26"/>
    <mergeCell ref="L26:M26"/>
    <mergeCell ref="G27:H27"/>
    <mergeCell ref="J27:K27"/>
    <mergeCell ref="L27:M27"/>
    <mergeCell ref="G28:H28"/>
    <mergeCell ref="T38:V38"/>
    <mergeCell ref="T39:V39"/>
    <mergeCell ref="T40:V40"/>
    <mergeCell ref="T41:V41"/>
    <mergeCell ref="T42:V42"/>
    <mergeCell ref="P39:Q39"/>
    <mergeCell ref="P40:Q40"/>
    <mergeCell ref="N41:O41"/>
    <mergeCell ref="P41:Q41"/>
    <mergeCell ref="N42:O42"/>
    <mergeCell ref="P42:Q42"/>
    <mergeCell ref="R42:S42"/>
  </mergeCells>
  <conditionalFormatting sqref="E1:T86 U1:U31 V32:V34 U35:U86 V50:V52 W51">
    <cfRule type="containsText" dxfId="0" priority="1" operator="containsText" text="Физика">
      <formula>NOT(ISERROR(SEARCH(("Физика"),(E1))))</formula>
    </cfRule>
  </conditionalFormatting>
  <conditionalFormatting sqref="N52:O52 E54:W55">
    <cfRule type="containsText" dxfId="1" priority="2" operator="containsText" text="Шерашова">
      <formula>NOT(ISERROR(SEARCH(("Шерашова"),(N52))))</formula>
    </cfRule>
  </conditionalFormatting>
  <conditionalFormatting sqref="E2:N53 O2:O54 P2:T53 U2:U31 V32:V34 U35:U53 V50:V52 W51 O57:O58 P57 K61:L68">
    <cfRule type="containsText" dxfId="2" priority="3" operator="containsText" text="Шерашова">
      <formula>NOT(ISERROR(SEARCH(("Шерашова"),(E2))))</formula>
    </cfRule>
  </conditionalFormatting>
  <conditionalFormatting sqref="E2:N53 O2:O54 P2:T53 U2:U31 V32:V34 U35:U53 V50:V52 W51 O57:O58 P57 K61:L68">
    <cfRule type="containsText" dxfId="3" priority="4" operator="containsText" text="Англ">
      <formula>NOT(ISERROR(SEARCH(("Англ"),(E2))))</formula>
    </cfRule>
  </conditionalFormatting>
  <conditionalFormatting sqref="E2:N53 O2:O54 P2:T53 U2:U31 V32:V34 U35:U53 V50:V52 W51 O57:O58 P57 K61:L68">
    <cfRule type="containsText" dxfId="4" priority="5" operator="containsText" text="Театр">
      <formula>NOT(ISERROR(SEARCH(("Театр"),(E2))))</formula>
    </cfRule>
  </conditionalFormatting>
  <conditionalFormatting sqref="E2:N53 O2:O54 P2:T53 U2:U31 V32:V34 U35:U53 V50:V52 W51 O57:O58 P57 K61:L68">
    <cfRule type="containsText" dxfId="5" priority="6" operator="containsText" text="Колечкин">
      <formula>NOT(ISERROR(SEARCH(("Колечкин"),(E2))))</formula>
    </cfRule>
  </conditionalFormatting>
  <conditionalFormatting sqref="E2:G72 H2:H73 I2:W72">
    <cfRule type="containsText" dxfId="0" priority="7" operator="containsText" text="Репнев">
      <formula>NOT(ISERROR(SEARCH(("Репнев"),(E2))))</formula>
    </cfRule>
  </conditionalFormatting>
  <conditionalFormatting sqref="E2:G65 H2:H73 I2:J65 K2:L68 M2:W65">
    <cfRule type="containsText" dxfId="6" priority="8" operator="containsText" text="Рогацкина">
      <formula>NOT(ISERROR(SEARCH(("Рогацкина"),(E2))))</formula>
    </cfRule>
  </conditionalFormatting>
  <conditionalFormatting sqref="E2:G67 H2:H73 I2:J67 K2:L68 M2:W67">
    <cfRule type="containsText" dxfId="7" priority="9" operator="containsText" text="Белоусова">
      <formula>NOT(ISERROR(SEARCH(("Белоусова"),(E2))))</formula>
    </cfRule>
  </conditionalFormatting>
  <conditionalFormatting sqref="E2:G60 H2:H73 I2:J65 K2:L68 M2:M65 N2:W60">
    <cfRule type="containsText" dxfId="8" priority="10" operator="containsText" text="Караванова">
      <formula>NOT(ISERROR(SEARCH(("Караванова"),(E2))))</formula>
    </cfRule>
  </conditionalFormatting>
  <conditionalFormatting sqref="E2:G63 H2:H73 I2:J65 K2:L68 M2:M65 N2:W63">
    <cfRule type="containsText" dxfId="9" priority="11" operator="containsText" text="Дронзик">
      <formula>NOT(ISERROR(SEARCH(("Дронзик"),(E2))))</formula>
    </cfRule>
  </conditionalFormatting>
  <conditionalFormatting sqref="E2:G64 H2:H73 I2:J65 K2:L68 M2:M65 N2:W64">
    <cfRule type="containsText" dxfId="10" priority="12" operator="containsText" text="Старунова">
      <formula>NOT(ISERROR(SEARCH(("Старунова"),(E2))))</formula>
    </cfRule>
  </conditionalFormatting>
  <conditionalFormatting sqref="E2:G62 H2:H73 I2:J65 K2:L68 M2:M65 N2:W62">
    <cfRule type="containsText" dxfId="11" priority="13" operator="containsText" text="Харитонов">
      <formula>NOT(ISERROR(SEARCH(("Харитонов"),(E2))))</formula>
    </cfRule>
  </conditionalFormatting>
  <conditionalFormatting sqref="E2:G67 H2:H73 I2:J67 K2:L68 M2:W67">
    <cfRule type="containsText" dxfId="12" priority="14" operator="containsText" text="Хуснутдинов">
      <formula>NOT(ISERROR(SEARCH(("Хуснутдинов"),(E2))))</formula>
    </cfRule>
  </conditionalFormatting>
  <conditionalFormatting sqref="E2:G66 H2:H73 I2:J66 K2:L68 M2:W66">
    <cfRule type="containsText" dxfId="13" priority="15" operator="containsText" text="Решетников">
      <formula>NOT(ISERROR(SEARCH(("Решетников"),(E2))))</formula>
    </cfRule>
  </conditionalFormatting>
  <conditionalFormatting sqref="E2:G69 H2:H73 I2:W69">
    <cfRule type="containsText" dxfId="14" priority="16" operator="containsText" text="Заводов">
      <formula>NOT(ISERROR(SEARCH(("Заводов"),(E2))))</formula>
    </cfRule>
  </conditionalFormatting>
  <conditionalFormatting sqref="E1:G66 H1:H73 I1:J66 K1:L68 M1:W66">
    <cfRule type="containsText" dxfId="15" priority="17" operator="containsText" text="Абрамов">
      <formula>NOT(ISERROR(SEARCH(("Абрамов"),(E1))))</formula>
    </cfRule>
  </conditionalFormatting>
  <conditionalFormatting sqref="E2:G67 H2:H73 I2:J67 K2:L68 M2:W67">
    <cfRule type="containsText" dxfId="16" priority="18" operator="containsText" text="Климов">
      <formula>NOT(ISERROR(SEARCH(("Климов"),(E2))))</formula>
    </cfRule>
  </conditionalFormatting>
  <conditionalFormatting sqref="E2:G61 H2:H73 I2:J65 K2:L68 M2:M65 N2:W61">
    <cfRule type="containsText" dxfId="17" priority="19" operator="containsText" text="Клейменов">
      <formula>NOT(ISERROR(SEARCH(("Клейменов"),(E2))))</formula>
    </cfRule>
  </conditionalFormatting>
  <conditionalFormatting sqref="E2:G68 H2:H73 I2:W68">
    <cfRule type="containsText" dxfId="18" priority="20" operator="containsText" text="Попович">
      <formula>NOT(ISERROR(SEARCH(("Попович"),(E2))))</formula>
    </cfRule>
  </conditionalFormatting>
  <conditionalFormatting sqref="E2:G68 H2:H73 I2:W68">
    <cfRule type="containsText" dxfId="19" priority="21" operator="containsText" text="Исмаилов">
      <formula>NOT(ISERROR(SEARCH(("Исмаилов"),(E2))))</formula>
    </cfRule>
  </conditionalFormatting>
  <conditionalFormatting sqref="E2:E20 F2:F12 G2:I45 J2:K49 L2:Q45 R2:S6 T2:V8 S10:S32 T10:V45 R11:R46 F15:F17 F19:F20 E24:F30 E32:E53 F32:F45 S35:S41 S43:S45 S47:S53 T47:T50 F48:F49 N48:N49 R49:R53 G50:H53 I50:I52 P50:P53 F52:F53 J52:J53 N52:N53 Q52:Q53 K53:M53 P57 K61:L68">
    <cfRule type="containsText" dxfId="20" priority="22" operator="containsText" text="Ларченко">
      <formula>NOT(ISERROR(SEARCH(("Ларченко"),(E2))))</formula>
    </cfRule>
  </conditionalFormatting>
  <conditionalFormatting sqref="E2:G65 H2:H73 I2:J65 K2:L68 M2:W65">
    <cfRule type="containsText" dxfId="21" priority="23" operator="containsText" text="Краснова">
      <formula>NOT(ISERROR(SEARCH(("Краснова"),(E2))))</formula>
    </cfRule>
  </conditionalFormatting>
  <conditionalFormatting sqref="E2:G65 H2:H73 I2:J65 K2:L68 M2:W65">
    <cfRule type="containsText" dxfId="22" priority="24" operator="containsText" text="Белоус">
      <formula>NOT(ISERROR(SEARCH(("Белоус"),(E2))))</formula>
    </cfRule>
  </conditionalFormatting>
  <conditionalFormatting sqref="E2:G65 H2:H73 I2:J65 K2:L68 M2:W65">
    <cfRule type="containsText" dxfId="23" priority="25" operator="containsText" text="Куницын">
      <formula>NOT(ISERROR(SEARCH(("Куницын"),(E2))))</formula>
    </cfRule>
  </conditionalFormatting>
  <dataValidations>
    <dataValidation type="custom" allowBlank="1" showDropDown="1" sqref="J25">
      <formula1>IF(COUNTA(filter($E30:$W30,ARRAYFORMULA(ISERROR(FIND(join(",",filter(split($H$83,","),ARRAYFORMULA(ISERROR(FIND(split($H$83,","),J25)))=FALSE)),$E30:$W30))=FALSE)))&gt;1,FALSE,TRUE)</formula1>
    </dataValidation>
    <dataValidation type="custom" allowBlank="1" showDropDown="1" sqref="L39:L40 K66">
      <formula1>IF(COUNTA(filter($E1:$W1,ARRAYFORMULA(ISERROR(FIND(join(",",filter(split($H$83,","),ARRAYFORMULA(ISERROR(FIND(split($H$83,","),K39)))=FALSE)),$E1:$W1))=FALSE)))&gt;1,FALSE,TRUE)</formula1>
    </dataValidation>
    <dataValidation type="custom" allowBlank="1" showDropDown="1" sqref="T17:T18">
      <formula1>IF(COUNTA(filter($E25:$W25,ARRAYFORMULA(ISERROR(FIND(join(",",filter(split($H$83,","),ARRAYFORMULA(ISERROR(FIND(split($H$83,","),T17)))=FALSE)),$E25:$W25))=FALSE)))&gt;1,FALSE,TRUE)</formula1>
    </dataValidation>
    <dataValidation type="custom" allowBlank="1" showDropDown="1" sqref="H50:H52 F53">
      <formula1>IF(COUNTA(filter($E1:$W1,ARRAYFORMULA(ISERROR(FIND(join(",",filter(split($H$83,","),ARRAYFORMULA(ISERROR(FIND(split($H$83,","),F50)))=FALSE)),$E1:$W1))=FALSE)))&gt;1,FALSE,TRUE)</formula1>
    </dataValidation>
    <dataValidation type="custom" allowBlank="1" showDropDown="1" sqref="N5:N6 N13:N14 N25:N26 T24:T27 T37:T38 N41:N42">
      <formula1>IF(COUNTA(filter($E7:$W7,ARRAYFORMULA(ISERROR(FIND(join(",",filter(split($H$83,","),ARRAYFORMULA(ISERROR(FIND(split($H$83,","),N5)))=FALSE)),$E7:$W7))=FALSE)))&gt;1,FALSE,TRUE)</formula1>
    </dataValidation>
    <dataValidation type="custom" allowBlank="1" showDropDown="1" sqref="R3:R4">
      <formula1>IF(COUNTA(filter($E17:$W17,ARRAYFORMULA(ISERROR(FIND(join(",",filter(split($H$83,","),ARRAYFORMULA(ISERROR(FIND(split($H$83,","),R3)))=FALSE)),$E17:$W17))=FALSE)))&gt;1,FALSE,TRUE)</formula1>
    </dataValidation>
    <dataValidation type="custom" allowBlank="1" showDropDown="1" sqref="J13:J14 L15:L16 N17:N18 P19:P20">
      <formula1>IF(COUNTA(filter($E46:$W46,ARRAYFORMULA(ISERROR(FIND(join(",",filter(split($H$83,","),ARRAYFORMULA(ISERROR(FIND(split($H$83,","),J13)))=FALSE)),$E46:$W46))=FALSE)))&gt;1,FALSE,TRUE)</formula1>
    </dataValidation>
    <dataValidation type="custom" allowBlank="1" showDropDown="1" sqref="H9 G10 H17:H18 G19:G20 I29:I30 L50 J50:J51 R53">
      <formula1>IF(COUNTA(filter($E5:$W5,ARRAYFORMULA(ISERROR(FIND(join(",",filter(split($H$83,","),ARRAYFORMULA(ISERROR(FIND(split($H$83,","),G9)))=FALSE)),$E5:$W5))=FALSE)))&gt;1,FALSE,TRUE)</formula1>
    </dataValidation>
    <dataValidation type="custom" allowBlank="1" showDropDown="1" sqref="G31 E32:E34">
      <formula1>IF(COUNTA(filter($E31:$W31,ARRAYFORMULA(ISERROR(FIND(join(",",filter(split($H$82,","),ARRAYFORMULA(ISERROR(FIND(split($H$82,","),#REF!)))=FALSE)),$E31:$W31))=FALSE)))&gt;1,FALSE,TRUE)</formula1>
    </dataValidation>
    <dataValidation type="custom" allowBlank="1" showDropDown="1" sqref="N3:N4 P5:P6 J7:J8 L9:L10 H39:H40 T49:T50">
      <formula1>IF(COUNTA(filter($E35:$W35,ARRAYFORMULA(ISERROR(FIND(join(",",filter(split($H$83,","),ARRAYFORMULA(ISERROR(FIND(split($H$83,","),H3)))=FALSE)),$E35:$W35))=FALSE)))&gt;1,FALSE,TRUE)</formula1>
    </dataValidation>
    <dataValidation type="custom" allowBlank="1" showDropDown="1" sqref="E2 R29">
      <formula1>IF(COUNTA(filter($E2:$W2,ARRAYFORMULA(ISERROR(FIND(join(",",filter(split($H$82,","),ARRAYFORMULA(ISERROR(FIND(split($H$82,","),E2)))=FALSE)),$E2:$W2))=FALSE)))&gt;1,FALSE,TRUE)</formula1>
    </dataValidation>
    <dataValidation type="custom" allowBlank="1" showDropDown="1" sqref="N21">
      <formula1>IF(COUNTA(filter($E32:$W32,ARRAYFORMULA(ISERROR(FIND(join(",",filter(split($H$83,","),ARRAYFORMULA(ISERROR(FIND(split($H$83,","),N21)))=FALSE)),$E32:$W32))=FALSE)))&gt;1,FALSE,TRUE)</formula1>
    </dataValidation>
    <dataValidation type="custom" allowBlank="1" showDropDown="1" sqref="N8">
      <formula1>IF(COUNTA(filter($E1:$W1,ARRAYFORMULA(ISERROR(FIND(join(",",filter(split($H$83,","),ARRAYFORMULA(ISERROR(FIND(split($H$83,","),#REF!)))=FALSE)),$E1:$W1))=FALSE)))&gt;1,FALSE,TRUE)</formula1>
    </dataValidation>
    <dataValidation type="custom" allowBlank="1" showDropDown="1" sqref="J31:J32 E54 P54">
      <formula1>IF(COUNTA(filter($E31:$W31,ARRAYFORMULA(ISERROR(FIND(join(",",filter(split($H$84,","),ARRAYFORMULA(ISERROR(FIND(split($H$84,","),E31)))=FALSE)),$E31:$W31))=FALSE)))&gt;1,FALSE,TRUE)</formula1>
    </dataValidation>
    <dataValidation type="custom" allowBlank="1" showDropDown="1" sqref="S51">
      <formula1>IF(COUNTA(filter($E31:$W31,ARRAYFORMULA(ISERROR(FIND(join(",",filter(split($H$83,","),ARRAYFORMULA(ISERROR(FIND(split($H$83,","),S51)))=FALSE)),$E31:$W31))=FALSE)))&gt;1,FALSE,TRUE)</formula1>
    </dataValidation>
    <dataValidation type="custom" allowBlank="1" showDropDown="1" sqref="N22">
      <formula1>IF(COUNTA(filter($E34:$W34,ARRAYFORMULA(ISERROR(FIND(join(",",filter(split($H$83,","),ARRAYFORMULA(ISERROR(FIND(split($H$83,","),N22)))=FALSE)),$E34:$W34))=FALSE)))&gt;1,FALSE,TRUE)</formula1>
    </dataValidation>
    <dataValidation type="custom" allowBlank="1" showDropDown="1" sqref="H4:I4">
      <formula1>IF(COUNTA(filter($E7:$W7,ARRAYFORMULA(ISERROR(FIND(join(",",filter(split($H$83,","),ARRAYFORMULA(ISERROR(FIND(split($H$83,","),#REF!)))=FALSE)),$E7:$W7))=FALSE)))&gt;1,FALSE,TRUE)</formula1>
    </dataValidation>
    <dataValidation type="custom" allowBlank="1" showDropDown="1" sqref="P9:P10 R15:S16 P17:Q18 N19:N20 N24 N29:N30 J52:J53 L52:L53">
      <formula1>IF(COUNTA(filter($E7:$W7,ARRAYFORMULA(ISERROR(FIND(join(",",filter(split($H$83,","),ARRAYFORMULA(ISERROR(FIND(split($H$83,","),J9)))=FALSE)),$E7:$W7))=FALSE)))&gt;1,FALSE,TRUE)</formula1>
    </dataValidation>
    <dataValidation type="custom" allowBlank="1" showDropDown="1" sqref="S52:S53">
      <formula1>IF(COUNTA(filter($E9:$W9,ARRAYFORMULA(ISERROR(FIND(join(",",filter(split($H$83,","),ARRAYFORMULA(ISERROR(FIND(split($H$83,","),S52)))=FALSE)),$E9:$W9))=FALSE)))&gt;1,FALSE,TRUE)</formula1>
    </dataValidation>
    <dataValidation type="custom" allowBlank="1" showDropDown="1" sqref="R13:R14">
      <formula1>IF(COUNTA(filter($E3:$W3,ARRAYFORMULA(ISERROR(FIND(join(",",filter(split($H$83,","),ARRAYFORMULA(ISERROR(FIND(split($H$83,","),R13)))=FALSE)),$E3:$W3))=FALSE)))&gt;1,FALSE,TRUE)</formula1>
    </dataValidation>
    <dataValidation type="custom" allowBlank="1" showDropDown="1" sqref="T3:T4">
      <formula1>IF(COUNTA(filter($E46:$W46,ARRAYFORMULA(ISERROR(FIND(join(",",filter(split($H$83,","),ARRAYFORMULA(ISERROR(FIND(split($H$83,","),T3)))=FALSE)),$E46:$W46))=FALSE)))&gt;1,FALSE,TRUE)</formula1>
    </dataValidation>
    <dataValidation type="custom" allowBlank="1" showDropDown="1" sqref="T13:U14 T15:T16 P24 J26">
      <formula1>IF(COUNTA(filter($E17:$W17,ARRAYFORMULA(ISERROR(FIND(join(",",filter(split($H$83,","),ARRAYFORMULA(ISERROR(FIND(split($H$83,","),J13)))=FALSE)),$E17:$W17))=FALSE)))&gt;1,FALSE,TRUE)</formula1>
    </dataValidation>
    <dataValidation type="custom" allowBlank="1" showDropDown="1" sqref="E3:F3 G4 J5:J6 E15:E16 E46:E47 J48:J49 G50:G52 E53">
      <formula1>IF(COUNTA(filter($E3:$W3,ARRAYFORMULA(ISERROR(FIND(join(",",filter(split($H$83,","),ARRAYFORMULA(ISERROR(FIND(split($H$83,","),#REF!)))=FALSE)),$E3:$W3))=FALSE)))&gt;1,FALSE,TRUE)</formula1>
    </dataValidation>
    <dataValidation type="custom" allowBlank="1" showDropDown="1" sqref="N7">
      <formula1>IF(COUNTA(filter(#REF!,ARRAYFORMULA(ISERROR(FIND(join(",",filter(split($H$83,","),ARRAYFORMULA(ISERROR(FIND(split($H$83,","),#REF!)))=FALSE)),#REF!))=FALSE)))&gt;1,FALSE,TRUE)</formula1>
    </dataValidation>
    <dataValidation type="custom" allowBlank="1" showDropDown="1" sqref="R8:R10">
      <formula1>IF(COUNTA(filter($E52:$W52,ARRAYFORMULA(ISERROR(FIND(join(",",filter(split($H$83,","),ARRAYFORMULA(ISERROR(FIND(split($H$83,","),R8)))=FALSE)),$E52:$W52))=FALSE)))&gt;1,FALSE,TRUE)</formula1>
    </dataValidation>
    <dataValidation type="custom" allowBlank="1" showDropDown="1" sqref="T11 W11">
      <formula1>IF(COUNTA(filter($F11:$W11,ARRAYFORMULA(ISERROR(FIND(join(",",filter(split($H$83,","),ARRAYFORMULA(ISERROR(FIND(split($H$83,","),T11)))=FALSE)),$F11:$W11))=FALSE)))&gt;1,FALSE,TRUE)</formula1>
    </dataValidation>
    <dataValidation type="custom" allowBlank="1" showDropDown="1" sqref="F4:F5 E6:E7 F8 H7:H8 E9 E24 G24:H24 G25 E26 R27:S28 H35:H36 G37:G38 E48:E49 N52:N54">
      <formula1>IF(COUNTA(filter($E5:$W5,ARRAYFORMULA(ISERROR(FIND(join(",",filter(split($H$83,","),ARRAYFORMULA(ISERROR(FIND(split($H$83,","),E4)))=FALSE)),$E5:$W5))=FALSE)))&gt;1,FALSE,TRUE)</formula1>
    </dataValidation>
    <dataValidation type="custom" allowBlank="1" showDropDown="1" sqref="N2 R2 T2 G2:G3 J2:J3 L4 P2:P4 G5:H6 K5:M6 T5:T6 L7:L8 P7:P8 T7:U8 G7:G9 H10 J9:J10 N9:N10 Q9:Q10 S10 W2:W10 E12:W12 E13:E14 H13:H14 L13:L14 E17:E18 G15:G18 S17:S18 H19:H20 J15:J20 L17:L20 G21 R19:R21 T21 H22 G23:R23 J24 P25 R25 Q26 P27 E27:E28 I27:I28 Q28 T28 F29:G30 P29:Q30 W13:W32 R33:R34 T33:W34 G35:G36 L35:M36 P35:Q36 H37:H38 J37:J38 L37:N38 E37:E40 G39:G40 J39:K40 N39:P40 R37:S40 R41:T41 J41:L42 T42 E43 G41:H43 K43 Q43 H44 M43:N44 W35:W44 E45:W45 I46 F46:G47 L46:L47 N46:P47 G48 L48:M49 L51 N50:O51 I50:I52 P52 G53:H53 O53:P53 O54 N55:O55 W46:W55 E56:W56 E57:G57 J57 N57:O57 E58:O60 T57:W60 E61:W65 K67:K68 H66:H73">
      <formula1>IF(COUNTA(filter($E2:$W2,ARRAYFORMULA(ISERROR(FIND(join(",",filter(split($H$83,","),ARRAYFORMULA(ISERROR(FIND(split($H$83,","),E2)))=FALSE)),$E2:$W2))=FALSE)))&gt;1,FALSE,TRUE)</formula1>
    </dataValidation>
    <dataValidation type="custom" allowBlank="1" showDropDown="1" sqref="J46:J47">
      <formula1>IF(COUNTA(filter($E9:$W9,ARRAYFORMULA(ISERROR(FIND(join(",",filter(split($H$83,","),ARRAYFORMULA(ISERROR(FIND(split($H$83,","),J46)))=FALSE)),$E9:$W9))=FALSE)))&gt;1,FALSE,TRUE)</formula1>
    </dataValidation>
    <dataValidation type="custom" allowBlank="1" showDropDown="1" sqref="T35:T36">
      <formula1>IF(COUNTA(filter($E13:$W13,ARRAYFORMULA(ISERROR(FIND(join(",",filter(split($H$83,","),ARRAYFORMULA(ISERROR(FIND(split($H$83,","),T35)))=FALSE)),$E13:$W13))=FALSE)))&gt;1,FALSE,TRUE)</formula1>
    </dataValidation>
    <dataValidation type="custom" allowBlank="1" showDropDown="1" sqref="P31 P43:P44">
      <formula1>IF(COUNTA(filter($E40:$W40,ARRAYFORMULA(ISERROR(FIND(join(",",filter(split($H$83,","),ARRAYFORMULA(ISERROR(FIND(split($H$83,","),P31)))=FALSE)),$E40:$W40))=FALSE)))&gt;1,FALSE,TRUE)</formula1>
    </dataValidation>
    <dataValidation type="custom" allowBlank="1" showDropDown="1" sqref="S3:S4">
      <formula1>IF(COUNTA(filter($E26:$W26,ARRAYFORMULA(ISERROR(FIND(join(",",filter(split($H$83,","),ARRAYFORMULA(ISERROR(FIND(split($H$83,","),S3)))=FALSE)),$E26:$W26))=FALSE)))&gt;1,FALSE,TRUE)</formula1>
    </dataValidation>
    <dataValidation type="custom" allowBlank="1" showDropDown="1" sqref="E4:E5 F6:F7 L25 F27:F28 E29:E30">
      <formula1>IF(COUNTA(filter($E7:$W7,ARRAYFORMULA(ISERROR(FIND(join(",",filter(split($H$83,","),ARRAYFORMULA(ISERROR(FIND(split($H$83,","),E4)))=FALSE)),$E7:$W7))=FALSE)))&gt;1,FALSE,TRUE)</formula1>
    </dataValidation>
    <dataValidation type="custom" allowBlank="1" showDropDown="1" sqref="P26 P28 S29:S30 S32 R47:R48 T51:V52 P57">
      <formula1>IF(COUNTA(filter($E25:$W25,ARRAYFORMULA(ISERROR(FIND(join(",",filter(split($H$83,","),ARRAYFORMULA(ISERROR(FIND(split($H$83,","),P26)))=FALSE)),$E25:$W25))=FALSE)))&gt;1,FALSE,TRUE)</formula1>
    </dataValidation>
    <dataValidation type="custom" allowBlank="1" showDropDown="1" sqref="P13:P16 G27:G28 L27:L28 J30 N31:N32 E35:E36 J35:J36 N35:N36 T39:T40 E41:E42 P41:P42 R46 T47:T48 K48:K49 P50:P51 E50:E52 Q52:Q53">
      <formula1>IF(COUNTA(filter(#REF!,ARRAYFORMULA(ISERROR(FIND(join(",",filter(split($H$83,","),ARRAYFORMULA(ISERROR(FIND(split($H$83,","),E13)))=FALSE)),#REF!))=FALSE)))&gt;1,FALSE,TRUE)</formula1>
    </dataValidation>
    <dataValidation type="custom" allowBlank="1" showDropDown="1" sqref="T19:T20 T46">
      <formula1>IF(COUNTA(filter($E25:$W25,ARRAYFORMULA(ISERROR(FIND(join(",",filter(split($H$83,","),ARRAYFORMULA(ISERROR(FIND(split($H$83,","),T19)))=FALSE)),$E25:$W25))=FALSE)))&gt;1,FALSE,TRUE)</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5"/>
    <col customWidth="1" min="2" max="2" width="62.25"/>
    <col customWidth="1" min="3" max="3" width="25.13"/>
    <col customWidth="1" min="4" max="4" width="19.5"/>
    <col customWidth="1" min="5" max="5" width="54.38"/>
    <col customWidth="1" min="6" max="6" width="22.63"/>
    <col customWidth="1" min="7" max="7" width="19.5"/>
  </cols>
  <sheetData>
    <row r="1">
      <c r="A1" s="1683" t="s">
        <v>488</v>
      </c>
      <c r="B1" s="1683" t="s">
        <v>15390</v>
      </c>
      <c r="C1" s="1683" t="s">
        <v>15391</v>
      </c>
      <c r="D1" s="1683" t="s">
        <v>15392</v>
      </c>
      <c r="E1" s="1683" t="s">
        <v>15393</v>
      </c>
      <c r="F1" s="1683" t="s">
        <v>15391</v>
      </c>
      <c r="G1" s="1683" t="s">
        <v>15392</v>
      </c>
      <c r="H1" s="1684"/>
      <c r="I1" s="1684"/>
      <c r="J1" s="1684"/>
      <c r="K1" s="1684"/>
      <c r="L1" s="1684"/>
      <c r="M1" s="1684"/>
      <c r="N1" s="1684"/>
      <c r="O1" s="1684"/>
      <c r="P1" s="1684"/>
      <c r="Q1" s="1684"/>
      <c r="R1" s="1684"/>
      <c r="S1" s="1684"/>
      <c r="T1" s="1684"/>
      <c r="U1" s="1684"/>
      <c r="V1" s="1684"/>
      <c r="W1" s="1684"/>
      <c r="X1" s="1684"/>
      <c r="Y1" s="1684"/>
      <c r="Z1" s="1684"/>
      <c r="AA1" s="1684"/>
    </row>
    <row r="2">
      <c r="A2" s="1685">
        <v>0.3645833333333333</v>
      </c>
      <c r="B2" s="1686" t="s">
        <v>15394</v>
      </c>
      <c r="C2" s="1687" t="s">
        <v>15395</v>
      </c>
      <c r="D2" s="1687" t="s">
        <v>15396</v>
      </c>
      <c r="E2" s="1686" t="s">
        <v>15394</v>
      </c>
      <c r="F2" s="1687" t="s">
        <v>15397</v>
      </c>
      <c r="G2" s="1686"/>
    </row>
    <row r="3">
      <c r="A3" s="1685">
        <v>0.375</v>
      </c>
      <c r="B3" s="1686" t="s">
        <v>15398</v>
      </c>
      <c r="C3" s="1687" t="s">
        <v>15399</v>
      </c>
      <c r="D3" s="1688" t="s">
        <v>13105</v>
      </c>
      <c r="E3" s="1689" t="s">
        <v>15400</v>
      </c>
      <c r="F3" s="1690" t="s">
        <v>15401</v>
      </c>
      <c r="G3" s="1688" t="s">
        <v>14092</v>
      </c>
    </row>
    <row r="4">
      <c r="A4" s="1685">
        <v>0.3819444444444444</v>
      </c>
      <c r="B4" s="1686" t="s">
        <v>15402</v>
      </c>
      <c r="C4" s="1687" t="s">
        <v>15403</v>
      </c>
      <c r="D4" s="1688" t="s">
        <v>15404</v>
      </c>
      <c r="E4" s="222"/>
      <c r="F4" s="222"/>
      <c r="G4" s="1688"/>
    </row>
    <row r="5">
      <c r="A5" s="1685">
        <v>0.3993055555555556</v>
      </c>
      <c r="B5" s="1686" t="s">
        <v>15405</v>
      </c>
      <c r="C5" s="1687" t="s">
        <v>15406</v>
      </c>
      <c r="D5" s="1688" t="s">
        <v>15404</v>
      </c>
      <c r="E5" s="222"/>
      <c r="F5" s="222"/>
      <c r="G5" s="1688"/>
    </row>
    <row r="6">
      <c r="A6" s="1685">
        <v>0.4131944444444444</v>
      </c>
      <c r="B6" s="1691" t="s">
        <v>15407</v>
      </c>
      <c r="C6" s="1687" t="s">
        <v>15408</v>
      </c>
      <c r="D6" s="1688" t="s">
        <v>15404</v>
      </c>
      <c r="E6" s="222"/>
      <c r="F6" s="222"/>
      <c r="G6" s="1688"/>
    </row>
    <row r="7" ht="22.5" customHeight="1">
      <c r="A7" s="1685">
        <v>0.4305555555555556</v>
      </c>
      <c r="B7" s="1686" t="s">
        <v>15409</v>
      </c>
      <c r="C7" s="1687" t="s">
        <v>15410</v>
      </c>
      <c r="D7" s="1688"/>
      <c r="E7" s="173"/>
      <c r="F7" s="173"/>
      <c r="G7" s="1688"/>
    </row>
    <row r="8">
      <c r="A8" s="1685">
        <v>0.4375</v>
      </c>
      <c r="B8" s="1686" t="s">
        <v>15411</v>
      </c>
      <c r="C8" s="1687" t="s">
        <v>15412</v>
      </c>
      <c r="D8" s="1692"/>
      <c r="E8" s="1693"/>
      <c r="F8" s="1693"/>
      <c r="G8" s="1693"/>
    </row>
    <row r="9">
      <c r="A9" s="1685">
        <v>0.4375</v>
      </c>
      <c r="B9" s="1686" t="s">
        <v>15413</v>
      </c>
      <c r="C9" s="1687"/>
      <c r="D9" s="1694"/>
      <c r="E9" s="1693"/>
      <c r="F9" s="1693"/>
      <c r="G9" s="1693"/>
    </row>
    <row r="10">
      <c r="A10" s="1687" t="s">
        <v>34</v>
      </c>
      <c r="B10" s="1686" t="s">
        <v>15414</v>
      </c>
      <c r="C10" s="1687"/>
      <c r="D10" s="1693"/>
      <c r="E10" s="1693"/>
      <c r="F10" s="1693"/>
      <c r="G10" s="1693"/>
    </row>
    <row r="11">
      <c r="A11" s="1685">
        <v>0.5208333333333334</v>
      </c>
      <c r="B11" s="1691" t="s">
        <v>15415</v>
      </c>
      <c r="C11" s="1687"/>
      <c r="D11" s="1693"/>
      <c r="E11" s="1693"/>
      <c r="F11" s="1693"/>
      <c r="G11" s="1693"/>
    </row>
    <row r="12">
      <c r="A12" s="1685">
        <v>0.5208333333333334</v>
      </c>
      <c r="B12" s="1686" t="s">
        <v>15416</v>
      </c>
      <c r="C12" s="1687" t="s">
        <v>15417</v>
      </c>
      <c r="D12" s="1693"/>
      <c r="E12" s="1693"/>
      <c r="F12" s="1693"/>
      <c r="G12" s="1693"/>
    </row>
    <row r="13">
      <c r="A13" s="1685">
        <v>0.5833333333333334</v>
      </c>
      <c r="B13" s="1695" t="s">
        <v>15418</v>
      </c>
      <c r="C13" s="1686"/>
      <c r="D13" s="1687"/>
      <c r="E13" s="1686"/>
      <c r="F13" s="1686"/>
      <c r="G13" s="199"/>
    </row>
    <row r="14">
      <c r="A14" s="977"/>
      <c r="C14" s="977"/>
    </row>
    <row r="15">
      <c r="A15" s="977"/>
      <c r="C15" s="977"/>
    </row>
    <row r="16">
      <c r="A16" s="977"/>
      <c r="C16" s="977"/>
    </row>
    <row r="17">
      <c r="A17" s="977"/>
      <c r="C17" s="977"/>
      <c r="E17" s="1670" t="s">
        <v>15419</v>
      </c>
    </row>
    <row r="18">
      <c r="A18" s="977"/>
      <c r="C18" s="977"/>
      <c r="E18" s="953" t="s">
        <v>15420</v>
      </c>
      <c r="F18" s="953" t="s">
        <v>15421</v>
      </c>
    </row>
    <row r="19">
      <c r="A19" s="977"/>
      <c r="C19" s="977"/>
      <c r="E19" s="953" t="s">
        <v>15422</v>
      </c>
      <c r="F19" s="953" t="s">
        <v>15423</v>
      </c>
    </row>
    <row r="20">
      <c r="A20" s="977"/>
      <c r="C20" s="977"/>
      <c r="E20" s="953" t="s">
        <v>15424</v>
      </c>
      <c r="F20" s="953" t="s">
        <v>15396</v>
      </c>
    </row>
    <row r="21">
      <c r="A21" s="977"/>
      <c r="C21" s="977"/>
      <c r="E21" s="953" t="s">
        <v>15425</v>
      </c>
      <c r="F21" s="953" t="s">
        <v>15426</v>
      </c>
    </row>
    <row r="22">
      <c r="A22" s="977"/>
      <c r="C22" s="977"/>
      <c r="E22" s="953" t="s">
        <v>15427</v>
      </c>
      <c r="F22" s="953" t="s">
        <v>15428</v>
      </c>
    </row>
    <row r="23">
      <c r="A23" s="977"/>
      <c r="C23" s="977"/>
      <c r="E23" s="953" t="s">
        <v>15429</v>
      </c>
      <c r="F23" s="953" t="s">
        <v>15430</v>
      </c>
    </row>
    <row r="24">
      <c r="A24" s="977"/>
      <c r="C24" s="977"/>
    </row>
    <row r="25">
      <c r="A25" s="977"/>
      <c r="C25" s="977"/>
    </row>
    <row r="26">
      <c r="A26" s="977"/>
      <c r="C26" s="977"/>
    </row>
    <row r="27">
      <c r="A27" s="977"/>
      <c r="C27" s="977"/>
    </row>
    <row r="28">
      <c r="A28" s="977"/>
      <c r="C28" s="977"/>
    </row>
    <row r="29">
      <c r="A29" s="977"/>
      <c r="C29" s="977"/>
    </row>
    <row r="30">
      <c r="A30" s="977"/>
      <c r="C30" s="977"/>
    </row>
    <row r="31">
      <c r="A31" s="977"/>
      <c r="C31" s="977"/>
    </row>
    <row r="32">
      <c r="A32" s="977"/>
      <c r="C32" s="977"/>
    </row>
    <row r="33">
      <c r="A33" s="977"/>
      <c r="C33" s="977"/>
    </row>
    <row r="34">
      <c r="A34" s="977"/>
      <c r="C34" s="977"/>
    </row>
    <row r="35">
      <c r="A35" s="977"/>
      <c r="C35" s="977"/>
    </row>
    <row r="36">
      <c r="A36" s="977"/>
      <c r="C36" s="977"/>
    </row>
    <row r="37">
      <c r="A37" s="977"/>
      <c r="C37" s="977"/>
    </row>
    <row r="38">
      <c r="A38" s="977"/>
      <c r="C38" s="977"/>
    </row>
    <row r="39">
      <c r="A39" s="977"/>
      <c r="C39" s="977"/>
    </row>
    <row r="40">
      <c r="A40" s="977"/>
      <c r="C40" s="977"/>
    </row>
    <row r="41">
      <c r="A41" s="977"/>
      <c r="C41" s="977"/>
    </row>
    <row r="42">
      <c r="A42" s="977"/>
      <c r="C42" s="977"/>
    </row>
    <row r="43">
      <c r="A43" s="977"/>
      <c r="C43" s="977"/>
    </row>
    <row r="44">
      <c r="A44" s="977"/>
      <c r="C44" s="977"/>
    </row>
    <row r="45">
      <c r="A45" s="977"/>
      <c r="C45" s="977"/>
    </row>
    <row r="46">
      <c r="A46" s="977"/>
      <c r="C46" s="977"/>
    </row>
    <row r="47">
      <c r="A47" s="977"/>
      <c r="C47" s="977"/>
    </row>
    <row r="48">
      <c r="A48" s="977"/>
      <c r="C48" s="977"/>
    </row>
    <row r="49">
      <c r="A49" s="977"/>
      <c r="C49" s="977"/>
    </row>
    <row r="50">
      <c r="A50" s="977"/>
      <c r="C50" s="977"/>
    </row>
    <row r="51">
      <c r="A51" s="977"/>
      <c r="C51" s="977"/>
    </row>
    <row r="52">
      <c r="A52" s="977"/>
      <c r="C52" s="977"/>
    </row>
    <row r="53">
      <c r="A53" s="977"/>
      <c r="C53" s="977"/>
    </row>
    <row r="54">
      <c r="A54" s="977"/>
      <c r="C54" s="977"/>
    </row>
    <row r="55">
      <c r="A55" s="977"/>
      <c r="C55" s="977"/>
    </row>
    <row r="56">
      <c r="A56" s="977"/>
      <c r="C56" s="977"/>
    </row>
    <row r="57">
      <c r="A57" s="977"/>
      <c r="C57" s="977"/>
    </row>
    <row r="58">
      <c r="A58" s="977"/>
      <c r="C58" s="977"/>
    </row>
    <row r="59">
      <c r="A59" s="977"/>
      <c r="C59" s="977"/>
    </row>
    <row r="60">
      <c r="A60" s="977"/>
      <c r="C60" s="977"/>
    </row>
    <row r="61">
      <c r="A61" s="977"/>
      <c r="C61" s="977"/>
    </row>
    <row r="62">
      <c r="A62" s="977"/>
      <c r="C62" s="977"/>
    </row>
    <row r="63">
      <c r="A63" s="977"/>
      <c r="C63" s="977"/>
    </row>
    <row r="64">
      <c r="A64" s="977"/>
      <c r="C64" s="977"/>
    </row>
    <row r="65">
      <c r="A65" s="977"/>
      <c r="C65" s="977"/>
    </row>
    <row r="66">
      <c r="A66" s="977"/>
      <c r="C66" s="977"/>
    </row>
    <row r="67">
      <c r="A67" s="977"/>
      <c r="C67" s="977"/>
    </row>
    <row r="68">
      <c r="A68" s="977"/>
      <c r="C68" s="977"/>
    </row>
    <row r="69">
      <c r="A69" s="977"/>
      <c r="C69" s="977"/>
    </row>
    <row r="70">
      <c r="A70" s="977"/>
      <c r="C70" s="977"/>
    </row>
    <row r="71">
      <c r="A71" s="977"/>
      <c r="C71" s="977"/>
    </row>
    <row r="72">
      <c r="A72" s="977"/>
      <c r="C72" s="977"/>
    </row>
    <row r="73">
      <c r="A73" s="977"/>
      <c r="C73" s="977"/>
    </row>
    <row r="74">
      <c r="A74" s="977"/>
      <c r="C74" s="977"/>
    </row>
    <row r="75">
      <c r="A75" s="977"/>
      <c r="C75" s="977"/>
    </row>
    <row r="76">
      <c r="A76" s="977"/>
      <c r="C76" s="977"/>
    </row>
    <row r="77">
      <c r="A77" s="977"/>
      <c r="C77" s="977"/>
    </row>
    <row r="78">
      <c r="A78" s="977"/>
      <c r="C78" s="977"/>
    </row>
    <row r="79">
      <c r="A79" s="977"/>
      <c r="C79" s="977"/>
    </row>
    <row r="80">
      <c r="A80" s="977"/>
      <c r="C80" s="977"/>
    </row>
    <row r="81">
      <c r="A81" s="977"/>
      <c r="C81" s="977"/>
    </row>
    <row r="82">
      <c r="A82" s="977"/>
      <c r="C82" s="977"/>
    </row>
    <row r="83">
      <c r="A83" s="977"/>
      <c r="C83" s="977"/>
    </row>
    <row r="84">
      <c r="A84" s="977"/>
      <c r="C84" s="977"/>
    </row>
    <row r="85">
      <c r="A85" s="977"/>
      <c r="C85" s="977"/>
    </row>
    <row r="86">
      <c r="A86" s="977"/>
      <c r="C86" s="977"/>
    </row>
    <row r="87">
      <c r="A87" s="977"/>
      <c r="C87" s="977"/>
    </row>
    <row r="88">
      <c r="A88" s="977"/>
      <c r="C88" s="977"/>
    </row>
    <row r="89">
      <c r="A89" s="977"/>
      <c r="C89" s="977"/>
    </row>
    <row r="90">
      <c r="A90" s="977"/>
      <c r="C90" s="977"/>
    </row>
    <row r="91">
      <c r="A91" s="977"/>
      <c r="C91" s="977"/>
    </row>
    <row r="92">
      <c r="A92" s="977"/>
      <c r="C92" s="977"/>
    </row>
    <row r="93">
      <c r="A93" s="977"/>
      <c r="C93" s="977"/>
    </row>
    <row r="94">
      <c r="A94" s="977"/>
      <c r="C94" s="977"/>
    </row>
    <row r="95">
      <c r="A95" s="977"/>
      <c r="C95" s="977"/>
    </row>
    <row r="96">
      <c r="A96" s="977"/>
      <c r="C96" s="977"/>
    </row>
    <row r="97">
      <c r="A97" s="977"/>
      <c r="C97" s="977"/>
    </row>
    <row r="98">
      <c r="A98" s="977"/>
      <c r="C98" s="977"/>
    </row>
    <row r="99">
      <c r="A99" s="977"/>
      <c r="C99" s="977"/>
    </row>
    <row r="100">
      <c r="A100" s="977"/>
      <c r="C100" s="977"/>
    </row>
    <row r="101">
      <c r="A101" s="977"/>
      <c r="C101" s="977"/>
    </row>
    <row r="102">
      <c r="A102" s="977"/>
      <c r="C102" s="977"/>
    </row>
    <row r="103">
      <c r="A103" s="977"/>
      <c r="C103" s="977"/>
    </row>
    <row r="104">
      <c r="A104" s="977"/>
      <c r="C104" s="977"/>
    </row>
    <row r="105">
      <c r="A105" s="977"/>
      <c r="C105" s="977"/>
    </row>
    <row r="106">
      <c r="A106" s="977"/>
      <c r="C106" s="977"/>
    </row>
    <row r="107">
      <c r="A107" s="977"/>
      <c r="C107" s="977"/>
    </row>
    <row r="108">
      <c r="A108" s="977"/>
      <c r="C108" s="977"/>
    </row>
    <row r="109">
      <c r="A109" s="977"/>
      <c r="C109" s="977"/>
    </row>
    <row r="110">
      <c r="A110" s="977"/>
      <c r="C110" s="977"/>
    </row>
    <row r="111">
      <c r="A111" s="977"/>
      <c r="C111" s="977"/>
    </row>
    <row r="112">
      <c r="A112" s="977"/>
      <c r="C112" s="977"/>
    </row>
    <row r="113">
      <c r="A113" s="977"/>
      <c r="C113" s="977"/>
    </row>
    <row r="114">
      <c r="A114" s="977"/>
      <c r="C114" s="977"/>
    </row>
    <row r="115">
      <c r="A115" s="977"/>
      <c r="C115" s="977"/>
    </row>
    <row r="116">
      <c r="A116" s="977"/>
      <c r="C116" s="977"/>
    </row>
    <row r="117">
      <c r="A117" s="977"/>
      <c r="C117" s="977"/>
    </row>
    <row r="118">
      <c r="A118" s="977"/>
      <c r="C118" s="977"/>
    </row>
    <row r="119">
      <c r="A119" s="977"/>
      <c r="C119" s="977"/>
    </row>
    <row r="120">
      <c r="A120" s="977"/>
      <c r="C120" s="977"/>
    </row>
    <row r="121">
      <c r="A121" s="977"/>
      <c r="C121" s="977"/>
    </row>
    <row r="122">
      <c r="A122" s="977"/>
      <c r="C122" s="977"/>
    </row>
    <row r="123">
      <c r="A123" s="977"/>
      <c r="C123" s="977"/>
    </row>
    <row r="124">
      <c r="A124" s="977"/>
      <c r="C124" s="977"/>
    </row>
    <row r="125">
      <c r="A125" s="977"/>
      <c r="C125" s="977"/>
    </row>
    <row r="126">
      <c r="A126" s="977"/>
      <c r="C126" s="977"/>
    </row>
    <row r="127">
      <c r="A127" s="977"/>
      <c r="C127" s="977"/>
    </row>
    <row r="128">
      <c r="A128" s="977"/>
      <c r="C128" s="977"/>
    </row>
    <row r="129">
      <c r="A129" s="977"/>
      <c r="C129" s="977"/>
    </row>
    <row r="130">
      <c r="A130" s="977"/>
      <c r="C130" s="977"/>
    </row>
    <row r="131">
      <c r="A131" s="977"/>
      <c r="C131" s="977"/>
    </row>
    <row r="132">
      <c r="A132" s="977"/>
      <c r="C132" s="977"/>
    </row>
    <row r="133">
      <c r="A133" s="977"/>
      <c r="C133" s="977"/>
    </row>
    <row r="134">
      <c r="A134" s="977"/>
      <c r="C134" s="977"/>
    </row>
    <row r="135">
      <c r="A135" s="977"/>
      <c r="C135" s="977"/>
    </row>
    <row r="136">
      <c r="A136" s="977"/>
      <c r="C136" s="977"/>
    </row>
    <row r="137">
      <c r="A137" s="977"/>
      <c r="C137" s="977"/>
    </row>
    <row r="138">
      <c r="A138" s="977"/>
      <c r="C138" s="977"/>
    </row>
    <row r="139">
      <c r="A139" s="977"/>
      <c r="C139" s="977"/>
    </row>
    <row r="140">
      <c r="A140" s="977"/>
      <c r="C140" s="977"/>
    </row>
    <row r="141">
      <c r="A141" s="977"/>
      <c r="C141" s="977"/>
    </row>
    <row r="142">
      <c r="A142" s="977"/>
      <c r="C142" s="977"/>
    </row>
    <row r="143">
      <c r="A143" s="977"/>
      <c r="C143" s="977"/>
    </row>
    <row r="144">
      <c r="A144" s="977"/>
      <c r="C144" s="977"/>
    </row>
    <row r="145">
      <c r="A145" s="977"/>
      <c r="C145" s="977"/>
    </row>
    <row r="146">
      <c r="A146" s="977"/>
      <c r="C146" s="977"/>
    </row>
    <row r="147">
      <c r="A147" s="977"/>
      <c r="C147" s="977"/>
    </row>
    <row r="148">
      <c r="A148" s="977"/>
      <c r="C148" s="977"/>
    </row>
    <row r="149">
      <c r="A149" s="977"/>
      <c r="C149" s="977"/>
    </row>
    <row r="150">
      <c r="A150" s="977"/>
      <c r="C150" s="977"/>
    </row>
    <row r="151">
      <c r="A151" s="977"/>
      <c r="C151" s="977"/>
    </row>
    <row r="152">
      <c r="A152" s="977"/>
      <c r="C152" s="977"/>
    </row>
    <row r="153">
      <c r="A153" s="977"/>
      <c r="C153" s="977"/>
    </row>
    <row r="154">
      <c r="A154" s="977"/>
      <c r="C154" s="977"/>
    </row>
    <row r="155">
      <c r="A155" s="977"/>
      <c r="C155" s="977"/>
    </row>
    <row r="156">
      <c r="A156" s="977"/>
      <c r="C156" s="977"/>
    </row>
    <row r="157">
      <c r="A157" s="977"/>
      <c r="C157" s="977"/>
    </row>
    <row r="158">
      <c r="A158" s="977"/>
      <c r="C158" s="977"/>
    </row>
    <row r="159">
      <c r="A159" s="977"/>
      <c r="C159" s="977"/>
    </row>
    <row r="160">
      <c r="A160" s="977"/>
      <c r="C160" s="977"/>
    </row>
    <row r="161">
      <c r="A161" s="977"/>
      <c r="C161" s="977"/>
    </row>
    <row r="162">
      <c r="A162" s="977"/>
      <c r="C162" s="977"/>
    </row>
    <row r="163">
      <c r="A163" s="977"/>
      <c r="C163" s="977"/>
    </row>
    <row r="164">
      <c r="A164" s="977"/>
      <c r="C164" s="977"/>
    </row>
    <row r="165">
      <c r="A165" s="977"/>
      <c r="C165" s="977"/>
    </row>
    <row r="166">
      <c r="A166" s="977"/>
      <c r="C166" s="977"/>
    </row>
    <row r="167">
      <c r="A167" s="977"/>
      <c r="C167" s="977"/>
    </row>
    <row r="168">
      <c r="A168" s="977"/>
      <c r="C168" s="977"/>
    </row>
    <row r="169">
      <c r="A169" s="977"/>
      <c r="C169" s="977"/>
    </row>
    <row r="170">
      <c r="A170" s="977"/>
      <c r="C170" s="977"/>
    </row>
    <row r="171">
      <c r="A171" s="977"/>
      <c r="C171" s="977"/>
    </row>
    <row r="172">
      <c r="A172" s="977"/>
      <c r="C172" s="977"/>
    </row>
    <row r="173">
      <c r="A173" s="977"/>
      <c r="C173" s="977"/>
    </row>
    <row r="174">
      <c r="A174" s="977"/>
      <c r="C174" s="977"/>
    </row>
    <row r="175">
      <c r="A175" s="977"/>
      <c r="C175" s="977"/>
    </row>
    <row r="176">
      <c r="A176" s="977"/>
      <c r="C176" s="977"/>
    </row>
    <row r="177">
      <c r="A177" s="977"/>
      <c r="C177" s="977"/>
    </row>
    <row r="178">
      <c r="A178" s="977"/>
      <c r="C178" s="977"/>
    </row>
    <row r="179">
      <c r="A179" s="977"/>
      <c r="C179" s="977"/>
    </row>
    <row r="180">
      <c r="A180" s="977"/>
      <c r="C180" s="977"/>
    </row>
    <row r="181">
      <c r="A181" s="977"/>
      <c r="C181" s="977"/>
    </row>
    <row r="182">
      <c r="A182" s="977"/>
      <c r="C182" s="977"/>
    </row>
    <row r="183">
      <c r="A183" s="977"/>
      <c r="C183" s="977"/>
    </row>
    <row r="184">
      <c r="A184" s="977"/>
      <c r="C184" s="977"/>
    </row>
    <row r="185">
      <c r="A185" s="977"/>
      <c r="C185" s="977"/>
    </row>
    <row r="186">
      <c r="A186" s="977"/>
      <c r="C186" s="977"/>
    </row>
    <row r="187">
      <c r="A187" s="977"/>
      <c r="C187" s="977"/>
    </row>
    <row r="188">
      <c r="A188" s="977"/>
      <c r="C188" s="977"/>
    </row>
    <row r="189">
      <c r="A189" s="977"/>
      <c r="C189" s="977"/>
    </row>
    <row r="190">
      <c r="A190" s="977"/>
      <c r="C190" s="977"/>
    </row>
    <row r="191">
      <c r="A191" s="977"/>
      <c r="C191" s="977"/>
    </row>
    <row r="192">
      <c r="A192" s="977"/>
      <c r="C192" s="977"/>
    </row>
    <row r="193">
      <c r="A193" s="977"/>
      <c r="C193" s="977"/>
    </row>
    <row r="194">
      <c r="A194" s="977"/>
      <c r="C194" s="977"/>
    </row>
    <row r="195">
      <c r="A195" s="977"/>
      <c r="C195" s="977"/>
    </row>
    <row r="196">
      <c r="A196" s="977"/>
      <c r="C196" s="977"/>
    </row>
    <row r="197">
      <c r="A197" s="977"/>
      <c r="C197" s="977"/>
    </row>
    <row r="198">
      <c r="A198" s="977"/>
      <c r="C198" s="977"/>
    </row>
    <row r="199">
      <c r="A199" s="977"/>
      <c r="C199" s="977"/>
    </row>
    <row r="200">
      <c r="A200" s="977"/>
      <c r="C200" s="977"/>
    </row>
    <row r="201">
      <c r="A201" s="977"/>
      <c r="C201" s="977"/>
    </row>
    <row r="202">
      <c r="A202" s="977"/>
      <c r="C202" s="977"/>
    </row>
    <row r="203">
      <c r="A203" s="977"/>
      <c r="C203" s="977"/>
    </row>
    <row r="204">
      <c r="A204" s="977"/>
      <c r="C204" s="977"/>
    </row>
    <row r="205">
      <c r="A205" s="977"/>
      <c r="C205" s="977"/>
    </row>
    <row r="206">
      <c r="A206" s="977"/>
      <c r="C206" s="977"/>
    </row>
    <row r="207">
      <c r="A207" s="977"/>
      <c r="C207" s="977"/>
    </row>
    <row r="208">
      <c r="A208" s="977"/>
      <c r="C208" s="977"/>
    </row>
    <row r="209">
      <c r="A209" s="977"/>
      <c r="C209" s="977"/>
    </row>
    <row r="210">
      <c r="A210" s="977"/>
      <c r="C210" s="977"/>
    </row>
    <row r="211">
      <c r="A211" s="977"/>
      <c r="C211" s="977"/>
    </row>
    <row r="212">
      <c r="A212" s="977"/>
      <c r="C212" s="977"/>
    </row>
    <row r="213">
      <c r="A213" s="977"/>
      <c r="C213" s="977"/>
    </row>
    <row r="214">
      <c r="A214" s="977"/>
      <c r="C214" s="977"/>
    </row>
    <row r="215">
      <c r="A215" s="977"/>
      <c r="C215" s="977"/>
    </row>
    <row r="216">
      <c r="A216" s="977"/>
      <c r="C216" s="977"/>
    </row>
    <row r="217">
      <c r="A217" s="977"/>
      <c r="C217" s="977"/>
    </row>
    <row r="218">
      <c r="A218" s="977"/>
      <c r="C218" s="977"/>
    </row>
    <row r="219">
      <c r="A219" s="977"/>
      <c r="C219" s="977"/>
    </row>
    <row r="220">
      <c r="A220" s="977"/>
      <c r="C220" s="977"/>
    </row>
    <row r="221">
      <c r="A221" s="977"/>
      <c r="C221" s="977"/>
    </row>
    <row r="222">
      <c r="A222" s="977"/>
      <c r="C222" s="977"/>
    </row>
    <row r="223">
      <c r="A223" s="977"/>
      <c r="C223" s="977"/>
    </row>
    <row r="224">
      <c r="A224" s="977"/>
      <c r="C224" s="977"/>
    </row>
    <row r="225">
      <c r="A225" s="977"/>
      <c r="C225" s="977"/>
    </row>
    <row r="226">
      <c r="A226" s="977"/>
      <c r="C226" s="977"/>
    </row>
    <row r="227">
      <c r="A227" s="977"/>
      <c r="C227" s="977"/>
    </row>
    <row r="228">
      <c r="A228" s="977"/>
      <c r="C228" s="977"/>
    </row>
    <row r="229">
      <c r="A229" s="977"/>
      <c r="C229" s="977"/>
    </row>
    <row r="230">
      <c r="A230" s="977"/>
      <c r="C230" s="977"/>
    </row>
    <row r="231">
      <c r="A231" s="977"/>
      <c r="C231" s="977"/>
    </row>
    <row r="232">
      <c r="A232" s="977"/>
      <c r="C232" s="977"/>
    </row>
    <row r="233">
      <c r="A233" s="977"/>
      <c r="C233" s="977"/>
    </row>
    <row r="234">
      <c r="A234" s="977"/>
      <c r="C234" s="977"/>
    </row>
    <row r="235">
      <c r="A235" s="977"/>
      <c r="C235" s="977"/>
    </row>
    <row r="236">
      <c r="A236" s="977"/>
      <c r="C236" s="977"/>
    </row>
    <row r="237">
      <c r="A237" s="977"/>
      <c r="C237" s="977"/>
    </row>
    <row r="238">
      <c r="A238" s="977"/>
      <c r="C238" s="977"/>
    </row>
    <row r="239">
      <c r="A239" s="977"/>
      <c r="C239" s="977"/>
    </row>
    <row r="240">
      <c r="A240" s="977"/>
      <c r="C240" s="977"/>
    </row>
    <row r="241">
      <c r="A241" s="977"/>
      <c r="C241" s="977"/>
    </row>
    <row r="242">
      <c r="A242" s="977"/>
      <c r="C242" s="977"/>
    </row>
    <row r="243">
      <c r="A243" s="977"/>
      <c r="C243" s="977"/>
    </row>
    <row r="244">
      <c r="A244" s="977"/>
      <c r="C244" s="977"/>
    </row>
    <row r="245">
      <c r="A245" s="977"/>
      <c r="C245" s="977"/>
    </row>
    <row r="246">
      <c r="A246" s="977"/>
      <c r="C246" s="977"/>
    </row>
    <row r="247">
      <c r="A247" s="977"/>
      <c r="C247" s="977"/>
    </row>
    <row r="248">
      <c r="A248" s="977"/>
      <c r="C248" s="977"/>
    </row>
    <row r="249">
      <c r="A249" s="977"/>
      <c r="C249" s="977"/>
    </row>
    <row r="250">
      <c r="A250" s="977"/>
      <c r="C250" s="977"/>
    </row>
    <row r="251">
      <c r="A251" s="977"/>
      <c r="C251" s="977"/>
    </row>
    <row r="252">
      <c r="A252" s="977"/>
      <c r="C252" s="977"/>
    </row>
    <row r="253">
      <c r="A253" s="977"/>
      <c r="C253" s="977"/>
    </row>
    <row r="254">
      <c r="A254" s="977"/>
      <c r="C254" s="977"/>
    </row>
    <row r="255">
      <c r="A255" s="977"/>
      <c r="C255" s="977"/>
    </row>
    <row r="256">
      <c r="A256" s="977"/>
      <c r="C256" s="977"/>
    </row>
    <row r="257">
      <c r="A257" s="977"/>
      <c r="C257" s="977"/>
    </row>
    <row r="258">
      <c r="A258" s="977"/>
      <c r="C258" s="977"/>
    </row>
    <row r="259">
      <c r="A259" s="977"/>
      <c r="C259" s="977"/>
    </row>
    <row r="260">
      <c r="A260" s="977"/>
      <c r="C260" s="977"/>
    </row>
    <row r="261">
      <c r="A261" s="977"/>
      <c r="C261" s="977"/>
    </row>
    <row r="262">
      <c r="A262" s="977"/>
      <c r="C262" s="977"/>
    </row>
    <row r="263">
      <c r="A263" s="977"/>
      <c r="C263" s="977"/>
    </row>
    <row r="264">
      <c r="A264" s="977"/>
      <c r="C264" s="977"/>
    </row>
    <row r="265">
      <c r="A265" s="977"/>
      <c r="C265" s="977"/>
    </row>
    <row r="266">
      <c r="A266" s="977"/>
      <c r="C266" s="977"/>
    </row>
    <row r="267">
      <c r="A267" s="977"/>
      <c r="C267" s="977"/>
    </row>
    <row r="268">
      <c r="A268" s="977"/>
      <c r="C268" s="977"/>
    </row>
    <row r="269">
      <c r="A269" s="977"/>
      <c r="C269" s="977"/>
    </row>
    <row r="270">
      <c r="A270" s="977"/>
      <c r="C270" s="977"/>
    </row>
    <row r="271">
      <c r="A271" s="977"/>
      <c r="C271" s="977"/>
    </row>
    <row r="272">
      <c r="A272" s="977"/>
      <c r="C272" s="977"/>
    </row>
    <row r="273">
      <c r="A273" s="977"/>
      <c r="C273" s="977"/>
    </row>
    <row r="274">
      <c r="A274" s="977"/>
      <c r="C274" s="977"/>
    </row>
    <row r="275">
      <c r="A275" s="977"/>
      <c r="C275" s="977"/>
    </row>
    <row r="276">
      <c r="A276" s="977"/>
      <c r="C276" s="977"/>
    </row>
    <row r="277">
      <c r="A277" s="977"/>
      <c r="C277" s="977"/>
    </row>
    <row r="278">
      <c r="A278" s="977"/>
      <c r="C278" s="977"/>
    </row>
    <row r="279">
      <c r="A279" s="977"/>
      <c r="C279" s="977"/>
    </row>
    <row r="280">
      <c r="A280" s="977"/>
      <c r="C280" s="977"/>
    </row>
    <row r="281">
      <c r="A281" s="977"/>
      <c r="C281" s="977"/>
    </row>
    <row r="282">
      <c r="A282" s="977"/>
      <c r="C282" s="977"/>
    </row>
    <row r="283">
      <c r="A283" s="977"/>
      <c r="C283" s="977"/>
    </row>
    <row r="284">
      <c r="A284" s="977"/>
      <c r="C284" s="977"/>
    </row>
    <row r="285">
      <c r="A285" s="977"/>
      <c r="C285" s="977"/>
    </row>
    <row r="286">
      <c r="A286" s="977"/>
      <c r="C286" s="977"/>
    </row>
    <row r="287">
      <c r="A287" s="977"/>
      <c r="C287" s="977"/>
    </row>
    <row r="288">
      <c r="A288" s="977"/>
      <c r="C288" s="977"/>
    </row>
    <row r="289">
      <c r="A289" s="977"/>
      <c r="C289" s="977"/>
    </row>
    <row r="290">
      <c r="A290" s="977"/>
      <c r="C290" s="977"/>
    </row>
    <row r="291">
      <c r="A291" s="977"/>
      <c r="C291" s="977"/>
    </row>
    <row r="292">
      <c r="A292" s="977"/>
      <c r="C292" s="977"/>
    </row>
    <row r="293">
      <c r="A293" s="977"/>
      <c r="C293" s="977"/>
    </row>
    <row r="294">
      <c r="A294" s="977"/>
      <c r="C294" s="977"/>
    </row>
    <row r="295">
      <c r="A295" s="977"/>
      <c r="C295" s="977"/>
    </row>
    <row r="296">
      <c r="A296" s="977"/>
      <c r="C296" s="977"/>
    </row>
    <row r="297">
      <c r="A297" s="977"/>
      <c r="C297" s="977"/>
    </row>
    <row r="298">
      <c r="A298" s="977"/>
      <c r="C298" s="977"/>
    </row>
    <row r="299">
      <c r="A299" s="977"/>
      <c r="C299" s="977"/>
    </row>
    <row r="300">
      <c r="A300" s="977"/>
      <c r="C300" s="977"/>
    </row>
    <row r="301">
      <c r="A301" s="977"/>
      <c r="C301" s="977"/>
    </row>
    <row r="302">
      <c r="A302" s="977"/>
      <c r="C302" s="977"/>
    </row>
    <row r="303">
      <c r="A303" s="977"/>
      <c r="C303" s="977"/>
    </row>
    <row r="304">
      <c r="A304" s="977"/>
      <c r="C304" s="977"/>
    </row>
    <row r="305">
      <c r="A305" s="977"/>
      <c r="C305" s="977"/>
    </row>
    <row r="306">
      <c r="A306" s="977"/>
      <c r="C306" s="977"/>
    </row>
    <row r="307">
      <c r="A307" s="977"/>
      <c r="C307" s="977"/>
    </row>
    <row r="308">
      <c r="A308" s="977"/>
      <c r="C308" s="977"/>
    </row>
    <row r="309">
      <c r="A309" s="977"/>
      <c r="C309" s="977"/>
    </row>
    <row r="310">
      <c r="A310" s="977"/>
      <c r="C310" s="977"/>
    </row>
    <row r="311">
      <c r="A311" s="977"/>
      <c r="C311" s="977"/>
    </row>
    <row r="312">
      <c r="A312" s="977"/>
      <c r="C312" s="977"/>
    </row>
    <row r="313">
      <c r="A313" s="977"/>
      <c r="C313" s="977"/>
    </row>
    <row r="314">
      <c r="A314" s="977"/>
      <c r="C314" s="977"/>
    </row>
    <row r="315">
      <c r="A315" s="977"/>
      <c r="C315" s="977"/>
    </row>
    <row r="316">
      <c r="A316" s="977"/>
      <c r="C316" s="977"/>
    </row>
    <row r="317">
      <c r="A317" s="977"/>
      <c r="C317" s="977"/>
    </row>
    <row r="318">
      <c r="A318" s="977"/>
      <c r="C318" s="977"/>
    </row>
    <row r="319">
      <c r="A319" s="977"/>
      <c r="C319" s="977"/>
    </row>
    <row r="320">
      <c r="A320" s="977"/>
      <c r="C320" s="977"/>
    </row>
    <row r="321">
      <c r="A321" s="977"/>
      <c r="C321" s="977"/>
    </row>
    <row r="322">
      <c r="A322" s="977"/>
      <c r="C322" s="977"/>
    </row>
    <row r="323">
      <c r="A323" s="977"/>
      <c r="C323" s="977"/>
    </row>
    <row r="324">
      <c r="A324" s="977"/>
      <c r="C324" s="977"/>
    </row>
    <row r="325">
      <c r="A325" s="977"/>
      <c r="C325" s="977"/>
    </row>
    <row r="326">
      <c r="A326" s="977"/>
      <c r="C326" s="977"/>
    </row>
    <row r="327">
      <c r="A327" s="977"/>
      <c r="C327" s="977"/>
    </row>
    <row r="328">
      <c r="A328" s="977"/>
      <c r="C328" s="977"/>
    </row>
    <row r="329">
      <c r="A329" s="977"/>
      <c r="C329" s="977"/>
    </row>
    <row r="330">
      <c r="A330" s="977"/>
      <c r="C330" s="977"/>
    </row>
    <row r="331">
      <c r="A331" s="977"/>
      <c r="C331" s="977"/>
    </row>
    <row r="332">
      <c r="A332" s="977"/>
      <c r="C332" s="977"/>
    </row>
    <row r="333">
      <c r="A333" s="977"/>
      <c r="C333" s="977"/>
    </row>
    <row r="334">
      <c r="A334" s="977"/>
      <c r="C334" s="977"/>
    </row>
    <row r="335">
      <c r="A335" s="977"/>
      <c r="C335" s="977"/>
    </row>
    <row r="336">
      <c r="A336" s="977"/>
      <c r="C336" s="977"/>
    </row>
    <row r="337">
      <c r="A337" s="977"/>
      <c r="C337" s="977"/>
    </row>
    <row r="338">
      <c r="A338" s="977"/>
      <c r="C338" s="977"/>
    </row>
    <row r="339">
      <c r="A339" s="977"/>
      <c r="C339" s="977"/>
    </row>
    <row r="340">
      <c r="A340" s="977"/>
      <c r="C340" s="977"/>
    </row>
    <row r="341">
      <c r="A341" s="977"/>
      <c r="C341" s="977"/>
    </row>
    <row r="342">
      <c r="A342" s="977"/>
      <c r="C342" s="977"/>
    </row>
    <row r="343">
      <c r="A343" s="977"/>
      <c r="C343" s="977"/>
    </row>
    <row r="344">
      <c r="A344" s="977"/>
      <c r="C344" s="977"/>
    </row>
    <row r="345">
      <c r="A345" s="977"/>
      <c r="C345" s="977"/>
    </row>
    <row r="346">
      <c r="A346" s="977"/>
      <c r="C346" s="977"/>
    </row>
    <row r="347">
      <c r="A347" s="977"/>
      <c r="C347" s="977"/>
    </row>
    <row r="348">
      <c r="A348" s="977"/>
      <c r="C348" s="977"/>
    </row>
    <row r="349">
      <c r="A349" s="977"/>
      <c r="C349" s="977"/>
    </row>
    <row r="350">
      <c r="A350" s="977"/>
      <c r="C350" s="977"/>
    </row>
    <row r="351">
      <c r="A351" s="977"/>
      <c r="C351" s="977"/>
    </row>
    <row r="352">
      <c r="A352" s="977"/>
      <c r="C352" s="977"/>
    </row>
    <row r="353">
      <c r="A353" s="977"/>
      <c r="C353" s="977"/>
    </row>
    <row r="354">
      <c r="A354" s="977"/>
      <c r="C354" s="977"/>
    </row>
    <row r="355">
      <c r="A355" s="977"/>
      <c r="C355" s="977"/>
    </row>
    <row r="356">
      <c r="A356" s="977"/>
      <c r="C356" s="977"/>
    </row>
    <row r="357">
      <c r="A357" s="977"/>
      <c r="C357" s="977"/>
    </row>
    <row r="358">
      <c r="A358" s="977"/>
      <c r="C358" s="977"/>
    </row>
    <row r="359">
      <c r="A359" s="977"/>
      <c r="C359" s="977"/>
    </row>
    <row r="360">
      <c r="A360" s="977"/>
      <c r="C360" s="977"/>
    </row>
    <row r="361">
      <c r="A361" s="977"/>
      <c r="C361" s="977"/>
    </row>
    <row r="362">
      <c r="A362" s="977"/>
      <c r="C362" s="977"/>
    </row>
    <row r="363">
      <c r="A363" s="977"/>
      <c r="C363" s="977"/>
    </row>
    <row r="364">
      <c r="A364" s="977"/>
      <c r="C364" s="977"/>
    </row>
    <row r="365">
      <c r="A365" s="977"/>
      <c r="C365" s="977"/>
    </row>
    <row r="366">
      <c r="A366" s="977"/>
      <c r="C366" s="977"/>
    </row>
    <row r="367">
      <c r="A367" s="977"/>
      <c r="C367" s="977"/>
    </row>
    <row r="368">
      <c r="A368" s="977"/>
      <c r="C368" s="977"/>
    </row>
    <row r="369">
      <c r="A369" s="977"/>
      <c r="C369" s="977"/>
    </row>
    <row r="370">
      <c r="A370" s="977"/>
      <c r="C370" s="977"/>
    </row>
    <row r="371">
      <c r="A371" s="977"/>
      <c r="C371" s="977"/>
    </row>
    <row r="372">
      <c r="A372" s="977"/>
      <c r="C372" s="977"/>
    </row>
    <row r="373">
      <c r="A373" s="977"/>
      <c r="C373" s="977"/>
    </row>
    <row r="374">
      <c r="A374" s="977"/>
      <c r="C374" s="977"/>
    </row>
    <row r="375">
      <c r="A375" s="977"/>
      <c r="C375" s="977"/>
    </row>
    <row r="376">
      <c r="A376" s="977"/>
      <c r="C376" s="977"/>
    </row>
    <row r="377">
      <c r="A377" s="977"/>
      <c r="C377" s="977"/>
    </row>
    <row r="378">
      <c r="A378" s="977"/>
      <c r="C378" s="977"/>
    </row>
    <row r="379">
      <c r="A379" s="977"/>
      <c r="C379" s="977"/>
    </row>
    <row r="380">
      <c r="A380" s="977"/>
      <c r="C380" s="977"/>
    </row>
    <row r="381">
      <c r="A381" s="977"/>
      <c r="C381" s="977"/>
    </row>
    <row r="382">
      <c r="A382" s="977"/>
      <c r="C382" s="977"/>
    </row>
    <row r="383">
      <c r="A383" s="977"/>
      <c r="C383" s="977"/>
    </row>
    <row r="384">
      <c r="A384" s="977"/>
      <c r="C384" s="977"/>
    </row>
    <row r="385">
      <c r="A385" s="977"/>
      <c r="C385" s="977"/>
    </row>
    <row r="386">
      <c r="A386" s="977"/>
      <c r="C386" s="977"/>
    </row>
    <row r="387">
      <c r="A387" s="977"/>
      <c r="C387" s="977"/>
    </row>
    <row r="388">
      <c r="A388" s="977"/>
      <c r="C388" s="977"/>
    </row>
    <row r="389">
      <c r="A389" s="977"/>
      <c r="C389" s="977"/>
    </row>
    <row r="390">
      <c r="A390" s="977"/>
      <c r="C390" s="977"/>
    </row>
    <row r="391">
      <c r="A391" s="977"/>
      <c r="C391" s="977"/>
    </row>
    <row r="392">
      <c r="A392" s="977"/>
      <c r="C392" s="977"/>
    </row>
    <row r="393">
      <c r="A393" s="977"/>
      <c r="C393" s="977"/>
    </row>
    <row r="394">
      <c r="A394" s="977"/>
      <c r="C394" s="977"/>
    </row>
    <row r="395">
      <c r="A395" s="977"/>
      <c r="C395" s="977"/>
    </row>
    <row r="396">
      <c r="A396" s="977"/>
      <c r="C396" s="977"/>
    </row>
    <row r="397">
      <c r="A397" s="977"/>
      <c r="C397" s="977"/>
    </row>
    <row r="398">
      <c r="A398" s="977"/>
      <c r="C398" s="977"/>
    </row>
    <row r="399">
      <c r="A399" s="977"/>
      <c r="C399" s="977"/>
    </row>
    <row r="400">
      <c r="A400" s="977"/>
      <c r="C400" s="977"/>
    </row>
    <row r="401">
      <c r="A401" s="977"/>
      <c r="C401" s="977"/>
    </row>
    <row r="402">
      <c r="A402" s="977"/>
      <c r="C402" s="977"/>
    </row>
    <row r="403">
      <c r="A403" s="977"/>
      <c r="C403" s="977"/>
    </row>
    <row r="404">
      <c r="A404" s="977"/>
      <c r="C404" s="977"/>
    </row>
    <row r="405">
      <c r="A405" s="977"/>
      <c r="C405" s="977"/>
    </row>
    <row r="406">
      <c r="A406" s="977"/>
      <c r="C406" s="977"/>
    </row>
    <row r="407">
      <c r="A407" s="977"/>
      <c r="C407" s="977"/>
    </row>
    <row r="408">
      <c r="A408" s="977"/>
      <c r="C408" s="977"/>
    </row>
    <row r="409">
      <c r="A409" s="977"/>
      <c r="C409" s="977"/>
    </row>
    <row r="410">
      <c r="A410" s="977"/>
      <c r="C410" s="977"/>
    </row>
    <row r="411">
      <c r="A411" s="977"/>
      <c r="C411" s="977"/>
    </row>
    <row r="412">
      <c r="A412" s="977"/>
      <c r="C412" s="977"/>
    </row>
    <row r="413">
      <c r="A413" s="977"/>
      <c r="C413" s="977"/>
    </row>
    <row r="414">
      <c r="A414" s="977"/>
      <c r="C414" s="977"/>
    </row>
    <row r="415">
      <c r="A415" s="977"/>
      <c r="C415" s="977"/>
    </row>
    <row r="416">
      <c r="A416" s="977"/>
      <c r="C416" s="977"/>
    </row>
    <row r="417">
      <c r="A417" s="977"/>
      <c r="C417" s="977"/>
    </row>
    <row r="418">
      <c r="A418" s="977"/>
      <c r="C418" s="977"/>
    </row>
    <row r="419">
      <c r="A419" s="977"/>
      <c r="C419" s="977"/>
    </row>
    <row r="420">
      <c r="A420" s="977"/>
      <c r="C420" s="977"/>
    </row>
    <row r="421">
      <c r="A421" s="977"/>
      <c r="C421" s="977"/>
    </row>
    <row r="422">
      <c r="A422" s="977"/>
      <c r="C422" s="977"/>
    </row>
    <row r="423">
      <c r="A423" s="977"/>
      <c r="C423" s="977"/>
    </row>
    <row r="424">
      <c r="A424" s="977"/>
      <c r="C424" s="977"/>
    </row>
    <row r="425">
      <c r="A425" s="977"/>
      <c r="C425" s="977"/>
    </row>
    <row r="426">
      <c r="A426" s="977"/>
      <c r="C426" s="977"/>
    </row>
    <row r="427">
      <c r="A427" s="977"/>
      <c r="C427" s="977"/>
    </row>
    <row r="428">
      <c r="A428" s="977"/>
      <c r="C428" s="977"/>
    </row>
    <row r="429">
      <c r="A429" s="977"/>
      <c r="C429" s="977"/>
    </row>
    <row r="430">
      <c r="A430" s="977"/>
      <c r="C430" s="977"/>
    </row>
    <row r="431">
      <c r="A431" s="977"/>
      <c r="C431" s="977"/>
    </row>
    <row r="432">
      <c r="A432" s="977"/>
      <c r="C432" s="977"/>
    </row>
    <row r="433">
      <c r="A433" s="977"/>
      <c r="C433" s="977"/>
    </row>
    <row r="434">
      <c r="A434" s="977"/>
      <c r="C434" s="977"/>
    </row>
    <row r="435">
      <c r="A435" s="977"/>
      <c r="C435" s="977"/>
    </row>
    <row r="436">
      <c r="A436" s="977"/>
      <c r="C436" s="977"/>
    </row>
    <row r="437">
      <c r="A437" s="977"/>
      <c r="C437" s="977"/>
    </row>
    <row r="438">
      <c r="A438" s="977"/>
      <c r="C438" s="977"/>
    </row>
    <row r="439">
      <c r="A439" s="977"/>
      <c r="C439" s="977"/>
    </row>
    <row r="440">
      <c r="A440" s="977"/>
      <c r="C440" s="977"/>
    </row>
    <row r="441">
      <c r="A441" s="977"/>
      <c r="C441" s="977"/>
    </row>
    <row r="442">
      <c r="A442" s="977"/>
      <c r="C442" s="977"/>
    </row>
    <row r="443">
      <c r="A443" s="977"/>
      <c r="C443" s="977"/>
    </row>
    <row r="444">
      <c r="A444" s="977"/>
      <c r="C444" s="977"/>
    </row>
    <row r="445">
      <c r="A445" s="977"/>
      <c r="C445" s="977"/>
    </row>
    <row r="446">
      <c r="A446" s="977"/>
      <c r="C446" s="977"/>
    </row>
    <row r="447">
      <c r="A447" s="977"/>
      <c r="C447" s="977"/>
    </row>
    <row r="448">
      <c r="A448" s="977"/>
      <c r="C448" s="977"/>
    </row>
    <row r="449">
      <c r="A449" s="977"/>
      <c r="C449" s="977"/>
    </row>
    <row r="450">
      <c r="A450" s="977"/>
      <c r="C450" s="977"/>
    </row>
    <row r="451">
      <c r="A451" s="977"/>
      <c r="C451" s="977"/>
    </row>
    <row r="452">
      <c r="A452" s="977"/>
      <c r="C452" s="977"/>
    </row>
    <row r="453">
      <c r="A453" s="977"/>
      <c r="C453" s="977"/>
    </row>
    <row r="454">
      <c r="A454" s="977"/>
      <c r="C454" s="977"/>
    </row>
    <row r="455">
      <c r="A455" s="977"/>
      <c r="C455" s="977"/>
    </row>
    <row r="456">
      <c r="A456" s="977"/>
      <c r="C456" s="977"/>
    </row>
    <row r="457">
      <c r="A457" s="977"/>
      <c r="C457" s="977"/>
    </row>
    <row r="458">
      <c r="A458" s="977"/>
      <c r="C458" s="977"/>
    </row>
    <row r="459">
      <c r="A459" s="977"/>
      <c r="C459" s="977"/>
    </row>
    <row r="460">
      <c r="A460" s="977"/>
      <c r="C460" s="977"/>
    </row>
    <row r="461">
      <c r="A461" s="977"/>
      <c r="C461" s="977"/>
    </row>
    <row r="462">
      <c r="A462" s="977"/>
      <c r="C462" s="977"/>
    </row>
    <row r="463">
      <c r="A463" s="977"/>
      <c r="C463" s="977"/>
    </row>
    <row r="464">
      <c r="A464" s="977"/>
      <c r="C464" s="977"/>
    </row>
    <row r="465">
      <c r="A465" s="977"/>
      <c r="C465" s="977"/>
    </row>
    <row r="466">
      <c r="A466" s="977"/>
      <c r="C466" s="977"/>
    </row>
    <row r="467">
      <c r="A467" s="977"/>
      <c r="C467" s="977"/>
    </row>
    <row r="468">
      <c r="A468" s="977"/>
      <c r="C468" s="977"/>
    </row>
    <row r="469">
      <c r="A469" s="977"/>
      <c r="C469" s="977"/>
    </row>
    <row r="470">
      <c r="A470" s="977"/>
      <c r="C470" s="977"/>
    </row>
    <row r="471">
      <c r="A471" s="977"/>
      <c r="C471" s="977"/>
    </row>
    <row r="472">
      <c r="A472" s="977"/>
      <c r="C472" s="977"/>
    </row>
    <row r="473">
      <c r="A473" s="977"/>
      <c r="C473" s="977"/>
    </row>
    <row r="474">
      <c r="A474" s="977"/>
      <c r="C474" s="977"/>
    </row>
    <row r="475">
      <c r="A475" s="977"/>
      <c r="C475" s="977"/>
    </row>
    <row r="476">
      <c r="A476" s="977"/>
      <c r="C476" s="977"/>
    </row>
    <row r="477">
      <c r="A477" s="977"/>
      <c r="C477" s="977"/>
    </row>
    <row r="478">
      <c r="A478" s="977"/>
      <c r="C478" s="977"/>
    </row>
    <row r="479">
      <c r="A479" s="977"/>
      <c r="C479" s="977"/>
    </row>
    <row r="480">
      <c r="A480" s="977"/>
      <c r="C480" s="977"/>
    </row>
    <row r="481">
      <c r="A481" s="977"/>
      <c r="C481" s="977"/>
    </row>
    <row r="482">
      <c r="A482" s="977"/>
      <c r="C482" s="977"/>
    </row>
    <row r="483">
      <c r="A483" s="977"/>
      <c r="C483" s="977"/>
    </row>
    <row r="484">
      <c r="A484" s="977"/>
      <c r="C484" s="977"/>
    </row>
    <row r="485">
      <c r="A485" s="977"/>
      <c r="C485" s="977"/>
    </row>
    <row r="486">
      <c r="A486" s="977"/>
      <c r="C486" s="977"/>
    </row>
    <row r="487">
      <c r="A487" s="977"/>
      <c r="C487" s="977"/>
    </row>
    <row r="488">
      <c r="A488" s="977"/>
      <c r="C488" s="977"/>
    </row>
    <row r="489">
      <c r="A489" s="977"/>
      <c r="C489" s="977"/>
    </row>
    <row r="490">
      <c r="A490" s="977"/>
      <c r="C490" s="977"/>
    </row>
    <row r="491">
      <c r="A491" s="977"/>
      <c r="C491" s="977"/>
    </row>
    <row r="492">
      <c r="A492" s="977"/>
      <c r="C492" s="977"/>
    </row>
    <row r="493">
      <c r="A493" s="977"/>
      <c r="C493" s="977"/>
    </row>
    <row r="494">
      <c r="A494" s="977"/>
      <c r="C494" s="977"/>
    </row>
    <row r="495">
      <c r="A495" s="977"/>
      <c r="C495" s="977"/>
    </row>
    <row r="496">
      <c r="A496" s="977"/>
      <c r="C496" s="977"/>
    </row>
    <row r="497">
      <c r="A497" s="977"/>
      <c r="C497" s="977"/>
    </row>
    <row r="498">
      <c r="A498" s="977"/>
      <c r="C498" s="977"/>
    </row>
    <row r="499">
      <c r="A499" s="977"/>
      <c r="C499" s="977"/>
    </row>
    <row r="500">
      <c r="A500" s="977"/>
      <c r="C500" s="977"/>
    </row>
    <row r="501">
      <c r="A501" s="977"/>
      <c r="C501" s="977"/>
    </row>
    <row r="502">
      <c r="A502" s="977"/>
      <c r="C502" s="977"/>
    </row>
    <row r="503">
      <c r="A503" s="977"/>
      <c r="C503" s="977"/>
    </row>
    <row r="504">
      <c r="A504" s="977"/>
      <c r="C504" s="977"/>
    </row>
    <row r="505">
      <c r="A505" s="977"/>
      <c r="C505" s="977"/>
    </row>
    <row r="506">
      <c r="A506" s="977"/>
      <c r="C506" s="977"/>
    </row>
    <row r="507">
      <c r="A507" s="977"/>
      <c r="C507" s="977"/>
    </row>
    <row r="508">
      <c r="A508" s="977"/>
      <c r="C508" s="977"/>
    </row>
    <row r="509">
      <c r="A509" s="977"/>
      <c r="C509" s="977"/>
    </row>
    <row r="510">
      <c r="A510" s="977"/>
      <c r="C510" s="977"/>
    </row>
    <row r="511">
      <c r="A511" s="977"/>
      <c r="C511" s="977"/>
    </row>
    <row r="512">
      <c r="A512" s="977"/>
      <c r="C512" s="977"/>
    </row>
    <row r="513">
      <c r="A513" s="977"/>
      <c r="C513" s="977"/>
    </row>
    <row r="514">
      <c r="A514" s="977"/>
      <c r="C514" s="977"/>
    </row>
    <row r="515">
      <c r="A515" s="977"/>
      <c r="C515" s="977"/>
    </row>
    <row r="516">
      <c r="A516" s="977"/>
      <c r="C516" s="977"/>
    </row>
    <row r="517">
      <c r="A517" s="977"/>
      <c r="C517" s="977"/>
    </row>
    <row r="518">
      <c r="A518" s="977"/>
      <c r="C518" s="977"/>
    </row>
    <row r="519">
      <c r="A519" s="977"/>
      <c r="C519" s="977"/>
    </row>
    <row r="520">
      <c r="A520" s="977"/>
      <c r="C520" s="977"/>
    </row>
    <row r="521">
      <c r="A521" s="977"/>
      <c r="C521" s="977"/>
    </row>
    <row r="522">
      <c r="A522" s="977"/>
      <c r="C522" s="977"/>
    </row>
    <row r="523">
      <c r="A523" s="977"/>
      <c r="C523" s="977"/>
    </row>
    <row r="524">
      <c r="A524" s="977"/>
      <c r="C524" s="977"/>
    </row>
    <row r="525">
      <c r="A525" s="977"/>
      <c r="C525" s="977"/>
    </row>
    <row r="526">
      <c r="A526" s="977"/>
      <c r="C526" s="977"/>
    </row>
    <row r="527">
      <c r="A527" s="977"/>
      <c r="C527" s="977"/>
    </row>
    <row r="528">
      <c r="A528" s="977"/>
      <c r="C528" s="977"/>
    </row>
    <row r="529">
      <c r="A529" s="977"/>
      <c r="C529" s="977"/>
    </row>
    <row r="530">
      <c r="A530" s="977"/>
      <c r="C530" s="977"/>
    </row>
    <row r="531">
      <c r="A531" s="977"/>
      <c r="C531" s="977"/>
    </row>
    <row r="532">
      <c r="A532" s="977"/>
      <c r="C532" s="977"/>
    </row>
    <row r="533">
      <c r="A533" s="977"/>
      <c r="C533" s="977"/>
    </row>
    <row r="534">
      <c r="A534" s="977"/>
      <c r="C534" s="977"/>
    </row>
    <row r="535">
      <c r="A535" s="977"/>
      <c r="C535" s="977"/>
    </row>
    <row r="536">
      <c r="A536" s="977"/>
      <c r="C536" s="977"/>
    </row>
    <row r="537">
      <c r="A537" s="977"/>
      <c r="C537" s="977"/>
    </row>
    <row r="538">
      <c r="A538" s="977"/>
      <c r="C538" s="977"/>
    </row>
    <row r="539">
      <c r="A539" s="977"/>
      <c r="C539" s="977"/>
    </row>
    <row r="540">
      <c r="A540" s="977"/>
      <c r="C540" s="977"/>
    </row>
    <row r="541">
      <c r="A541" s="977"/>
      <c r="C541" s="977"/>
    </row>
    <row r="542">
      <c r="A542" s="977"/>
      <c r="C542" s="977"/>
    </row>
    <row r="543">
      <c r="A543" s="977"/>
      <c r="C543" s="977"/>
    </row>
    <row r="544">
      <c r="A544" s="977"/>
      <c r="C544" s="977"/>
    </row>
    <row r="545">
      <c r="A545" s="977"/>
      <c r="C545" s="977"/>
    </row>
    <row r="546">
      <c r="A546" s="977"/>
      <c r="C546" s="977"/>
    </row>
    <row r="547">
      <c r="A547" s="977"/>
      <c r="C547" s="977"/>
    </row>
    <row r="548">
      <c r="A548" s="977"/>
      <c r="C548" s="977"/>
    </row>
    <row r="549">
      <c r="A549" s="977"/>
      <c r="C549" s="977"/>
    </row>
    <row r="550">
      <c r="A550" s="977"/>
      <c r="C550" s="977"/>
    </row>
    <row r="551">
      <c r="A551" s="977"/>
      <c r="C551" s="977"/>
    </row>
    <row r="552">
      <c r="A552" s="977"/>
      <c r="C552" s="977"/>
    </row>
    <row r="553">
      <c r="A553" s="977"/>
      <c r="C553" s="977"/>
    </row>
    <row r="554">
      <c r="A554" s="977"/>
      <c r="C554" s="977"/>
    </row>
    <row r="555">
      <c r="A555" s="977"/>
      <c r="C555" s="977"/>
    </row>
    <row r="556">
      <c r="A556" s="977"/>
      <c r="C556" s="977"/>
    </row>
    <row r="557">
      <c r="A557" s="977"/>
      <c r="C557" s="977"/>
    </row>
    <row r="558">
      <c r="A558" s="977"/>
      <c r="C558" s="977"/>
    </row>
    <row r="559">
      <c r="A559" s="977"/>
      <c r="C559" s="977"/>
    </row>
    <row r="560">
      <c r="A560" s="977"/>
      <c r="C560" s="977"/>
    </row>
    <row r="561">
      <c r="A561" s="977"/>
      <c r="C561" s="977"/>
    </row>
    <row r="562">
      <c r="A562" s="977"/>
      <c r="C562" s="977"/>
    </row>
    <row r="563">
      <c r="A563" s="977"/>
      <c r="C563" s="977"/>
    </row>
    <row r="564">
      <c r="A564" s="977"/>
      <c r="C564" s="977"/>
    </row>
    <row r="565">
      <c r="A565" s="977"/>
      <c r="C565" s="977"/>
    </row>
    <row r="566">
      <c r="A566" s="977"/>
      <c r="C566" s="977"/>
    </row>
    <row r="567">
      <c r="A567" s="977"/>
      <c r="C567" s="977"/>
    </row>
    <row r="568">
      <c r="A568" s="977"/>
      <c r="C568" s="977"/>
    </row>
    <row r="569">
      <c r="A569" s="977"/>
      <c r="C569" s="977"/>
    </row>
    <row r="570">
      <c r="A570" s="977"/>
      <c r="C570" s="977"/>
    </row>
    <row r="571">
      <c r="A571" s="977"/>
      <c r="C571" s="977"/>
    </row>
    <row r="572">
      <c r="A572" s="977"/>
      <c r="C572" s="977"/>
    </row>
    <row r="573">
      <c r="A573" s="977"/>
      <c r="C573" s="977"/>
    </row>
    <row r="574">
      <c r="A574" s="977"/>
      <c r="C574" s="977"/>
    </row>
    <row r="575">
      <c r="A575" s="977"/>
      <c r="C575" s="977"/>
    </row>
    <row r="576">
      <c r="A576" s="977"/>
      <c r="C576" s="977"/>
    </row>
    <row r="577">
      <c r="A577" s="977"/>
      <c r="C577" s="977"/>
    </row>
    <row r="578">
      <c r="A578" s="977"/>
      <c r="C578" s="977"/>
    </row>
    <row r="579">
      <c r="A579" s="977"/>
      <c r="C579" s="977"/>
    </row>
    <row r="580">
      <c r="A580" s="977"/>
      <c r="C580" s="977"/>
    </row>
    <row r="581">
      <c r="A581" s="977"/>
      <c r="C581" s="977"/>
    </row>
    <row r="582">
      <c r="A582" s="977"/>
      <c r="C582" s="977"/>
    </row>
    <row r="583">
      <c r="A583" s="977"/>
      <c r="C583" s="977"/>
    </row>
    <row r="584">
      <c r="A584" s="977"/>
      <c r="C584" s="977"/>
    </row>
    <row r="585">
      <c r="A585" s="977"/>
      <c r="C585" s="977"/>
    </row>
    <row r="586">
      <c r="A586" s="977"/>
      <c r="C586" s="977"/>
    </row>
    <row r="587">
      <c r="A587" s="977"/>
      <c r="C587" s="977"/>
    </row>
    <row r="588">
      <c r="A588" s="977"/>
      <c r="C588" s="977"/>
    </row>
    <row r="589">
      <c r="A589" s="977"/>
      <c r="C589" s="977"/>
    </row>
    <row r="590">
      <c r="A590" s="977"/>
      <c r="C590" s="977"/>
    </row>
    <row r="591">
      <c r="A591" s="977"/>
      <c r="C591" s="977"/>
    </row>
    <row r="592">
      <c r="A592" s="977"/>
      <c r="C592" s="977"/>
    </row>
    <row r="593">
      <c r="A593" s="977"/>
      <c r="C593" s="977"/>
    </row>
    <row r="594">
      <c r="A594" s="977"/>
      <c r="C594" s="977"/>
    </row>
    <row r="595">
      <c r="A595" s="977"/>
      <c r="C595" s="977"/>
    </row>
    <row r="596">
      <c r="A596" s="977"/>
      <c r="C596" s="977"/>
    </row>
    <row r="597">
      <c r="A597" s="977"/>
      <c r="C597" s="977"/>
    </row>
    <row r="598">
      <c r="A598" s="977"/>
      <c r="C598" s="977"/>
    </row>
    <row r="599">
      <c r="A599" s="977"/>
      <c r="C599" s="977"/>
    </row>
    <row r="600">
      <c r="A600" s="977"/>
      <c r="C600" s="977"/>
    </row>
    <row r="601">
      <c r="A601" s="977"/>
      <c r="C601" s="977"/>
    </row>
    <row r="602">
      <c r="A602" s="977"/>
      <c r="C602" s="977"/>
    </row>
    <row r="603">
      <c r="A603" s="977"/>
      <c r="C603" s="977"/>
    </row>
    <row r="604">
      <c r="A604" s="977"/>
      <c r="C604" s="977"/>
    </row>
    <row r="605">
      <c r="A605" s="977"/>
      <c r="C605" s="977"/>
    </row>
    <row r="606">
      <c r="A606" s="977"/>
      <c r="C606" s="977"/>
    </row>
    <row r="607">
      <c r="A607" s="977"/>
      <c r="C607" s="977"/>
    </row>
    <row r="608">
      <c r="A608" s="977"/>
      <c r="C608" s="977"/>
    </row>
    <row r="609">
      <c r="A609" s="977"/>
      <c r="C609" s="977"/>
    </row>
    <row r="610">
      <c r="A610" s="977"/>
      <c r="C610" s="977"/>
    </row>
    <row r="611">
      <c r="A611" s="977"/>
      <c r="C611" s="977"/>
    </row>
    <row r="612">
      <c r="A612" s="977"/>
      <c r="C612" s="977"/>
    </row>
    <row r="613">
      <c r="A613" s="977"/>
      <c r="C613" s="977"/>
    </row>
    <row r="614">
      <c r="A614" s="977"/>
      <c r="C614" s="977"/>
    </row>
    <row r="615">
      <c r="A615" s="977"/>
      <c r="C615" s="977"/>
    </row>
    <row r="616">
      <c r="A616" s="977"/>
      <c r="C616" s="977"/>
    </row>
    <row r="617">
      <c r="A617" s="977"/>
      <c r="C617" s="977"/>
    </row>
    <row r="618">
      <c r="A618" s="977"/>
      <c r="C618" s="977"/>
    </row>
    <row r="619">
      <c r="A619" s="977"/>
      <c r="C619" s="977"/>
    </row>
    <row r="620">
      <c r="A620" s="977"/>
      <c r="C620" s="977"/>
    </row>
    <row r="621">
      <c r="A621" s="977"/>
      <c r="C621" s="977"/>
    </row>
    <row r="622">
      <c r="A622" s="977"/>
      <c r="C622" s="977"/>
    </row>
    <row r="623">
      <c r="A623" s="977"/>
      <c r="C623" s="977"/>
    </row>
    <row r="624">
      <c r="A624" s="977"/>
      <c r="C624" s="977"/>
    </row>
    <row r="625">
      <c r="A625" s="977"/>
      <c r="C625" s="977"/>
    </row>
    <row r="626">
      <c r="A626" s="977"/>
      <c r="C626" s="977"/>
    </row>
    <row r="627">
      <c r="A627" s="977"/>
      <c r="C627" s="977"/>
    </row>
    <row r="628">
      <c r="A628" s="977"/>
      <c r="C628" s="977"/>
    </row>
    <row r="629">
      <c r="A629" s="977"/>
      <c r="C629" s="977"/>
    </row>
    <row r="630">
      <c r="A630" s="977"/>
      <c r="C630" s="977"/>
    </row>
    <row r="631">
      <c r="A631" s="977"/>
      <c r="C631" s="977"/>
    </row>
    <row r="632">
      <c r="A632" s="977"/>
      <c r="C632" s="977"/>
    </row>
    <row r="633">
      <c r="A633" s="977"/>
      <c r="C633" s="977"/>
    </row>
    <row r="634">
      <c r="A634" s="977"/>
      <c r="C634" s="977"/>
    </row>
    <row r="635">
      <c r="A635" s="977"/>
      <c r="C635" s="977"/>
    </row>
    <row r="636">
      <c r="A636" s="977"/>
      <c r="C636" s="977"/>
    </row>
    <row r="637">
      <c r="A637" s="977"/>
      <c r="C637" s="977"/>
    </row>
    <row r="638">
      <c r="A638" s="977"/>
      <c r="C638" s="977"/>
    </row>
    <row r="639">
      <c r="A639" s="977"/>
      <c r="C639" s="977"/>
    </row>
    <row r="640">
      <c r="A640" s="977"/>
      <c r="C640" s="977"/>
    </row>
    <row r="641">
      <c r="A641" s="977"/>
      <c r="C641" s="977"/>
    </row>
    <row r="642">
      <c r="A642" s="977"/>
      <c r="C642" s="977"/>
    </row>
    <row r="643">
      <c r="A643" s="977"/>
      <c r="C643" s="977"/>
    </row>
    <row r="644">
      <c r="A644" s="977"/>
      <c r="C644" s="977"/>
    </row>
    <row r="645">
      <c r="A645" s="977"/>
      <c r="C645" s="977"/>
    </row>
    <row r="646">
      <c r="A646" s="977"/>
      <c r="C646" s="977"/>
    </row>
    <row r="647">
      <c r="A647" s="977"/>
      <c r="C647" s="977"/>
    </row>
    <row r="648">
      <c r="A648" s="977"/>
      <c r="C648" s="977"/>
    </row>
    <row r="649">
      <c r="A649" s="977"/>
      <c r="C649" s="977"/>
    </row>
    <row r="650">
      <c r="A650" s="977"/>
      <c r="C650" s="977"/>
    </row>
    <row r="651">
      <c r="A651" s="977"/>
      <c r="C651" s="977"/>
    </row>
    <row r="652">
      <c r="A652" s="977"/>
      <c r="C652" s="977"/>
    </row>
    <row r="653">
      <c r="A653" s="977"/>
      <c r="C653" s="977"/>
    </row>
    <row r="654">
      <c r="A654" s="977"/>
      <c r="C654" s="977"/>
    </row>
    <row r="655">
      <c r="A655" s="977"/>
      <c r="C655" s="977"/>
    </row>
    <row r="656">
      <c r="A656" s="977"/>
      <c r="C656" s="977"/>
    </row>
    <row r="657">
      <c r="A657" s="977"/>
      <c r="C657" s="977"/>
    </row>
    <row r="658">
      <c r="A658" s="977"/>
      <c r="C658" s="977"/>
    </row>
    <row r="659">
      <c r="A659" s="977"/>
      <c r="C659" s="977"/>
    </row>
    <row r="660">
      <c r="A660" s="977"/>
      <c r="C660" s="977"/>
    </row>
    <row r="661">
      <c r="A661" s="977"/>
      <c r="C661" s="977"/>
    </row>
    <row r="662">
      <c r="A662" s="977"/>
      <c r="C662" s="977"/>
    </row>
    <row r="663">
      <c r="A663" s="977"/>
      <c r="C663" s="977"/>
    </row>
    <row r="664">
      <c r="A664" s="977"/>
      <c r="C664" s="977"/>
    </row>
    <row r="665">
      <c r="A665" s="977"/>
      <c r="C665" s="977"/>
    </row>
    <row r="666">
      <c r="A666" s="977"/>
      <c r="C666" s="977"/>
    </row>
    <row r="667">
      <c r="A667" s="977"/>
      <c r="C667" s="977"/>
    </row>
    <row r="668">
      <c r="A668" s="977"/>
      <c r="C668" s="977"/>
    </row>
    <row r="669">
      <c r="A669" s="977"/>
      <c r="C669" s="977"/>
    </row>
    <row r="670">
      <c r="A670" s="977"/>
      <c r="C670" s="977"/>
    </row>
    <row r="671">
      <c r="A671" s="977"/>
      <c r="C671" s="977"/>
    </row>
    <row r="672">
      <c r="A672" s="977"/>
      <c r="C672" s="977"/>
    </row>
    <row r="673">
      <c r="A673" s="977"/>
      <c r="C673" s="977"/>
    </row>
    <row r="674">
      <c r="A674" s="977"/>
      <c r="C674" s="977"/>
    </row>
    <row r="675">
      <c r="A675" s="977"/>
      <c r="C675" s="977"/>
    </row>
    <row r="676">
      <c r="A676" s="977"/>
      <c r="C676" s="977"/>
    </row>
    <row r="677">
      <c r="A677" s="977"/>
      <c r="C677" s="977"/>
    </row>
    <row r="678">
      <c r="A678" s="977"/>
      <c r="C678" s="977"/>
    </row>
    <row r="679">
      <c r="A679" s="977"/>
      <c r="C679" s="977"/>
    </row>
    <row r="680">
      <c r="A680" s="977"/>
      <c r="C680" s="977"/>
    </row>
    <row r="681">
      <c r="A681" s="977"/>
      <c r="C681" s="977"/>
    </row>
    <row r="682">
      <c r="A682" s="977"/>
      <c r="C682" s="977"/>
    </row>
    <row r="683">
      <c r="A683" s="977"/>
      <c r="C683" s="977"/>
    </row>
    <row r="684">
      <c r="A684" s="977"/>
      <c r="C684" s="977"/>
    </row>
    <row r="685">
      <c r="A685" s="977"/>
      <c r="C685" s="977"/>
    </row>
    <row r="686">
      <c r="A686" s="977"/>
      <c r="C686" s="977"/>
    </row>
    <row r="687">
      <c r="A687" s="977"/>
      <c r="C687" s="977"/>
    </row>
    <row r="688">
      <c r="A688" s="977"/>
      <c r="C688" s="977"/>
    </row>
    <row r="689">
      <c r="A689" s="977"/>
      <c r="C689" s="977"/>
    </row>
    <row r="690">
      <c r="A690" s="977"/>
      <c r="C690" s="977"/>
    </row>
    <row r="691">
      <c r="A691" s="977"/>
      <c r="C691" s="977"/>
    </row>
    <row r="692">
      <c r="A692" s="977"/>
      <c r="C692" s="977"/>
    </row>
    <row r="693">
      <c r="A693" s="977"/>
      <c r="C693" s="977"/>
    </row>
    <row r="694">
      <c r="A694" s="977"/>
      <c r="C694" s="977"/>
    </row>
    <row r="695">
      <c r="A695" s="977"/>
      <c r="C695" s="977"/>
    </row>
    <row r="696">
      <c r="A696" s="977"/>
      <c r="C696" s="977"/>
    </row>
    <row r="697">
      <c r="A697" s="977"/>
      <c r="C697" s="977"/>
    </row>
    <row r="698">
      <c r="A698" s="977"/>
      <c r="C698" s="977"/>
    </row>
    <row r="699">
      <c r="A699" s="977"/>
      <c r="C699" s="977"/>
    </row>
    <row r="700">
      <c r="A700" s="977"/>
      <c r="C700" s="977"/>
    </row>
    <row r="701">
      <c r="A701" s="977"/>
      <c r="C701" s="977"/>
    </row>
    <row r="702">
      <c r="A702" s="977"/>
      <c r="C702" s="977"/>
    </row>
    <row r="703">
      <c r="A703" s="977"/>
      <c r="C703" s="977"/>
    </row>
    <row r="704">
      <c r="A704" s="977"/>
      <c r="C704" s="977"/>
    </row>
    <row r="705">
      <c r="A705" s="977"/>
      <c r="C705" s="977"/>
    </row>
    <row r="706">
      <c r="A706" s="977"/>
      <c r="C706" s="977"/>
    </row>
    <row r="707">
      <c r="A707" s="977"/>
      <c r="C707" s="977"/>
    </row>
    <row r="708">
      <c r="A708" s="977"/>
      <c r="C708" s="977"/>
    </row>
    <row r="709">
      <c r="A709" s="977"/>
      <c r="C709" s="977"/>
    </row>
    <row r="710">
      <c r="A710" s="977"/>
      <c r="C710" s="977"/>
    </row>
    <row r="711">
      <c r="A711" s="977"/>
      <c r="C711" s="977"/>
    </row>
    <row r="712">
      <c r="A712" s="977"/>
      <c r="C712" s="977"/>
    </row>
    <row r="713">
      <c r="A713" s="977"/>
      <c r="C713" s="977"/>
    </row>
    <row r="714">
      <c r="A714" s="977"/>
      <c r="C714" s="977"/>
    </row>
    <row r="715">
      <c r="A715" s="977"/>
      <c r="C715" s="977"/>
    </row>
    <row r="716">
      <c r="A716" s="977"/>
      <c r="C716" s="977"/>
    </row>
    <row r="717">
      <c r="A717" s="977"/>
      <c r="C717" s="977"/>
    </row>
    <row r="718">
      <c r="A718" s="977"/>
      <c r="C718" s="977"/>
    </row>
    <row r="719">
      <c r="A719" s="977"/>
      <c r="C719" s="977"/>
    </row>
    <row r="720">
      <c r="A720" s="977"/>
      <c r="C720" s="977"/>
    </row>
    <row r="721">
      <c r="A721" s="977"/>
      <c r="C721" s="977"/>
    </row>
    <row r="722">
      <c r="A722" s="977"/>
      <c r="C722" s="977"/>
    </row>
    <row r="723">
      <c r="A723" s="977"/>
      <c r="C723" s="977"/>
    </row>
    <row r="724">
      <c r="A724" s="977"/>
      <c r="C724" s="977"/>
    </row>
    <row r="725">
      <c r="A725" s="977"/>
      <c r="C725" s="977"/>
    </row>
    <row r="726">
      <c r="A726" s="977"/>
      <c r="C726" s="977"/>
    </row>
    <row r="727">
      <c r="A727" s="977"/>
      <c r="C727" s="977"/>
    </row>
    <row r="728">
      <c r="A728" s="977"/>
      <c r="C728" s="977"/>
    </row>
    <row r="729">
      <c r="A729" s="977"/>
      <c r="C729" s="977"/>
    </row>
    <row r="730">
      <c r="A730" s="977"/>
      <c r="C730" s="977"/>
    </row>
    <row r="731">
      <c r="A731" s="977"/>
      <c r="C731" s="977"/>
    </row>
    <row r="732">
      <c r="A732" s="977"/>
      <c r="C732" s="977"/>
    </row>
    <row r="733">
      <c r="A733" s="977"/>
      <c r="C733" s="977"/>
    </row>
    <row r="734">
      <c r="A734" s="977"/>
      <c r="C734" s="977"/>
    </row>
    <row r="735">
      <c r="A735" s="977"/>
      <c r="C735" s="977"/>
    </row>
    <row r="736">
      <c r="A736" s="977"/>
      <c r="C736" s="977"/>
    </row>
    <row r="737">
      <c r="A737" s="977"/>
      <c r="C737" s="977"/>
    </row>
    <row r="738">
      <c r="A738" s="977"/>
      <c r="C738" s="977"/>
    </row>
    <row r="739">
      <c r="A739" s="977"/>
      <c r="C739" s="977"/>
    </row>
    <row r="740">
      <c r="A740" s="977"/>
      <c r="C740" s="977"/>
    </row>
    <row r="741">
      <c r="A741" s="977"/>
      <c r="C741" s="977"/>
    </row>
    <row r="742">
      <c r="A742" s="977"/>
      <c r="C742" s="977"/>
    </row>
    <row r="743">
      <c r="A743" s="977"/>
      <c r="C743" s="977"/>
    </row>
    <row r="744">
      <c r="A744" s="977"/>
      <c r="C744" s="977"/>
    </row>
    <row r="745">
      <c r="A745" s="977"/>
      <c r="C745" s="977"/>
    </row>
    <row r="746">
      <c r="A746" s="977"/>
      <c r="C746" s="977"/>
    </row>
    <row r="747">
      <c r="A747" s="977"/>
      <c r="C747" s="977"/>
    </row>
    <row r="748">
      <c r="A748" s="977"/>
      <c r="C748" s="977"/>
    </row>
    <row r="749">
      <c r="A749" s="977"/>
      <c r="C749" s="977"/>
    </row>
    <row r="750">
      <c r="A750" s="977"/>
      <c r="C750" s="977"/>
    </row>
    <row r="751">
      <c r="A751" s="977"/>
      <c r="C751" s="977"/>
    </row>
    <row r="752">
      <c r="A752" s="977"/>
      <c r="C752" s="977"/>
    </row>
    <row r="753">
      <c r="A753" s="977"/>
      <c r="C753" s="977"/>
    </row>
    <row r="754">
      <c r="A754" s="977"/>
      <c r="C754" s="977"/>
    </row>
    <row r="755">
      <c r="A755" s="977"/>
      <c r="C755" s="977"/>
    </row>
    <row r="756">
      <c r="A756" s="977"/>
      <c r="C756" s="977"/>
    </row>
    <row r="757">
      <c r="A757" s="977"/>
      <c r="C757" s="977"/>
    </row>
    <row r="758">
      <c r="A758" s="977"/>
      <c r="C758" s="977"/>
    </row>
    <row r="759">
      <c r="A759" s="977"/>
      <c r="C759" s="977"/>
    </row>
    <row r="760">
      <c r="A760" s="977"/>
      <c r="C760" s="977"/>
    </row>
    <row r="761">
      <c r="A761" s="977"/>
      <c r="C761" s="977"/>
    </row>
    <row r="762">
      <c r="A762" s="977"/>
      <c r="C762" s="977"/>
    </row>
    <row r="763">
      <c r="A763" s="977"/>
      <c r="C763" s="977"/>
    </row>
    <row r="764">
      <c r="A764" s="977"/>
      <c r="C764" s="977"/>
    </row>
    <row r="765">
      <c r="A765" s="977"/>
      <c r="C765" s="977"/>
    </row>
    <row r="766">
      <c r="A766" s="977"/>
      <c r="C766" s="977"/>
    </row>
    <row r="767">
      <c r="A767" s="977"/>
      <c r="C767" s="977"/>
    </row>
    <row r="768">
      <c r="A768" s="977"/>
      <c r="C768" s="977"/>
    </row>
    <row r="769">
      <c r="A769" s="977"/>
      <c r="C769" s="977"/>
    </row>
    <row r="770">
      <c r="A770" s="977"/>
      <c r="C770" s="977"/>
    </row>
    <row r="771">
      <c r="A771" s="977"/>
      <c r="C771" s="977"/>
    </row>
    <row r="772">
      <c r="A772" s="977"/>
      <c r="C772" s="977"/>
    </row>
    <row r="773">
      <c r="A773" s="977"/>
      <c r="C773" s="977"/>
    </row>
    <row r="774">
      <c r="A774" s="977"/>
      <c r="C774" s="977"/>
    </row>
    <row r="775">
      <c r="A775" s="977"/>
      <c r="C775" s="977"/>
    </row>
    <row r="776">
      <c r="A776" s="977"/>
      <c r="C776" s="977"/>
    </row>
    <row r="777">
      <c r="A777" s="977"/>
      <c r="C777" s="977"/>
    </row>
    <row r="778">
      <c r="A778" s="977"/>
      <c r="C778" s="977"/>
    </row>
    <row r="779">
      <c r="A779" s="977"/>
      <c r="C779" s="977"/>
    </row>
    <row r="780">
      <c r="A780" s="977"/>
      <c r="C780" s="977"/>
    </row>
    <row r="781">
      <c r="A781" s="977"/>
      <c r="C781" s="977"/>
    </row>
    <row r="782">
      <c r="A782" s="977"/>
      <c r="C782" s="977"/>
    </row>
    <row r="783">
      <c r="A783" s="977"/>
      <c r="C783" s="977"/>
    </row>
    <row r="784">
      <c r="A784" s="977"/>
      <c r="C784" s="977"/>
    </row>
    <row r="785">
      <c r="A785" s="977"/>
      <c r="C785" s="977"/>
    </row>
    <row r="786">
      <c r="A786" s="977"/>
      <c r="C786" s="977"/>
    </row>
    <row r="787">
      <c r="A787" s="977"/>
      <c r="C787" s="977"/>
    </row>
    <row r="788">
      <c r="A788" s="977"/>
      <c r="C788" s="977"/>
    </row>
    <row r="789">
      <c r="A789" s="977"/>
      <c r="C789" s="977"/>
    </row>
    <row r="790">
      <c r="A790" s="977"/>
      <c r="C790" s="977"/>
    </row>
    <row r="791">
      <c r="A791" s="977"/>
      <c r="C791" s="977"/>
    </row>
    <row r="792">
      <c r="A792" s="977"/>
      <c r="C792" s="977"/>
    </row>
    <row r="793">
      <c r="A793" s="977"/>
      <c r="C793" s="977"/>
    </row>
    <row r="794">
      <c r="A794" s="977"/>
      <c r="C794" s="977"/>
    </row>
    <row r="795">
      <c r="A795" s="977"/>
      <c r="C795" s="977"/>
    </row>
    <row r="796">
      <c r="A796" s="977"/>
      <c r="C796" s="977"/>
    </row>
    <row r="797">
      <c r="A797" s="977"/>
      <c r="C797" s="977"/>
    </row>
    <row r="798">
      <c r="A798" s="977"/>
      <c r="C798" s="977"/>
    </row>
    <row r="799">
      <c r="A799" s="977"/>
      <c r="C799" s="977"/>
    </row>
    <row r="800">
      <c r="A800" s="977"/>
      <c r="C800" s="977"/>
    </row>
    <row r="801">
      <c r="A801" s="977"/>
      <c r="C801" s="977"/>
    </row>
    <row r="802">
      <c r="A802" s="977"/>
      <c r="C802" s="977"/>
    </row>
    <row r="803">
      <c r="A803" s="977"/>
      <c r="C803" s="977"/>
    </row>
    <row r="804">
      <c r="A804" s="977"/>
      <c r="C804" s="977"/>
    </row>
    <row r="805">
      <c r="A805" s="977"/>
      <c r="C805" s="977"/>
    </row>
    <row r="806">
      <c r="A806" s="977"/>
      <c r="C806" s="977"/>
    </row>
    <row r="807">
      <c r="A807" s="977"/>
      <c r="C807" s="977"/>
    </row>
    <row r="808">
      <c r="A808" s="977"/>
      <c r="C808" s="977"/>
    </row>
    <row r="809">
      <c r="A809" s="977"/>
      <c r="C809" s="977"/>
    </row>
    <row r="810">
      <c r="A810" s="977"/>
      <c r="C810" s="977"/>
    </row>
    <row r="811">
      <c r="A811" s="977"/>
      <c r="C811" s="977"/>
    </row>
    <row r="812">
      <c r="A812" s="977"/>
      <c r="C812" s="977"/>
    </row>
    <row r="813">
      <c r="A813" s="977"/>
      <c r="C813" s="977"/>
    </row>
    <row r="814">
      <c r="A814" s="977"/>
      <c r="C814" s="977"/>
    </row>
    <row r="815">
      <c r="A815" s="977"/>
      <c r="C815" s="977"/>
    </row>
    <row r="816">
      <c r="A816" s="977"/>
      <c r="C816" s="977"/>
    </row>
    <row r="817">
      <c r="A817" s="977"/>
      <c r="C817" s="977"/>
    </row>
    <row r="818">
      <c r="A818" s="977"/>
      <c r="C818" s="977"/>
    </row>
    <row r="819">
      <c r="A819" s="977"/>
      <c r="C819" s="977"/>
    </row>
    <row r="820">
      <c r="A820" s="977"/>
      <c r="C820" s="977"/>
    </row>
    <row r="821">
      <c r="A821" s="977"/>
      <c r="C821" s="977"/>
    </row>
    <row r="822">
      <c r="A822" s="977"/>
      <c r="C822" s="977"/>
    </row>
    <row r="823">
      <c r="A823" s="977"/>
      <c r="C823" s="977"/>
    </row>
    <row r="824">
      <c r="A824" s="977"/>
      <c r="C824" s="977"/>
    </row>
    <row r="825">
      <c r="A825" s="977"/>
      <c r="C825" s="977"/>
    </row>
    <row r="826">
      <c r="A826" s="977"/>
      <c r="C826" s="977"/>
    </row>
    <row r="827">
      <c r="A827" s="977"/>
      <c r="C827" s="977"/>
    </row>
    <row r="828">
      <c r="A828" s="977"/>
      <c r="C828" s="977"/>
    </row>
    <row r="829">
      <c r="A829" s="977"/>
      <c r="C829" s="977"/>
    </row>
    <row r="830">
      <c r="A830" s="977"/>
      <c r="C830" s="977"/>
    </row>
    <row r="831">
      <c r="A831" s="977"/>
      <c r="C831" s="977"/>
    </row>
    <row r="832">
      <c r="A832" s="977"/>
      <c r="C832" s="977"/>
    </row>
    <row r="833">
      <c r="A833" s="977"/>
      <c r="C833" s="977"/>
    </row>
    <row r="834">
      <c r="A834" s="977"/>
      <c r="C834" s="977"/>
    </row>
    <row r="835">
      <c r="A835" s="977"/>
      <c r="C835" s="977"/>
    </row>
    <row r="836">
      <c r="A836" s="977"/>
      <c r="C836" s="977"/>
    </row>
    <row r="837">
      <c r="A837" s="977"/>
      <c r="C837" s="977"/>
    </row>
    <row r="838">
      <c r="A838" s="977"/>
      <c r="C838" s="977"/>
    </row>
    <row r="839">
      <c r="A839" s="977"/>
      <c r="C839" s="977"/>
    </row>
    <row r="840">
      <c r="A840" s="977"/>
      <c r="C840" s="977"/>
    </row>
    <row r="841">
      <c r="A841" s="977"/>
      <c r="C841" s="977"/>
    </row>
    <row r="842">
      <c r="A842" s="977"/>
      <c r="C842" s="977"/>
    </row>
    <row r="843">
      <c r="A843" s="977"/>
      <c r="C843" s="977"/>
    </row>
    <row r="844">
      <c r="A844" s="977"/>
      <c r="C844" s="977"/>
    </row>
    <row r="845">
      <c r="A845" s="977"/>
      <c r="C845" s="977"/>
    </row>
    <row r="846">
      <c r="A846" s="977"/>
      <c r="C846" s="977"/>
    </row>
    <row r="847">
      <c r="A847" s="977"/>
      <c r="C847" s="977"/>
    </row>
    <row r="848">
      <c r="A848" s="977"/>
      <c r="C848" s="977"/>
    </row>
    <row r="849">
      <c r="A849" s="977"/>
      <c r="C849" s="977"/>
    </row>
    <row r="850">
      <c r="A850" s="977"/>
      <c r="C850" s="977"/>
    </row>
    <row r="851">
      <c r="A851" s="977"/>
      <c r="C851" s="977"/>
    </row>
    <row r="852">
      <c r="A852" s="977"/>
      <c r="C852" s="977"/>
    </row>
    <row r="853">
      <c r="A853" s="977"/>
      <c r="C853" s="977"/>
    </row>
    <row r="854">
      <c r="A854" s="977"/>
      <c r="C854" s="977"/>
    </row>
    <row r="855">
      <c r="A855" s="977"/>
      <c r="C855" s="977"/>
    </row>
    <row r="856">
      <c r="A856" s="977"/>
      <c r="C856" s="977"/>
    </row>
    <row r="857">
      <c r="A857" s="977"/>
      <c r="C857" s="977"/>
    </row>
    <row r="858">
      <c r="A858" s="977"/>
      <c r="C858" s="977"/>
    </row>
    <row r="859">
      <c r="A859" s="977"/>
      <c r="C859" s="977"/>
    </row>
    <row r="860">
      <c r="A860" s="977"/>
      <c r="C860" s="977"/>
    </row>
    <row r="861">
      <c r="A861" s="977"/>
      <c r="C861" s="977"/>
    </row>
    <row r="862">
      <c r="A862" s="977"/>
      <c r="C862" s="977"/>
    </row>
    <row r="863">
      <c r="A863" s="977"/>
      <c r="C863" s="977"/>
    </row>
    <row r="864">
      <c r="A864" s="977"/>
      <c r="C864" s="977"/>
    </row>
    <row r="865">
      <c r="A865" s="977"/>
      <c r="C865" s="977"/>
    </row>
    <row r="866">
      <c r="A866" s="977"/>
      <c r="C866" s="977"/>
    </row>
    <row r="867">
      <c r="A867" s="977"/>
      <c r="C867" s="977"/>
    </row>
    <row r="868">
      <c r="A868" s="977"/>
      <c r="C868" s="977"/>
    </row>
    <row r="869">
      <c r="A869" s="977"/>
      <c r="C869" s="977"/>
    </row>
    <row r="870">
      <c r="A870" s="977"/>
      <c r="C870" s="977"/>
    </row>
    <row r="871">
      <c r="A871" s="977"/>
      <c r="C871" s="977"/>
    </row>
    <row r="872">
      <c r="A872" s="977"/>
      <c r="C872" s="977"/>
    </row>
    <row r="873">
      <c r="A873" s="977"/>
      <c r="C873" s="977"/>
    </row>
    <row r="874">
      <c r="A874" s="977"/>
      <c r="C874" s="977"/>
    </row>
    <row r="875">
      <c r="A875" s="977"/>
      <c r="C875" s="977"/>
    </row>
    <row r="876">
      <c r="A876" s="977"/>
      <c r="C876" s="977"/>
    </row>
    <row r="877">
      <c r="A877" s="977"/>
      <c r="C877" s="977"/>
    </row>
    <row r="878">
      <c r="A878" s="977"/>
      <c r="C878" s="977"/>
    </row>
    <row r="879">
      <c r="A879" s="977"/>
      <c r="C879" s="977"/>
    </row>
    <row r="880">
      <c r="A880" s="977"/>
      <c r="C880" s="977"/>
    </row>
    <row r="881">
      <c r="A881" s="977"/>
      <c r="C881" s="977"/>
    </row>
    <row r="882">
      <c r="A882" s="977"/>
      <c r="C882" s="977"/>
    </row>
    <row r="883">
      <c r="A883" s="977"/>
      <c r="C883" s="977"/>
    </row>
    <row r="884">
      <c r="A884" s="977"/>
      <c r="C884" s="977"/>
    </row>
    <row r="885">
      <c r="A885" s="977"/>
      <c r="C885" s="977"/>
    </row>
    <row r="886">
      <c r="A886" s="977"/>
      <c r="C886" s="977"/>
    </row>
    <row r="887">
      <c r="A887" s="977"/>
      <c r="C887" s="977"/>
    </row>
    <row r="888">
      <c r="A888" s="977"/>
      <c r="C888" s="977"/>
    </row>
    <row r="889">
      <c r="A889" s="977"/>
      <c r="C889" s="977"/>
    </row>
    <row r="890">
      <c r="A890" s="977"/>
      <c r="C890" s="977"/>
    </row>
    <row r="891">
      <c r="A891" s="977"/>
      <c r="C891" s="977"/>
    </row>
    <row r="892">
      <c r="A892" s="977"/>
      <c r="C892" s="977"/>
    </row>
    <row r="893">
      <c r="A893" s="977"/>
      <c r="C893" s="977"/>
    </row>
    <row r="894">
      <c r="A894" s="977"/>
      <c r="C894" s="977"/>
    </row>
    <row r="895">
      <c r="A895" s="977"/>
      <c r="C895" s="977"/>
    </row>
    <row r="896">
      <c r="A896" s="977"/>
      <c r="C896" s="977"/>
    </row>
    <row r="897">
      <c r="A897" s="977"/>
      <c r="C897" s="977"/>
    </row>
    <row r="898">
      <c r="A898" s="977"/>
      <c r="C898" s="977"/>
    </row>
    <row r="899">
      <c r="A899" s="977"/>
      <c r="C899" s="977"/>
    </row>
    <row r="900">
      <c r="A900" s="977"/>
      <c r="C900" s="977"/>
    </row>
    <row r="901">
      <c r="A901" s="977"/>
      <c r="C901" s="977"/>
    </row>
    <row r="902">
      <c r="A902" s="977"/>
      <c r="C902" s="977"/>
    </row>
    <row r="903">
      <c r="A903" s="977"/>
      <c r="C903" s="977"/>
    </row>
    <row r="904">
      <c r="A904" s="977"/>
      <c r="C904" s="977"/>
    </row>
    <row r="905">
      <c r="A905" s="977"/>
      <c r="C905" s="977"/>
    </row>
    <row r="906">
      <c r="A906" s="977"/>
      <c r="C906" s="977"/>
    </row>
    <row r="907">
      <c r="A907" s="977"/>
      <c r="C907" s="977"/>
    </row>
    <row r="908">
      <c r="A908" s="977"/>
      <c r="C908" s="977"/>
    </row>
    <row r="909">
      <c r="A909" s="977"/>
      <c r="C909" s="977"/>
    </row>
    <row r="910">
      <c r="A910" s="977"/>
      <c r="C910" s="977"/>
    </row>
    <row r="911">
      <c r="A911" s="977"/>
      <c r="C911" s="977"/>
    </row>
    <row r="912">
      <c r="A912" s="977"/>
      <c r="C912" s="977"/>
    </row>
    <row r="913">
      <c r="A913" s="977"/>
      <c r="C913" s="977"/>
    </row>
    <row r="914">
      <c r="A914" s="977"/>
      <c r="C914" s="977"/>
    </row>
    <row r="915">
      <c r="A915" s="977"/>
      <c r="C915" s="977"/>
    </row>
    <row r="916">
      <c r="A916" s="977"/>
      <c r="C916" s="977"/>
    </row>
    <row r="917">
      <c r="A917" s="977"/>
      <c r="C917" s="977"/>
    </row>
    <row r="918">
      <c r="A918" s="977"/>
      <c r="C918" s="977"/>
    </row>
    <row r="919">
      <c r="A919" s="977"/>
      <c r="C919" s="977"/>
    </row>
    <row r="920">
      <c r="A920" s="977"/>
      <c r="C920" s="977"/>
    </row>
    <row r="921">
      <c r="A921" s="977"/>
      <c r="C921" s="977"/>
    </row>
    <row r="922">
      <c r="A922" s="977"/>
      <c r="C922" s="977"/>
    </row>
    <row r="923">
      <c r="A923" s="977"/>
      <c r="C923" s="977"/>
    </row>
    <row r="924">
      <c r="A924" s="977"/>
      <c r="C924" s="977"/>
    </row>
    <row r="925">
      <c r="A925" s="977"/>
      <c r="C925" s="977"/>
    </row>
    <row r="926">
      <c r="A926" s="977"/>
      <c r="C926" s="977"/>
    </row>
    <row r="927">
      <c r="A927" s="977"/>
      <c r="C927" s="977"/>
    </row>
    <row r="928">
      <c r="A928" s="977"/>
      <c r="C928" s="977"/>
    </row>
    <row r="929">
      <c r="A929" s="977"/>
      <c r="C929" s="977"/>
    </row>
    <row r="930">
      <c r="A930" s="977"/>
      <c r="C930" s="977"/>
    </row>
    <row r="931">
      <c r="A931" s="977"/>
      <c r="C931" s="977"/>
    </row>
    <row r="932">
      <c r="A932" s="977"/>
      <c r="C932" s="977"/>
    </row>
    <row r="933">
      <c r="A933" s="977"/>
      <c r="C933" s="977"/>
    </row>
    <row r="934">
      <c r="A934" s="977"/>
      <c r="C934" s="977"/>
    </row>
    <row r="935">
      <c r="A935" s="977"/>
      <c r="C935" s="977"/>
    </row>
    <row r="936">
      <c r="A936" s="977"/>
      <c r="C936" s="977"/>
    </row>
    <row r="937">
      <c r="A937" s="977"/>
      <c r="C937" s="977"/>
    </row>
    <row r="938">
      <c r="A938" s="977"/>
      <c r="C938" s="977"/>
    </row>
    <row r="939">
      <c r="A939" s="977"/>
      <c r="C939" s="977"/>
    </row>
    <row r="940">
      <c r="A940" s="977"/>
      <c r="C940" s="977"/>
    </row>
    <row r="941">
      <c r="A941" s="977"/>
      <c r="C941" s="977"/>
    </row>
    <row r="942">
      <c r="A942" s="977"/>
      <c r="C942" s="977"/>
    </row>
    <row r="943">
      <c r="A943" s="977"/>
      <c r="C943" s="977"/>
    </row>
    <row r="944">
      <c r="A944" s="977"/>
      <c r="C944" s="977"/>
    </row>
    <row r="945">
      <c r="A945" s="977"/>
      <c r="C945" s="977"/>
    </row>
    <row r="946">
      <c r="A946" s="977"/>
      <c r="C946" s="977"/>
    </row>
    <row r="947">
      <c r="A947" s="977"/>
      <c r="C947" s="977"/>
    </row>
    <row r="948">
      <c r="A948" s="977"/>
      <c r="C948" s="977"/>
    </row>
    <row r="949">
      <c r="A949" s="977"/>
      <c r="C949" s="977"/>
    </row>
    <row r="950">
      <c r="A950" s="977"/>
      <c r="C950" s="977"/>
    </row>
    <row r="951">
      <c r="A951" s="977"/>
      <c r="C951" s="977"/>
    </row>
    <row r="952">
      <c r="A952" s="977"/>
      <c r="C952" s="977"/>
    </row>
    <row r="953">
      <c r="A953" s="977"/>
      <c r="C953" s="977"/>
    </row>
    <row r="954">
      <c r="A954" s="977"/>
      <c r="C954" s="977"/>
    </row>
    <row r="955">
      <c r="A955" s="977"/>
      <c r="C955" s="977"/>
    </row>
    <row r="956">
      <c r="A956" s="977"/>
      <c r="C956" s="977"/>
    </row>
    <row r="957">
      <c r="A957" s="977"/>
      <c r="C957" s="977"/>
    </row>
    <row r="958">
      <c r="A958" s="977"/>
      <c r="C958" s="977"/>
    </row>
    <row r="959">
      <c r="A959" s="977"/>
      <c r="C959" s="977"/>
    </row>
    <row r="960">
      <c r="A960" s="977"/>
      <c r="C960" s="977"/>
    </row>
    <row r="961">
      <c r="A961" s="977"/>
      <c r="C961" s="977"/>
    </row>
    <row r="962">
      <c r="A962" s="977"/>
      <c r="C962" s="977"/>
    </row>
    <row r="963">
      <c r="A963" s="977"/>
      <c r="C963" s="977"/>
    </row>
    <row r="964">
      <c r="A964" s="977"/>
      <c r="C964" s="977"/>
    </row>
    <row r="965">
      <c r="A965" s="977"/>
      <c r="C965" s="977"/>
    </row>
    <row r="966">
      <c r="A966" s="977"/>
      <c r="C966" s="977"/>
    </row>
    <row r="967">
      <c r="A967" s="977"/>
      <c r="C967" s="977"/>
    </row>
    <row r="968">
      <c r="A968" s="977"/>
      <c r="C968" s="977"/>
    </row>
    <row r="969">
      <c r="A969" s="977"/>
      <c r="C969" s="977"/>
    </row>
    <row r="970">
      <c r="A970" s="977"/>
      <c r="C970" s="977"/>
    </row>
    <row r="971">
      <c r="A971" s="977"/>
      <c r="C971" s="977"/>
    </row>
    <row r="972">
      <c r="A972" s="977"/>
      <c r="C972" s="977"/>
    </row>
    <row r="973">
      <c r="A973" s="977"/>
      <c r="C973" s="977"/>
    </row>
    <row r="974">
      <c r="A974" s="977"/>
      <c r="C974" s="977"/>
    </row>
    <row r="975">
      <c r="A975" s="977"/>
      <c r="C975" s="977"/>
    </row>
    <row r="976">
      <c r="A976" s="977"/>
      <c r="C976" s="977"/>
    </row>
    <row r="977">
      <c r="A977" s="977"/>
      <c r="C977" s="977"/>
    </row>
    <row r="978">
      <c r="A978" s="977"/>
      <c r="C978" s="977"/>
    </row>
    <row r="979">
      <c r="A979" s="977"/>
      <c r="C979" s="977"/>
    </row>
    <row r="980">
      <c r="A980" s="977"/>
      <c r="C980" s="977"/>
    </row>
    <row r="981">
      <c r="A981" s="977"/>
      <c r="C981" s="977"/>
    </row>
    <row r="982">
      <c r="A982" s="977"/>
      <c r="C982" s="977"/>
    </row>
    <row r="983">
      <c r="A983" s="977"/>
      <c r="C983" s="977"/>
    </row>
    <row r="984">
      <c r="A984" s="977"/>
      <c r="C984" s="977"/>
    </row>
    <row r="985">
      <c r="A985" s="977"/>
      <c r="C985" s="977"/>
    </row>
    <row r="986">
      <c r="A986" s="977"/>
      <c r="C986" s="977"/>
    </row>
    <row r="987">
      <c r="A987" s="977"/>
      <c r="C987" s="977"/>
    </row>
    <row r="988">
      <c r="A988" s="977"/>
      <c r="C988" s="977"/>
    </row>
    <row r="989">
      <c r="A989" s="977"/>
      <c r="C989" s="977"/>
    </row>
    <row r="990">
      <c r="A990" s="977"/>
      <c r="C990" s="977"/>
    </row>
    <row r="991">
      <c r="A991" s="977"/>
      <c r="C991" s="977"/>
    </row>
    <row r="992">
      <c r="A992" s="977"/>
      <c r="C992" s="977"/>
    </row>
    <row r="993">
      <c r="A993" s="977"/>
      <c r="C993" s="977"/>
    </row>
    <row r="994">
      <c r="A994" s="977"/>
      <c r="C994" s="977"/>
    </row>
    <row r="995">
      <c r="A995" s="977"/>
      <c r="C995" s="977"/>
    </row>
    <row r="996">
      <c r="A996" s="977"/>
      <c r="C996" s="977"/>
    </row>
    <row r="997">
      <c r="A997" s="977"/>
      <c r="C997" s="977"/>
    </row>
    <row r="998">
      <c r="A998" s="977"/>
      <c r="C998" s="977"/>
    </row>
    <row r="999">
      <c r="A999" s="977"/>
      <c r="C999" s="977"/>
    </row>
    <row r="1000">
      <c r="A1000" s="977"/>
      <c r="C1000" s="977"/>
    </row>
    <row r="1001">
      <c r="A1001" s="977"/>
      <c r="C1001" s="977"/>
    </row>
    <row r="1002">
      <c r="A1002" s="977"/>
      <c r="C1002" s="977"/>
    </row>
    <row r="1003">
      <c r="A1003" s="977"/>
      <c r="C1003" s="977"/>
    </row>
  </sheetData>
  <mergeCells count="2">
    <mergeCell ref="E3:E7"/>
    <mergeCell ref="F3:F7"/>
  </mergeCells>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s>
  <sheetData>
    <row r="1">
      <c r="A1" s="1103" t="s">
        <v>12381</v>
      </c>
    </row>
    <row r="2">
      <c r="A2" s="1106" t="s">
        <v>12389</v>
      </c>
      <c r="B2" s="953">
        <v>3.0</v>
      </c>
      <c r="C2" s="953" t="s">
        <v>15431</v>
      </c>
    </row>
    <row r="3">
      <c r="A3" s="1113" t="s">
        <v>11976</v>
      </c>
      <c r="B3" s="953">
        <v>10.0</v>
      </c>
      <c r="C3" s="953" t="s">
        <v>15431</v>
      </c>
    </row>
    <row r="4">
      <c r="A4" s="1106"/>
    </row>
    <row r="5">
      <c r="A5" s="1106" t="s">
        <v>11982</v>
      </c>
      <c r="B5" s="953">
        <v>10.0</v>
      </c>
    </row>
    <row r="6">
      <c r="A6" s="1106" t="s">
        <v>12410</v>
      </c>
      <c r="B6" s="953">
        <v>10.0</v>
      </c>
    </row>
    <row r="7">
      <c r="A7" s="1113" t="s">
        <v>12417</v>
      </c>
      <c r="B7" s="953">
        <v>3.0</v>
      </c>
      <c r="C7" s="953" t="s">
        <v>15431</v>
      </c>
    </row>
    <row r="8">
      <c r="A8" s="1106" t="s">
        <v>12420</v>
      </c>
      <c r="B8" s="953">
        <v>5.0</v>
      </c>
      <c r="C8" s="953" t="s">
        <v>15431</v>
      </c>
    </row>
    <row r="9">
      <c r="A9" s="1106" t="s">
        <v>11973</v>
      </c>
      <c r="B9" s="953">
        <v>20.0</v>
      </c>
    </row>
    <row r="10">
      <c r="A10" s="1106"/>
    </row>
    <row r="11">
      <c r="A11" s="1106" t="s">
        <v>12437</v>
      </c>
      <c r="B11" s="953">
        <v>5.0</v>
      </c>
    </row>
    <row r="12">
      <c r="A12" s="1106" t="s">
        <v>12442</v>
      </c>
      <c r="B12" s="953">
        <v>10.0</v>
      </c>
    </row>
    <row r="13">
      <c r="A13" s="1106"/>
    </row>
    <row r="14">
      <c r="A14" s="1113"/>
    </row>
    <row r="15">
      <c r="A15" s="1106"/>
    </row>
    <row r="16">
      <c r="A16" s="1106"/>
    </row>
    <row r="17">
      <c r="A17" s="1106"/>
    </row>
    <row r="18">
      <c r="A18" s="1106"/>
    </row>
    <row r="19">
      <c r="A19" s="1106" t="s">
        <v>12011</v>
      </c>
      <c r="B19" s="953">
        <v>15.0</v>
      </c>
    </row>
    <row r="20">
      <c r="A20" s="1106"/>
    </row>
    <row r="21">
      <c r="A21" s="1106"/>
    </row>
    <row r="22">
      <c r="A22" s="1113" t="s">
        <v>12485</v>
      </c>
      <c r="B22" s="953">
        <v>10.0</v>
      </c>
    </row>
    <row r="23">
      <c r="A23" s="1113" t="s">
        <v>12489</v>
      </c>
      <c r="B23" s="953">
        <v>5.0</v>
      </c>
    </row>
    <row r="24">
      <c r="A24" s="1106"/>
    </row>
    <row r="25">
      <c r="A25" s="1106"/>
    </row>
    <row r="26">
      <c r="A26" s="1106"/>
    </row>
    <row r="27">
      <c r="A27" s="1113" t="s">
        <v>12512</v>
      </c>
      <c r="B27" s="953">
        <v>5.0</v>
      </c>
    </row>
    <row r="28">
      <c r="A28" s="1106"/>
    </row>
    <row r="29">
      <c r="A29" s="1123"/>
    </row>
    <row r="30">
      <c r="A30" s="1106"/>
    </row>
    <row r="31">
      <c r="A31" s="1106"/>
    </row>
    <row r="32">
      <c r="A32" s="1106" t="s">
        <v>11970</v>
      </c>
      <c r="B32" s="953">
        <v>5.0</v>
      </c>
    </row>
    <row r="33">
      <c r="A33" s="1106" t="s">
        <v>11967</v>
      </c>
      <c r="B33" s="953">
        <v>30.0</v>
      </c>
    </row>
    <row r="34">
      <c r="A34" s="1113" t="s">
        <v>12547</v>
      </c>
      <c r="B34" s="953">
        <v>5.0</v>
      </c>
    </row>
    <row r="35">
      <c r="A35" s="1106" t="s">
        <v>12547</v>
      </c>
      <c r="B35" s="953">
        <v>10.0</v>
      </c>
    </row>
    <row r="36">
      <c r="A36" s="1106" t="s">
        <v>12016</v>
      </c>
      <c r="B36" s="953">
        <v>10.0</v>
      </c>
    </row>
    <row r="37">
      <c r="A37" s="1106"/>
    </row>
    <row r="38">
      <c r="A38" s="1106" t="s">
        <v>12562</v>
      </c>
      <c r="B38" s="953">
        <v>5.0</v>
      </c>
    </row>
    <row r="39">
      <c r="A39" s="1106" t="s">
        <v>12565</v>
      </c>
      <c r="B39" s="953">
        <v>10.0</v>
      </c>
    </row>
    <row r="40">
      <c r="A40" s="1113" t="s">
        <v>11990</v>
      </c>
      <c r="B40" s="953">
        <v>10.0</v>
      </c>
    </row>
    <row r="41">
      <c r="A41" s="1106" t="s">
        <v>12003</v>
      </c>
      <c r="B41" s="953">
        <v>5.0</v>
      </c>
    </row>
    <row r="42">
      <c r="A42" s="1106"/>
    </row>
    <row r="43">
      <c r="A43" s="1106" t="s">
        <v>12582</v>
      </c>
      <c r="B43" s="953">
        <v>10.0</v>
      </c>
    </row>
    <row r="44">
      <c r="A44" s="1128"/>
    </row>
    <row r="46">
      <c r="A46" s="1128"/>
    </row>
    <row r="47">
      <c r="A47" s="1128"/>
    </row>
    <row r="48">
      <c r="A48" s="1128"/>
    </row>
    <row r="49">
      <c r="A49" s="1128"/>
    </row>
    <row r="50">
      <c r="A50" s="1128"/>
    </row>
    <row r="51">
      <c r="A51" s="1128"/>
    </row>
    <row r="52">
      <c r="A52" s="1128"/>
    </row>
    <row r="53">
      <c r="A53" s="1128"/>
    </row>
    <row r="54">
      <c r="A54" s="1128"/>
    </row>
    <row r="55">
      <c r="A55" s="1128"/>
    </row>
    <row r="56">
      <c r="A56" s="1128"/>
    </row>
    <row r="57">
      <c r="A57" s="1128"/>
    </row>
    <row r="58">
      <c r="A58" s="1128"/>
    </row>
    <row r="59">
      <c r="A59" s="1128"/>
    </row>
    <row r="60">
      <c r="A60" s="1128"/>
    </row>
    <row r="61">
      <c r="A61" s="1128"/>
    </row>
    <row r="62">
      <c r="A62" s="1128"/>
    </row>
    <row r="63">
      <c r="A63" s="1128"/>
    </row>
    <row r="64">
      <c r="A64" s="1128"/>
    </row>
    <row r="65">
      <c r="A65" s="1128"/>
    </row>
    <row r="66">
      <c r="A66" s="1128"/>
    </row>
    <row r="67">
      <c r="A67" s="1128"/>
    </row>
    <row r="68">
      <c r="A68" s="1128"/>
    </row>
    <row r="69">
      <c r="A69" s="1128"/>
    </row>
    <row r="70">
      <c r="A70" s="1128"/>
    </row>
    <row r="71">
      <c r="A71" s="1128"/>
    </row>
    <row r="72">
      <c r="A72" s="1128"/>
    </row>
    <row r="73">
      <c r="A73" s="1128"/>
    </row>
    <row r="74">
      <c r="A74" s="1128"/>
    </row>
    <row r="75">
      <c r="A75" s="1128"/>
    </row>
    <row r="76">
      <c r="A76" s="1128"/>
    </row>
    <row r="77">
      <c r="A77" s="1128"/>
    </row>
    <row r="78">
      <c r="A78" s="1128"/>
    </row>
    <row r="79">
      <c r="A79" s="1128"/>
    </row>
    <row r="80">
      <c r="A80" s="1128"/>
    </row>
    <row r="81">
      <c r="A81" s="1128"/>
    </row>
    <row r="82">
      <c r="A82" s="1128"/>
    </row>
    <row r="83">
      <c r="A83" s="1128"/>
    </row>
    <row r="84">
      <c r="A84" s="1128"/>
    </row>
    <row r="85">
      <c r="A85" s="1128"/>
    </row>
    <row r="86">
      <c r="A86" s="1128"/>
    </row>
    <row r="87">
      <c r="A87" s="1128"/>
    </row>
    <row r="88">
      <c r="A88" s="1128"/>
    </row>
    <row r="89">
      <c r="A89" s="1128"/>
    </row>
    <row r="90">
      <c r="A90" s="1128"/>
    </row>
    <row r="91">
      <c r="A91" s="1128"/>
    </row>
    <row r="92">
      <c r="A92" s="1128"/>
    </row>
    <row r="93">
      <c r="A93" s="1128"/>
    </row>
    <row r="94">
      <c r="A94" s="1128"/>
    </row>
    <row r="95">
      <c r="A95" s="1128"/>
    </row>
    <row r="96">
      <c r="A96" s="1128"/>
    </row>
    <row r="97">
      <c r="A97" s="1128"/>
    </row>
    <row r="98">
      <c r="A98" s="1128"/>
    </row>
    <row r="99">
      <c r="A99" s="1128"/>
    </row>
    <row r="100">
      <c r="A100" s="1128"/>
    </row>
    <row r="101">
      <c r="A101" s="1128"/>
    </row>
    <row r="102">
      <c r="A102" s="1128"/>
    </row>
    <row r="103">
      <c r="A103" s="1128"/>
    </row>
    <row r="104">
      <c r="A104" s="1128"/>
    </row>
    <row r="105">
      <c r="A105" s="1128"/>
    </row>
    <row r="106">
      <c r="A106" s="1128"/>
    </row>
    <row r="107">
      <c r="A107" s="1128"/>
    </row>
    <row r="108">
      <c r="A108" s="1128"/>
    </row>
    <row r="109">
      <c r="A109" s="1128"/>
    </row>
    <row r="110">
      <c r="A110" s="1128"/>
    </row>
    <row r="111">
      <c r="A111" s="1128"/>
    </row>
    <row r="112">
      <c r="A112" s="1128"/>
    </row>
    <row r="113">
      <c r="A113" s="1128"/>
    </row>
    <row r="114">
      <c r="A114" s="1128"/>
    </row>
    <row r="115">
      <c r="A115" s="1128"/>
    </row>
    <row r="116">
      <c r="A116" s="1128"/>
    </row>
    <row r="117">
      <c r="A117" s="1128"/>
    </row>
    <row r="118">
      <c r="A118" s="1128"/>
    </row>
    <row r="119">
      <c r="A119" s="1128"/>
    </row>
    <row r="120">
      <c r="A120" s="1128"/>
    </row>
    <row r="121">
      <c r="A121" s="1128"/>
    </row>
    <row r="122">
      <c r="A122" s="1128"/>
    </row>
    <row r="123">
      <c r="A123" s="1128"/>
    </row>
    <row r="124">
      <c r="A124" s="1128"/>
    </row>
    <row r="125">
      <c r="A125" s="1128"/>
    </row>
    <row r="126">
      <c r="A126" s="1128"/>
    </row>
    <row r="127">
      <c r="A127" s="1128"/>
    </row>
    <row r="128">
      <c r="A128" s="1128"/>
    </row>
    <row r="129">
      <c r="A129" s="1128"/>
    </row>
    <row r="130">
      <c r="A130" s="1128"/>
    </row>
    <row r="131">
      <c r="A131" s="1128"/>
    </row>
    <row r="132">
      <c r="A132" s="1128"/>
    </row>
    <row r="133">
      <c r="A133" s="1128"/>
    </row>
    <row r="134">
      <c r="A134" s="1128"/>
    </row>
    <row r="135">
      <c r="A135" s="1128"/>
    </row>
    <row r="136">
      <c r="A136" s="1128"/>
    </row>
    <row r="137">
      <c r="A137" s="1128"/>
    </row>
    <row r="138">
      <c r="A138" s="1128"/>
    </row>
    <row r="139">
      <c r="A139" s="1128"/>
    </row>
    <row r="140">
      <c r="A140" s="1128"/>
    </row>
    <row r="141">
      <c r="A141" s="1128"/>
    </row>
    <row r="142">
      <c r="A142" s="1128"/>
    </row>
    <row r="143">
      <c r="A143" s="1128"/>
    </row>
    <row r="144">
      <c r="A144" s="1128"/>
    </row>
    <row r="145">
      <c r="A145" s="1128"/>
    </row>
    <row r="146">
      <c r="A146" s="1128"/>
    </row>
    <row r="147">
      <c r="A147" s="1128"/>
    </row>
    <row r="148">
      <c r="A148" s="1128"/>
    </row>
    <row r="149">
      <c r="A149" s="1128"/>
    </row>
    <row r="150">
      <c r="A150" s="1128"/>
    </row>
    <row r="151">
      <c r="A151" s="1128"/>
    </row>
    <row r="152">
      <c r="A152" s="1128"/>
    </row>
    <row r="153">
      <c r="A153" s="1128"/>
    </row>
    <row r="154">
      <c r="A154" s="1128"/>
    </row>
    <row r="155">
      <c r="A155" s="1128"/>
    </row>
    <row r="156">
      <c r="A156" s="1128"/>
    </row>
    <row r="157">
      <c r="A157" s="1128"/>
    </row>
    <row r="158">
      <c r="A158" s="1128"/>
    </row>
    <row r="159">
      <c r="A159" s="1128"/>
    </row>
    <row r="160">
      <c r="A160" s="1128"/>
    </row>
    <row r="161">
      <c r="A161" s="1128"/>
    </row>
    <row r="162">
      <c r="A162" s="1128"/>
    </row>
    <row r="163">
      <c r="A163" s="1128"/>
    </row>
    <row r="164">
      <c r="A164" s="1128"/>
    </row>
    <row r="165">
      <c r="A165" s="1128"/>
    </row>
    <row r="166">
      <c r="A166" s="1128"/>
    </row>
    <row r="167">
      <c r="A167" s="1128"/>
    </row>
    <row r="168">
      <c r="A168" s="1128"/>
    </row>
    <row r="169">
      <c r="A169" s="1128"/>
    </row>
    <row r="170">
      <c r="A170" s="1128"/>
    </row>
    <row r="171">
      <c r="A171" s="1128"/>
    </row>
    <row r="172">
      <c r="A172" s="1128"/>
    </row>
    <row r="173">
      <c r="A173" s="1128"/>
    </row>
    <row r="174">
      <c r="A174" s="1128"/>
    </row>
    <row r="175">
      <c r="A175" s="1128"/>
    </row>
    <row r="176">
      <c r="A176" s="1128"/>
    </row>
    <row r="177">
      <c r="A177" s="1128"/>
    </row>
    <row r="178">
      <c r="A178" s="1128"/>
    </row>
    <row r="179">
      <c r="A179" s="1128"/>
    </row>
    <row r="180">
      <c r="A180" s="1128"/>
    </row>
    <row r="181">
      <c r="A181" s="1128"/>
    </row>
    <row r="182">
      <c r="A182" s="1128"/>
    </row>
    <row r="183">
      <c r="A183" s="1128"/>
    </row>
    <row r="184">
      <c r="A184" s="1128"/>
    </row>
    <row r="185">
      <c r="A185" s="1128"/>
    </row>
    <row r="186">
      <c r="A186" s="1128"/>
    </row>
    <row r="187">
      <c r="A187" s="1128"/>
    </row>
    <row r="188">
      <c r="A188" s="1128"/>
    </row>
    <row r="189">
      <c r="A189" s="1128"/>
    </row>
    <row r="190">
      <c r="A190" s="1128"/>
    </row>
    <row r="191">
      <c r="A191" s="1128"/>
    </row>
    <row r="192">
      <c r="A192" s="1128"/>
    </row>
    <row r="193">
      <c r="A193" s="1128"/>
    </row>
    <row r="194">
      <c r="A194" s="1128"/>
    </row>
    <row r="195">
      <c r="A195" s="1128"/>
    </row>
    <row r="196">
      <c r="A196" s="1128"/>
    </row>
    <row r="197">
      <c r="A197" s="1128"/>
    </row>
    <row r="198">
      <c r="A198" s="1128"/>
    </row>
    <row r="199">
      <c r="A199" s="1128"/>
    </row>
    <row r="200">
      <c r="A200" s="1128"/>
    </row>
    <row r="201">
      <c r="A201" s="1128"/>
    </row>
    <row r="202">
      <c r="A202" s="1128"/>
    </row>
    <row r="203">
      <c r="A203" s="1128"/>
    </row>
    <row r="204">
      <c r="A204" s="1128"/>
    </row>
    <row r="205">
      <c r="A205" s="1128"/>
    </row>
    <row r="206">
      <c r="A206" s="1128"/>
    </row>
    <row r="207">
      <c r="A207" s="1128"/>
    </row>
    <row r="208">
      <c r="A208" s="1128"/>
    </row>
    <row r="209">
      <c r="A209" s="1128"/>
    </row>
    <row r="210">
      <c r="A210" s="1128"/>
    </row>
    <row r="211">
      <c r="A211" s="1128"/>
    </row>
    <row r="212">
      <c r="A212" s="1128"/>
    </row>
    <row r="213">
      <c r="A213" s="1128"/>
    </row>
    <row r="214">
      <c r="A214" s="1128"/>
    </row>
    <row r="215">
      <c r="A215" s="1128"/>
    </row>
    <row r="216">
      <c r="A216" s="1128"/>
    </row>
    <row r="217">
      <c r="A217" s="1128"/>
    </row>
    <row r="218">
      <c r="A218" s="1128"/>
    </row>
    <row r="219">
      <c r="A219" s="1128"/>
    </row>
    <row r="220">
      <c r="A220" s="1128"/>
    </row>
    <row r="221">
      <c r="A221" s="1128"/>
    </row>
    <row r="222">
      <c r="A222" s="1128"/>
    </row>
    <row r="223">
      <c r="A223" s="1128"/>
    </row>
    <row r="224">
      <c r="A224" s="1128"/>
    </row>
    <row r="225">
      <c r="A225" s="1128"/>
    </row>
    <row r="226">
      <c r="A226" s="1128"/>
    </row>
    <row r="227">
      <c r="A227" s="1128"/>
    </row>
    <row r="228">
      <c r="A228" s="1128"/>
    </row>
    <row r="229">
      <c r="A229" s="1128"/>
    </row>
    <row r="230">
      <c r="A230" s="1128"/>
    </row>
    <row r="231">
      <c r="A231" s="1128"/>
    </row>
    <row r="232">
      <c r="A232" s="1128"/>
    </row>
    <row r="233">
      <c r="A233" s="1128"/>
    </row>
    <row r="234">
      <c r="A234" s="1128"/>
    </row>
    <row r="235">
      <c r="A235" s="1128"/>
    </row>
    <row r="236">
      <c r="A236" s="1128"/>
    </row>
    <row r="237">
      <c r="A237" s="1128"/>
    </row>
    <row r="238">
      <c r="A238" s="1128"/>
    </row>
    <row r="239">
      <c r="A239" s="1128"/>
    </row>
    <row r="240">
      <c r="A240" s="1128"/>
    </row>
    <row r="241">
      <c r="A241" s="1128"/>
    </row>
    <row r="242">
      <c r="A242" s="1128"/>
    </row>
    <row r="243">
      <c r="A243" s="1128"/>
    </row>
    <row r="244">
      <c r="A244" s="1128"/>
    </row>
    <row r="245">
      <c r="A245" s="1128"/>
    </row>
    <row r="246">
      <c r="A246" s="1128"/>
    </row>
    <row r="247">
      <c r="A247" s="1128"/>
    </row>
    <row r="248">
      <c r="A248" s="1128"/>
    </row>
    <row r="249">
      <c r="A249" s="1128"/>
    </row>
    <row r="250">
      <c r="A250" s="1128"/>
    </row>
    <row r="251">
      <c r="A251" s="1128"/>
    </row>
    <row r="252">
      <c r="A252" s="1128"/>
    </row>
    <row r="253">
      <c r="A253" s="1128"/>
    </row>
    <row r="254">
      <c r="A254" s="1128"/>
    </row>
    <row r="255">
      <c r="A255" s="1128"/>
    </row>
    <row r="256">
      <c r="A256" s="1128"/>
    </row>
    <row r="257">
      <c r="A257" s="1128"/>
    </row>
    <row r="258">
      <c r="A258" s="1128"/>
    </row>
    <row r="259">
      <c r="A259" s="1128"/>
    </row>
    <row r="260">
      <c r="A260" s="1128"/>
    </row>
    <row r="261">
      <c r="A261" s="1128"/>
    </row>
    <row r="262">
      <c r="A262" s="1128"/>
    </row>
    <row r="263">
      <c r="A263" s="1128"/>
    </row>
    <row r="264">
      <c r="A264" s="1128"/>
    </row>
    <row r="265">
      <c r="A265" s="1128"/>
    </row>
    <row r="266">
      <c r="A266" s="1128"/>
    </row>
    <row r="267">
      <c r="A267" s="1128"/>
    </row>
    <row r="268">
      <c r="A268" s="1128"/>
    </row>
    <row r="269">
      <c r="A269" s="1128"/>
    </row>
    <row r="270">
      <c r="A270" s="1128"/>
    </row>
    <row r="271">
      <c r="A271" s="1128"/>
    </row>
    <row r="272">
      <c r="A272" s="1128"/>
    </row>
    <row r="273">
      <c r="A273" s="1128"/>
    </row>
    <row r="274">
      <c r="A274" s="1128"/>
    </row>
    <row r="275">
      <c r="A275" s="1128"/>
    </row>
    <row r="276">
      <c r="A276" s="1128"/>
    </row>
    <row r="277">
      <c r="A277" s="1128"/>
    </row>
    <row r="278">
      <c r="A278" s="1128"/>
    </row>
    <row r="279">
      <c r="A279" s="1128"/>
    </row>
    <row r="280">
      <c r="A280" s="1128"/>
    </row>
    <row r="281">
      <c r="A281" s="1128"/>
    </row>
    <row r="282">
      <c r="A282" s="1128"/>
    </row>
    <row r="283">
      <c r="A283" s="1128"/>
    </row>
    <row r="284">
      <c r="A284" s="1128"/>
    </row>
    <row r="285">
      <c r="A285" s="1128"/>
    </row>
    <row r="286">
      <c r="A286" s="1128"/>
    </row>
    <row r="287">
      <c r="A287" s="1128"/>
    </row>
    <row r="288">
      <c r="A288" s="1128"/>
    </row>
    <row r="289">
      <c r="A289" s="1128"/>
    </row>
    <row r="290">
      <c r="A290" s="1128"/>
    </row>
    <row r="291">
      <c r="A291" s="1128"/>
    </row>
    <row r="292">
      <c r="A292" s="1128"/>
    </row>
    <row r="293">
      <c r="A293" s="1128"/>
    </row>
    <row r="294">
      <c r="A294" s="1128"/>
    </row>
    <row r="295">
      <c r="A295" s="1128"/>
    </row>
    <row r="296">
      <c r="A296" s="1128"/>
    </row>
    <row r="297">
      <c r="A297" s="1128"/>
    </row>
    <row r="298">
      <c r="A298" s="1128"/>
    </row>
    <row r="299">
      <c r="A299" s="1128"/>
    </row>
    <row r="300">
      <c r="A300" s="1128"/>
    </row>
    <row r="301">
      <c r="A301" s="1128"/>
    </row>
    <row r="302">
      <c r="A302" s="1128"/>
    </row>
    <row r="303">
      <c r="A303" s="1128"/>
    </row>
    <row r="304">
      <c r="A304" s="1128"/>
    </row>
    <row r="305">
      <c r="A305" s="1128"/>
    </row>
    <row r="306">
      <c r="A306" s="1128"/>
    </row>
    <row r="307">
      <c r="A307" s="1128"/>
    </row>
    <row r="308">
      <c r="A308" s="1128"/>
    </row>
    <row r="309">
      <c r="A309" s="1128"/>
    </row>
    <row r="310">
      <c r="A310" s="1128"/>
    </row>
    <row r="311">
      <c r="A311" s="1128"/>
    </row>
    <row r="312">
      <c r="A312" s="1128"/>
    </row>
    <row r="313">
      <c r="A313" s="1128"/>
    </row>
    <row r="314">
      <c r="A314" s="1128"/>
    </row>
    <row r="315">
      <c r="A315" s="1128"/>
    </row>
    <row r="316">
      <c r="A316" s="1128"/>
    </row>
    <row r="317">
      <c r="A317" s="1128"/>
    </row>
    <row r="318">
      <c r="A318" s="1128"/>
    </row>
    <row r="319">
      <c r="A319" s="1128"/>
    </row>
    <row r="320">
      <c r="A320" s="1128"/>
    </row>
    <row r="321">
      <c r="A321" s="1128"/>
    </row>
    <row r="322">
      <c r="A322" s="1128"/>
    </row>
    <row r="323">
      <c r="A323" s="1128"/>
    </row>
    <row r="324">
      <c r="A324" s="1128"/>
    </row>
    <row r="325">
      <c r="A325" s="1128"/>
    </row>
    <row r="326">
      <c r="A326" s="1128"/>
    </row>
    <row r="327">
      <c r="A327" s="1128"/>
    </row>
    <row r="328">
      <c r="A328" s="1128"/>
    </row>
    <row r="329">
      <c r="A329" s="1128"/>
    </row>
    <row r="330">
      <c r="A330" s="1128"/>
    </row>
    <row r="331">
      <c r="A331" s="1128"/>
    </row>
    <row r="332">
      <c r="A332" s="1128"/>
    </row>
    <row r="333">
      <c r="A333" s="1128"/>
    </row>
    <row r="334">
      <c r="A334" s="1128"/>
    </row>
    <row r="335">
      <c r="A335" s="1128"/>
    </row>
    <row r="336">
      <c r="A336" s="1128"/>
    </row>
    <row r="337">
      <c r="A337" s="1128"/>
    </row>
    <row r="338">
      <c r="A338" s="1128"/>
    </row>
    <row r="339">
      <c r="A339" s="1128"/>
    </row>
    <row r="340">
      <c r="A340" s="1128"/>
    </row>
    <row r="341">
      <c r="A341" s="1128"/>
    </row>
    <row r="342">
      <c r="A342" s="1128"/>
    </row>
    <row r="343">
      <c r="A343" s="1128"/>
    </row>
    <row r="344">
      <c r="A344" s="1128"/>
    </row>
    <row r="345">
      <c r="A345" s="1128"/>
    </row>
    <row r="346">
      <c r="A346" s="1128"/>
    </row>
    <row r="347">
      <c r="A347" s="1128"/>
    </row>
    <row r="348">
      <c r="A348" s="1128"/>
    </row>
    <row r="349">
      <c r="A349" s="1128"/>
    </row>
    <row r="350">
      <c r="A350" s="1128"/>
    </row>
    <row r="351">
      <c r="A351" s="1128"/>
    </row>
    <row r="352">
      <c r="A352" s="1128"/>
    </row>
    <row r="353">
      <c r="A353" s="1128"/>
    </row>
    <row r="354">
      <c r="A354" s="1128"/>
    </row>
    <row r="355">
      <c r="A355" s="1128"/>
    </row>
    <row r="356">
      <c r="A356" s="1128"/>
    </row>
    <row r="357">
      <c r="A357" s="1128"/>
    </row>
    <row r="358">
      <c r="A358" s="1128"/>
    </row>
    <row r="359">
      <c r="A359" s="1128"/>
    </row>
    <row r="360">
      <c r="A360" s="1128"/>
    </row>
    <row r="361">
      <c r="A361" s="1128"/>
    </row>
    <row r="362">
      <c r="A362" s="1128"/>
    </row>
    <row r="363">
      <c r="A363" s="1128"/>
    </row>
    <row r="364">
      <c r="A364" s="1128"/>
    </row>
    <row r="365">
      <c r="A365" s="1128"/>
    </row>
    <row r="366">
      <c r="A366" s="1128"/>
    </row>
    <row r="367">
      <c r="A367" s="1128"/>
    </row>
    <row r="368">
      <c r="A368" s="1128"/>
    </row>
    <row r="369">
      <c r="A369" s="1128"/>
    </row>
    <row r="370">
      <c r="A370" s="1128"/>
    </row>
    <row r="371">
      <c r="A371" s="1128"/>
    </row>
    <row r="372">
      <c r="A372" s="1128"/>
    </row>
    <row r="373">
      <c r="A373" s="1128"/>
    </row>
    <row r="374">
      <c r="A374" s="1128"/>
    </row>
    <row r="375">
      <c r="A375" s="1128"/>
    </row>
    <row r="376">
      <c r="A376" s="1128"/>
    </row>
    <row r="377">
      <c r="A377" s="1128"/>
    </row>
    <row r="378">
      <c r="A378" s="1128"/>
    </row>
    <row r="379">
      <c r="A379" s="1128"/>
    </row>
    <row r="380">
      <c r="A380" s="1128"/>
    </row>
    <row r="381">
      <c r="A381" s="1128"/>
    </row>
    <row r="382">
      <c r="A382" s="1128"/>
    </row>
    <row r="383">
      <c r="A383" s="1128"/>
    </row>
    <row r="384">
      <c r="A384" s="1128"/>
    </row>
    <row r="385">
      <c r="A385" s="1128"/>
    </row>
    <row r="386">
      <c r="A386" s="1128"/>
    </row>
    <row r="387">
      <c r="A387" s="1128"/>
    </row>
    <row r="388">
      <c r="A388" s="1128"/>
    </row>
    <row r="389">
      <c r="A389" s="1128"/>
    </row>
    <row r="390">
      <c r="A390" s="1128"/>
    </row>
    <row r="391">
      <c r="A391" s="1128"/>
    </row>
    <row r="392">
      <c r="A392" s="1128"/>
    </row>
    <row r="393">
      <c r="A393" s="1128"/>
    </row>
    <row r="394">
      <c r="A394" s="1128"/>
    </row>
    <row r="395">
      <c r="A395" s="1128"/>
    </row>
    <row r="396">
      <c r="A396" s="1128"/>
    </row>
    <row r="397">
      <c r="A397" s="1128"/>
    </row>
    <row r="398">
      <c r="A398" s="1128"/>
    </row>
    <row r="399">
      <c r="A399" s="1128"/>
    </row>
    <row r="400">
      <c r="A400" s="1128"/>
    </row>
    <row r="401">
      <c r="A401" s="1128"/>
    </row>
    <row r="402">
      <c r="A402" s="1128"/>
    </row>
    <row r="403">
      <c r="A403" s="1128"/>
    </row>
    <row r="404">
      <c r="A404" s="1128"/>
    </row>
    <row r="405">
      <c r="A405" s="1128"/>
    </row>
    <row r="406">
      <c r="A406" s="1128"/>
    </row>
    <row r="407">
      <c r="A407" s="1128"/>
    </row>
    <row r="408">
      <c r="A408" s="1128"/>
    </row>
    <row r="409">
      <c r="A409" s="1128"/>
    </row>
    <row r="410">
      <c r="A410" s="1128"/>
    </row>
    <row r="411">
      <c r="A411" s="1128"/>
    </row>
    <row r="412">
      <c r="A412" s="1128"/>
    </row>
    <row r="413">
      <c r="A413" s="1128"/>
    </row>
    <row r="414">
      <c r="A414" s="1128"/>
    </row>
    <row r="415">
      <c r="A415" s="1128"/>
    </row>
    <row r="416">
      <c r="A416" s="1128"/>
    </row>
    <row r="417">
      <c r="A417" s="1128"/>
    </row>
    <row r="418">
      <c r="A418" s="1128"/>
    </row>
    <row r="419">
      <c r="A419" s="1128"/>
    </row>
    <row r="420">
      <c r="A420" s="1128"/>
    </row>
    <row r="421">
      <c r="A421" s="1128"/>
    </row>
    <row r="422">
      <c r="A422" s="1128"/>
    </row>
    <row r="423">
      <c r="A423" s="1128"/>
    </row>
    <row r="424">
      <c r="A424" s="1128"/>
    </row>
    <row r="425">
      <c r="A425" s="1128"/>
    </row>
    <row r="426">
      <c r="A426" s="1128"/>
    </row>
    <row r="427">
      <c r="A427" s="1128"/>
    </row>
    <row r="428">
      <c r="A428" s="1128"/>
    </row>
    <row r="429">
      <c r="A429" s="1128"/>
    </row>
    <row r="430">
      <c r="A430" s="1128"/>
    </row>
    <row r="431">
      <c r="A431" s="1128"/>
    </row>
    <row r="432">
      <c r="A432" s="1128"/>
    </row>
    <row r="433">
      <c r="A433" s="1128"/>
    </row>
    <row r="434">
      <c r="A434" s="1128"/>
    </row>
    <row r="435">
      <c r="A435" s="1128"/>
    </row>
    <row r="436">
      <c r="A436" s="1128"/>
    </row>
    <row r="437">
      <c r="A437" s="1128"/>
    </row>
    <row r="438">
      <c r="A438" s="1128"/>
    </row>
    <row r="439">
      <c r="A439" s="1128"/>
    </row>
    <row r="440">
      <c r="A440" s="1128"/>
    </row>
    <row r="441">
      <c r="A441" s="1128"/>
    </row>
    <row r="442">
      <c r="A442" s="1128"/>
    </row>
    <row r="443">
      <c r="A443" s="1128"/>
    </row>
    <row r="444">
      <c r="A444" s="1128"/>
    </row>
    <row r="445">
      <c r="A445" s="1128"/>
    </row>
    <row r="446">
      <c r="A446" s="1128"/>
    </row>
    <row r="447">
      <c r="A447" s="1128"/>
    </row>
    <row r="448">
      <c r="A448" s="1128"/>
    </row>
    <row r="449">
      <c r="A449" s="1128"/>
    </row>
    <row r="450">
      <c r="A450" s="1128"/>
    </row>
    <row r="451">
      <c r="A451" s="1128"/>
    </row>
    <row r="452">
      <c r="A452" s="1128"/>
    </row>
    <row r="453">
      <c r="A453" s="1128"/>
    </row>
    <row r="454">
      <c r="A454" s="1128"/>
    </row>
    <row r="455">
      <c r="A455" s="1128"/>
    </row>
    <row r="456">
      <c r="A456" s="1128"/>
    </row>
    <row r="457">
      <c r="A457" s="1128"/>
    </row>
    <row r="458">
      <c r="A458" s="1128"/>
    </row>
    <row r="459">
      <c r="A459" s="1128"/>
    </row>
    <row r="460">
      <c r="A460" s="1128"/>
    </row>
    <row r="461">
      <c r="A461" s="1128"/>
    </row>
    <row r="462">
      <c r="A462" s="1128"/>
    </row>
    <row r="463">
      <c r="A463" s="1128"/>
    </row>
    <row r="464">
      <c r="A464" s="1128"/>
    </row>
    <row r="465">
      <c r="A465" s="1128"/>
    </row>
    <row r="466">
      <c r="A466" s="1128"/>
    </row>
    <row r="467">
      <c r="A467" s="1128"/>
    </row>
    <row r="468">
      <c r="A468" s="1128"/>
    </row>
    <row r="469">
      <c r="A469" s="1128"/>
    </row>
    <row r="470">
      <c r="A470" s="1128"/>
    </row>
    <row r="471">
      <c r="A471" s="1128"/>
    </row>
    <row r="472">
      <c r="A472" s="1128"/>
    </row>
    <row r="473">
      <c r="A473" s="1128"/>
    </row>
    <row r="474">
      <c r="A474" s="1128"/>
    </row>
    <row r="475">
      <c r="A475" s="1128"/>
    </row>
    <row r="476">
      <c r="A476" s="1128"/>
    </row>
    <row r="477">
      <c r="A477" s="1128"/>
    </row>
    <row r="478">
      <c r="A478" s="1128"/>
    </row>
    <row r="479">
      <c r="A479" s="1128"/>
    </row>
    <row r="480">
      <c r="A480" s="1128"/>
    </row>
    <row r="481">
      <c r="A481" s="1128"/>
    </row>
    <row r="482">
      <c r="A482" s="1128"/>
    </row>
    <row r="483">
      <c r="A483" s="1128"/>
    </row>
    <row r="484">
      <c r="A484" s="1128"/>
    </row>
    <row r="485">
      <c r="A485" s="1128"/>
    </row>
    <row r="486">
      <c r="A486" s="1128"/>
    </row>
    <row r="487">
      <c r="A487" s="1128"/>
    </row>
    <row r="488">
      <c r="A488" s="1128"/>
    </row>
    <row r="489">
      <c r="A489" s="1128"/>
    </row>
    <row r="490">
      <c r="A490" s="1128"/>
    </row>
    <row r="491">
      <c r="A491" s="1128"/>
    </row>
    <row r="492">
      <c r="A492" s="1128"/>
    </row>
    <row r="493">
      <c r="A493" s="1128"/>
    </row>
    <row r="494">
      <c r="A494" s="1128"/>
    </row>
    <row r="495">
      <c r="A495" s="1128"/>
    </row>
    <row r="496">
      <c r="A496" s="1128"/>
    </row>
    <row r="497">
      <c r="A497" s="1128"/>
    </row>
    <row r="498">
      <c r="A498" s="1128"/>
    </row>
    <row r="499">
      <c r="A499" s="1128"/>
    </row>
    <row r="500">
      <c r="A500" s="1128"/>
    </row>
    <row r="501">
      <c r="A501" s="1128"/>
    </row>
    <row r="502">
      <c r="A502" s="1128"/>
    </row>
    <row r="503">
      <c r="A503" s="1128"/>
    </row>
    <row r="504">
      <c r="A504" s="1128"/>
    </row>
    <row r="505">
      <c r="A505" s="1128"/>
    </row>
    <row r="506">
      <c r="A506" s="1128"/>
    </row>
    <row r="507">
      <c r="A507" s="1128"/>
    </row>
    <row r="508">
      <c r="A508" s="1128"/>
    </row>
    <row r="509">
      <c r="A509" s="1128"/>
    </row>
    <row r="510">
      <c r="A510" s="1128"/>
    </row>
    <row r="511">
      <c r="A511" s="1128"/>
    </row>
    <row r="512">
      <c r="A512" s="1128"/>
    </row>
    <row r="513">
      <c r="A513" s="1128"/>
    </row>
    <row r="514">
      <c r="A514" s="1128"/>
    </row>
    <row r="515">
      <c r="A515" s="1128"/>
    </row>
    <row r="516">
      <c r="A516" s="1128"/>
    </row>
    <row r="517">
      <c r="A517" s="1128"/>
    </row>
    <row r="518">
      <c r="A518" s="1128"/>
    </row>
    <row r="519">
      <c r="A519" s="1128"/>
    </row>
    <row r="520">
      <c r="A520" s="1128"/>
    </row>
    <row r="521">
      <c r="A521" s="1128"/>
    </row>
    <row r="522">
      <c r="A522" s="1128"/>
    </row>
    <row r="523">
      <c r="A523" s="1128"/>
    </row>
    <row r="524">
      <c r="A524" s="1128"/>
    </row>
    <row r="525">
      <c r="A525" s="1128"/>
    </row>
    <row r="526">
      <c r="A526" s="1128"/>
    </row>
    <row r="527">
      <c r="A527" s="1128"/>
    </row>
    <row r="528">
      <c r="A528" s="1128"/>
    </row>
    <row r="529">
      <c r="A529" s="1128"/>
    </row>
    <row r="530">
      <c r="A530" s="1128"/>
    </row>
    <row r="531">
      <c r="A531" s="1128"/>
    </row>
    <row r="532">
      <c r="A532" s="1128"/>
    </row>
    <row r="533">
      <c r="A533" s="1128"/>
    </row>
    <row r="534">
      <c r="A534" s="1128"/>
    </row>
    <row r="535">
      <c r="A535" s="1128"/>
    </row>
    <row r="536">
      <c r="A536" s="1128"/>
    </row>
    <row r="537">
      <c r="A537" s="1128"/>
    </row>
    <row r="538">
      <c r="A538" s="1128"/>
    </row>
    <row r="539">
      <c r="A539" s="1128"/>
    </row>
    <row r="540">
      <c r="A540" s="1128"/>
    </row>
    <row r="541">
      <c r="A541" s="1128"/>
    </row>
    <row r="542">
      <c r="A542" s="1128"/>
    </row>
    <row r="543">
      <c r="A543" s="1128"/>
    </row>
    <row r="544">
      <c r="A544" s="1128"/>
    </row>
    <row r="545">
      <c r="A545" s="1128"/>
    </row>
    <row r="546">
      <c r="A546" s="1128"/>
    </row>
    <row r="547">
      <c r="A547" s="1128"/>
    </row>
    <row r="548">
      <c r="A548" s="1128"/>
    </row>
    <row r="549">
      <c r="A549" s="1128"/>
    </row>
    <row r="550">
      <c r="A550" s="1128"/>
    </row>
    <row r="551">
      <c r="A551" s="1128"/>
    </row>
    <row r="552">
      <c r="A552" s="1128"/>
    </row>
    <row r="553">
      <c r="A553" s="1128"/>
    </row>
    <row r="554">
      <c r="A554" s="1128"/>
    </row>
    <row r="555">
      <c r="A555" s="1128"/>
    </row>
    <row r="556">
      <c r="A556" s="1128"/>
    </row>
    <row r="557">
      <c r="A557" s="1128"/>
    </row>
    <row r="558">
      <c r="A558" s="1128"/>
    </row>
    <row r="559">
      <c r="A559" s="1128"/>
    </row>
    <row r="560">
      <c r="A560" s="1128"/>
    </row>
    <row r="561">
      <c r="A561" s="1128"/>
    </row>
    <row r="562">
      <c r="A562" s="1128"/>
    </row>
    <row r="563">
      <c r="A563" s="1128"/>
    </row>
    <row r="564">
      <c r="A564" s="1128"/>
    </row>
    <row r="565">
      <c r="A565" s="1128"/>
    </row>
    <row r="566">
      <c r="A566" s="1128"/>
    </row>
    <row r="567">
      <c r="A567" s="1128"/>
    </row>
    <row r="568">
      <c r="A568" s="1128"/>
    </row>
    <row r="569">
      <c r="A569" s="1128"/>
    </row>
    <row r="570">
      <c r="A570" s="1128"/>
    </row>
    <row r="571">
      <c r="A571" s="1128"/>
    </row>
    <row r="572">
      <c r="A572" s="1128"/>
    </row>
    <row r="573">
      <c r="A573" s="1128"/>
    </row>
    <row r="574">
      <c r="A574" s="1128"/>
    </row>
    <row r="575">
      <c r="A575" s="1128"/>
    </row>
    <row r="576">
      <c r="A576" s="1128"/>
    </row>
    <row r="577">
      <c r="A577" s="1128"/>
    </row>
    <row r="578">
      <c r="A578" s="1128"/>
    </row>
    <row r="579">
      <c r="A579" s="1128"/>
    </row>
    <row r="580">
      <c r="A580" s="1128"/>
    </row>
    <row r="581">
      <c r="A581" s="1128"/>
    </row>
    <row r="582">
      <c r="A582" s="1128"/>
    </row>
    <row r="583">
      <c r="A583" s="1128"/>
    </row>
    <row r="584">
      <c r="A584" s="1128"/>
    </row>
    <row r="585">
      <c r="A585" s="1128"/>
    </row>
    <row r="586">
      <c r="A586" s="1128"/>
    </row>
    <row r="587">
      <c r="A587" s="1128"/>
    </row>
    <row r="588">
      <c r="A588" s="1128"/>
    </row>
    <row r="589">
      <c r="A589" s="1128"/>
    </row>
    <row r="590">
      <c r="A590" s="1128"/>
    </row>
    <row r="591">
      <c r="A591" s="1128"/>
    </row>
    <row r="592">
      <c r="A592" s="1128"/>
    </row>
    <row r="593">
      <c r="A593" s="1128"/>
    </row>
    <row r="594">
      <c r="A594" s="1128"/>
    </row>
    <row r="595">
      <c r="A595" s="1128"/>
    </row>
    <row r="596">
      <c r="A596" s="1128"/>
    </row>
    <row r="597">
      <c r="A597" s="1128"/>
    </row>
    <row r="598">
      <c r="A598" s="1128"/>
    </row>
    <row r="599">
      <c r="A599" s="1128"/>
    </row>
    <row r="600">
      <c r="A600" s="1128"/>
    </row>
    <row r="601">
      <c r="A601" s="1128"/>
    </row>
    <row r="602">
      <c r="A602" s="1128"/>
    </row>
    <row r="603">
      <c r="A603" s="1128"/>
    </row>
    <row r="604">
      <c r="A604" s="1128"/>
    </row>
    <row r="605">
      <c r="A605" s="1128"/>
    </row>
    <row r="606">
      <c r="A606" s="1128"/>
    </row>
    <row r="607">
      <c r="A607" s="1128"/>
    </row>
    <row r="608">
      <c r="A608" s="1128"/>
    </row>
    <row r="609">
      <c r="A609" s="1128"/>
    </row>
    <row r="610">
      <c r="A610" s="1128"/>
    </row>
    <row r="611">
      <c r="A611" s="1128"/>
    </row>
    <row r="612">
      <c r="A612" s="1128"/>
    </row>
    <row r="613">
      <c r="A613" s="1128"/>
    </row>
    <row r="614">
      <c r="A614" s="1128"/>
    </row>
    <row r="615">
      <c r="A615" s="1128"/>
    </row>
    <row r="616">
      <c r="A616" s="1128"/>
    </row>
    <row r="617">
      <c r="A617" s="1128"/>
    </row>
    <row r="618">
      <c r="A618" s="1128"/>
    </row>
    <row r="619">
      <c r="A619" s="1128"/>
    </row>
    <row r="620">
      <c r="A620" s="1128"/>
    </row>
    <row r="621">
      <c r="A621" s="1128"/>
    </row>
    <row r="622">
      <c r="A622" s="1128"/>
    </row>
    <row r="623">
      <c r="A623" s="1128"/>
    </row>
    <row r="624">
      <c r="A624" s="1128"/>
    </row>
    <row r="625">
      <c r="A625" s="1128"/>
    </row>
    <row r="626">
      <c r="A626" s="1128"/>
    </row>
    <row r="627">
      <c r="A627" s="1128"/>
    </row>
    <row r="628">
      <c r="A628" s="1128"/>
    </row>
    <row r="629">
      <c r="A629" s="1128"/>
    </row>
    <row r="630">
      <c r="A630" s="1128"/>
    </row>
    <row r="631">
      <c r="A631" s="1128"/>
    </row>
    <row r="632">
      <c r="A632" s="1128"/>
    </row>
    <row r="633">
      <c r="A633" s="1128"/>
    </row>
    <row r="634">
      <c r="A634" s="1128"/>
    </row>
    <row r="635">
      <c r="A635" s="1128"/>
    </row>
    <row r="636">
      <c r="A636" s="1128"/>
    </row>
    <row r="637">
      <c r="A637" s="1128"/>
    </row>
    <row r="638">
      <c r="A638" s="1128"/>
    </row>
    <row r="639">
      <c r="A639" s="1128"/>
    </row>
    <row r="640">
      <c r="A640" s="1128"/>
    </row>
    <row r="641">
      <c r="A641" s="1128"/>
    </row>
    <row r="642">
      <c r="A642" s="1128"/>
    </row>
    <row r="643">
      <c r="A643" s="1128"/>
    </row>
    <row r="644">
      <c r="A644" s="1128"/>
    </row>
    <row r="645">
      <c r="A645" s="1128"/>
    </row>
    <row r="646">
      <c r="A646" s="1128"/>
    </row>
    <row r="647">
      <c r="A647" s="1128"/>
    </row>
    <row r="648">
      <c r="A648" s="1128"/>
    </row>
    <row r="649">
      <c r="A649" s="1128"/>
    </row>
    <row r="650">
      <c r="A650" s="1128"/>
    </row>
    <row r="651">
      <c r="A651" s="1128"/>
    </row>
    <row r="652">
      <c r="A652" s="1128"/>
    </row>
    <row r="653">
      <c r="A653" s="1128"/>
    </row>
    <row r="654">
      <c r="A654" s="1128"/>
    </row>
    <row r="655">
      <c r="A655" s="1128"/>
    </row>
    <row r="656">
      <c r="A656" s="1128"/>
    </row>
    <row r="657">
      <c r="A657" s="1128"/>
    </row>
    <row r="658">
      <c r="A658" s="1128"/>
    </row>
    <row r="659">
      <c r="A659" s="1128"/>
    </row>
    <row r="660">
      <c r="A660" s="1128"/>
    </row>
    <row r="661">
      <c r="A661" s="1128"/>
    </row>
    <row r="662">
      <c r="A662" s="1128"/>
    </row>
    <row r="663">
      <c r="A663" s="1128"/>
    </row>
    <row r="664">
      <c r="A664" s="1128"/>
    </row>
    <row r="665">
      <c r="A665" s="1128"/>
    </row>
    <row r="666">
      <c r="A666" s="1128"/>
    </row>
    <row r="667">
      <c r="A667" s="1128"/>
    </row>
    <row r="668">
      <c r="A668" s="1128"/>
    </row>
    <row r="669">
      <c r="A669" s="1128"/>
    </row>
    <row r="670">
      <c r="A670" s="1128"/>
    </row>
    <row r="671">
      <c r="A671" s="1128"/>
    </row>
    <row r="672">
      <c r="A672" s="1128"/>
    </row>
    <row r="673">
      <c r="A673" s="1128"/>
    </row>
    <row r="674">
      <c r="A674" s="1128"/>
    </row>
    <row r="675">
      <c r="A675" s="1128"/>
    </row>
    <row r="676">
      <c r="A676" s="1128"/>
    </row>
    <row r="677">
      <c r="A677" s="1128"/>
    </row>
    <row r="678">
      <c r="A678" s="1128"/>
    </row>
    <row r="679">
      <c r="A679" s="1128"/>
    </row>
    <row r="680">
      <c r="A680" s="1128"/>
    </row>
    <row r="681">
      <c r="A681" s="1128"/>
    </row>
    <row r="682">
      <c r="A682" s="1128"/>
    </row>
    <row r="683">
      <c r="A683" s="1128"/>
    </row>
    <row r="684">
      <c r="A684" s="1128"/>
    </row>
    <row r="685">
      <c r="A685" s="1128"/>
    </row>
    <row r="686">
      <c r="A686" s="1128"/>
    </row>
    <row r="687">
      <c r="A687" s="1128"/>
    </row>
    <row r="688">
      <c r="A688" s="1128"/>
    </row>
    <row r="689">
      <c r="A689" s="1128"/>
    </row>
    <row r="690">
      <c r="A690" s="1128"/>
    </row>
    <row r="691">
      <c r="A691" s="1128"/>
    </row>
    <row r="692">
      <c r="A692" s="1128"/>
    </row>
    <row r="693">
      <c r="A693" s="1128"/>
    </row>
    <row r="694">
      <c r="A694" s="1128"/>
    </row>
    <row r="695">
      <c r="A695" s="1128"/>
    </row>
    <row r="696">
      <c r="A696" s="1128"/>
    </row>
    <row r="697">
      <c r="A697" s="1128"/>
    </row>
    <row r="698">
      <c r="A698" s="1128"/>
    </row>
    <row r="699">
      <c r="A699" s="1128"/>
    </row>
    <row r="700">
      <c r="A700" s="1128"/>
    </row>
    <row r="701">
      <c r="A701" s="1128"/>
    </row>
    <row r="702">
      <c r="A702" s="1128"/>
    </row>
    <row r="703">
      <c r="A703" s="1128"/>
    </row>
    <row r="704">
      <c r="A704" s="1128"/>
    </row>
    <row r="705">
      <c r="A705" s="1128"/>
    </row>
    <row r="706">
      <c r="A706" s="1128"/>
    </row>
    <row r="707">
      <c r="A707" s="1128"/>
    </row>
    <row r="708">
      <c r="A708" s="1128"/>
    </row>
    <row r="709">
      <c r="A709" s="1128"/>
    </row>
    <row r="710">
      <c r="A710" s="1128"/>
    </row>
    <row r="711">
      <c r="A711" s="1128"/>
    </row>
    <row r="712">
      <c r="A712" s="1128"/>
    </row>
    <row r="713">
      <c r="A713" s="1128"/>
    </row>
    <row r="714">
      <c r="A714" s="1128"/>
    </row>
    <row r="715">
      <c r="A715" s="1128"/>
    </row>
    <row r="716">
      <c r="A716" s="1128"/>
    </row>
    <row r="717">
      <c r="A717" s="1128"/>
    </row>
    <row r="718">
      <c r="A718" s="1128"/>
    </row>
    <row r="719">
      <c r="A719" s="1128"/>
    </row>
    <row r="720">
      <c r="A720" s="1128"/>
    </row>
    <row r="721">
      <c r="A721" s="1128"/>
    </row>
    <row r="722">
      <c r="A722" s="1128"/>
    </row>
    <row r="723">
      <c r="A723" s="1128"/>
    </row>
    <row r="724">
      <c r="A724" s="1128"/>
    </row>
    <row r="725">
      <c r="A725" s="1128"/>
    </row>
    <row r="726">
      <c r="A726" s="1128"/>
    </row>
    <row r="727">
      <c r="A727" s="1128"/>
    </row>
    <row r="728">
      <c r="A728" s="1128"/>
    </row>
    <row r="729">
      <c r="A729" s="1128"/>
    </row>
    <row r="730">
      <c r="A730" s="1128"/>
    </row>
    <row r="731">
      <c r="A731" s="1128"/>
    </row>
    <row r="732">
      <c r="A732" s="1128"/>
    </row>
    <row r="733">
      <c r="A733" s="1128"/>
    </row>
    <row r="734">
      <c r="A734" s="1128"/>
    </row>
    <row r="735">
      <c r="A735" s="1128"/>
    </row>
    <row r="736">
      <c r="A736" s="1128"/>
    </row>
    <row r="737">
      <c r="A737" s="1128"/>
    </row>
    <row r="738">
      <c r="A738" s="1128"/>
    </row>
    <row r="739">
      <c r="A739" s="1128"/>
    </row>
    <row r="740">
      <c r="A740" s="1128"/>
    </row>
    <row r="741">
      <c r="A741" s="1128"/>
    </row>
    <row r="742">
      <c r="A742" s="1128"/>
    </row>
    <row r="743">
      <c r="A743" s="1128"/>
    </row>
    <row r="744">
      <c r="A744" s="1128"/>
    </row>
    <row r="745">
      <c r="A745" s="1128"/>
    </row>
    <row r="746">
      <c r="A746" s="1128"/>
    </row>
    <row r="747">
      <c r="A747" s="1128"/>
    </row>
    <row r="748">
      <c r="A748" s="1128"/>
    </row>
    <row r="749">
      <c r="A749" s="1128"/>
    </row>
    <row r="750">
      <c r="A750" s="1128"/>
    </row>
    <row r="751">
      <c r="A751" s="1128"/>
    </row>
    <row r="752">
      <c r="A752" s="1128"/>
    </row>
    <row r="753">
      <c r="A753" s="1128"/>
    </row>
    <row r="754">
      <c r="A754" s="1128"/>
    </row>
    <row r="755">
      <c r="A755" s="1128"/>
    </row>
    <row r="756">
      <c r="A756" s="1128"/>
    </row>
    <row r="757">
      <c r="A757" s="1128"/>
    </row>
    <row r="758">
      <c r="A758" s="1128"/>
    </row>
    <row r="759">
      <c r="A759" s="1128"/>
    </row>
    <row r="760">
      <c r="A760" s="1128"/>
    </row>
    <row r="761">
      <c r="A761" s="1128"/>
    </row>
    <row r="762">
      <c r="A762" s="1128"/>
    </row>
    <row r="763">
      <c r="A763" s="1128"/>
    </row>
    <row r="764">
      <c r="A764" s="1128"/>
    </row>
    <row r="765">
      <c r="A765" s="1128"/>
    </row>
    <row r="766">
      <c r="A766" s="1128"/>
    </row>
    <row r="767">
      <c r="A767" s="1128"/>
    </row>
    <row r="768">
      <c r="A768" s="1128"/>
    </row>
    <row r="769">
      <c r="A769" s="1128"/>
    </row>
    <row r="770">
      <c r="A770" s="1128"/>
    </row>
    <row r="771">
      <c r="A771" s="1128"/>
    </row>
    <row r="772">
      <c r="A772" s="1128"/>
    </row>
    <row r="773">
      <c r="A773" s="1128"/>
    </row>
    <row r="774">
      <c r="A774" s="1128"/>
    </row>
    <row r="775">
      <c r="A775" s="1128"/>
    </row>
    <row r="776">
      <c r="A776" s="1128"/>
    </row>
    <row r="777">
      <c r="A777" s="1128"/>
    </row>
    <row r="778">
      <c r="A778" s="1128"/>
    </row>
    <row r="779">
      <c r="A779" s="1128"/>
    </row>
    <row r="780">
      <c r="A780" s="1128"/>
    </row>
    <row r="781">
      <c r="A781" s="1128"/>
    </row>
    <row r="782">
      <c r="A782" s="1128"/>
    </row>
    <row r="783">
      <c r="A783" s="1128"/>
    </row>
    <row r="784">
      <c r="A784" s="1128"/>
    </row>
    <row r="785">
      <c r="A785" s="1128"/>
    </row>
    <row r="786">
      <c r="A786" s="1128"/>
    </row>
    <row r="787">
      <c r="A787" s="1128"/>
    </row>
    <row r="788">
      <c r="A788" s="1128"/>
    </row>
    <row r="789">
      <c r="A789" s="1128"/>
    </row>
    <row r="790">
      <c r="A790" s="1128"/>
    </row>
    <row r="791">
      <c r="A791" s="1128"/>
    </row>
    <row r="792">
      <c r="A792" s="1128"/>
    </row>
    <row r="793">
      <c r="A793" s="1128"/>
    </row>
    <row r="794">
      <c r="A794" s="1128"/>
    </row>
    <row r="795">
      <c r="A795" s="1128"/>
    </row>
    <row r="796">
      <c r="A796" s="1128"/>
    </row>
    <row r="797">
      <c r="A797" s="1128"/>
    </row>
    <row r="798">
      <c r="A798" s="1128"/>
    </row>
    <row r="799">
      <c r="A799" s="1128"/>
    </row>
    <row r="800">
      <c r="A800" s="1128"/>
    </row>
    <row r="801">
      <c r="A801" s="1128"/>
    </row>
    <row r="802">
      <c r="A802" s="1128"/>
    </row>
    <row r="803">
      <c r="A803" s="1128"/>
    </row>
    <row r="804">
      <c r="A804" s="1128"/>
    </row>
    <row r="805">
      <c r="A805" s="1128"/>
    </row>
    <row r="806">
      <c r="A806" s="1128"/>
    </row>
    <row r="807">
      <c r="A807" s="1128"/>
    </row>
    <row r="808">
      <c r="A808" s="1128"/>
    </row>
    <row r="809">
      <c r="A809" s="1128"/>
    </row>
    <row r="810">
      <c r="A810" s="1128"/>
    </row>
    <row r="811">
      <c r="A811" s="1128"/>
    </row>
    <row r="812">
      <c r="A812" s="1128"/>
    </row>
    <row r="813">
      <c r="A813" s="1128"/>
    </row>
    <row r="814">
      <c r="A814" s="1128"/>
    </row>
    <row r="815">
      <c r="A815" s="1128"/>
    </row>
    <row r="816">
      <c r="A816" s="1128"/>
    </row>
    <row r="817">
      <c r="A817" s="1128"/>
    </row>
    <row r="818">
      <c r="A818" s="1128"/>
    </row>
    <row r="819">
      <c r="A819" s="1128"/>
    </row>
    <row r="820">
      <c r="A820" s="1128"/>
    </row>
    <row r="821">
      <c r="A821" s="1128"/>
    </row>
    <row r="822">
      <c r="A822" s="1128"/>
    </row>
    <row r="823">
      <c r="A823" s="1128"/>
    </row>
    <row r="824">
      <c r="A824" s="1128"/>
    </row>
    <row r="825">
      <c r="A825" s="1128"/>
    </row>
    <row r="826">
      <c r="A826" s="1128"/>
    </row>
    <row r="827">
      <c r="A827" s="1128"/>
    </row>
    <row r="828">
      <c r="A828" s="1128"/>
    </row>
    <row r="829">
      <c r="A829" s="1128"/>
    </row>
    <row r="830">
      <c r="A830" s="1128"/>
    </row>
    <row r="831">
      <c r="A831" s="1128"/>
    </row>
    <row r="832">
      <c r="A832" s="1128"/>
    </row>
    <row r="833">
      <c r="A833" s="1128"/>
    </row>
    <row r="834">
      <c r="A834" s="1128"/>
    </row>
    <row r="835">
      <c r="A835" s="1128"/>
    </row>
    <row r="836">
      <c r="A836" s="1128"/>
    </row>
    <row r="837">
      <c r="A837" s="1128"/>
    </row>
    <row r="838">
      <c r="A838" s="1128"/>
    </row>
    <row r="839">
      <c r="A839" s="1128"/>
    </row>
    <row r="840">
      <c r="A840" s="1128"/>
    </row>
    <row r="841">
      <c r="A841" s="1128"/>
    </row>
    <row r="842">
      <c r="A842" s="1128"/>
    </row>
    <row r="843">
      <c r="A843" s="1128"/>
    </row>
    <row r="844">
      <c r="A844" s="1128"/>
    </row>
    <row r="845">
      <c r="A845" s="1128"/>
    </row>
    <row r="846">
      <c r="A846" s="1128"/>
    </row>
    <row r="847">
      <c r="A847" s="1128"/>
    </row>
    <row r="848">
      <c r="A848" s="1128"/>
    </row>
    <row r="849">
      <c r="A849" s="1128"/>
    </row>
    <row r="850">
      <c r="A850" s="1128"/>
    </row>
    <row r="851">
      <c r="A851" s="1128"/>
    </row>
    <row r="852">
      <c r="A852" s="1128"/>
    </row>
    <row r="853">
      <c r="A853" s="1128"/>
    </row>
    <row r="854">
      <c r="A854" s="1128"/>
    </row>
    <row r="855">
      <c r="A855" s="1128"/>
    </row>
    <row r="856">
      <c r="A856" s="1128"/>
    </row>
    <row r="857">
      <c r="A857" s="1128"/>
    </row>
    <row r="858">
      <c r="A858" s="1128"/>
    </row>
    <row r="859">
      <c r="A859" s="1128"/>
    </row>
    <row r="860">
      <c r="A860" s="1128"/>
    </row>
    <row r="861">
      <c r="A861" s="1128"/>
    </row>
    <row r="862">
      <c r="A862" s="1128"/>
    </row>
    <row r="863">
      <c r="A863" s="1128"/>
    </row>
    <row r="864">
      <c r="A864" s="1128"/>
    </row>
    <row r="865">
      <c r="A865" s="1128"/>
    </row>
    <row r="866">
      <c r="A866" s="1128"/>
    </row>
    <row r="867">
      <c r="A867" s="1128"/>
    </row>
    <row r="868">
      <c r="A868" s="1128"/>
    </row>
    <row r="869">
      <c r="A869" s="1128"/>
    </row>
    <row r="870">
      <c r="A870" s="1128"/>
    </row>
    <row r="871">
      <c r="A871" s="1128"/>
    </row>
    <row r="872">
      <c r="A872" s="1128"/>
    </row>
    <row r="873">
      <c r="A873" s="1128"/>
    </row>
    <row r="874">
      <c r="A874" s="1128"/>
    </row>
    <row r="875">
      <c r="A875" s="1128"/>
    </row>
    <row r="876">
      <c r="A876" s="1128"/>
    </row>
    <row r="877">
      <c r="A877" s="1128"/>
    </row>
    <row r="878">
      <c r="A878" s="1128"/>
    </row>
    <row r="879">
      <c r="A879" s="1128"/>
    </row>
    <row r="880">
      <c r="A880" s="1128"/>
    </row>
    <row r="881">
      <c r="A881" s="1128"/>
    </row>
    <row r="882">
      <c r="A882" s="1128"/>
    </row>
    <row r="883">
      <c r="A883" s="1128"/>
    </row>
    <row r="884">
      <c r="A884" s="1128"/>
    </row>
    <row r="885">
      <c r="A885" s="1128"/>
    </row>
    <row r="886">
      <c r="A886" s="1128"/>
    </row>
    <row r="887">
      <c r="A887" s="1128"/>
    </row>
    <row r="888">
      <c r="A888" s="1128"/>
    </row>
    <row r="889">
      <c r="A889" s="1128"/>
    </row>
    <row r="890">
      <c r="A890" s="1128"/>
    </row>
    <row r="891">
      <c r="A891" s="1128"/>
    </row>
    <row r="892">
      <c r="A892" s="1128"/>
    </row>
    <row r="893">
      <c r="A893" s="1128"/>
    </row>
    <row r="894">
      <c r="A894" s="1128"/>
    </row>
    <row r="895">
      <c r="A895" s="1128"/>
    </row>
    <row r="896">
      <c r="A896" s="1128"/>
    </row>
    <row r="897">
      <c r="A897" s="1128"/>
    </row>
    <row r="898">
      <c r="A898" s="1128"/>
    </row>
    <row r="899">
      <c r="A899" s="1128"/>
    </row>
    <row r="900">
      <c r="A900" s="1128"/>
    </row>
    <row r="901">
      <c r="A901" s="1128"/>
    </row>
    <row r="902">
      <c r="A902" s="1128"/>
    </row>
    <row r="903">
      <c r="A903" s="1128"/>
    </row>
    <row r="904">
      <c r="A904" s="1128"/>
    </row>
    <row r="905">
      <c r="A905" s="1128"/>
    </row>
    <row r="906">
      <c r="A906" s="1128"/>
    </row>
    <row r="907">
      <c r="A907" s="1128"/>
    </row>
    <row r="908">
      <c r="A908" s="1128"/>
    </row>
    <row r="909">
      <c r="A909" s="1128"/>
    </row>
    <row r="910">
      <c r="A910" s="1128"/>
    </row>
    <row r="911">
      <c r="A911" s="1128"/>
    </row>
    <row r="912">
      <c r="A912" s="1128"/>
    </row>
    <row r="913">
      <c r="A913" s="1128"/>
    </row>
    <row r="914">
      <c r="A914" s="1128"/>
    </row>
    <row r="915">
      <c r="A915" s="1128"/>
    </row>
    <row r="916">
      <c r="A916" s="1128"/>
    </row>
    <row r="917">
      <c r="A917" s="1128"/>
    </row>
    <row r="918">
      <c r="A918" s="1128"/>
    </row>
    <row r="919">
      <c r="A919" s="1128"/>
    </row>
    <row r="920">
      <c r="A920" s="1128"/>
    </row>
    <row r="921">
      <c r="A921" s="1128"/>
    </row>
    <row r="922">
      <c r="A922" s="1128"/>
    </row>
    <row r="923">
      <c r="A923" s="1128"/>
    </row>
    <row r="924">
      <c r="A924" s="1128"/>
    </row>
    <row r="925">
      <c r="A925" s="1128"/>
    </row>
    <row r="926">
      <c r="A926" s="1128"/>
    </row>
    <row r="927">
      <c r="A927" s="1128"/>
    </row>
    <row r="928">
      <c r="A928" s="1128"/>
    </row>
    <row r="929">
      <c r="A929" s="1128"/>
    </row>
    <row r="930">
      <c r="A930" s="1128"/>
    </row>
    <row r="931">
      <c r="A931" s="1128"/>
    </row>
    <row r="932">
      <c r="A932" s="1128"/>
    </row>
    <row r="933">
      <c r="A933" s="1128"/>
    </row>
    <row r="934">
      <c r="A934" s="1128"/>
    </row>
    <row r="935">
      <c r="A935" s="1128"/>
    </row>
    <row r="936">
      <c r="A936" s="1128"/>
    </row>
    <row r="937">
      <c r="A937" s="1128"/>
    </row>
    <row r="938">
      <c r="A938" s="1128"/>
    </row>
    <row r="939">
      <c r="A939" s="1128"/>
    </row>
    <row r="940">
      <c r="A940" s="1128"/>
    </row>
    <row r="941">
      <c r="A941" s="1128"/>
    </row>
    <row r="942">
      <c r="A942" s="1128"/>
    </row>
    <row r="943">
      <c r="A943" s="1128"/>
    </row>
    <row r="944">
      <c r="A944" s="1128"/>
    </row>
    <row r="945">
      <c r="A945" s="1128"/>
    </row>
    <row r="946">
      <c r="A946" s="1128"/>
    </row>
    <row r="947">
      <c r="A947" s="1128"/>
    </row>
    <row r="948">
      <c r="A948" s="1128"/>
    </row>
    <row r="949">
      <c r="A949" s="1128"/>
    </row>
    <row r="950">
      <c r="A950" s="1128"/>
    </row>
    <row r="951">
      <c r="A951" s="1128"/>
    </row>
    <row r="952">
      <c r="A952" s="1128"/>
    </row>
    <row r="953">
      <c r="A953" s="1128"/>
    </row>
    <row r="954">
      <c r="A954" s="1128"/>
    </row>
    <row r="955">
      <c r="A955" s="1128"/>
    </row>
    <row r="956">
      <c r="A956" s="1128"/>
    </row>
    <row r="957">
      <c r="A957" s="1128"/>
    </row>
    <row r="958">
      <c r="A958" s="1128"/>
    </row>
    <row r="959">
      <c r="A959" s="1128"/>
    </row>
    <row r="960">
      <c r="A960" s="1128"/>
    </row>
    <row r="961">
      <c r="A961" s="1128"/>
    </row>
    <row r="962">
      <c r="A962" s="1128"/>
    </row>
    <row r="963">
      <c r="A963" s="1128"/>
    </row>
    <row r="964">
      <c r="A964" s="1128"/>
    </row>
    <row r="965">
      <c r="A965" s="1128"/>
    </row>
    <row r="966">
      <c r="A966" s="1128"/>
    </row>
    <row r="967">
      <c r="A967" s="1128"/>
    </row>
    <row r="968">
      <c r="A968" s="1128"/>
    </row>
    <row r="969">
      <c r="A969" s="1128"/>
    </row>
    <row r="970">
      <c r="A970" s="1128"/>
    </row>
    <row r="971">
      <c r="A971" s="1128"/>
    </row>
    <row r="972">
      <c r="A972" s="1128"/>
    </row>
    <row r="973">
      <c r="A973" s="1128"/>
    </row>
    <row r="974">
      <c r="A974" s="1128"/>
    </row>
    <row r="975">
      <c r="A975" s="1128"/>
    </row>
    <row r="976">
      <c r="A976" s="1128"/>
    </row>
    <row r="977">
      <c r="A977" s="1128"/>
    </row>
    <row r="978">
      <c r="A978" s="1128"/>
    </row>
    <row r="979">
      <c r="A979" s="1128"/>
    </row>
    <row r="980">
      <c r="A980" s="1128"/>
    </row>
    <row r="981">
      <c r="A981" s="1128"/>
    </row>
    <row r="982">
      <c r="A982" s="1128"/>
    </row>
    <row r="983">
      <c r="A983" s="1128"/>
    </row>
    <row r="984">
      <c r="A984" s="1128"/>
    </row>
    <row r="985">
      <c r="A985" s="1128"/>
    </row>
    <row r="986">
      <c r="A986" s="1128"/>
    </row>
    <row r="987">
      <c r="A987" s="1128"/>
    </row>
    <row r="988">
      <c r="A988" s="1128"/>
    </row>
    <row r="989">
      <c r="A989" s="1128"/>
    </row>
    <row r="990">
      <c r="A990" s="1128"/>
    </row>
    <row r="991">
      <c r="A991" s="1128"/>
    </row>
    <row r="992">
      <c r="A992" s="1128"/>
    </row>
    <row r="993">
      <c r="A993" s="1128"/>
    </row>
    <row r="994">
      <c r="A994" s="1128"/>
    </row>
    <row r="995">
      <c r="A995" s="1128"/>
    </row>
    <row r="996">
      <c r="A996" s="1128"/>
    </row>
    <row r="997">
      <c r="A997" s="1128"/>
    </row>
    <row r="998">
      <c r="A998" s="1128"/>
    </row>
    <row r="999">
      <c r="A999" s="1128"/>
    </row>
    <row r="1000">
      <c r="A1000" s="1128"/>
    </row>
    <row r="1001">
      <c r="A1001" s="1128"/>
    </row>
    <row r="1002">
      <c r="A1002" s="1128"/>
    </row>
    <row r="1003">
      <c r="A1003" s="1128"/>
    </row>
    <row r="1004">
      <c r="A1004" s="1128"/>
    </row>
    <row r="1005">
      <c r="A1005" s="1128"/>
    </row>
  </sheetData>
  <autoFilter ref="$A$1:$Z$3"/>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outlineLevelRow="1"/>
  <cols>
    <col customWidth="1" min="1" max="1" width="10.0"/>
    <col customWidth="1" min="2" max="2" width="18.38"/>
    <col customWidth="1" min="3" max="11" width="24.63"/>
  </cols>
  <sheetData>
    <row r="1">
      <c r="A1" s="1696" t="s">
        <v>15432</v>
      </c>
      <c r="B1" s="1296" t="s">
        <v>15433</v>
      </c>
      <c r="C1" s="1296" t="s">
        <v>1</v>
      </c>
      <c r="D1" s="1298" t="s">
        <v>12249</v>
      </c>
      <c r="E1" s="1298" t="s">
        <v>13272</v>
      </c>
      <c r="F1" s="1298" t="s">
        <v>4</v>
      </c>
      <c r="G1" s="1298" t="s">
        <v>5</v>
      </c>
      <c r="H1" s="1298" t="s">
        <v>15434</v>
      </c>
      <c r="I1" s="1296" t="s">
        <v>14213</v>
      </c>
      <c r="J1" s="1299"/>
      <c r="K1" s="1299"/>
    </row>
    <row r="2">
      <c r="A2" s="1310" t="s">
        <v>14217</v>
      </c>
      <c r="B2" s="36"/>
      <c r="C2" s="36"/>
      <c r="D2" s="36"/>
      <c r="E2" s="36"/>
      <c r="F2" s="36"/>
      <c r="G2" s="36"/>
      <c r="H2" s="36"/>
      <c r="I2" s="13"/>
      <c r="J2" s="1311"/>
      <c r="K2" s="1311"/>
    </row>
    <row r="3">
      <c r="A3" s="1312" t="s">
        <v>15435</v>
      </c>
      <c r="B3" s="1315"/>
      <c r="C3" s="1315"/>
      <c r="D3" s="1315"/>
      <c r="E3" s="1315"/>
      <c r="F3" s="1315"/>
      <c r="G3" s="1315"/>
      <c r="H3" s="1315"/>
      <c r="I3" s="1315"/>
      <c r="J3" s="1318"/>
      <c r="K3" s="1318"/>
    </row>
    <row r="4">
      <c r="A4" s="1312">
        <v>4.0</v>
      </c>
      <c r="B4" s="1313"/>
      <c r="C4" s="1314" t="s">
        <v>14218</v>
      </c>
      <c r="D4" s="1315" t="s">
        <v>14218</v>
      </c>
      <c r="E4" s="1316"/>
      <c r="F4" s="1316"/>
      <c r="G4" s="1316"/>
      <c r="H4" s="1317" t="s">
        <v>14219</v>
      </c>
      <c r="I4" s="1315"/>
      <c r="J4" s="1318"/>
      <c r="K4" s="1318"/>
    </row>
    <row r="5">
      <c r="A5" s="1312">
        <v>8.0</v>
      </c>
      <c r="B5" s="1313"/>
      <c r="C5" s="1319" t="s">
        <v>14220</v>
      </c>
      <c r="D5" s="1315"/>
      <c r="E5" s="1316"/>
      <c r="F5" s="1316"/>
      <c r="G5" s="1316"/>
      <c r="H5" s="1316"/>
      <c r="I5" s="1315"/>
      <c r="J5" s="1318"/>
      <c r="K5" s="1318"/>
    </row>
    <row r="6">
      <c r="A6" s="1312">
        <v>17.0</v>
      </c>
      <c r="B6" s="1313"/>
      <c r="C6" s="1323" t="s">
        <v>14223</v>
      </c>
      <c r="D6" s="1315" t="s">
        <v>14224</v>
      </c>
      <c r="E6" s="1326" t="s">
        <v>14225</v>
      </c>
      <c r="F6" s="13"/>
      <c r="G6" s="1324" t="s">
        <v>14226</v>
      </c>
      <c r="H6" s="1316"/>
      <c r="I6" s="1315"/>
      <c r="J6" s="1318"/>
      <c r="K6" s="1318"/>
    </row>
    <row r="7">
      <c r="A7" s="1312"/>
      <c r="B7" s="1315"/>
      <c r="C7" s="1315"/>
      <c r="D7" s="1327" t="s">
        <v>14227</v>
      </c>
      <c r="E7" s="36"/>
      <c r="F7" s="36"/>
      <c r="G7" s="1328"/>
      <c r="H7" s="1315"/>
      <c r="I7" s="1315"/>
      <c r="J7" s="1318"/>
      <c r="K7" s="1318"/>
    </row>
    <row r="8">
      <c r="A8" s="1312"/>
      <c r="B8" s="1315"/>
      <c r="C8" s="1315"/>
      <c r="D8" s="1329"/>
      <c r="E8" s="1315"/>
      <c r="F8" s="1327" t="s">
        <v>14228</v>
      </c>
      <c r="G8" s="13"/>
      <c r="H8" s="1315"/>
      <c r="I8" s="1315"/>
      <c r="J8" s="1318"/>
      <c r="K8" s="1318"/>
    </row>
    <row r="9">
      <c r="A9" s="1312"/>
      <c r="B9" s="1315"/>
      <c r="C9" s="1330" t="s">
        <v>14229</v>
      </c>
      <c r="D9" s="8"/>
      <c r="E9" s="8"/>
      <c r="F9" s="8"/>
      <c r="G9" s="8"/>
      <c r="H9" s="4"/>
      <c r="I9" s="1315"/>
      <c r="J9" s="1318"/>
      <c r="K9" s="1318"/>
    </row>
    <row r="10">
      <c r="A10" s="1312"/>
      <c r="B10" s="1315"/>
      <c r="C10" s="224"/>
      <c r="H10" s="139"/>
      <c r="I10" s="1315"/>
      <c r="J10" s="1318"/>
      <c r="K10" s="1318"/>
    </row>
    <row r="11">
      <c r="A11" s="1312"/>
      <c r="B11" s="1329"/>
      <c r="C11" s="104"/>
      <c r="D11" s="64"/>
      <c r="E11" s="64"/>
      <c r="F11" s="64"/>
      <c r="G11" s="64"/>
      <c r="H11" s="72"/>
      <c r="I11" s="1315"/>
      <c r="J11" s="1318"/>
      <c r="K11" s="1318"/>
    </row>
    <row r="12">
      <c r="A12" s="1312">
        <v>20.0</v>
      </c>
      <c r="B12" s="1315"/>
      <c r="C12" s="1315"/>
      <c r="D12" s="1315"/>
      <c r="E12" s="1315"/>
      <c r="F12" s="1315"/>
      <c r="G12" s="1315"/>
      <c r="H12" s="1331"/>
      <c r="I12" s="1332" t="s">
        <v>14230</v>
      </c>
      <c r="J12" s="1333"/>
      <c r="K12" s="1333"/>
    </row>
    <row r="13">
      <c r="A13" s="1312"/>
      <c r="B13" s="1317"/>
      <c r="C13" s="1317"/>
      <c r="D13" s="1317"/>
      <c r="E13" s="1317"/>
      <c r="F13" s="1317"/>
      <c r="G13" s="1317"/>
      <c r="H13" s="1317" t="s">
        <v>14231</v>
      </c>
      <c r="I13" s="1317"/>
      <c r="J13" s="1334"/>
      <c r="K13" s="1334"/>
    </row>
    <row r="14">
      <c r="A14" s="1335"/>
      <c r="B14" s="1315"/>
      <c r="C14" s="1327" t="s">
        <v>14232</v>
      </c>
      <c r="D14" s="36"/>
      <c r="E14" s="36"/>
      <c r="F14" s="36"/>
      <c r="G14" s="36"/>
      <c r="H14" s="13"/>
      <c r="I14" s="1315"/>
      <c r="J14" s="1318"/>
      <c r="K14" s="1318"/>
    </row>
    <row r="15">
      <c r="A15" s="1335"/>
      <c r="B15" s="1315"/>
      <c r="C15" s="1327" t="s">
        <v>14233</v>
      </c>
      <c r="D15" s="36"/>
      <c r="E15" s="36"/>
      <c r="F15" s="36"/>
      <c r="G15" s="36"/>
      <c r="H15" s="13"/>
      <c r="I15" s="1336" t="s">
        <v>14234</v>
      </c>
      <c r="J15" s="1337"/>
      <c r="K15" s="1337"/>
    </row>
    <row r="16" outlineLevel="1">
      <c r="A16" s="1312">
        <v>26.0</v>
      </c>
      <c r="B16" s="1315" t="s">
        <v>14235</v>
      </c>
      <c r="C16" s="1327" t="s">
        <v>14236</v>
      </c>
      <c r="D16" s="36"/>
      <c r="E16" s="36"/>
      <c r="F16" s="36"/>
      <c r="G16" s="36"/>
      <c r="H16" s="13"/>
      <c r="I16" s="1338" t="s">
        <v>14237</v>
      </c>
      <c r="J16" s="1339"/>
      <c r="K16" s="1339"/>
    </row>
    <row r="17" outlineLevel="1">
      <c r="A17" s="1312">
        <v>28.0</v>
      </c>
      <c r="B17" s="1328"/>
      <c r="C17" s="1328"/>
      <c r="D17" s="1315"/>
      <c r="E17" s="1315" t="s">
        <v>14238</v>
      </c>
      <c r="F17" s="1315"/>
      <c r="G17" s="1315"/>
      <c r="H17" s="1315"/>
      <c r="I17" s="1338"/>
      <c r="J17" s="1339"/>
      <c r="K17" s="1339"/>
    </row>
    <row r="18" outlineLevel="1">
      <c r="A18" s="1312">
        <v>29.0</v>
      </c>
      <c r="B18" s="1340"/>
      <c r="C18" s="1328" t="s">
        <v>14239</v>
      </c>
      <c r="D18" s="1315"/>
      <c r="E18" s="1315"/>
      <c r="F18" s="1315"/>
      <c r="G18" s="1315"/>
      <c r="H18" s="1315"/>
      <c r="I18" s="1315" t="s">
        <v>14239</v>
      </c>
      <c r="J18" s="1318"/>
      <c r="K18" s="1318"/>
    </row>
    <row r="19">
      <c r="A19" s="1341" t="s">
        <v>14240</v>
      </c>
      <c r="B19" s="36"/>
      <c r="C19" s="36"/>
      <c r="D19" s="36"/>
      <c r="E19" s="36"/>
      <c r="F19" s="36"/>
      <c r="G19" s="36"/>
      <c r="H19" s="36"/>
      <c r="I19" s="13"/>
      <c r="J19" s="1301"/>
      <c r="K19" s="1301"/>
    </row>
    <row r="20">
      <c r="A20" s="1303">
        <v>3.0</v>
      </c>
      <c r="B20" s="1304" t="s">
        <v>14241</v>
      </c>
      <c r="C20" s="1342"/>
      <c r="D20" s="1342"/>
      <c r="E20" s="1342"/>
      <c r="F20" s="1342"/>
      <c r="G20" s="1342"/>
      <c r="H20" s="1342"/>
      <c r="I20" s="1342"/>
      <c r="J20" s="1343"/>
      <c r="K20" s="1343"/>
    </row>
    <row r="21">
      <c r="A21" s="1303">
        <v>5.0</v>
      </c>
      <c r="B21" s="1304"/>
      <c r="C21" s="1344" t="s">
        <v>14242</v>
      </c>
      <c r="D21" s="36"/>
      <c r="E21" s="36"/>
      <c r="F21" s="36"/>
      <c r="G21" s="36"/>
      <c r="H21" s="36"/>
      <c r="I21" s="13"/>
      <c r="J21" s="1343"/>
      <c r="K21" s="1343"/>
    </row>
    <row r="22">
      <c r="A22" s="1303">
        <v>7.0</v>
      </c>
      <c r="B22" s="1304"/>
      <c r="C22" s="1342" t="s">
        <v>14243</v>
      </c>
      <c r="D22" s="1345"/>
      <c r="E22" s="1304"/>
      <c r="F22" s="1345" t="s">
        <v>14244</v>
      </c>
      <c r="G22" s="1346"/>
      <c r="H22" s="1304" t="s">
        <v>14245</v>
      </c>
      <c r="I22" s="1342" t="s">
        <v>14246</v>
      </c>
      <c r="J22" s="1343"/>
      <c r="K22" s="1343"/>
    </row>
    <row r="23">
      <c r="A23" s="1307">
        <v>10.0</v>
      </c>
      <c r="B23" s="1342"/>
      <c r="C23" s="1344" t="s">
        <v>14247</v>
      </c>
      <c r="D23" s="36"/>
      <c r="E23" s="13"/>
      <c r="F23" s="1342"/>
      <c r="G23" s="1342"/>
      <c r="H23" s="1342" t="s">
        <v>14248</v>
      </c>
      <c r="I23" s="1347"/>
      <c r="J23" s="1348"/>
      <c r="K23" s="1348"/>
    </row>
    <row r="24">
      <c r="A24" s="1307">
        <v>10.0</v>
      </c>
      <c r="B24" s="1342"/>
      <c r="C24" s="1344"/>
      <c r="D24" s="1342"/>
      <c r="E24" s="1342"/>
      <c r="F24" s="1342"/>
      <c r="G24" s="1342"/>
      <c r="H24" s="1349" t="s">
        <v>14249</v>
      </c>
      <c r="I24" s="1347"/>
      <c r="J24" s="1348"/>
      <c r="K24" s="1348"/>
    </row>
    <row r="25">
      <c r="A25" s="1307">
        <v>13.0</v>
      </c>
      <c r="B25" s="1342"/>
      <c r="C25" s="1344"/>
      <c r="D25" s="1346" t="s">
        <v>14250</v>
      </c>
      <c r="E25" s="1346" t="s">
        <v>14251</v>
      </c>
      <c r="F25" s="1346" t="s">
        <v>14252</v>
      </c>
      <c r="G25" s="1346" t="s">
        <v>14253</v>
      </c>
      <c r="H25" s="1349"/>
      <c r="I25" s="1304"/>
      <c r="J25" s="1306"/>
      <c r="K25" s="1306"/>
    </row>
    <row r="26">
      <c r="A26" s="1303"/>
      <c r="B26" s="1304"/>
      <c r="C26" s="1304"/>
      <c r="D26" s="1304"/>
      <c r="E26" s="1304"/>
      <c r="F26" s="1350" t="s">
        <v>14254</v>
      </c>
      <c r="G26" s="13"/>
      <c r="H26" s="1304"/>
      <c r="I26" s="1304"/>
      <c r="J26" s="1306"/>
      <c r="K26" s="1306"/>
    </row>
    <row r="27">
      <c r="A27" s="1303">
        <v>17.0</v>
      </c>
      <c r="B27" s="1304"/>
      <c r="C27" s="1304"/>
      <c r="D27" s="1304"/>
      <c r="E27" s="1304"/>
      <c r="F27" s="1345"/>
      <c r="G27" s="1345"/>
      <c r="H27" s="1304" t="s">
        <v>14255</v>
      </c>
      <c r="I27" s="1304"/>
      <c r="J27" s="1306"/>
      <c r="K27" s="1306"/>
    </row>
    <row r="28">
      <c r="A28" s="1307" t="s">
        <v>15436</v>
      </c>
      <c r="B28" s="1304"/>
      <c r="C28" s="1308" t="s">
        <v>14256</v>
      </c>
      <c r="D28" s="13"/>
      <c r="E28" s="1342"/>
      <c r="F28" s="1344"/>
      <c r="G28" s="13"/>
      <c r="H28" s="1342"/>
      <c r="I28" s="1304"/>
      <c r="J28" s="1306"/>
      <c r="K28" s="1306"/>
    </row>
    <row r="29">
      <c r="A29" s="1307">
        <v>19.0</v>
      </c>
      <c r="B29" s="1304"/>
      <c r="C29" s="1304"/>
      <c r="D29" s="1304"/>
      <c r="E29" s="1308" t="s">
        <v>14257</v>
      </c>
      <c r="F29" s="36"/>
      <c r="G29" s="36"/>
      <c r="H29" s="13"/>
      <c r="I29" s="1304"/>
      <c r="J29" s="1306"/>
      <c r="K29" s="1306"/>
    </row>
    <row r="30">
      <c r="A30" s="1307">
        <v>22.0</v>
      </c>
      <c r="B30" s="1304"/>
      <c r="C30" s="1304"/>
      <c r="D30" s="1304"/>
      <c r="E30" s="1304" t="s">
        <v>14238</v>
      </c>
      <c r="F30" s="1304"/>
      <c r="G30" s="1304" t="s">
        <v>14238</v>
      </c>
      <c r="H30" s="1304"/>
      <c r="I30" s="1304"/>
      <c r="J30" s="1306"/>
      <c r="K30" s="1306"/>
    </row>
    <row r="31">
      <c r="A31" s="1307">
        <v>24.0</v>
      </c>
      <c r="B31" s="1304"/>
      <c r="C31" s="1304"/>
      <c r="D31" s="1304"/>
      <c r="E31" s="1304"/>
      <c r="F31" s="1304"/>
      <c r="G31" s="1304"/>
      <c r="H31" s="1304" t="s">
        <v>14249</v>
      </c>
      <c r="I31" s="1304"/>
      <c r="J31" s="1306"/>
      <c r="K31" s="1306"/>
    </row>
    <row r="32">
      <c r="A32" s="1307" t="s">
        <v>15437</v>
      </c>
      <c r="B32" s="1304"/>
      <c r="C32" s="1304"/>
      <c r="D32" s="1308" t="s">
        <v>14258</v>
      </c>
      <c r="E32" s="13"/>
      <c r="F32" s="1304"/>
      <c r="G32" s="1304"/>
      <c r="H32" s="1304"/>
      <c r="I32" s="1304"/>
      <c r="J32" s="1306"/>
      <c r="K32" s="1306"/>
    </row>
    <row r="33">
      <c r="A33" s="1307"/>
      <c r="B33" s="1304"/>
      <c r="C33" s="1304"/>
      <c r="D33" s="1304"/>
      <c r="E33" s="1342"/>
      <c r="F33" s="1344" t="s">
        <v>14259</v>
      </c>
      <c r="G33" s="13"/>
      <c r="H33" s="1342"/>
      <c r="I33" s="1304"/>
      <c r="J33" s="1306"/>
      <c r="K33" s="1306"/>
    </row>
    <row r="34">
      <c r="A34" s="1307">
        <v>27.0</v>
      </c>
      <c r="B34" s="1342"/>
      <c r="C34" s="1342"/>
      <c r="D34" s="1342" t="s">
        <v>14260</v>
      </c>
      <c r="E34" s="1308" t="s">
        <v>14261</v>
      </c>
      <c r="F34" s="36"/>
      <c r="G34" s="36"/>
      <c r="H34" s="13"/>
      <c r="I34" s="1304"/>
      <c r="J34" s="1306"/>
      <c r="K34" s="1306"/>
    </row>
    <row r="35">
      <c r="A35" s="1307" t="s">
        <v>15438</v>
      </c>
      <c r="B35" s="1342"/>
      <c r="C35" s="1308" t="s">
        <v>14262</v>
      </c>
      <c r="D35" s="13"/>
      <c r="E35" s="1344"/>
      <c r="F35" s="1351"/>
      <c r="G35" s="1351"/>
      <c r="H35" s="1349"/>
      <c r="I35" s="1304"/>
      <c r="J35" s="1306"/>
      <c r="K35" s="1306"/>
    </row>
    <row r="36">
      <c r="A36" s="1303"/>
      <c r="B36" s="1304"/>
      <c r="C36" s="1304"/>
      <c r="D36" s="1304"/>
      <c r="E36" s="1304"/>
      <c r="F36" s="1345"/>
      <c r="G36" s="1345"/>
      <c r="H36" s="1304"/>
      <c r="I36" s="1304" t="s">
        <v>14263</v>
      </c>
      <c r="J36" s="1306"/>
      <c r="K36" s="1306"/>
    </row>
    <row r="37">
      <c r="A37" s="1307"/>
      <c r="B37" s="1304"/>
      <c r="C37" s="1308" t="s">
        <v>14264</v>
      </c>
      <c r="D37" s="36"/>
      <c r="E37" s="36"/>
      <c r="F37" s="36"/>
      <c r="G37" s="36"/>
      <c r="H37" s="13"/>
      <c r="I37" s="1304"/>
      <c r="J37" s="1306"/>
      <c r="K37" s="1306"/>
    </row>
    <row r="38">
      <c r="A38" s="1307" t="s">
        <v>15439</v>
      </c>
      <c r="B38" s="1304"/>
      <c r="C38" s="1308" t="s">
        <v>14265</v>
      </c>
      <c r="D38" s="36"/>
      <c r="E38" s="36"/>
      <c r="F38" s="36"/>
      <c r="G38" s="36"/>
      <c r="H38" s="36"/>
      <c r="I38" s="13"/>
      <c r="J38" s="1306"/>
      <c r="K38" s="1306"/>
    </row>
    <row r="39">
      <c r="A39" s="1307"/>
      <c r="B39" s="1308" t="s">
        <v>14266</v>
      </c>
      <c r="C39" s="36"/>
      <c r="D39" s="36"/>
      <c r="E39" s="36"/>
      <c r="F39" s="36"/>
      <c r="G39" s="36"/>
      <c r="H39" s="36"/>
      <c r="I39" s="13"/>
      <c r="J39" s="1306"/>
      <c r="K39" s="1306"/>
    </row>
    <row r="40">
      <c r="A40" s="1307">
        <v>23.0</v>
      </c>
      <c r="B40" s="1304"/>
      <c r="C40" s="1308" t="s">
        <v>14267</v>
      </c>
      <c r="D40" s="36"/>
      <c r="E40" s="36"/>
      <c r="F40" s="36"/>
      <c r="G40" s="36"/>
      <c r="H40" s="36"/>
      <c r="I40" s="13"/>
      <c r="J40" s="1306"/>
      <c r="K40" s="1306"/>
    </row>
    <row r="41">
      <c r="A41" s="1310" t="s">
        <v>14268</v>
      </c>
      <c r="B41" s="36"/>
      <c r="C41" s="36"/>
      <c r="D41" s="36"/>
      <c r="E41" s="36"/>
      <c r="F41" s="36"/>
      <c r="G41" s="36"/>
      <c r="H41" s="36"/>
      <c r="I41" s="13"/>
      <c r="J41" s="1311"/>
      <c r="K41" s="1311"/>
    </row>
    <row r="42">
      <c r="A42" s="1352">
        <v>44287.0</v>
      </c>
      <c r="B42" s="1353"/>
      <c r="C42" s="1354"/>
      <c r="D42" s="1354"/>
      <c r="E42" s="1354"/>
      <c r="F42" s="1354"/>
      <c r="G42" s="1354"/>
      <c r="H42" s="1354" t="s">
        <v>14269</v>
      </c>
      <c r="I42" s="1354"/>
      <c r="J42" s="1355"/>
      <c r="K42" s="1355"/>
    </row>
    <row r="43">
      <c r="A43" s="1312">
        <v>24.0</v>
      </c>
      <c r="B43" s="1353"/>
      <c r="C43" s="1354"/>
      <c r="D43" s="1354"/>
      <c r="E43" s="1354" t="s">
        <v>14270</v>
      </c>
      <c r="F43" s="1354"/>
      <c r="G43" s="1354"/>
      <c r="H43" s="1354" t="s">
        <v>14270</v>
      </c>
      <c r="I43" s="1354"/>
      <c r="J43" s="1355"/>
      <c r="K43" s="1355"/>
    </row>
    <row r="44">
      <c r="A44" s="1312"/>
      <c r="B44" s="1353"/>
      <c r="C44" s="1356" t="s">
        <v>14271</v>
      </c>
      <c r="D44" s="36"/>
      <c r="E44" s="36"/>
      <c r="F44" s="36"/>
      <c r="G44" s="36"/>
      <c r="H44" s="13"/>
      <c r="I44" s="1315"/>
      <c r="J44" s="1318"/>
      <c r="K44" s="1318"/>
    </row>
    <row r="45">
      <c r="A45" s="1319"/>
      <c r="B45" s="1315"/>
      <c r="C45" s="1315"/>
      <c r="D45" s="1327" t="s">
        <v>14272</v>
      </c>
      <c r="E45" s="36"/>
      <c r="F45" s="36"/>
      <c r="G45" s="36"/>
      <c r="H45" s="13"/>
      <c r="I45" s="1315"/>
      <c r="J45" s="1318"/>
      <c r="K45" s="1318"/>
    </row>
    <row r="46">
      <c r="A46" s="1341" t="s">
        <v>14273</v>
      </c>
      <c r="B46" s="36"/>
      <c r="C46" s="36"/>
      <c r="D46" s="36"/>
      <c r="E46" s="36"/>
      <c r="F46" s="36"/>
      <c r="G46" s="36"/>
      <c r="H46" s="36"/>
      <c r="I46" s="13"/>
      <c r="J46" s="1301"/>
      <c r="K46" s="1301"/>
    </row>
    <row r="47">
      <c r="A47" s="1303"/>
      <c r="B47" s="1304"/>
      <c r="C47" s="1308" t="s">
        <v>14274</v>
      </c>
      <c r="D47" s="36"/>
      <c r="E47" s="36"/>
      <c r="F47" s="36"/>
      <c r="G47" s="36"/>
      <c r="H47" s="13"/>
      <c r="I47" s="1304"/>
      <c r="J47" s="1306"/>
      <c r="K47" s="1306"/>
    </row>
    <row r="48">
      <c r="A48" s="1357">
        <v>44320.0</v>
      </c>
      <c r="B48" s="1304"/>
      <c r="C48" s="1304"/>
      <c r="D48" s="1304"/>
      <c r="E48" s="1304"/>
      <c r="F48" s="1308" t="s">
        <v>14275</v>
      </c>
      <c r="G48" s="1358"/>
      <c r="H48" s="1304"/>
      <c r="I48" s="1304"/>
      <c r="J48" s="1306"/>
      <c r="K48" s="1306"/>
    </row>
    <row r="49">
      <c r="A49" s="1307">
        <v>11.0</v>
      </c>
      <c r="B49" s="1304"/>
      <c r="C49" s="1304" t="s">
        <v>14276</v>
      </c>
      <c r="D49" s="1304"/>
      <c r="E49" s="1304" t="s">
        <v>12519</v>
      </c>
      <c r="F49" s="1308" t="s">
        <v>14277</v>
      </c>
      <c r="G49" s="1358" t="s">
        <v>12519</v>
      </c>
      <c r="H49" s="1308" t="s">
        <v>14277</v>
      </c>
      <c r="I49" s="1304"/>
      <c r="J49" s="1306"/>
      <c r="K49" s="1306"/>
    </row>
    <row r="50">
      <c r="A50" s="1307"/>
      <c r="B50" s="1304" t="s">
        <v>14278</v>
      </c>
      <c r="C50" s="1304"/>
      <c r="D50" s="1304" t="s">
        <v>14279</v>
      </c>
      <c r="E50" s="1304"/>
      <c r="F50" s="1304"/>
      <c r="G50" s="1304"/>
      <c r="H50" s="1304"/>
      <c r="I50" s="1304" t="s">
        <v>14280</v>
      </c>
      <c r="J50" s="1306"/>
      <c r="K50" s="1306"/>
    </row>
    <row r="51">
      <c r="A51" s="1303"/>
      <c r="B51" s="1304"/>
      <c r="C51" s="1304"/>
      <c r="D51" s="1308" t="s">
        <v>14281</v>
      </c>
      <c r="E51" s="36"/>
      <c r="F51" s="36"/>
      <c r="G51" s="36"/>
      <c r="H51" s="13"/>
      <c r="I51" s="1304"/>
      <c r="J51" s="1306"/>
      <c r="K51" s="1306"/>
    </row>
    <row r="52">
      <c r="A52" s="1303"/>
      <c r="B52" s="1304"/>
      <c r="C52" s="1304"/>
      <c r="D52" s="1308" t="s">
        <v>14282</v>
      </c>
      <c r="E52" s="36"/>
      <c r="F52" s="13"/>
      <c r="G52" s="1304"/>
      <c r="H52" s="1304"/>
      <c r="I52" s="1304"/>
      <c r="J52" s="1306"/>
      <c r="K52" s="1306"/>
    </row>
    <row r="53">
      <c r="A53" s="1303" t="s">
        <v>15440</v>
      </c>
      <c r="B53" s="1304"/>
      <c r="C53" s="1308" t="s">
        <v>14283</v>
      </c>
      <c r="D53" s="36"/>
      <c r="E53" s="36"/>
      <c r="F53" s="36"/>
      <c r="G53" s="36"/>
      <c r="H53" s="36"/>
      <c r="I53" s="13"/>
      <c r="J53" s="1306"/>
      <c r="K53" s="1306"/>
    </row>
    <row r="54">
      <c r="A54" s="1303">
        <v>24.0</v>
      </c>
      <c r="B54" s="1304"/>
      <c r="C54" s="1304"/>
      <c r="D54" s="1308" t="s">
        <v>14284</v>
      </c>
      <c r="E54" s="13"/>
      <c r="F54" s="1304"/>
      <c r="G54" s="1304"/>
      <c r="H54" s="1304"/>
      <c r="I54" s="1304"/>
      <c r="J54" s="1306"/>
      <c r="K54" s="1306"/>
    </row>
    <row r="55">
      <c r="A55" s="1303" t="s">
        <v>15441</v>
      </c>
      <c r="B55" s="1304"/>
      <c r="C55" s="1308" t="s">
        <v>14285</v>
      </c>
      <c r="D55" s="36"/>
      <c r="E55" s="36"/>
      <c r="F55" s="36"/>
      <c r="G55" s="36"/>
      <c r="H55" s="36"/>
      <c r="I55" s="13"/>
      <c r="J55" s="1306"/>
      <c r="K55" s="1306"/>
    </row>
    <row r="56">
      <c r="A56" s="1303"/>
      <c r="B56" s="1308" t="s">
        <v>14286</v>
      </c>
      <c r="C56" s="36"/>
      <c r="D56" s="36"/>
      <c r="E56" s="36"/>
      <c r="F56" s="36"/>
      <c r="G56" s="36"/>
      <c r="H56" s="13"/>
      <c r="I56" s="1304"/>
      <c r="J56" s="1306"/>
      <c r="K56" s="1306"/>
    </row>
    <row r="57">
      <c r="A57" s="1303">
        <v>26.0</v>
      </c>
      <c r="B57" s="1359"/>
      <c r="C57" s="1360" t="s">
        <v>14287</v>
      </c>
      <c r="D57" s="36"/>
      <c r="E57" s="36"/>
      <c r="F57" s="36"/>
      <c r="G57" s="36"/>
      <c r="H57" s="36"/>
      <c r="I57" s="13"/>
      <c r="J57" s="1361"/>
      <c r="K57" s="1361"/>
    </row>
    <row r="58">
      <c r="A58" s="1303">
        <v>27.0</v>
      </c>
      <c r="B58" s="1304"/>
      <c r="C58" s="1308"/>
      <c r="D58" s="1308"/>
      <c r="E58" s="13"/>
      <c r="F58" s="1304"/>
      <c r="G58" s="1304"/>
      <c r="H58" s="1304"/>
      <c r="I58" s="1304" t="s">
        <v>14288</v>
      </c>
      <c r="J58" s="1306"/>
      <c r="K58" s="1306"/>
    </row>
    <row r="59">
      <c r="A59" s="1310" t="s">
        <v>14289</v>
      </c>
      <c r="B59" s="36"/>
      <c r="C59" s="36"/>
      <c r="D59" s="36"/>
      <c r="E59" s="36"/>
      <c r="F59" s="36"/>
      <c r="G59" s="36"/>
      <c r="H59" s="36"/>
      <c r="I59" s="13"/>
      <c r="J59" s="1311"/>
      <c r="K59" s="1311"/>
    </row>
    <row r="60">
      <c r="A60" s="1352"/>
      <c r="B60" s="1315"/>
      <c r="C60" s="1315"/>
      <c r="D60" s="1362" t="s">
        <v>14290</v>
      </c>
      <c r="E60" s="36"/>
      <c r="F60" s="36"/>
      <c r="G60" s="36"/>
      <c r="H60" s="13"/>
      <c r="I60" s="1315"/>
      <c r="J60" s="1318"/>
      <c r="K60" s="1318"/>
    </row>
    <row r="61">
      <c r="A61" s="1352"/>
      <c r="B61" s="1697"/>
      <c r="C61" s="36"/>
      <c r="D61" s="36"/>
      <c r="E61" s="36"/>
      <c r="F61" s="36"/>
      <c r="G61" s="36"/>
      <c r="H61" s="36"/>
      <c r="I61" s="13"/>
      <c r="J61" s="1698"/>
      <c r="K61" s="1698"/>
    </row>
    <row r="62">
      <c r="A62" s="1312" t="s">
        <v>15442</v>
      </c>
      <c r="B62" s="1315"/>
      <c r="C62" s="1327" t="s">
        <v>14291</v>
      </c>
      <c r="D62" s="36"/>
      <c r="E62" s="36"/>
      <c r="F62" s="36"/>
      <c r="G62" s="36"/>
      <c r="H62" s="36"/>
      <c r="I62" s="13"/>
      <c r="J62" s="1318"/>
      <c r="K62" s="1318"/>
    </row>
    <row r="63">
      <c r="A63" s="1312">
        <v>14.0</v>
      </c>
      <c r="B63" s="1315"/>
      <c r="C63" s="1315"/>
      <c r="D63" s="1315"/>
      <c r="E63" s="1315"/>
      <c r="F63" s="1315"/>
      <c r="G63" s="1315" t="s">
        <v>14292</v>
      </c>
      <c r="H63" s="1315"/>
      <c r="I63" s="1315"/>
      <c r="J63" s="1318"/>
      <c r="K63" s="1318"/>
    </row>
    <row r="64">
      <c r="A64" s="1312">
        <v>18.0</v>
      </c>
      <c r="B64" s="1315"/>
      <c r="C64" s="1315" t="s">
        <v>14293</v>
      </c>
      <c r="D64" s="1315" t="s">
        <v>14294</v>
      </c>
      <c r="E64" s="1315" t="s">
        <v>14295</v>
      </c>
      <c r="F64" s="1315"/>
      <c r="G64" s="1315"/>
      <c r="H64" s="1315"/>
      <c r="I64" s="1315"/>
      <c r="J64" s="1318"/>
      <c r="K64" s="1318"/>
    </row>
    <row r="65">
      <c r="A65" s="1312">
        <v>24.0</v>
      </c>
      <c r="B65" s="1315"/>
      <c r="C65" s="1315"/>
      <c r="D65" s="1315"/>
      <c r="E65" s="1315"/>
      <c r="F65" s="1315"/>
      <c r="G65" s="1315"/>
      <c r="H65" s="1315"/>
      <c r="I65" s="1315" t="s">
        <v>14288</v>
      </c>
      <c r="J65" s="1318"/>
      <c r="K65" s="1318"/>
    </row>
    <row r="66">
      <c r="A66" s="1312">
        <v>26.0</v>
      </c>
      <c r="B66" s="1315"/>
      <c r="C66" s="1315" t="s">
        <v>14296</v>
      </c>
      <c r="D66" s="1315"/>
      <c r="E66" s="1315"/>
      <c r="F66" s="1315"/>
      <c r="G66" s="1315"/>
      <c r="H66" s="1315"/>
      <c r="I66" s="1315"/>
      <c r="J66" s="1318"/>
      <c r="K66" s="1318"/>
    </row>
    <row r="67">
      <c r="A67" s="1312">
        <v>29.0</v>
      </c>
      <c r="B67" s="1315"/>
      <c r="C67" s="1315"/>
      <c r="D67" s="1315"/>
      <c r="E67" s="1315"/>
      <c r="F67" s="1315"/>
      <c r="G67" s="1315" t="s">
        <v>14297</v>
      </c>
      <c r="H67" s="1315"/>
      <c r="I67" s="1315"/>
      <c r="J67" s="1318"/>
      <c r="K67" s="1318"/>
    </row>
    <row r="68">
      <c r="A68" s="1312">
        <v>30.0</v>
      </c>
      <c r="B68" s="1315"/>
      <c r="C68" s="1327" t="s">
        <v>14298</v>
      </c>
      <c r="D68" s="36"/>
      <c r="E68" s="36"/>
      <c r="F68" s="36"/>
      <c r="G68" s="36"/>
      <c r="H68" s="36"/>
      <c r="I68" s="13"/>
      <c r="J68" s="1318"/>
      <c r="K68" s="1318"/>
    </row>
    <row r="69">
      <c r="A69" s="1312"/>
      <c r="B69" s="1315"/>
      <c r="C69" s="1315"/>
      <c r="D69" s="1315"/>
      <c r="E69" s="1327"/>
      <c r="F69" s="36"/>
      <c r="G69" s="13"/>
      <c r="H69" s="1315" t="s">
        <v>14299</v>
      </c>
      <c r="I69" s="1315"/>
      <c r="J69" s="1318"/>
      <c r="K69" s="1318"/>
    </row>
    <row r="70">
      <c r="A70" s="1363"/>
      <c r="B70" s="1315"/>
      <c r="C70" s="1327" t="s">
        <v>14300</v>
      </c>
      <c r="D70" s="36"/>
      <c r="E70" s="36"/>
      <c r="F70" s="36"/>
      <c r="G70" s="13"/>
      <c r="H70" s="1315" t="s">
        <v>14301</v>
      </c>
      <c r="I70" s="1315"/>
      <c r="J70" s="1318"/>
      <c r="K70" s="1318"/>
    </row>
    <row r="71">
      <c r="A71" s="1352"/>
      <c r="B71" s="1315"/>
      <c r="C71" s="1315"/>
      <c r="D71" s="1315"/>
      <c r="E71" s="1327" t="s">
        <v>14302</v>
      </c>
      <c r="F71" s="36"/>
      <c r="G71" s="36"/>
      <c r="H71" s="13"/>
      <c r="I71" s="1315"/>
      <c r="J71" s="1318"/>
      <c r="K71" s="1318"/>
    </row>
    <row r="72">
      <c r="A72" s="1312"/>
      <c r="B72" s="1315"/>
      <c r="C72" s="1315"/>
      <c r="D72" s="1315"/>
      <c r="E72" s="1329"/>
      <c r="F72" s="1315"/>
      <c r="G72" s="1315"/>
      <c r="H72" s="1315"/>
      <c r="I72" s="1315"/>
      <c r="J72" s="1318"/>
      <c r="K72" s="1318"/>
    </row>
    <row r="73">
      <c r="A73" s="1312"/>
      <c r="B73" s="1315"/>
      <c r="C73" s="1315"/>
      <c r="D73" s="1315"/>
      <c r="E73" s="1329"/>
      <c r="F73" s="1315"/>
      <c r="G73" s="1315"/>
      <c r="H73" s="1315"/>
      <c r="I73" s="1315"/>
      <c r="J73" s="1318"/>
      <c r="K73" s="1318"/>
    </row>
    <row r="74">
      <c r="A74" s="1312"/>
      <c r="B74" s="1315"/>
      <c r="C74" s="1327"/>
      <c r="D74" s="36"/>
      <c r="E74" s="36"/>
      <c r="F74" s="36"/>
      <c r="G74" s="36"/>
      <c r="H74" s="13"/>
      <c r="I74" s="1315"/>
      <c r="J74" s="1318"/>
      <c r="K74" s="1318"/>
    </row>
    <row r="75">
      <c r="A75" s="1312"/>
      <c r="B75" s="1336"/>
      <c r="C75" s="1364"/>
      <c r="D75" s="36"/>
      <c r="E75" s="36"/>
      <c r="F75" s="36"/>
      <c r="G75" s="36"/>
      <c r="H75" s="13"/>
      <c r="I75" s="1315"/>
      <c r="J75" s="1318"/>
      <c r="K75" s="1318"/>
    </row>
    <row r="76">
      <c r="A76" s="1312"/>
      <c r="B76" s="1315"/>
      <c r="C76" s="1315"/>
      <c r="D76" s="1329"/>
      <c r="E76" s="1315"/>
      <c r="F76" s="1315"/>
      <c r="G76" s="1315"/>
      <c r="H76" s="1315"/>
      <c r="I76" s="1315"/>
      <c r="J76" s="1318"/>
      <c r="K76" s="1318"/>
    </row>
    <row r="77">
      <c r="A77" s="1312"/>
      <c r="B77" s="1315"/>
      <c r="C77" s="1365" t="s">
        <v>14303</v>
      </c>
      <c r="D77" s="36"/>
      <c r="E77" s="36"/>
      <c r="F77" s="36"/>
      <c r="G77" s="13"/>
      <c r="H77" s="1315"/>
      <c r="I77" s="1315"/>
      <c r="J77" s="1318"/>
      <c r="K77" s="1318"/>
    </row>
    <row r="78">
      <c r="A78" s="1335"/>
      <c r="B78" s="1315"/>
      <c r="C78" s="1315"/>
      <c r="D78" s="1315"/>
      <c r="E78" s="1315"/>
      <c r="F78" s="1329"/>
      <c r="G78" s="1315"/>
      <c r="H78" s="1315" t="s">
        <v>14304</v>
      </c>
      <c r="I78" s="1315"/>
      <c r="J78" s="1318"/>
      <c r="K78" s="1318"/>
    </row>
    <row r="79">
      <c r="A79" s="1335"/>
      <c r="B79" s="1315"/>
      <c r="C79" s="1315"/>
      <c r="D79" s="1315"/>
      <c r="E79" s="1315"/>
      <c r="F79" s="1329" t="s">
        <v>14305</v>
      </c>
      <c r="G79" s="1315"/>
      <c r="H79" s="1315"/>
      <c r="I79" s="1315"/>
      <c r="J79" s="1318"/>
      <c r="K79" s="1318"/>
    </row>
    <row r="80">
      <c r="A80" s="1335"/>
      <c r="B80" s="1315"/>
      <c r="C80" s="1315"/>
      <c r="D80" s="1315"/>
      <c r="E80" s="1315"/>
      <c r="F80" s="1315" t="s">
        <v>14306</v>
      </c>
      <c r="G80" s="1315"/>
      <c r="H80" s="1315"/>
      <c r="I80" s="1315"/>
      <c r="J80" s="1318"/>
      <c r="K80" s="1318"/>
    </row>
    <row r="81">
      <c r="A81" s="1312"/>
      <c r="B81" s="1317"/>
      <c r="C81" s="1362" t="s">
        <v>14307</v>
      </c>
      <c r="D81" s="36"/>
      <c r="E81" s="36"/>
      <c r="F81" s="36"/>
      <c r="G81" s="13"/>
      <c r="H81" s="1315"/>
      <c r="I81" s="1315"/>
      <c r="J81" s="1318"/>
      <c r="K81" s="1318"/>
    </row>
    <row r="82">
      <c r="A82" s="1335"/>
      <c r="B82" s="1315"/>
      <c r="C82" s="1315"/>
      <c r="D82" s="1317"/>
      <c r="E82" s="1317"/>
      <c r="F82" s="1317" t="s">
        <v>14308</v>
      </c>
      <c r="G82" s="1317"/>
      <c r="H82" s="1315"/>
      <c r="I82" s="1315"/>
      <c r="J82" s="1318"/>
      <c r="K82" s="1318"/>
    </row>
    <row r="83">
      <c r="A83" s="1341" t="s">
        <v>14309</v>
      </c>
      <c r="B83" s="36"/>
      <c r="C83" s="36"/>
      <c r="D83" s="36"/>
      <c r="E83" s="36"/>
      <c r="F83" s="36"/>
      <c r="G83" s="36"/>
      <c r="H83" s="36"/>
      <c r="I83" s="13"/>
      <c r="J83" s="1301"/>
      <c r="K83" s="1301"/>
    </row>
    <row r="84">
      <c r="A84" s="1303"/>
      <c r="B84" s="1304"/>
      <c r="C84" s="1308"/>
      <c r="D84" s="36"/>
      <c r="E84" s="36"/>
      <c r="F84" s="13"/>
      <c r="G84" s="1304"/>
      <c r="H84" s="1304"/>
      <c r="I84" s="1304"/>
      <c r="J84" s="1306"/>
      <c r="K84" s="1306"/>
    </row>
    <row r="85">
      <c r="A85" s="1366">
        <v>44597.0</v>
      </c>
      <c r="B85" s="1304"/>
      <c r="C85" s="1308"/>
      <c r="D85" s="1367"/>
      <c r="E85" s="1367"/>
      <c r="F85" s="1358"/>
      <c r="G85" s="1304"/>
      <c r="H85" s="1304"/>
      <c r="I85" s="1304"/>
      <c r="J85" s="1306"/>
      <c r="K85" s="1306"/>
    </row>
    <row r="86">
      <c r="A86" s="1366"/>
      <c r="B86" s="1304"/>
      <c r="C86" s="1308"/>
      <c r="D86" s="1367"/>
      <c r="E86" s="1367"/>
      <c r="F86" s="1358"/>
      <c r="G86" s="1304"/>
      <c r="H86" s="1304"/>
      <c r="I86" s="1304"/>
      <c r="J86" s="1306"/>
      <c r="K86" s="1306"/>
    </row>
    <row r="87">
      <c r="A87" s="1368">
        <v>44606.0</v>
      </c>
      <c r="B87" s="1304"/>
      <c r="C87" s="1304"/>
      <c r="D87" s="1369" t="s">
        <v>14310</v>
      </c>
      <c r="E87" s="36"/>
      <c r="F87" s="13"/>
      <c r="G87" s="1358"/>
      <c r="H87" s="1304"/>
      <c r="I87" s="1304"/>
      <c r="J87" s="1306"/>
      <c r="K87" s="1306"/>
    </row>
    <row r="88">
      <c r="A88" s="1368">
        <v>44611.0</v>
      </c>
      <c r="B88" s="1304"/>
      <c r="C88" s="1304"/>
      <c r="D88" s="1304"/>
      <c r="E88" s="1308"/>
      <c r="F88" s="1367"/>
      <c r="G88" s="1370" t="s">
        <v>14311</v>
      </c>
      <c r="H88" s="1304"/>
      <c r="I88" s="1304"/>
      <c r="J88" s="1306"/>
      <c r="K88" s="1306"/>
    </row>
    <row r="89">
      <c r="A89" s="1303"/>
      <c r="B89" s="1699"/>
      <c r="C89" s="1699"/>
      <c r="D89" s="1699"/>
      <c r="E89" s="1699"/>
      <c r="F89" s="1700"/>
      <c r="G89" s="1699"/>
      <c r="H89" s="1304"/>
      <c r="I89" s="1701"/>
      <c r="J89" s="1702"/>
      <c r="K89" s="1702"/>
    </row>
    <row r="90">
      <c r="A90" s="1303"/>
      <c r="B90" s="1699"/>
      <c r="C90" s="1699"/>
      <c r="D90" s="1699"/>
      <c r="E90" s="1699"/>
      <c r="F90" s="1699"/>
      <c r="G90" s="1699"/>
      <c r="H90" s="1304"/>
      <c r="I90" s="1701"/>
      <c r="J90" s="1702"/>
      <c r="K90" s="1702"/>
    </row>
    <row r="91">
      <c r="A91" s="1303"/>
      <c r="B91" s="1703"/>
      <c r="C91" s="1703"/>
      <c r="D91" s="1699"/>
      <c r="E91" s="1699"/>
      <c r="F91" s="1700"/>
      <c r="G91" s="1699"/>
      <c r="H91" s="1304"/>
      <c r="I91" s="1304"/>
      <c r="J91" s="1306"/>
      <c r="K91" s="1306"/>
    </row>
    <row r="92">
      <c r="A92" s="1303"/>
      <c r="B92" s="1703"/>
      <c r="C92" s="1703"/>
      <c r="D92" s="1699"/>
      <c r="E92" s="1699"/>
      <c r="F92" s="1699"/>
      <c r="G92" s="1699"/>
      <c r="H92" s="1304"/>
      <c r="I92" s="1304"/>
      <c r="J92" s="1306"/>
      <c r="K92" s="1306"/>
    </row>
    <row r="93">
      <c r="A93" s="1303"/>
      <c r="B93" s="1699"/>
      <c r="C93" s="1699"/>
      <c r="D93" s="1699"/>
      <c r="E93" s="1699"/>
      <c r="F93" s="1699"/>
      <c r="G93" s="1699"/>
      <c r="H93" s="1304"/>
      <c r="I93" s="1304"/>
      <c r="J93" s="1306"/>
      <c r="K93" s="1306"/>
    </row>
    <row r="94">
      <c r="A94" s="1303"/>
      <c r="B94" s="1704"/>
      <c r="C94" s="1705"/>
      <c r="D94" s="36"/>
      <c r="E94" s="36"/>
      <c r="F94" s="36"/>
      <c r="G94" s="13"/>
      <c r="H94" s="1304"/>
      <c r="I94" s="1304"/>
      <c r="J94" s="1306"/>
      <c r="K94" s="1306"/>
    </row>
    <row r="95">
      <c r="A95" s="1303"/>
      <c r="B95" s="1699"/>
      <c r="C95" s="1706"/>
      <c r="D95" s="36"/>
      <c r="E95" s="36"/>
      <c r="F95" s="36"/>
      <c r="G95" s="36"/>
      <c r="H95" s="36"/>
      <c r="I95" s="13"/>
      <c r="J95" s="1707"/>
      <c r="K95" s="1707"/>
    </row>
    <row r="96">
      <c r="A96" s="1303"/>
      <c r="B96" s="1304"/>
      <c r="C96" s="1304"/>
      <c r="D96" s="1304"/>
      <c r="E96" s="1304"/>
      <c r="F96" s="1304"/>
      <c r="G96" s="1304"/>
      <c r="H96" s="1304"/>
      <c r="I96" s="1304"/>
      <c r="J96" s="1306"/>
      <c r="K96" s="1306"/>
    </row>
    <row r="97">
      <c r="A97" s="1303"/>
      <c r="B97" s="1304"/>
      <c r="C97" s="1304"/>
      <c r="D97" s="1308"/>
      <c r="E97" s="36"/>
      <c r="F97" s="36"/>
      <c r="G97" s="13"/>
      <c r="H97" s="1304"/>
      <c r="I97" s="1304"/>
      <c r="J97" s="1306"/>
      <c r="K97" s="1306"/>
    </row>
    <row r="98">
      <c r="A98" s="1303"/>
      <c r="B98" s="1304"/>
      <c r="C98" s="1308"/>
      <c r="D98" s="36"/>
      <c r="E98" s="36"/>
      <c r="F98" s="36"/>
      <c r="G98" s="36"/>
      <c r="H98" s="36"/>
      <c r="I98" s="13"/>
      <c r="J98" s="1306"/>
      <c r="K98" s="1306"/>
    </row>
    <row r="99">
      <c r="A99" s="1303"/>
      <c r="B99" s="1304"/>
      <c r="C99" s="1304"/>
      <c r="D99" s="1304"/>
      <c r="E99" s="1304"/>
      <c r="F99" s="1304"/>
      <c r="G99" s="1703"/>
      <c r="H99" s="1304"/>
      <c r="I99" s="1304"/>
      <c r="J99" s="1306"/>
      <c r="K99" s="1306"/>
    </row>
    <row r="100">
      <c r="A100" s="1303"/>
      <c r="B100" s="1304"/>
      <c r="C100" s="1308"/>
      <c r="D100" s="36"/>
      <c r="E100" s="36"/>
      <c r="F100" s="13"/>
      <c r="G100" s="1304"/>
      <c r="H100" s="1304"/>
      <c r="I100" s="1304"/>
      <c r="J100" s="1306"/>
      <c r="K100" s="1306"/>
    </row>
    <row r="101">
      <c r="A101" s="1307"/>
      <c r="B101" s="1304"/>
      <c r="C101" s="1304"/>
      <c r="D101" s="1304"/>
      <c r="E101" s="1304"/>
      <c r="F101" s="1304"/>
      <c r="G101" s="1304"/>
      <c r="H101" s="1304"/>
      <c r="I101" s="1304"/>
      <c r="J101" s="1306"/>
      <c r="K101" s="1306"/>
    </row>
    <row r="102">
      <c r="A102" s="1307"/>
      <c r="B102" s="1304"/>
      <c r="C102" s="1304"/>
      <c r="D102" s="1304"/>
      <c r="E102" s="1308"/>
      <c r="F102" s="36"/>
      <c r="G102" s="13"/>
      <c r="H102" s="1304"/>
      <c r="I102" s="1304"/>
      <c r="J102" s="1306"/>
      <c r="K102" s="1306"/>
    </row>
    <row r="103">
      <c r="A103" s="1307"/>
      <c r="B103" s="1304"/>
      <c r="C103" s="1304"/>
      <c r="D103" s="1304"/>
      <c r="E103" s="1304"/>
      <c r="F103" s="1304"/>
      <c r="G103" s="1304"/>
      <c r="H103" s="1304"/>
      <c r="I103" s="1304"/>
      <c r="J103" s="1306"/>
      <c r="K103" s="1306"/>
    </row>
    <row r="104">
      <c r="A104" s="1307"/>
      <c r="B104" s="1342"/>
      <c r="C104" s="1344"/>
      <c r="D104" s="36"/>
      <c r="E104" s="13"/>
      <c r="F104" s="1304"/>
      <c r="G104" s="1304"/>
      <c r="H104" s="1304"/>
      <c r="I104" s="1304"/>
      <c r="J104" s="1306"/>
      <c r="K104" s="1306"/>
    </row>
    <row r="105">
      <c r="A105" s="1303"/>
      <c r="B105" s="1304"/>
      <c r="C105" s="1304"/>
      <c r="D105" s="1304"/>
      <c r="E105" s="1304"/>
      <c r="F105" s="1304"/>
      <c r="G105" s="1304"/>
      <c r="H105" s="1304"/>
      <c r="I105" s="1304"/>
      <c r="J105" s="1306"/>
      <c r="K105" s="1306"/>
    </row>
    <row r="106">
      <c r="A106" s="1303"/>
      <c r="B106" s="1304"/>
      <c r="C106" s="1304"/>
      <c r="D106" s="1308"/>
      <c r="E106" s="36"/>
      <c r="F106" s="36"/>
      <c r="G106" s="36"/>
      <c r="H106" s="13"/>
      <c r="I106" s="1304"/>
      <c r="J106" s="1306"/>
      <c r="K106" s="1306"/>
    </row>
    <row r="107">
      <c r="A107" s="1310" t="s">
        <v>14312</v>
      </c>
      <c r="B107" s="36"/>
      <c r="C107" s="36"/>
      <c r="D107" s="36"/>
      <c r="E107" s="36"/>
      <c r="F107" s="36"/>
      <c r="G107" s="36"/>
      <c r="H107" s="36"/>
      <c r="I107" s="13"/>
      <c r="J107" s="1311"/>
      <c r="K107" s="1311"/>
    </row>
    <row r="108">
      <c r="A108" s="1335"/>
      <c r="B108" s="1315"/>
      <c r="C108" s="1327" t="s">
        <v>14313</v>
      </c>
      <c r="D108" s="36"/>
      <c r="E108" s="36"/>
      <c r="F108" s="36"/>
      <c r="G108" s="36"/>
      <c r="H108" s="13"/>
      <c r="I108" s="1336"/>
      <c r="J108" s="1337"/>
      <c r="K108" s="1337"/>
    </row>
    <row r="109">
      <c r="A109" s="1312"/>
      <c r="B109" s="1315"/>
      <c r="C109" s="1327" t="s">
        <v>14314</v>
      </c>
      <c r="D109" s="36"/>
      <c r="E109" s="36"/>
      <c r="F109" s="13"/>
      <c r="G109" s="1315"/>
      <c r="H109" s="1315"/>
      <c r="I109" s="1315"/>
      <c r="J109" s="1318"/>
      <c r="K109" s="1318"/>
    </row>
    <row r="110">
      <c r="A110" s="1335"/>
      <c r="B110" s="1315"/>
      <c r="C110" s="1327" t="s">
        <v>14315</v>
      </c>
      <c r="D110" s="36"/>
      <c r="E110" s="13"/>
      <c r="F110" s="1315"/>
      <c r="G110" s="1315"/>
      <c r="H110" s="1315"/>
      <c r="I110" s="1315"/>
      <c r="J110" s="1318"/>
      <c r="K110" s="1318"/>
    </row>
    <row r="111">
      <c r="A111" s="1335"/>
      <c r="B111" s="1315"/>
      <c r="C111" s="1315"/>
      <c r="D111" s="1315"/>
      <c r="E111" s="1315"/>
      <c r="F111" s="1327" t="s">
        <v>14316</v>
      </c>
      <c r="G111" s="13"/>
      <c r="H111" s="1315"/>
      <c r="I111" s="1315"/>
      <c r="J111" s="1318"/>
      <c r="K111" s="1318"/>
    </row>
    <row r="112">
      <c r="A112" s="1335"/>
      <c r="B112" s="1371"/>
      <c r="C112" s="1372" t="s">
        <v>14317</v>
      </c>
      <c r="D112" s="36"/>
      <c r="E112" s="36"/>
      <c r="F112" s="36"/>
      <c r="G112" s="13"/>
      <c r="H112" s="1315"/>
      <c r="I112" s="1315"/>
      <c r="J112" s="1318"/>
      <c r="K112" s="1318"/>
    </row>
    <row r="113">
      <c r="A113" s="1335"/>
      <c r="B113" s="1315"/>
      <c r="C113" s="1315"/>
      <c r="D113" s="1315"/>
      <c r="E113" s="1315"/>
      <c r="F113" s="1315"/>
      <c r="G113" s="1315"/>
      <c r="H113" s="1315"/>
      <c r="I113" s="1332" t="s">
        <v>14318</v>
      </c>
      <c r="J113" s="1333"/>
      <c r="K113" s="1333"/>
    </row>
    <row r="114">
      <c r="A114" s="1335"/>
      <c r="B114" s="1315"/>
      <c r="C114" s="1315"/>
      <c r="D114" s="1315"/>
      <c r="E114" s="1327" t="s">
        <v>14319</v>
      </c>
      <c r="F114" s="13"/>
      <c r="G114" s="1315"/>
      <c r="H114" s="1315" t="s">
        <v>14319</v>
      </c>
      <c r="I114" s="1315"/>
      <c r="J114" s="1318"/>
      <c r="K114" s="1318"/>
    </row>
    <row r="115">
      <c r="A115" s="1335"/>
      <c r="B115" s="1315"/>
      <c r="C115" s="1315"/>
      <c r="D115" s="1315"/>
      <c r="E115" s="1315"/>
      <c r="F115" s="1364" t="s">
        <v>14320</v>
      </c>
      <c r="G115" s="13"/>
      <c r="H115" s="1315"/>
      <c r="I115" s="1315"/>
      <c r="J115" s="1318"/>
      <c r="K115" s="1318"/>
    </row>
    <row r="116">
      <c r="A116" s="1335"/>
      <c r="B116" s="1315"/>
      <c r="C116" s="1315"/>
      <c r="D116" s="1315"/>
      <c r="E116" s="1315"/>
      <c r="F116" s="1315"/>
      <c r="G116" s="1315"/>
      <c r="H116" s="1315" t="s">
        <v>14321</v>
      </c>
      <c r="I116" s="1315"/>
      <c r="J116" s="1318"/>
      <c r="K116" s="1318"/>
    </row>
    <row r="117">
      <c r="A117" s="1335"/>
      <c r="B117" s="1315"/>
      <c r="C117" s="1315" t="s">
        <v>14322</v>
      </c>
      <c r="D117" s="1373" t="s">
        <v>14323</v>
      </c>
      <c r="E117" s="36"/>
      <c r="F117" s="13"/>
      <c r="G117" s="1315"/>
      <c r="H117" s="1315"/>
      <c r="I117" s="1315"/>
      <c r="J117" s="1318"/>
      <c r="K117" s="1318"/>
    </row>
    <row r="118">
      <c r="A118" s="1708" t="s">
        <v>14324</v>
      </c>
      <c r="B118" s="36"/>
      <c r="C118" s="36"/>
      <c r="D118" s="36"/>
      <c r="E118" s="36"/>
      <c r="F118" s="36"/>
      <c r="G118" s="36"/>
      <c r="H118" s="36"/>
      <c r="I118" s="13"/>
      <c r="J118" s="1709"/>
      <c r="K118" s="1709"/>
    </row>
    <row r="119">
      <c r="A119" s="1710">
        <v>44657.0</v>
      </c>
      <c r="B119" s="1711"/>
      <c r="C119" s="1711"/>
      <c r="D119" s="1711"/>
      <c r="E119" s="1711"/>
      <c r="F119" s="1712" t="s">
        <v>14325</v>
      </c>
      <c r="G119" s="1711"/>
      <c r="H119" s="1711"/>
      <c r="I119" s="1711"/>
      <c r="J119" s="1713"/>
      <c r="K119" s="1713"/>
    </row>
    <row r="120">
      <c r="A120" s="1714">
        <v>19.0</v>
      </c>
      <c r="B120" s="1711"/>
      <c r="C120" s="1711"/>
      <c r="D120" s="1711"/>
      <c r="E120" s="1711"/>
      <c r="F120" s="1711"/>
      <c r="G120" s="1715" t="s">
        <v>14326</v>
      </c>
      <c r="H120" s="13"/>
      <c r="I120" s="1711"/>
      <c r="J120" s="1713"/>
      <c r="K120" s="1713"/>
    </row>
    <row r="121">
      <c r="A121" s="1511" t="s">
        <v>15443</v>
      </c>
      <c r="B121" s="1715" t="s">
        <v>14327</v>
      </c>
      <c r="C121" s="36"/>
      <c r="D121" s="36"/>
      <c r="E121" s="36"/>
      <c r="F121" s="36"/>
      <c r="G121" s="36"/>
      <c r="H121" s="13"/>
      <c r="I121" s="1711"/>
      <c r="J121" s="1713"/>
      <c r="K121" s="1713"/>
    </row>
    <row r="122">
      <c r="A122" s="1716">
        <v>21.0</v>
      </c>
      <c r="B122" s="1717"/>
      <c r="C122" s="1717"/>
      <c r="D122" s="1718" t="s">
        <v>14328</v>
      </c>
      <c r="E122" s="36"/>
      <c r="F122" s="13"/>
      <c r="G122" s="1717"/>
      <c r="H122" s="1717"/>
      <c r="I122" s="1717"/>
      <c r="J122" s="1719"/>
      <c r="K122" s="1719"/>
    </row>
    <row r="123">
      <c r="A123" s="1716">
        <v>22.0</v>
      </c>
      <c r="B123" s="1717"/>
      <c r="C123" s="1717"/>
      <c r="D123" s="1717"/>
      <c r="E123" s="1717"/>
      <c r="F123" s="1717"/>
      <c r="G123" s="1717"/>
      <c r="H123" s="1717"/>
      <c r="I123" s="1717"/>
      <c r="J123" s="1719"/>
      <c r="K123" s="1719"/>
    </row>
    <row r="124">
      <c r="A124" s="1716">
        <v>23.0</v>
      </c>
      <c r="B124" s="1717"/>
      <c r="C124" s="1717"/>
      <c r="D124" s="1720" t="s">
        <v>14329</v>
      </c>
      <c r="E124" s="1717"/>
      <c r="F124" s="1717"/>
      <c r="G124" s="1717"/>
      <c r="H124" s="1717"/>
      <c r="I124" s="1717"/>
      <c r="J124" s="1719"/>
      <c r="K124" s="1719"/>
    </row>
    <row r="125">
      <c r="A125" s="1716">
        <v>24.0</v>
      </c>
      <c r="B125" s="1717"/>
      <c r="C125" s="1717"/>
      <c r="D125" s="1717"/>
      <c r="E125" s="1717"/>
      <c r="F125" s="1717"/>
      <c r="G125" s="1717"/>
      <c r="H125" s="1717"/>
      <c r="I125" s="1717"/>
      <c r="J125" s="1719"/>
      <c r="K125" s="1719"/>
    </row>
    <row r="126">
      <c r="A126" s="1721">
        <v>25.0</v>
      </c>
      <c r="B126" s="1717"/>
      <c r="C126" s="1722" t="s">
        <v>14330</v>
      </c>
      <c r="D126" s="36"/>
      <c r="E126" s="36"/>
      <c r="F126" s="36"/>
      <c r="G126" s="36"/>
      <c r="H126" s="13"/>
      <c r="I126" s="1717"/>
      <c r="J126" s="1719"/>
      <c r="K126" s="1719"/>
    </row>
    <row r="127">
      <c r="A127" s="173"/>
      <c r="B127" s="1717"/>
      <c r="C127" s="1723"/>
      <c r="D127" s="1723"/>
      <c r="E127" s="1724" t="s">
        <v>14331</v>
      </c>
      <c r="F127" s="1723"/>
      <c r="G127" s="1723"/>
      <c r="H127" s="1723"/>
      <c r="I127" s="1717"/>
      <c r="J127" s="1719"/>
      <c r="K127" s="1719"/>
    </row>
    <row r="128">
      <c r="A128" s="1716">
        <v>26.0</v>
      </c>
      <c r="B128" s="1717"/>
      <c r="C128" s="1717"/>
      <c r="D128" s="1725" t="s">
        <v>14332</v>
      </c>
      <c r="E128" s="1717"/>
      <c r="F128" s="1717"/>
      <c r="G128" s="1717"/>
      <c r="H128" s="1717"/>
      <c r="I128" s="1717"/>
      <c r="J128" s="1719"/>
      <c r="K128" s="1719"/>
    </row>
    <row r="129">
      <c r="A129" s="1716">
        <v>27.0</v>
      </c>
      <c r="B129" s="1717"/>
      <c r="C129" s="1717"/>
      <c r="D129" s="1717"/>
      <c r="E129" s="1717"/>
      <c r="F129" s="1717"/>
      <c r="G129" s="1717"/>
      <c r="H129" s="1725" t="s">
        <v>14333</v>
      </c>
      <c r="I129" s="1717"/>
      <c r="J129" s="1719"/>
      <c r="K129" s="1719"/>
    </row>
    <row r="130">
      <c r="A130" s="1716">
        <v>28.0</v>
      </c>
      <c r="B130" s="1717"/>
      <c r="C130" s="1717"/>
      <c r="D130" s="1717"/>
      <c r="E130" s="1725" t="s">
        <v>14334</v>
      </c>
      <c r="F130" s="1717"/>
      <c r="G130" s="1717"/>
      <c r="H130" s="1717"/>
      <c r="I130" s="1717"/>
      <c r="J130" s="1719"/>
      <c r="K130" s="1719"/>
    </row>
    <row r="131">
      <c r="A131" s="1716">
        <v>29.0</v>
      </c>
      <c r="B131" s="1717"/>
      <c r="C131" s="1726" t="s">
        <v>15444</v>
      </c>
      <c r="D131" s="36"/>
      <c r="E131" s="36"/>
      <c r="F131" s="36"/>
      <c r="G131" s="36"/>
      <c r="H131" s="36"/>
      <c r="I131" s="13"/>
      <c r="J131" s="1719"/>
      <c r="K131" s="1719"/>
    </row>
    <row r="132">
      <c r="A132" s="1714">
        <v>30.0</v>
      </c>
      <c r="B132" s="1711"/>
      <c r="C132" s="1711"/>
      <c r="D132" s="1711"/>
      <c r="E132" s="1711"/>
      <c r="F132" s="1711"/>
      <c r="G132" s="1711"/>
      <c r="H132" s="1711"/>
      <c r="I132" s="1711"/>
      <c r="J132" s="1727"/>
      <c r="K132" s="1727"/>
    </row>
    <row r="133">
      <c r="A133" s="1708" t="s">
        <v>15445</v>
      </c>
      <c r="B133" s="36"/>
      <c r="C133" s="36"/>
      <c r="D133" s="36"/>
      <c r="E133" s="36"/>
      <c r="F133" s="36"/>
      <c r="G133" s="36"/>
      <c r="H133" s="36"/>
      <c r="I133" s="13"/>
      <c r="J133" s="1709"/>
      <c r="K133" s="1709"/>
    </row>
    <row r="134">
      <c r="A134" s="1728">
        <v>1.0</v>
      </c>
      <c r="B134" s="1729"/>
      <c r="C134" s="1729"/>
      <c r="D134" s="1729"/>
      <c r="E134" s="1729"/>
      <c r="F134" s="1729"/>
      <c r="G134" s="1729"/>
      <c r="H134" s="1729"/>
      <c r="I134" s="1729"/>
      <c r="J134" s="1709"/>
      <c r="K134" s="1709"/>
    </row>
    <row r="135">
      <c r="A135" s="1530">
        <v>2.0</v>
      </c>
      <c r="B135" s="1730" t="s">
        <v>14336</v>
      </c>
      <c r="C135" s="1731"/>
      <c r="D135" s="1731"/>
      <c r="E135" s="1731"/>
      <c r="F135" s="1731"/>
      <c r="G135" s="1731"/>
      <c r="H135" s="1731"/>
      <c r="I135" s="1731"/>
      <c r="J135" s="1709"/>
      <c r="K135" s="1709"/>
    </row>
    <row r="136">
      <c r="A136" s="1530">
        <v>3.0</v>
      </c>
      <c r="B136" s="222"/>
      <c r="C136" s="1731"/>
      <c r="D136" s="1731"/>
      <c r="E136" s="1731"/>
      <c r="F136" s="1731"/>
      <c r="G136" s="1731"/>
      <c r="H136" s="1731"/>
      <c r="I136" s="1731"/>
      <c r="J136" s="1709"/>
      <c r="K136" s="1709"/>
    </row>
    <row r="137">
      <c r="A137" s="1530">
        <v>4.0</v>
      </c>
      <c r="B137" s="222"/>
      <c r="C137" s="1731"/>
      <c r="D137" s="1732"/>
      <c r="E137" s="1732"/>
      <c r="F137" s="1732"/>
      <c r="G137" s="1731"/>
      <c r="H137" s="1731"/>
      <c r="I137" s="1731"/>
      <c r="J137" s="1709"/>
      <c r="K137" s="1709"/>
    </row>
    <row r="138">
      <c r="A138" s="1530">
        <v>5.0</v>
      </c>
      <c r="B138" s="222"/>
      <c r="C138" s="1731"/>
      <c r="D138" s="1733" t="s">
        <v>14337</v>
      </c>
      <c r="E138" s="8"/>
      <c r="F138" s="4"/>
      <c r="G138" s="1731"/>
      <c r="H138" s="1731"/>
      <c r="I138" s="1731"/>
      <c r="J138" s="1709"/>
      <c r="K138" s="1709"/>
    </row>
    <row r="139">
      <c r="A139" s="1530">
        <v>6.0</v>
      </c>
      <c r="B139" s="222"/>
      <c r="C139" s="1731"/>
      <c r="D139" s="224"/>
      <c r="F139" s="139"/>
      <c r="G139" s="1731"/>
      <c r="H139" s="1731"/>
      <c r="I139" s="1731"/>
      <c r="J139" s="1709"/>
      <c r="K139" s="1709"/>
    </row>
    <row r="140">
      <c r="A140" s="1530">
        <v>7.0</v>
      </c>
      <c r="B140" s="173"/>
      <c r="C140" s="1731"/>
      <c r="D140" s="224"/>
      <c r="F140" s="139"/>
      <c r="G140" s="1731"/>
      <c r="H140" s="1731"/>
      <c r="I140" s="1731"/>
      <c r="J140" s="1709"/>
      <c r="K140" s="1709"/>
    </row>
    <row r="141">
      <c r="A141" s="1530">
        <v>8.0</v>
      </c>
      <c r="B141" s="1734" t="s">
        <v>14338</v>
      </c>
      <c r="C141" s="1731"/>
      <c r="D141" s="224"/>
      <c r="F141" s="139"/>
      <c r="G141" s="1731"/>
      <c r="H141" s="1731"/>
      <c r="I141" s="1731"/>
      <c r="J141" s="1709"/>
      <c r="K141" s="1709"/>
    </row>
    <row r="142">
      <c r="A142" s="1735">
        <v>9.0</v>
      </c>
      <c r="B142" s="1736"/>
      <c r="C142" s="1736"/>
      <c r="D142" s="224"/>
      <c r="F142" s="139"/>
      <c r="G142" s="1736"/>
      <c r="H142" s="1736"/>
      <c r="I142" s="1736"/>
      <c r="J142" s="1709"/>
      <c r="K142" s="1709"/>
    </row>
    <row r="143">
      <c r="A143" s="1530">
        <v>10.0</v>
      </c>
      <c r="B143" s="1731"/>
      <c r="C143" s="1731"/>
      <c r="D143" s="224"/>
      <c r="F143" s="139"/>
      <c r="G143" s="1731"/>
      <c r="H143" s="1731"/>
      <c r="I143" s="1731"/>
      <c r="J143" s="1709"/>
      <c r="K143" s="1709"/>
    </row>
    <row r="144">
      <c r="A144" s="1530">
        <v>11.0</v>
      </c>
      <c r="B144" s="1737" t="s">
        <v>14339</v>
      </c>
      <c r="C144" s="1731"/>
      <c r="D144" s="224"/>
      <c r="F144" s="139"/>
      <c r="G144" s="1738"/>
      <c r="H144" s="1731"/>
      <c r="I144" s="1731"/>
      <c r="J144" s="1739"/>
      <c r="K144" s="1739"/>
    </row>
    <row r="145">
      <c r="A145" s="1530">
        <v>12.0</v>
      </c>
      <c r="B145" s="1731"/>
      <c r="C145" s="1731"/>
      <c r="D145" s="104"/>
      <c r="E145" s="64"/>
      <c r="F145" s="72"/>
      <c r="G145" s="1738"/>
      <c r="H145" s="1740" t="s">
        <v>14340</v>
      </c>
      <c r="I145" s="13"/>
      <c r="J145" s="1739"/>
      <c r="K145" s="1739"/>
    </row>
    <row r="146">
      <c r="A146" s="1530">
        <v>13.0</v>
      </c>
      <c r="B146" s="1731"/>
      <c r="C146" s="1731"/>
      <c r="D146" s="1731"/>
      <c r="E146" s="1741" t="s">
        <v>14341</v>
      </c>
      <c r="F146" s="1731"/>
      <c r="G146" s="1731"/>
      <c r="H146" s="1731"/>
      <c r="I146" s="1731"/>
      <c r="J146" s="1739"/>
      <c r="K146" s="1739"/>
    </row>
    <row r="147">
      <c r="A147" s="1530">
        <v>14.0</v>
      </c>
      <c r="B147" s="1731"/>
      <c r="C147" s="1731"/>
      <c r="D147" s="1731"/>
      <c r="E147" s="1731"/>
      <c r="F147" s="1731"/>
      <c r="G147" s="1466" t="s">
        <v>14342</v>
      </c>
      <c r="H147" s="13"/>
      <c r="I147" s="1731"/>
      <c r="J147" s="1739"/>
      <c r="K147" s="1739"/>
    </row>
    <row r="148" ht="19.5" customHeight="1">
      <c r="A148" s="1530">
        <v>15.0</v>
      </c>
      <c r="B148" s="1731"/>
      <c r="C148" s="1731"/>
      <c r="D148" s="1731"/>
      <c r="E148" s="1731"/>
      <c r="F148" s="1731"/>
      <c r="G148" s="1731"/>
      <c r="H148" s="1731"/>
      <c r="I148" s="1731"/>
      <c r="J148" s="1739"/>
      <c r="K148" s="1739"/>
    </row>
    <row r="149" ht="38.25" customHeight="1">
      <c r="A149" s="1530">
        <v>16.0</v>
      </c>
      <c r="B149" s="1742"/>
      <c r="C149" s="1740" t="s">
        <v>15446</v>
      </c>
      <c r="D149" s="36"/>
      <c r="E149" s="13"/>
      <c r="F149" s="1741" t="s">
        <v>14344</v>
      </c>
      <c r="G149" s="1740" t="s">
        <v>15447</v>
      </c>
      <c r="H149" s="36"/>
      <c r="I149" s="13"/>
      <c r="J149" s="1739"/>
      <c r="K149" s="1739"/>
    </row>
    <row r="150" ht="40.5" customHeight="1">
      <c r="A150" s="1530">
        <v>17.0</v>
      </c>
      <c r="B150" s="1731"/>
      <c r="C150" s="1731"/>
      <c r="D150" s="1731"/>
      <c r="E150" s="1731"/>
      <c r="F150" s="1731"/>
      <c r="G150" s="1743" t="s">
        <v>14346</v>
      </c>
      <c r="H150" s="1731"/>
      <c r="I150" s="1731"/>
      <c r="J150" s="1739"/>
      <c r="K150" s="1739"/>
    </row>
    <row r="151" ht="35.25" customHeight="1">
      <c r="A151" s="1530">
        <v>18.0</v>
      </c>
      <c r="B151" s="1731"/>
      <c r="C151" s="1744" t="s">
        <v>14347</v>
      </c>
      <c r="D151" s="36"/>
      <c r="E151" s="36"/>
      <c r="F151" s="36"/>
      <c r="G151" s="36"/>
      <c r="H151" s="13"/>
      <c r="I151" s="1745" t="s">
        <v>14348</v>
      </c>
      <c r="J151" s="1739"/>
      <c r="K151" s="1739"/>
    </row>
    <row r="152" ht="39.0" customHeight="1">
      <c r="A152" s="1530">
        <v>19.0</v>
      </c>
      <c r="B152" s="1731"/>
      <c r="C152" s="1731"/>
      <c r="D152" s="1731"/>
      <c r="E152" s="1731"/>
      <c r="F152" s="1731"/>
      <c r="G152" s="1738" t="s">
        <v>14349</v>
      </c>
      <c r="H152" s="1731"/>
      <c r="I152" s="1731"/>
      <c r="J152" s="1739" t="s">
        <v>14350</v>
      </c>
      <c r="K152" s="1739"/>
    </row>
    <row r="153" ht="37.5" customHeight="1">
      <c r="A153" s="1530">
        <v>20.0</v>
      </c>
      <c r="B153" s="1731"/>
      <c r="C153" s="1731"/>
      <c r="D153" s="1746" t="s">
        <v>14351</v>
      </c>
      <c r="E153" s="36"/>
      <c r="F153" s="13"/>
      <c r="G153" s="1738" t="s">
        <v>14352</v>
      </c>
      <c r="H153" s="1731"/>
      <c r="I153" s="1731"/>
      <c r="J153" s="1739"/>
      <c r="K153" s="1739"/>
    </row>
    <row r="154" ht="17.25" customHeight="1">
      <c r="A154" s="1530">
        <v>21.0</v>
      </c>
      <c r="B154" s="1731"/>
      <c r="C154" s="1731"/>
      <c r="D154" s="1731"/>
      <c r="E154" s="1731"/>
      <c r="F154" s="1731"/>
      <c r="G154" s="1731"/>
      <c r="H154" s="1731"/>
      <c r="I154" s="1731"/>
      <c r="J154" s="1739"/>
      <c r="K154" s="1739"/>
    </row>
    <row r="155">
      <c r="A155" s="1530">
        <v>22.0</v>
      </c>
      <c r="B155" s="1747" t="s">
        <v>14353</v>
      </c>
      <c r="C155" s="1731"/>
      <c r="D155" s="1731"/>
      <c r="E155" s="1731"/>
      <c r="F155" s="1731"/>
      <c r="G155" s="1731"/>
      <c r="H155" s="1738"/>
      <c r="I155" s="1731"/>
      <c r="J155" s="1739"/>
      <c r="K155" s="1739"/>
    </row>
    <row r="156">
      <c r="A156" s="1530">
        <v>23.0</v>
      </c>
      <c r="B156" s="1731"/>
      <c r="C156" s="1748" t="s">
        <v>14354</v>
      </c>
      <c r="D156" s="8"/>
      <c r="E156" s="8"/>
      <c r="F156" s="8"/>
      <c r="G156" s="1749" t="s">
        <v>14355</v>
      </c>
      <c r="H156" s="1748" t="s">
        <v>14354</v>
      </c>
      <c r="I156" s="8"/>
      <c r="J156" s="1739"/>
      <c r="K156" s="1739"/>
    </row>
    <row r="157">
      <c r="A157" s="1530">
        <v>24.0</v>
      </c>
      <c r="B157" s="1731"/>
      <c r="C157" s="224"/>
      <c r="G157" s="1750"/>
      <c r="H157" s="224"/>
      <c r="J157" s="1739"/>
      <c r="K157" s="1739"/>
    </row>
    <row r="158">
      <c r="A158" s="1530">
        <v>25.0</v>
      </c>
      <c r="B158" s="1731"/>
      <c r="C158" s="224"/>
      <c r="G158" s="1750"/>
      <c r="H158" s="224"/>
      <c r="J158" s="1739" t="s">
        <v>14356</v>
      </c>
      <c r="K158" s="1739"/>
    </row>
    <row r="159">
      <c r="A159" s="1530">
        <v>26.0</v>
      </c>
      <c r="B159" s="1731"/>
      <c r="C159" s="1751"/>
      <c r="D159" s="1752"/>
      <c r="E159" s="1752"/>
      <c r="F159" s="1753" t="s">
        <v>14357</v>
      </c>
      <c r="G159" s="1750"/>
      <c r="H159" s="224"/>
      <c r="J159" s="1739"/>
      <c r="K159" s="1739"/>
    </row>
    <row r="160">
      <c r="A160" s="1530">
        <v>27.0</v>
      </c>
      <c r="B160" s="1731"/>
      <c r="C160" s="1754"/>
      <c r="D160" s="1755"/>
      <c r="E160" s="1755"/>
      <c r="F160" s="1755"/>
      <c r="G160" s="1749" t="s">
        <v>14358</v>
      </c>
      <c r="H160" s="104"/>
      <c r="I160" s="64"/>
      <c r="J160" s="1739"/>
      <c r="K160" s="1739"/>
    </row>
    <row r="161">
      <c r="A161" s="1530">
        <v>28.0</v>
      </c>
      <c r="B161" s="1756" t="s">
        <v>14359</v>
      </c>
      <c r="C161" s="1757" t="s">
        <v>14360</v>
      </c>
      <c r="D161" s="64"/>
      <c r="E161" s="64"/>
      <c r="F161" s="64"/>
      <c r="G161" s="64"/>
      <c r="H161" s="72"/>
      <c r="I161" s="1731"/>
      <c r="J161" s="1739"/>
      <c r="K161" s="1739"/>
    </row>
    <row r="162">
      <c r="A162" s="1530">
        <v>29.0</v>
      </c>
      <c r="B162" s="1758"/>
      <c r="C162" s="1731"/>
      <c r="D162" s="1731"/>
      <c r="E162" s="1731"/>
      <c r="F162" s="1731"/>
      <c r="G162" s="1759"/>
      <c r="H162" s="1760"/>
      <c r="I162" s="1731"/>
      <c r="J162" s="1739"/>
      <c r="K162" s="1739"/>
    </row>
    <row r="163">
      <c r="A163" s="1530">
        <v>30.0</v>
      </c>
      <c r="B163" s="1731"/>
      <c r="C163" s="1761"/>
      <c r="D163" s="1762" t="s">
        <v>14362</v>
      </c>
      <c r="E163" s="13"/>
      <c r="F163" s="1761"/>
      <c r="G163" s="1763"/>
      <c r="H163" s="1764" t="s">
        <v>14363</v>
      </c>
      <c r="I163" s="8"/>
      <c r="J163" s="1739" t="s">
        <v>14364</v>
      </c>
      <c r="K163" s="1739"/>
    </row>
    <row r="164">
      <c r="A164" s="1530">
        <v>31.0</v>
      </c>
      <c r="B164" s="1758"/>
      <c r="C164" s="1764" t="s">
        <v>14363</v>
      </c>
      <c r="D164" s="8"/>
      <c r="E164" s="8"/>
      <c r="F164" s="8"/>
      <c r="G164" s="1761"/>
      <c r="H164" s="224"/>
      <c r="J164" s="1739"/>
      <c r="K164" s="1739"/>
    </row>
    <row r="165">
      <c r="A165" s="1708"/>
      <c r="B165" s="1765"/>
      <c r="C165" s="224"/>
      <c r="G165" s="1766"/>
      <c r="H165" s="224"/>
      <c r="J165" s="1709"/>
      <c r="K165" s="1709"/>
    </row>
    <row r="166">
      <c r="A166" s="1530">
        <v>1.0</v>
      </c>
      <c r="B166" s="1530"/>
      <c r="C166" s="224"/>
      <c r="G166" s="1767" t="s">
        <v>14365</v>
      </c>
      <c r="H166" s="224"/>
      <c r="J166" s="1768"/>
      <c r="K166" s="1768"/>
    </row>
    <row r="167">
      <c r="A167" s="1530">
        <v>2.0</v>
      </c>
      <c r="B167" s="1530"/>
      <c r="C167" s="224"/>
      <c r="G167" s="1769"/>
      <c r="H167" s="224"/>
      <c r="J167" s="1768"/>
      <c r="K167" s="1768"/>
    </row>
    <row r="168">
      <c r="A168" s="1530">
        <v>3.0</v>
      </c>
      <c r="B168" s="1530"/>
      <c r="C168" s="224"/>
      <c r="G168" s="1769"/>
      <c r="H168" s="224"/>
      <c r="J168" s="1768"/>
      <c r="K168" s="1768"/>
    </row>
    <row r="169">
      <c r="A169" s="1530">
        <v>4.0</v>
      </c>
      <c r="B169" s="1530"/>
      <c r="C169" s="224"/>
      <c r="G169" s="1769"/>
      <c r="H169" s="224"/>
      <c r="J169" s="1768"/>
      <c r="K169" s="1768"/>
    </row>
    <row r="170">
      <c r="A170" s="1530">
        <v>5.0</v>
      </c>
      <c r="B170" s="1530"/>
      <c r="C170" s="224"/>
      <c r="G170" s="1769"/>
      <c r="H170" s="224"/>
      <c r="J170" s="1768"/>
      <c r="K170" s="1768"/>
    </row>
    <row r="171">
      <c r="A171" s="1530">
        <v>6.0</v>
      </c>
      <c r="B171" s="1530"/>
      <c r="C171" s="224"/>
      <c r="G171" s="1769"/>
      <c r="H171" s="224"/>
      <c r="J171" s="1768"/>
      <c r="K171" s="1768"/>
    </row>
    <row r="172">
      <c r="A172" s="1530">
        <v>7.0</v>
      </c>
      <c r="B172" s="1530"/>
      <c r="C172" s="224"/>
      <c r="G172" s="1767" t="s">
        <v>14366</v>
      </c>
      <c r="H172" s="224"/>
      <c r="J172" s="1768"/>
      <c r="K172" s="1768"/>
    </row>
    <row r="173">
      <c r="A173" s="1530">
        <v>8.0</v>
      </c>
      <c r="B173" s="1530"/>
      <c r="C173" s="224"/>
      <c r="G173" s="1769"/>
      <c r="H173" s="224"/>
      <c r="J173" s="1768"/>
      <c r="K173" s="1768"/>
    </row>
    <row r="174">
      <c r="A174" s="1530">
        <v>9.0</v>
      </c>
      <c r="B174" s="1530"/>
      <c r="C174" s="104"/>
      <c r="D174" s="64"/>
      <c r="E174" s="64"/>
      <c r="F174" s="64"/>
      <c r="G174" s="1769"/>
      <c r="H174" s="104"/>
      <c r="I174" s="64"/>
      <c r="J174" s="1739" t="s">
        <v>15448</v>
      </c>
      <c r="K174" s="1768"/>
    </row>
    <row r="175">
      <c r="A175" s="1530">
        <v>10.0</v>
      </c>
      <c r="B175" s="1530"/>
      <c r="C175" s="1770" t="s">
        <v>14367</v>
      </c>
      <c r="D175" s="36"/>
      <c r="E175" s="36"/>
      <c r="F175" s="36"/>
      <c r="G175" s="36"/>
      <c r="H175" s="36"/>
      <c r="I175" s="13"/>
      <c r="J175" s="1768"/>
      <c r="K175" s="1768"/>
    </row>
    <row r="176">
      <c r="A176" s="1530">
        <v>11.0</v>
      </c>
      <c r="B176" s="1530"/>
      <c r="C176" s="1530"/>
      <c r="D176" s="1530"/>
      <c r="E176" s="1530"/>
      <c r="F176" s="1530"/>
      <c r="G176" s="1771"/>
      <c r="H176" s="1530"/>
      <c r="I176" s="1530"/>
      <c r="J176" s="1758"/>
      <c r="K176" s="1758"/>
    </row>
    <row r="177">
      <c r="A177" s="1530">
        <v>12.0</v>
      </c>
      <c r="B177" s="1530"/>
      <c r="C177" s="1530"/>
      <c r="D177" s="1530"/>
      <c r="E177" s="1530"/>
      <c r="F177" s="1530"/>
      <c r="G177" s="1530"/>
      <c r="H177" s="1530"/>
      <c r="I177" s="1530"/>
      <c r="J177" s="1758"/>
      <c r="K177" s="1758"/>
    </row>
    <row r="178">
      <c r="A178" s="1530">
        <v>13.0</v>
      </c>
      <c r="B178" s="1530"/>
      <c r="C178" s="1530"/>
      <c r="D178" s="1530"/>
      <c r="E178" s="1530"/>
      <c r="F178" s="1530"/>
      <c r="G178" s="1530"/>
      <c r="H178" s="1530"/>
      <c r="I178" s="1530"/>
      <c r="J178" s="1758"/>
      <c r="K178" s="1758"/>
    </row>
    <row r="179">
      <c r="A179" s="1530">
        <v>14.0</v>
      </c>
      <c r="B179" s="1530"/>
      <c r="C179" s="1772" t="s">
        <v>14368</v>
      </c>
      <c r="D179" s="8"/>
      <c r="E179" s="8"/>
      <c r="F179" s="4"/>
      <c r="G179" s="1530"/>
      <c r="H179" s="1772" t="s">
        <v>14368</v>
      </c>
      <c r="I179" s="4"/>
      <c r="J179" s="1758"/>
      <c r="K179" s="1758"/>
    </row>
    <row r="180">
      <c r="A180" s="1530">
        <v>15.0</v>
      </c>
      <c r="B180" s="1530"/>
      <c r="C180" s="224"/>
      <c r="F180" s="139"/>
      <c r="G180" s="1738" t="s">
        <v>14369</v>
      </c>
      <c r="H180" s="224"/>
      <c r="I180" s="139"/>
      <c r="J180" s="1758"/>
      <c r="K180" s="1758"/>
    </row>
    <row r="181">
      <c r="A181" s="1530">
        <v>16.0</v>
      </c>
      <c r="B181" s="1530"/>
      <c r="C181" s="224"/>
      <c r="F181" s="139"/>
      <c r="G181" s="1530"/>
      <c r="H181" s="224"/>
      <c r="I181" s="139"/>
      <c r="J181" s="1530"/>
      <c r="K181" s="1758"/>
    </row>
    <row r="182">
      <c r="A182" s="1530">
        <v>17.0</v>
      </c>
      <c r="B182" s="1773"/>
      <c r="C182" s="104"/>
      <c r="D182" s="64"/>
      <c r="E182" s="64"/>
      <c r="F182" s="72"/>
      <c r="G182" s="1773"/>
      <c r="H182" s="104"/>
      <c r="I182" s="72"/>
      <c r="J182" s="1709"/>
      <c r="K182" s="1709"/>
    </row>
    <row r="183">
      <c r="A183" s="1530">
        <v>18.0</v>
      </c>
      <c r="B183" s="1773"/>
      <c r="C183" s="1773"/>
      <c r="D183" s="1773"/>
      <c r="E183" s="1773"/>
      <c r="F183" s="1773"/>
      <c r="G183" s="1773"/>
      <c r="H183" s="1773"/>
      <c r="I183" s="1773"/>
      <c r="J183" s="1709"/>
      <c r="K183" s="1709"/>
    </row>
    <row r="184">
      <c r="A184" s="1530">
        <v>19.0</v>
      </c>
      <c r="B184" s="1773"/>
      <c r="C184" s="1773"/>
      <c r="D184" s="1773"/>
      <c r="E184" s="1773"/>
      <c r="F184" s="1773"/>
      <c r="G184" s="1773"/>
      <c r="H184" s="1773"/>
      <c r="I184" s="1773"/>
      <c r="J184" s="1709"/>
      <c r="K184" s="1709"/>
    </row>
    <row r="185">
      <c r="A185" s="1530">
        <v>20.0</v>
      </c>
      <c r="B185" s="1773"/>
      <c r="C185" s="1773"/>
      <c r="D185" s="1773"/>
      <c r="E185" s="1773"/>
      <c r="F185" s="1773"/>
      <c r="G185" s="1773"/>
      <c r="H185" s="1773"/>
      <c r="I185" s="1745" t="s">
        <v>14370</v>
      </c>
      <c r="J185" s="1709"/>
      <c r="K185" s="1709"/>
    </row>
    <row r="186">
      <c r="A186" s="1530">
        <v>21.0</v>
      </c>
      <c r="B186" s="1773"/>
      <c r="C186" s="1773"/>
      <c r="D186" s="1773"/>
      <c r="E186" s="1773"/>
      <c r="F186" s="1773"/>
      <c r="G186" s="1716"/>
      <c r="H186" s="1773"/>
      <c r="I186" s="1773"/>
      <c r="J186" s="1709"/>
      <c r="K186" s="1709"/>
    </row>
    <row r="187">
      <c r="A187" s="1530">
        <v>22.0</v>
      </c>
      <c r="B187" s="1773"/>
      <c r="C187" s="1773"/>
      <c r="D187" s="1773"/>
      <c r="E187" s="1773"/>
      <c r="F187" s="1773"/>
      <c r="G187" s="1774" t="s">
        <v>14371</v>
      </c>
      <c r="H187" s="1773"/>
      <c r="I187" s="1773"/>
      <c r="J187" s="1709"/>
      <c r="K187" s="1709"/>
    </row>
    <row r="188">
      <c r="A188" s="1708" t="s">
        <v>14372</v>
      </c>
      <c r="B188" s="36"/>
      <c r="C188" s="36"/>
      <c r="D188" s="36"/>
      <c r="E188" s="36"/>
      <c r="F188" s="36"/>
      <c r="G188" s="36"/>
      <c r="H188" s="36"/>
      <c r="I188" s="13"/>
      <c r="J188" s="1709"/>
      <c r="K188" s="1709"/>
    </row>
    <row r="189">
      <c r="A189" s="1444" t="s">
        <v>15449</v>
      </c>
      <c r="B189" s="1775"/>
      <c r="C189" s="1776" t="s">
        <v>14373</v>
      </c>
      <c r="D189" s="36"/>
      <c r="E189" s="36"/>
      <c r="F189" s="36"/>
      <c r="G189" s="36"/>
      <c r="H189" s="36"/>
      <c r="I189" s="13"/>
      <c r="J189" s="1768"/>
      <c r="K189" s="1768"/>
    </row>
    <row r="190">
      <c r="A190" s="1708" t="s">
        <v>14214</v>
      </c>
      <c r="B190" s="36"/>
      <c r="C190" s="36"/>
      <c r="D190" s="36"/>
      <c r="E190" s="36"/>
      <c r="F190" s="36"/>
      <c r="G190" s="36"/>
      <c r="H190" s="36"/>
      <c r="I190" s="13"/>
      <c r="J190" s="1709"/>
      <c r="K190" s="1709"/>
    </row>
    <row r="191">
      <c r="A191" s="1777" t="s">
        <v>15450</v>
      </c>
      <c r="B191" s="1445"/>
      <c r="C191" s="1445"/>
      <c r="D191" s="1445"/>
      <c r="E191" s="1770" t="s">
        <v>14215</v>
      </c>
      <c r="F191" s="36"/>
      <c r="G191" s="36"/>
      <c r="H191" s="13"/>
      <c r="I191" s="1445"/>
      <c r="J191" s="1442"/>
      <c r="K191" s="1442"/>
    </row>
    <row r="192">
      <c r="A192" s="1530" t="s">
        <v>14470</v>
      </c>
      <c r="B192" s="1445"/>
      <c r="C192" s="1445"/>
      <c r="D192" s="1778"/>
      <c r="E192" s="36"/>
      <c r="F192" s="36"/>
      <c r="G192" s="36"/>
      <c r="H192" s="13"/>
      <c r="I192" s="1779" t="s">
        <v>15451</v>
      </c>
      <c r="J192" s="1442"/>
      <c r="K192" s="1442"/>
    </row>
    <row r="193">
      <c r="A193" s="1780" t="s">
        <v>15452</v>
      </c>
      <c r="B193" s="36"/>
      <c r="C193" s="36"/>
      <c r="D193" s="36"/>
      <c r="E193" s="36"/>
      <c r="F193" s="36"/>
      <c r="G193" s="36"/>
      <c r="H193" s="36"/>
      <c r="I193" s="13"/>
      <c r="J193" s="1442"/>
      <c r="K193" s="1442"/>
    </row>
    <row r="194">
      <c r="A194" s="1444" t="s">
        <v>15453</v>
      </c>
      <c r="B194" s="1445"/>
      <c r="C194" s="1781" t="s">
        <v>14221</v>
      </c>
      <c r="D194" s="36"/>
      <c r="E194" s="36"/>
      <c r="F194" s="36"/>
      <c r="G194" s="36"/>
      <c r="H194" s="13"/>
      <c r="I194" s="1445"/>
      <c r="J194" s="1442"/>
      <c r="K194" s="1442"/>
    </row>
    <row r="195">
      <c r="A195" s="1530"/>
      <c r="B195" s="1445"/>
      <c r="C195" s="1445"/>
      <c r="D195" s="1445"/>
      <c r="E195" s="1445"/>
      <c r="F195" s="1445"/>
      <c r="G195" s="1445"/>
      <c r="H195" s="1445"/>
      <c r="I195" s="1445"/>
      <c r="J195" s="1442"/>
      <c r="K195" s="1442"/>
    </row>
    <row r="196">
      <c r="A196" s="1530"/>
      <c r="B196" s="1445"/>
      <c r="C196" s="1445"/>
      <c r="D196" s="1445"/>
      <c r="E196" s="1445"/>
      <c r="F196" s="1445"/>
      <c r="G196" s="1445"/>
      <c r="H196" s="1445"/>
      <c r="I196" s="1445"/>
      <c r="J196" s="1442"/>
      <c r="K196" s="1442"/>
    </row>
    <row r="197">
      <c r="A197" s="1780" t="s">
        <v>15454</v>
      </c>
      <c r="B197" s="36"/>
      <c r="C197" s="36"/>
      <c r="D197" s="36"/>
      <c r="E197" s="36"/>
      <c r="F197" s="36"/>
      <c r="G197" s="36"/>
      <c r="H197" s="36"/>
      <c r="I197" s="13"/>
      <c r="J197" s="1442"/>
      <c r="K197" s="1442"/>
    </row>
    <row r="198">
      <c r="A198" s="1530"/>
      <c r="B198" s="1445"/>
      <c r="C198" s="1445"/>
      <c r="D198" s="1445"/>
      <c r="E198" s="1445"/>
      <c r="F198" s="1445"/>
      <c r="G198" s="1445"/>
      <c r="H198" s="1445"/>
      <c r="I198" s="1445"/>
      <c r="J198" s="1442"/>
      <c r="K198" s="1442"/>
    </row>
    <row r="199">
      <c r="A199" s="1530"/>
      <c r="B199" s="1445"/>
      <c r="C199" s="1445"/>
      <c r="D199" s="1445"/>
      <c r="E199" s="1445"/>
      <c r="F199" s="1445"/>
      <c r="G199" s="1445"/>
      <c r="H199" s="1445"/>
      <c r="I199" s="1445"/>
      <c r="J199" s="1442"/>
      <c r="K199" s="1442"/>
    </row>
    <row r="200">
      <c r="A200" s="1782" t="s">
        <v>15455</v>
      </c>
      <c r="C200" s="1448" t="s">
        <v>15456</v>
      </c>
      <c r="D200" s="36"/>
      <c r="E200" s="36"/>
      <c r="F200" s="36"/>
      <c r="G200" s="36"/>
      <c r="H200" s="36"/>
    </row>
    <row r="201">
      <c r="A201" s="1780" t="s">
        <v>15457</v>
      </c>
      <c r="B201" s="36"/>
      <c r="C201" s="36"/>
      <c r="D201" s="36"/>
      <c r="E201" s="36"/>
      <c r="F201" s="36"/>
      <c r="G201" s="36"/>
      <c r="H201" s="36"/>
      <c r="I201" s="13"/>
      <c r="J201" s="1442"/>
      <c r="K201" s="1442"/>
    </row>
    <row r="202" ht="28.5" customHeight="1">
      <c r="A202" s="1482" t="s">
        <v>15458</v>
      </c>
      <c r="B202" s="1451" t="s">
        <v>14421</v>
      </c>
      <c r="C202" s="36"/>
      <c r="D202" s="36"/>
      <c r="E202" s="36"/>
      <c r="F202" s="36"/>
      <c r="G202" s="36"/>
      <c r="H202" s="13"/>
      <c r="I202" s="1445"/>
      <c r="J202" s="1442"/>
      <c r="K202" s="1442"/>
    </row>
    <row r="203">
      <c r="A203" s="1530"/>
      <c r="B203" s="1445"/>
      <c r="C203" s="1445"/>
      <c r="D203" s="1445"/>
      <c r="E203" s="1445"/>
      <c r="F203" s="1445"/>
      <c r="G203" s="1445"/>
      <c r="H203" s="1445"/>
      <c r="I203" s="1445"/>
      <c r="J203" s="1442"/>
      <c r="K203" s="1442"/>
    </row>
    <row r="204">
      <c r="A204" s="1530"/>
      <c r="B204" s="1445"/>
      <c r="C204" s="1445"/>
      <c r="D204" s="1445"/>
      <c r="E204" s="1445"/>
      <c r="F204" s="1445"/>
      <c r="G204" s="1445"/>
      <c r="H204" s="1445"/>
      <c r="I204" s="1445"/>
      <c r="J204" s="1442"/>
      <c r="K204" s="1442"/>
    </row>
    <row r="205">
      <c r="A205" s="1780" t="s">
        <v>15459</v>
      </c>
      <c r="B205" s="36"/>
      <c r="C205" s="36"/>
      <c r="D205" s="36"/>
      <c r="E205" s="36"/>
      <c r="F205" s="36"/>
      <c r="G205" s="36"/>
      <c r="H205" s="36"/>
      <c r="I205" s="13"/>
      <c r="J205" s="1442"/>
      <c r="K205" s="1442"/>
    </row>
    <row r="206" ht="28.5" customHeight="1">
      <c r="A206" s="1518" t="s">
        <v>15460</v>
      </c>
      <c r="B206" s="1519" t="s">
        <v>15461</v>
      </c>
      <c r="C206" s="36"/>
      <c r="D206" s="36"/>
      <c r="E206" s="36"/>
      <c r="F206" s="36"/>
      <c r="G206" s="36"/>
      <c r="H206" s="13"/>
      <c r="I206" s="1783"/>
      <c r="J206" s="1442"/>
      <c r="K206" s="1442"/>
    </row>
    <row r="207">
      <c r="A207" s="1784">
        <v>44920.0</v>
      </c>
      <c r="B207" s="1785" t="s">
        <v>15462</v>
      </c>
      <c r="C207" s="36"/>
      <c r="D207" s="36"/>
      <c r="E207" s="36"/>
      <c r="F207" s="36"/>
      <c r="G207" s="36"/>
      <c r="H207" s="36"/>
      <c r="I207" s="13"/>
      <c r="J207" s="1768"/>
      <c r="K207" s="1768"/>
      <c r="L207" s="1786"/>
      <c r="M207" s="1786"/>
      <c r="N207" s="1786"/>
      <c r="O207" s="1786"/>
      <c r="P207" s="1786"/>
      <c r="Q207" s="1786"/>
      <c r="R207" s="1786"/>
      <c r="S207" s="1786"/>
      <c r="T207" s="1786"/>
      <c r="U207" s="1786"/>
      <c r="V207" s="1786"/>
      <c r="W207" s="1786"/>
      <c r="X207" s="1786"/>
      <c r="Y207" s="1786"/>
      <c r="Z207" s="1786"/>
    </row>
    <row r="208">
      <c r="A208" s="1780" t="s">
        <v>15463</v>
      </c>
      <c r="B208" s="36"/>
      <c r="C208" s="36"/>
      <c r="D208" s="36"/>
      <c r="E208" s="36"/>
      <c r="F208" s="36"/>
      <c r="G208" s="36"/>
      <c r="H208" s="36"/>
      <c r="I208" s="13"/>
      <c r="J208" s="1442"/>
      <c r="K208" s="1442"/>
    </row>
    <row r="209">
      <c r="A209" s="1482" t="s">
        <v>14440</v>
      </c>
      <c r="B209" s="1451" t="s">
        <v>14441</v>
      </c>
      <c r="C209" s="36"/>
      <c r="D209" s="36"/>
      <c r="E209" s="36"/>
      <c r="F209" s="36"/>
      <c r="G209" s="36"/>
      <c r="H209" s="13"/>
      <c r="I209" s="1445"/>
      <c r="J209" s="1442"/>
      <c r="K209" s="1442"/>
    </row>
    <row r="210">
      <c r="A210" s="1780" t="s">
        <v>15464</v>
      </c>
      <c r="B210" s="36"/>
      <c r="C210" s="36"/>
      <c r="D210" s="36"/>
      <c r="E210" s="36"/>
      <c r="F210" s="36"/>
      <c r="G210" s="36"/>
      <c r="H210" s="36"/>
      <c r="I210" s="13"/>
      <c r="J210" s="1442"/>
      <c r="K210" s="1442"/>
    </row>
    <row r="211">
      <c r="A211" s="1495" t="s">
        <v>15465</v>
      </c>
      <c r="B211" s="1496" t="s">
        <v>15466</v>
      </c>
      <c r="C211" s="36"/>
      <c r="D211" s="36"/>
      <c r="E211" s="36"/>
      <c r="F211" s="36"/>
      <c r="G211" s="36"/>
      <c r="H211" s="13"/>
      <c r="I211" s="1505"/>
      <c r="J211" s="1487"/>
      <c r="K211" s="1487"/>
      <c r="L211" s="1078"/>
      <c r="M211" s="1078"/>
      <c r="N211" s="1078"/>
      <c r="O211" s="1078"/>
      <c r="P211" s="1078"/>
      <c r="Q211" s="1078"/>
      <c r="R211" s="1078"/>
      <c r="S211" s="1078"/>
      <c r="T211" s="1078"/>
      <c r="U211" s="1078"/>
      <c r="V211" s="1078"/>
      <c r="W211" s="1078"/>
      <c r="X211" s="1078"/>
      <c r="Y211" s="1078"/>
      <c r="Z211" s="1078"/>
    </row>
    <row r="212">
      <c r="A212" s="1787">
        <v>44606.0</v>
      </c>
      <c r="B212" s="1498"/>
      <c r="C212" s="1498"/>
      <c r="D212" s="1498"/>
      <c r="E212" s="1492" t="s">
        <v>15467</v>
      </c>
      <c r="F212" s="36"/>
      <c r="G212" s="13"/>
      <c r="H212" s="1498"/>
      <c r="I212" s="1498"/>
      <c r="J212" s="1442"/>
      <c r="K212" s="1442"/>
    </row>
    <row r="213">
      <c r="A213" s="1780" t="s">
        <v>15468</v>
      </c>
      <c r="B213" s="36"/>
      <c r="C213" s="36"/>
      <c r="D213" s="36"/>
      <c r="E213" s="36"/>
      <c r="F213" s="36"/>
      <c r="G213" s="36"/>
      <c r="H213" s="36"/>
      <c r="I213" s="13"/>
      <c r="J213" s="1442"/>
      <c r="K213" s="1442"/>
    </row>
    <row r="214">
      <c r="A214" s="1780" t="s">
        <v>15469</v>
      </c>
      <c r="B214" s="36"/>
      <c r="C214" s="36"/>
      <c r="D214" s="36"/>
      <c r="E214" s="36"/>
      <c r="F214" s="36"/>
      <c r="G214" s="36"/>
      <c r="H214" s="36"/>
      <c r="I214" s="13"/>
      <c r="J214" s="1442"/>
      <c r="K214" s="1442"/>
    </row>
    <row r="215">
      <c r="A215" s="1495" t="s">
        <v>15470</v>
      </c>
      <c r="B215" s="1788"/>
      <c r="C215" s="1496" t="s">
        <v>15471</v>
      </c>
      <c r="D215" s="36"/>
      <c r="E215" s="36"/>
      <c r="F215" s="36"/>
      <c r="G215" s="36"/>
      <c r="H215" s="13"/>
      <c r="I215" s="1505"/>
      <c r="J215" s="1487"/>
      <c r="K215" s="1487"/>
      <c r="L215" s="1078"/>
      <c r="M215" s="1078"/>
      <c r="N215" s="1078"/>
      <c r="O215" s="1078"/>
      <c r="P215" s="1078"/>
      <c r="Q215" s="1078"/>
      <c r="R215" s="1078"/>
      <c r="S215" s="1078"/>
      <c r="T215" s="1078"/>
      <c r="U215" s="1078"/>
      <c r="V215" s="1078"/>
      <c r="W215" s="1078"/>
      <c r="X215" s="1078"/>
      <c r="Y215" s="1078"/>
      <c r="Z215" s="1078"/>
    </row>
    <row r="216">
      <c r="A216" s="1495" t="s">
        <v>15472</v>
      </c>
      <c r="B216" s="1496" t="s">
        <v>14466</v>
      </c>
      <c r="C216" s="36"/>
      <c r="D216" s="36"/>
      <c r="E216" s="36"/>
      <c r="F216" s="36"/>
      <c r="G216" s="36"/>
      <c r="H216" s="13"/>
      <c r="I216" s="1505"/>
      <c r="J216" s="1487"/>
      <c r="K216" s="1487"/>
      <c r="L216" s="1078"/>
      <c r="M216" s="1078"/>
      <c r="N216" s="1078"/>
      <c r="O216" s="1078"/>
      <c r="P216" s="1078"/>
      <c r="Q216" s="1078"/>
      <c r="R216" s="1078"/>
      <c r="S216" s="1078"/>
      <c r="T216" s="1078"/>
      <c r="U216" s="1078"/>
      <c r="V216" s="1078"/>
      <c r="W216" s="1078"/>
      <c r="X216" s="1078"/>
      <c r="Y216" s="1078"/>
      <c r="Z216" s="1078"/>
    </row>
    <row r="217">
      <c r="A217" s="1780" t="s">
        <v>14335</v>
      </c>
      <c r="B217" s="36"/>
      <c r="C217" s="36"/>
      <c r="D217" s="36"/>
      <c r="E217" s="36"/>
      <c r="F217" s="36"/>
      <c r="G217" s="36"/>
      <c r="H217" s="36"/>
      <c r="I217" s="13"/>
      <c r="J217" s="1442"/>
      <c r="K217" s="1442"/>
    </row>
    <row r="218" ht="28.5" customHeight="1">
      <c r="A218" s="1518" t="s">
        <v>15473</v>
      </c>
      <c r="B218" s="1789"/>
      <c r="C218" s="1789"/>
      <c r="D218" s="1519" t="s">
        <v>15474</v>
      </c>
      <c r="E218" s="36"/>
      <c r="F218" s="13"/>
      <c r="G218" s="1789"/>
      <c r="H218" s="1789"/>
      <c r="I218" s="1783"/>
      <c r="J218" s="1442"/>
      <c r="K218" s="1442"/>
    </row>
    <row r="219" ht="28.5" customHeight="1">
      <c r="A219" s="1518" t="s">
        <v>14481</v>
      </c>
      <c r="B219" s="1519" t="s">
        <v>14482</v>
      </c>
      <c r="C219" s="36"/>
      <c r="D219" s="36"/>
      <c r="E219" s="36"/>
      <c r="F219" s="36"/>
      <c r="G219" s="36"/>
      <c r="H219" s="13"/>
      <c r="I219" s="1783"/>
      <c r="J219" s="1442"/>
      <c r="K219" s="1442"/>
    </row>
    <row r="220">
      <c r="A220" s="1780" t="s">
        <v>14361</v>
      </c>
      <c r="B220" s="36"/>
      <c r="C220" s="36"/>
      <c r="D220" s="36"/>
      <c r="E220" s="36"/>
      <c r="F220" s="36"/>
      <c r="G220" s="36"/>
      <c r="H220" s="36"/>
      <c r="I220" s="13"/>
      <c r="J220" s="1442"/>
      <c r="K220" s="1442"/>
    </row>
    <row r="221">
      <c r="A221" s="1530"/>
      <c r="B221" s="1445"/>
      <c r="C221" s="1445"/>
      <c r="D221" s="1445"/>
      <c r="E221" s="1445"/>
      <c r="F221" s="1445"/>
      <c r="G221" s="1445"/>
      <c r="H221" s="1445"/>
      <c r="I221" s="1445"/>
      <c r="J221" s="1442"/>
      <c r="K221" s="1442"/>
    </row>
    <row r="222">
      <c r="A222" s="1530"/>
      <c r="B222" s="1445"/>
      <c r="C222" s="1445"/>
      <c r="D222" s="1445"/>
      <c r="E222" s="1445"/>
      <c r="F222" s="1445"/>
      <c r="G222" s="1445"/>
      <c r="H222" s="1445"/>
      <c r="I222" s="1445"/>
      <c r="J222" s="1442"/>
      <c r="K222" s="1442"/>
    </row>
    <row r="223">
      <c r="A223" s="1530"/>
      <c r="B223" s="1445"/>
      <c r="C223" s="1445"/>
      <c r="D223" s="1445"/>
      <c r="E223" s="1445"/>
      <c r="F223" s="1445"/>
      <c r="G223" s="1445"/>
      <c r="H223" s="1445"/>
      <c r="I223" s="1445"/>
      <c r="J223" s="1442"/>
      <c r="K223" s="1442"/>
    </row>
    <row r="224">
      <c r="A224" s="1530"/>
      <c r="B224" s="1445"/>
      <c r="C224" s="1445"/>
      <c r="D224" s="1445"/>
      <c r="E224" s="1445"/>
      <c r="F224" s="1445"/>
      <c r="G224" s="1445"/>
      <c r="H224" s="1445"/>
      <c r="I224" s="1445"/>
      <c r="J224" s="1442"/>
      <c r="K224" s="1442"/>
    </row>
    <row r="225">
      <c r="A225" s="1530"/>
      <c r="B225" s="1445"/>
      <c r="C225" s="1445"/>
      <c r="D225" s="1445"/>
      <c r="E225" s="1445"/>
      <c r="F225" s="1445"/>
      <c r="G225" s="1445"/>
      <c r="H225" s="1445"/>
      <c r="I225" s="1445"/>
      <c r="J225" s="1442"/>
      <c r="K225" s="1442"/>
    </row>
    <row r="226">
      <c r="A226" s="1530"/>
      <c r="B226" s="1445"/>
      <c r="C226" s="1445"/>
      <c r="D226" s="1445"/>
      <c r="E226" s="1445"/>
      <c r="F226" s="1445"/>
      <c r="G226" s="1445"/>
      <c r="H226" s="1445"/>
      <c r="I226" s="1445"/>
      <c r="J226" s="1442"/>
      <c r="K226" s="1442"/>
    </row>
    <row r="227">
      <c r="A227" s="1530"/>
      <c r="B227" s="1445"/>
      <c r="C227" s="1445"/>
      <c r="D227" s="1445"/>
      <c r="E227" s="1445"/>
      <c r="F227" s="1445"/>
      <c r="G227" s="1445"/>
      <c r="H227" s="1445"/>
      <c r="I227" s="1445"/>
      <c r="J227" s="1442"/>
      <c r="K227" s="1442"/>
    </row>
    <row r="228">
      <c r="A228" s="1530"/>
      <c r="B228" s="1445"/>
      <c r="C228" s="1445"/>
      <c r="D228" s="1445"/>
      <c r="E228" s="1445"/>
      <c r="F228" s="1445"/>
      <c r="G228" s="1445"/>
      <c r="H228" s="1445"/>
      <c r="I228" s="1445"/>
      <c r="J228" s="1442"/>
      <c r="K228" s="1442"/>
    </row>
    <row r="229">
      <c r="A229" s="1530"/>
      <c r="B229" s="1445"/>
      <c r="C229" s="1445"/>
      <c r="D229" s="1445"/>
      <c r="E229" s="1445"/>
      <c r="F229" s="1445"/>
      <c r="G229" s="1445"/>
      <c r="H229" s="1445"/>
      <c r="I229" s="1445"/>
      <c r="J229" s="1442"/>
      <c r="K229" s="1442"/>
    </row>
    <row r="230">
      <c r="A230" s="1530"/>
      <c r="B230" s="1445"/>
      <c r="C230" s="1445"/>
      <c r="D230" s="1445"/>
      <c r="E230" s="1445"/>
      <c r="F230" s="1445"/>
      <c r="G230" s="1445"/>
      <c r="H230" s="1445"/>
      <c r="I230" s="1445"/>
      <c r="J230" s="1442"/>
      <c r="K230" s="1442"/>
    </row>
    <row r="231">
      <c r="A231" s="1530"/>
      <c r="B231" s="1445"/>
      <c r="C231" s="1445"/>
      <c r="D231" s="1445"/>
      <c r="E231" s="1445"/>
      <c r="F231" s="1445"/>
      <c r="G231" s="1445"/>
      <c r="H231" s="1445"/>
      <c r="I231" s="1445"/>
      <c r="J231" s="1442"/>
      <c r="K231" s="1442"/>
    </row>
    <row r="232">
      <c r="A232" s="1530"/>
      <c r="B232" s="1445"/>
      <c r="C232" s="1445"/>
      <c r="D232" s="1445"/>
      <c r="E232" s="1445"/>
      <c r="F232" s="1445"/>
      <c r="G232" s="1445"/>
      <c r="H232" s="1445"/>
      <c r="I232" s="1445"/>
      <c r="J232" s="1442"/>
      <c r="K232" s="1442"/>
    </row>
    <row r="233">
      <c r="A233" s="1530"/>
      <c r="B233" s="1445"/>
      <c r="C233" s="1445"/>
      <c r="D233" s="1445"/>
      <c r="E233" s="1445"/>
      <c r="F233" s="1445"/>
      <c r="G233" s="1445"/>
      <c r="H233" s="1445"/>
      <c r="I233" s="1445"/>
      <c r="J233" s="1442"/>
      <c r="K233" s="1442"/>
    </row>
    <row r="234">
      <c r="A234" s="1530"/>
      <c r="B234" s="1445"/>
      <c r="C234" s="1445"/>
      <c r="D234" s="1445"/>
      <c r="E234" s="1445"/>
      <c r="F234" s="1445"/>
      <c r="G234" s="1445"/>
      <c r="H234" s="1445"/>
      <c r="I234" s="1445"/>
      <c r="J234" s="1442"/>
      <c r="K234" s="1442"/>
    </row>
    <row r="235">
      <c r="A235" s="1530"/>
      <c r="B235" s="1445"/>
      <c r="C235" s="1445"/>
      <c r="D235" s="1445"/>
      <c r="E235" s="1445"/>
      <c r="F235" s="1445"/>
      <c r="G235" s="1445"/>
      <c r="H235" s="1445"/>
      <c r="I235" s="1445"/>
      <c r="J235" s="1442"/>
      <c r="K235" s="1442"/>
    </row>
    <row r="236">
      <c r="A236" s="1530"/>
      <c r="B236" s="1445"/>
      <c r="C236" s="1445"/>
      <c r="D236" s="1445"/>
      <c r="E236" s="1445"/>
      <c r="F236" s="1445"/>
      <c r="G236" s="1445"/>
      <c r="H236" s="1445"/>
      <c r="I236" s="1445"/>
      <c r="J236" s="1442"/>
      <c r="K236" s="1442"/>
    </row>
    <row r="237">
      <c r="A237" s="1530"/>
      <c r="B237" s="1445"/>
      <c r="C237" s="1445"/>
      <c r="D237" s="1445"/>
      <c r="E237" s="1445"/>
      <c r="F237" s="1445"/>
      <c r="G237" s="1445"/>
      <c r="H237" s="1445"/>
      <c r="I237" s="1445"/>
      <c r="J237" s="1442"/>
      <c r="K237" s="1442"/>
    </row>
    <row r="238">
      <c r="A238" s="1530"/>
      <c r="B238" s="1445"/>
      <c r="C238" s="1445"/>
      <c r="D238" s="1445"/>
      <c r="E238" s="1445"/>
      <c r="F238" s="1445"/>
      <c r="G238" s="1445"/>
      <c r="H238" s="1445"/>
      <c r="I238" s="1445"/>
      <c r="J238" s="1442"/>
      <c r="K238" s="1442"/>
    </row>
    <row r="239">
      <c r="A239" s="1530"/>
      <c r="B239" s="1445"/>
      <c r="C239" s="1445"/>
      <c r="D239" s="1445"/>
      <c r="E239" s="1445"/>
      <c r="F239" s="1445"/>
      <c r="G239" s="1445"/>
      <c r="H239" s="1445"/>
      <c r="I239" s="1445"/>
      <c r="J239" s="1442"/>
      <c r="K239" s="1442"/>
    </row>
    <row r="240">
      <c r="A240" s="1530"/>
      <c r="B240" s="1445"/>
      <c r="C240" s="1445"/>
      <c r="D240" s="1445"/>
      <c r="E240" s="1445"/>
      <c r="F240" s="1445"/>
      <c r="G240" s="1445"/>
      <c r="H240" s="1445"/>
      <c r="I240" s="1445"/>
      <c r="J240" s="1442"/>
      <c r="K240" s="1442"/>
    </row>
    <row r="241">
      <c r="A241" s="1530"/>
      <c r="B241" s="1445"/>
      <c r="C241" s="1445"/>
      <c r="D241" s="1445"/>
      <c r="E241" s="1445"/>
      <c r="F241" s="1445"/>
      <c r="G241" s="1445"/>
      <c r="H241" s="1445"/>
      <c r="I241" s="1445"/>
      <c r="J241" s="1442"/>
      <c r="K241" s="1442"/>
    </row>
    <row r="242">
      <c r="A242" s="1530"/>
      <c r="B242" s="1445"/>
      <c r="C242" s="1445"/>
      <c r="D242" s="1445"/>
      <c r="E242" s="1445"/>
      <c r="F242" s="1445"/>
      <c r="G242" s="1445"/>
      <c r="H242" s="1445"/>
      <c r="I242" s="1445"/>
      <c r="J242" s="1442"/>
      <c r="K242" s="1442"/>
    </row>
    <row r="243">
      <c r="A243" s="1530"/>
      <c r="B243" s="1445"/>
      <c r="C243" s="1445"/>
      <c r="D243" s="1445"/>
      <c r="E243" s="1445"/>
      <c r="F243" s="1445"/>
      <c r="G243" s="1445"/>
      <c r="H243" s="1445"/>
      <c r="I243" s="1445"/>
      <c r="J243" s="1442"/>
      <c r="K243" s="1442"/>
    </row>
    <row r="244">
      <c r="A244" s="1530"/>
      <c r="B244" s="1445"/>
      <c r="C244" s="1445"/>
      <c r="D244" s="1445"/>
      <c r="E244" s="1445"/>
      <c r="F244" s="1445"/>
      <c r="G244" s="1445"/>
      <c r="H244" s="1445"/>
      <c r="I244" s="1445"/>
      <c r="J244" s="1442"/>
      <c r="K244" s="1442"/>
    </row>
    <row r="245">
      <c r="A245" s="1530"/>
      <c r="B245" s="1445"/>
      <c r="C245" s="1445"/>
      <c r="D245" s="1445"/>
      <c r="E245" s="1445"/>
      <c r="F245" s="1445"/>
      <c r="G245" s="1445"/>
      <c r="H245" s="1445"/>
      <c r="I245" s="1445"/>
      <c r="J245" s="1442"/>
      <c r="K245" s="1442"/>
    </row>
    <row r="246">
      <c r="A246" s="1530"/>
      <c r="B246" s="1445"/>
      <c r="C246" s="1445"/>
      <c r="D246" s="1445"/>
      <c r="E246" s="1445"/>
      <c r="F246" s="1445"/>
      <c r="G246" s="1445"/>
      <c r="H246" s="1445"/>
      <c r="I246" s="1445"/>
      <c r="J246" s="1442"/>
      <c r="K246" s="1442"/>
    </row>
    <row r="247">
      <c r="A247" s="1530"/>
      <c r="B247" s="1445"/>
      <c r="C247" s="1445"/>
      <c r="D247" s="1445"/>
      <c r="E247" s="1445"/>
      <c r="F247" s="1445"/>
      <c r="G247" s="1445"/>
      <c r="H247" s="1445"/>
      <c r="I247" s="1445"/>
      <c r="J247" s="1442"/>
      <c r="K247" s="1442"/>
    </row>
    <row r="248">
      <c r="A248" s="1530"/>
      <c r="B248" s="1445"/>
      <c r="C248" s="1445"/>
      <c r="D248" s="1445"/>
      <c r="E248" s="1445"/>
      <c r="F248" s="1445"/>
      <c r="G248" s="1445"/>
      <c r="H248" s="1445"/>
      <c r="I248" s="1445"/>
      <c r="J248" s="1442"/>
      <c r="K248" s="1442"/>
    </row>
    <row r="249">
      <c r="A249" s="1530"/>
      <c r="B249" s="1445"/>
      <c r="C249" s="1445"/>
      <c r="D249" s="1445"/>
      <c r="E249" s="1445"/>
      <c r="F249" s="1445"/>
      <c r="G249" s="1445"/>
      <c r="H249" s="1445"/>
      <c r="I249" s="1445"/>
      <c r="J249" s="1442"/>
      <c r="K249" s="1442"/>
    </row>
    <row r="250">
      <c r="A250" s="1530"/>
      <c r="B250" s="1445"/>
      <c r="C250" s="1445"/>
      <c r="D250" s="1445"/>
      <c r="E250" s="1445"/>
      <c r="F250" s="1445"/>
      <c r="G250" s="1445"/>
      <c r="H250" s="1445"/>
      <c r="I250" s="1445"/>
      <c r="J250" s="1442"/>
      <c r="K250" s="1442"/>
    </row>
    <row r="251">
      <c r="A251" s="1530"/>
      <c r="B251" s="1445"/>
      <c r="C251" s="1445"/>
      <c r="D251" s="1445"/>
      <c r="E251" s="1445"/>
      <c r="F251" s="1445"/>
      <c r="G251" s="1445"/>
      <c r="H251" s="1445"/>
      <c r="I251" s="1445"/>
      <c r="J251" s="1442"/>
      <c r="K251" s="1442"/>
    </row>
    <row r="252">
      <c r="A252" s="1530"/>
      <c r="B252" s="1445"/>
      <c r="C252" s="1445"/>
      <c r="D252" s="1445"/>
      <c r="E252" s="1445"/>
      <c r="F252" s="1445"/>
      <c r="G252" s="1445"/>
      <c r="H252" s="1445"/>
      <c r="I252" s="1445"/>
      <c r="J252" s="1442"/>
      <c r="K252" s="1442"/>
    </row>
    <row r="253">
      <c r="A253" s="1530"/>
      <c r="B253" s="1445"/>
      <c r="C253" s="1445"/>
      <c r="D253" s="1445"/>
      <c r="E253" s="1445"/>
      <c r="F253" s="1445"/>
      <c r="G253" s="1445"/>
      <c r="H253" s="1445"/>
      <c r="I253" s="1445"/>
      <c r="J253" s="1442"/>
      <c r="K253" s="1442"/>
    </row>
    <row r="254">
      <c r="A254" s="1530"/>
      <c r="B254" s="1445"/>
      <c r="C254" s="1445"/>
      <c r="D254" s="1445"/>
      <c r="E254" s="1445"/>
      <c r="F254" s="1445"/>
      <c r="G254" s="1445"/>
      <c r="H254" s="1445"/>
      <c r="I254" s="1445"/>
      <c r="J254" s="1442"/>
      <c r="K254" s="1442"/>
    </row>
    <row r="255">
      <c r="A255" s="1530"/>
      <c r="B255" s="1445"/>
      <c r="C255" s="1445"/>
      <c r="D255" s="1445"/>
      <c r="E255" s="1445"/>
      <c r="F255" s="1445"/>
      <c r="G255" s="1445"/>
      <c r="H255" s="1445"/>
      <c r="I255" s="1445"/>
      <c r="J255" s="1442"/>
      <c r="K255" s="1442"/>
    </row>
    <row r="256">
      <c r="A256" s="1530"/>
      <c r="B256" s="1445"/>
      <c r="C256" s="1445"/>
      <c r="D256" s="1445"/>
      <c r="E256" s="1445"/>
      <c r="F256" s="1445"/>
      <c r="G256" s="1445"/>
      <c r="H256" s="1445"/>
      <c r="I256" s="1445"/>
      <c r="J256" s="1442"/>
      <c r="K256" s="1442"/>
    </row>
    <row r="257">
      <c r="A257" s="1530"/>
      <c r="B257" s="1445"/>
      <c r="C257" s="1445"/>
      <c r="D257" s="1445"/>
      <c r="E257" s="1445"/>
      <c r="F257" s="1445"/>
      <c r="G257" s="1445"/>
      <c r="H257" s="1445"/>
      <c r="I257" s="1445"/>
      <c r="J257" s="1442"/>
      <c r="K257" s="1442"/>
    </row>
    <row r="258">
      <c r="A258" s="1530"/>
      <c r="B258" s="1445"/>
      <c r="C258" s="1445"/>
      <c r="D258" s="1445"/>
      <c r="E258" s="1445"/>
      <c r="F258" s="1445"/>
      <c r="G258" s="1445"/>
      <c r="H258" s="1445"/>
      <c r="I258" s="1445"/>
      <c r="J258" s="1442"/>
      <c r="K258" s="1442"/>
    </row>
    <row r="259">
      <c r="A259" s="1530"/>
      <c r="B259" s="1445"/>
      <c r="C259" s="1445"/>
      <c r="D259" s="1445"/>
      <c r="E259" s="1445"/>
      <c r="F259" s="1445"/>
      <c r="G259" s="1445"/>
      <c r="H259" s="1445"/>
      <c r="I259" s="1445"/>
      <c r="J259" s="1442"/>
      <c r="K259" s="1442"/>
    </row>
    <row r="260">
      <c r="A260" s="1530"/>
      <c r="B260" s="1445"/>
      <c r="C260" s="1445"/>
      <c r="D260" s="1445"/>
      <c r="E260" s="1445"/>
      <c r="F260" s="1445"/>
      <c r="G260" s="1445"/>
      <c r="H260" s="1445"/>
      <c r="I260" s="1445"/>
      <c r="J260" s="1442"/>
      <c r="K260" s="1442"/>
    </row>
    <row r="261">
      <c r="A261" s="1530"/>
      <c r="B261" s="1445"/>
      <c r="C261" s="1445"/>
      <c r="D261" s="1445"/>
      <c r="E261" s="1445"/>
      <c r="F261" s="1445"/>
      <c r="G261" s="1445"/>
      <c r="H261" s="1445"/>
      <c r="I261" s="1445"/>
      <c r="J261" s="1442"/>
      <c r="K261" s="1442"/>
    </row>
    <row r="262">
      <c r="A262" s="1530"/>
      <c r="B262" s="1445"/>
      <c r="C262" s="1445"/>
      <c r="D262" s="1445"/>
      <c r="E262" s="1445"/>
      <c r="F262" s="1445"/>
      <c r="G262" s="1445"/>
      <c r="H262" s="1445"/>
      <c r="I262" s="1445"/>
      <c r="J262" s="1442"/>
      <c r="K262" s="1442"/>
    </row>
    <row r="263">
      <c r="A263" s="1530"/>
      <c r="B263" s="1445"/>
      <c r="C263" s="1445"/>
      <c r="D263" s="1445"/>
      <c r="E263" s="1445"/>
      <c r="F263" s="1445"/>
      <c r="G263" s="1445"/>
      <c r="H263" s="1445"/>
      <c r="I263" s="1445"/>
      <c r="J263" s="1442"/>
      <c r="K263" s="1442"/>
    </row>
    <row r="264">
      <c r="A264" s="1530"/>
      <c r="B264" s="1445"/>
      <c r="C264" s="1445"/>
      <c r="D264" s="1445"/>
      <c r="E264" s="1445"/>
      <c r="F264" s="1445"/>
      <c r="G264" s="1445"/>
      <c r="H264" s="1445"/>
      <c r="I264" s="1445"/>
      <c r="J264" s="1442"/>
      <c r="K264" s="1442"/>
    </row>
    <row r="265">
      <c r="A265" s="1530"/>
      <c r="B265" s="1445"/>
      <c r="C265" s="1445"/>
      <c r="D265" s="1445"/>
      <c r="E265" s="1445"/>
      <c r="F265" s="1445"/>
      <c r="G265" s="1445"/>
      <c r="H265" s="1445"/>
      <c r="I265" s="1445"/>
      <c r="J265" s="1442"/>
      <c r="K265" s="1442"/>
    </row>
    <row r="266">
      <c r="A266" s="1530"/>
      <c r="B266" s="1445"/>
      <c r="C266" s="1445"/>
      <c r="D266" s="1445"/>
      <c r="E266" s="1445"/>
      <c r="F266" s="1445"/>
      <c r="G266" s="1445"/>
      <c r="H266" s="1445"/>
      <c r="I266" s="1445"/>
      <c r="J266" s="1442"/>
      <c r="K266" s="1442"/>
    </row>
    <row r="267">
      <c r="A267" s="1530"/>
      <c r="B267" s="1445"/>
      <c r="C267" s="1445"/>
      <c r="D267" s="1445"/>
      <c r="E267" s="1445"/>
      <c r="F267" s="1445"/>
      <c r="G267" s="1445"/>
      <c r="H267" s="1445"/>
      <c r="I267" s="1445"/>
      <c r="J267" s="1442"/>
      <c r="K267" s="1442"/>
    </row>
    <row r="268">
      <c r="A268" s="1530"/>
      <c r="B268" s="1445"/>
      <c r="C268" s="1445"/>
      <c r="D268" s="1445"/>
      <c r="E268" s="1445"/>
      <c r="F268" s="1445"/>
      <c r="G268" s="1445"/>
      <c r="H268" s="1445"/>
      <c r="I268" s="1445"/>
      <c r="J268" s="1442"/>
      <c r="K268" s="1442"/>
    </row>
    <row r="269">
      <c r="A269" s="1530"/>
      <c r="B269" s="1445"/>
      <c r="C269" s="1445"/>
      <c r="D269" s="1445"/>
      <c r="E269" s="1445"/>
      <c r="F269" s="1445"/>
      <c r="G269" s="1445"/>
      <c r="H269" s="1445"/>
      <c r="I269" s="1445"/>
      <c r="J269" s="1442"/>
      <c r="K269" s="1442"/>
    </row>
    <row r="270">
      <c r="A270" s="1530"/>
      <c r="B270" s="1445"/>
      <c r="C270" s="1445"/>
      <c r="D270" s="1445"/>
      <c r="E270" s="1445"/>
      <c r="F270" s="1445"/>
      <c r="G270" s="1445"/>
      <c r="H270" s="1445"/>
      <c r="I270" s="1445"/>
      <c r="J270" s="1442"/>
      <c r="K270" s="1442"/>
    </row>
    <row r="271">
      <c r="A271" s="1530"/>
      <c r="B271" s="1445"/>
      <c r="C271" s="1445"/>
      <c r="D271" s="1445"/>
      <c r="E271" s="1445"/>
      <c r="F271" s="1445"/>
      <c r="G271" s="1445"/>
      <c r="H271" s="1445"/>
      <c r="I271" s="1445"/>
      <c r="J271" s="1442"/>
      <c r="K271" s="1442"/>
    </row>
    <row r="272">
      <c r="A272" s="1530"/>
      <c r="B272" s="1445"/>
      <c r="C272" s="1445"/>
      <c r="D272" s="1445"/>
      <c r="E272" s="1445"/>
      <c r="F272" s="1445"/>
      <c r="G272" s="1445"/>
      <c r="H272" s="1445"/>
      <c r="I272" s="1445"/>
      <c r="J272" s="1442"/>
      <c r="K272" s="1442"/>
    </row>
    <row r="273">
      <c r="A273" s="1530"/>
      <c r="B273" s="1445"/>
      <c r="C273" s="1445"/>
      <c r="D273" s="1445"/>
      <c r="E273" s="1445"/>
      <c r="F273" s="1445"/>
      <c r="G273" s="1445"/>
      <c r="H273" s="1445"/>
      <c r="I273" s="1445"/>
      <c r="J273" s="1442"/>
      <c r="K273" s="1442"/>
    </row>
    <row r="274">
      <c r="A274" s="1530"/>
      <c r="B274" s="1445"/>
      <c r="C274" s="1445"/>
      <c r="D274" s="1445"/>
      <c r="E274" s="1445"/>
      <c r="F274" s="1445"/>
      <c r="G274" s="1445"/>
      <c r="H274" s="1445"/>
      <c r="I274" s="1445"/>
      <c r="J274" s="1442"/>
      <c r="K274" s="1442"/>
    </row>
    <row r="275">
      <c r="A275" s="1530"/>
      <c r="B275" s="1445"/>
      <c r="C275" s="1445"/>
      <c r="D275" s="1445"/>
      <c r="E275" s="1445"/>
      <c r="F275" s="1445"/>
      <c r="G275" s="1445"/>
      <c r="H275" s="1445"/>
      <c r="I275" s="1445"/>
      <c r="J275" s="1442"/>
      <c r="K275" s="1442"/>
    </row>
    <row r="276">
      <c r="A276" s="1530"/>
      <c r="B276" s="1445"/>
      <c r="C276" s="1445"/>
      <c r="D276" s="1445"/>
      <c r="E276" s="1445"/>
      <c r="F276" s="1445"/>
      <c r="G276" s="1445"/>
      <c r="H276" s="1445"/>
      <c r="I276" s="1445"/>
      <c r="J276" s="1442"/>
      <c r="K276" s="1442"/>
    </row>
    <row r="277">
      <c r="A277" s="1530"/>
      <c r="B277" s="1445"/>
      <c r="C277" s="1445"/>
      <c r="D277" s="1445"/>
      <c r="E277" s="1445"/>
      <c r="F277" s="1445"/>
      <c r="G277" s="1445"/>
      <c r="H277" s="1445"/>
      <c r="I277" s="1445"/>
      <c r="J277" s="1442"/>
      <c r="K277" s="1442"/>
    </row>
    <row r="278">
      <c r="A278" s="1530"/>
      <c r="B278" s="1445"/>
      <c r="C278" s="1445"/>
      <c r="D278" s="1445"/>
      <c r="E278" s="1445"/>
      <c r="F278" s="1445"/>
      <c r="G278" s="1445"/>
      <c r="H278" s="1445"/>
      <c r="I278" s="1445"/>
      <c r="J278" s="1442"/>
      <c r="K278" s="1442"/>
    </row>
    <row r="279">
      <c r="A279" s="1530"/>
      <c r="B279" s="1445"/>
      <c r="C279" s="1445"/>
      <c r="D279" s="1445"/>
      <c r="E279" s="1445"/>
      <c r="F279" s="1445"/>
      <c r="G279" s="1445"/>
      <c r="H279" s="1445"/>
      <c r="I279" s="1445"/>
      <c r="J279" s="1442"/>
      <c r="K279" s="1442"/>
    </row>
    <row r="280">
      <c r="A280" s="1530"/>
      <c r="B280" s="1445"/>
      <c r="C280" s="1445"/>
      <c r="D280" s="1445"/>
      <c r="E280" s="1445"/>
      <c r="F280" s="1445"/>
      <c r="G280" s="1445"/>
      <c r="H280" s="1445"/>
      <c r="I280" s="1445"/>
      <c r="J280" s="1442"/>
      <c r="K280" s="1442"/>
    </row>
    <row r="281">
      <c r="A281" s="1530"/>
      <c r="B281" s="1445"/>
      <c r="C281" s="1445"/>
      <c r="D281" s="1445"/>
      <c r="E281" s="1445"/>
      <c r="F281" s="1445"/>
      <c r="G281" s="1445"/>
      <c r="H281" s="1445"/>
      <c r="I281" s="1445"/>
      <c r="J281" s="1442"/>
      <c r="K281" s="1442"/>
    </row>
    <row r="282">
      <c r="A282" s="1530"/>
      <c r="B282" s="1445"/>
      <c r="C282" s="1445"/>
      <c r="D282" s="1445"/>
      <c r="E282" s="1445"/>
      <c r="F282" s="1445"/>
      <c r="G282" s="1445"/>
      <c r="H282" s="1445"/>
      <c r="I282" s="1445"/>
      <c r="J282" s="1442"/>
      <c r="K282" s="1442"/>
    </row>
    <row r="283">
      <c r="A283" s="1530"/>
      <c r="B283" s="1445"/>
      <c r="C283" s="1445"/>
      <c r="D283" s="1445"/>
      <c r="E283" s="1445"/>
      <c r="F283" s="1445"/>
      <c r="G283" s="1445"/>
      <c r="H283" s="1445"/>
      <c r="I283" s="1445"/>
      <c r="J283" s="1442"/>
      <c r="K283" s="1442"/>
    </row>
    <row r="284">
      <c r="A284" s="1530"/>
      <c r="B284" s="1445"/>
      <c r="C284" s="1445"/>
      <c r="D284" s="1445"/>
      <c r="E284" s="1445"/>
      <c r="F284" s="1445"/>
      <c r="G284" s="1445"/>
      <c r="H284" s="1445"/>
      <c r="I284" s="1445"/>
      <c r="J284" s="1442"/>
      <c r="K284" s="1442"/>
    </row>
    <row r="285">
      <c r="A285" s="1530"/>
      <c r="B285" s="1445"/>
      <c r="C285" s="1445"/>
      <c r="D285" s="1445"/>
      <c r="E285" s="1445"/>
      <c r="F285" s="1445"/>
      <c r="G285" s="1445"/>
      <c r="H285" s="1445"/>
      <c r="I285" s="1445"/>
      <c r="J285" s="1442"/>
      <c r="K285" s="1442"/>
    </row>
    <row r="286">
      <c r="A286" s="1530"/>
      <c r="B286" s="1445"/>
      <c r="C286" s="1445"/>
      <c r="D286" s="1445"/>
      <c r="E286" s="1445"/>
      <c r="F286" s="1445"/>
      <c r="G286" s="1445"/>
      <c r="H286" s="1445"/>
      <c r="I286" s="1445"/>
      <c r="J286" s="1442"/>
      <c r="K286" s="1442"/>
    </row>
    <row r="287">
      <c r="A287" s="1530"/>
      <c r="B287" s="1445"/>
      <c r="C287" s="1445"/>
      <c r="D287" s="1445"/>
      <c r="E287" s="1445"/>
      <c r="F287" s="1445"/>
      <c r="G287" s="1445"/>
      <c r="H287" s="1445"/>
      <c r="I287" s="1445"/>
      <c r="J287" s="1442"/>
      <c r="K287" s="1442"/>
    </row>
    <row r="288">
      <c r="A288" s="1530"/>
      <c r="B288" s="1445"/>
      <c r="C288" s="1445"/>
      <c r="D288" s="1445"/>
      <c r="E288" s="1445"/>
      <c r="F288" s="1445"/>
      <c r="G288" s="1445"/>
      <c r="H288" s="1445"/>
      <c r="I288" s="1445"/>
      <c r="J288" s="1442"/>
      <c r="K288" s="1442"/>
    </row>
    <row r="289">
      <c r="A289" s="1531"/>
      <c r="B289" s="1460"/>
      <c r="C289" s="1460"/>
      <c r="D289" s="1460"/>
      <c r="E289" s="1460"/>
      <c r="F289" s="1460"/>
      <c r="G289" s="1460"/>
      <c r="H289" s="1460"/>
      <c r="I289" s="1460"/>
      <c r="J289" s="1532"/>
      <c r="K289" s="1532"/>
    </row>
    <row r="290">
      <c r="A290" s="1531"/>
      <c r="B290" s="1460"/>
      <c r="C290" s="1460"/>
      <c r="D290" s="1460"/>
      <c r="E290" s="1460"/>
      <c r="F290" s="1460"/>
      <c r="G290" s="1460"/>
      <c r="H290" s="1460"/>
      <c r="I290" s="1460"/>
      <c r="J290" s="1532"/>
      <c r="K290" s="1532"/>
    </row>
    <row r="291">
      <c r="A291" s="1531"/>
      <c r="B291" s="1460"/>
      <c r="C291" s="1460"/>
      <c r="D291" s="1460"/>
      <c r="E291" s="1460"/>
      <c r="F291" s="1460"/>
      <c r="G291" s="1460"/>
      <c r="H291" s="1460"/>
      <c r="I291" s="1460"/>
      <c r="J291" s="1532"/>
      <c r="K291" s="1532"/>
    </row>
    <row r="292">
      <c r="A292" s="1531"/>
      <c r="B292" s="1460"/>
      <c r="C292" s="1460"/>
      <c r="D292" s="1460"/>
      <c r="E292" s="1460"/>
      <c r="F292" s="1460"/>
      <c r="G292" s="1460"/>
      <c r="H292" s="1460"/>
      <c r="I292" s="1460"/>
      <c r="J292" s="1532"/>
      <c r="K292" s="1532"/>
    </row>
    <row r="293">
      <c r="A293" s="1531"/>
      <c r="B293" s="1460"/>
      <c r="C293" s="1460"/>
      <c r="D293" s="1460"/>
      <c r="E293" s="1460"/>
      <c r="F293" s="1460"/>
      <c r="G293" s="1460"/>
      <c r="H293" s="1460"/>
      <c r="I293" s="1460"/>
      <c r="J293" s="1532"/>
      <c r="K293" s="1532"/>
    </row>
    <row r="294">
      <c r="A294" s="1531"/>
      <c r="B294" s="1460"/>
      <c r="C294" s="1460"/>
      <c r="D294" s="1460"/>
      <c r="E294" s="1460"/>
      <c r="F294" s="1460"/>
      <c r="G294" s="1460"/>
      <c r="H294" s="1460"/>
      <c r="I294" s="1460"/>
      <c r="J294" s="1532"/>
      <c r="K294" s="1532"/>
    </row>
    <row r="295">
      <c r="A295" s="1531"/>
      <c r="B295" s="1460"/>
      <c r="C295" s="1460"/>
      <c r="D295" s="1460"/>
      <c r="E295" s="1460"/>
      <c r="F295" s="1460"/>
      <c r="G295" s="1460"/>
      <c r="H295" s="1460"/>
      <c r="I295" s="1460"/>
      <c r="J295" s="1532"/>
      <c r="K295" s="1532"/>
    </row>
    <row r="296">
      <c r="A296" s="1531"/>
      <c r="B296" s="1460"/>
      <c r="C296" s="1460"/>
      <c r="D296" s="1460"/>
      <c r="E296" s="1460"/>
      <c r="F296" s="1460"/>
      <c r="G296" s="1460"/>
      <c r="H296" s="1460"/>
      <c r="I296" s="1460"/>
      <c r="J296" s="1532"/>
      <c r="K296" s="1532"/>
    </row>
    <row r="297">
      <c r="A297" s="1531"/>
      <c r="B297" s="1460"/>
      <c r="C297" s="1460"/>
      <c r="D297" s="1460"/>
      <c r="E297" s="1460"/>
      <c r="F297" s="1460"/>
      <c r="G297" s="1460"/>
      <c r="H297" s="1460"/>
      <c r="I297" s="1460"/>
      <c r="J297" s="1532"/>
      <c r="K297" s="1532"/>
    </row>
    <row r="298">
      <c r="A298" s="1531"/>
      <c r="B298" s="1460"/>
      <c r="C298" s="1460"/>
      <c r="D298" s="1460"/>
      <c r="E298" s="1460"/>
      <c r="F298" s="1460"/>
      <c r="G298" s="1460"/>
      <c r="H298" s="1460"/>
      <c r="I298" s="1460"/>
      <c r="J298" s="1532"/>
      <c r="K298" s="1532"/>
    </row>
    <row r="299">
      <c r="A299" s="1531"/>
      <c r="B299" s="1460"/>
      <c r="C299" s="1460"/>
      <c r="D299" s="1460"/>
      <c r="E299" s="1460"/>
      <c r="F299" s="1460"/>
      <c r="G299" s="1460"/>
      <c r="H299" s="1460"/>
      <c r="I299" s="1460"/>
      <c r="J299" s="1532"/>
      <c r="K299" s="1532"/>
    </row>
    <row r="300">
      <c r="A300" s="1531"/>
      <c r="B300" s="1460"/>
      <c r="C300" s="1460"/>
      <c r="D300" s="1460"/>
      <c r="E300" s="1460"/>
      <c r="F300" s="1460"/>
      <c r="G300" s="1460"/>
      <c r="H300" s="1460"/>
      <c r="I300" s="1460"/>
      <c r="J300" s="1532"/>
      <c r="K300" s="1532"/>
    </row>
    <row r="301">
      <c r="A301" s="1531"/>
      <c r="B301" s="1460"/>
      <c r="C301" s="1460"/>
      <c r="D301" s="1460"/>
      <c r="E301" s="1460"/>
      <c r="F301" s="1460"/>
      <c r="G301" s="1460"/>
      <c r="H301" s="1460"/>
      <c r="I301" s="1460"/>
      <c r="J301" s="1532"/>
      <c r="K301" s="1532"/>
    </row>
    <row r="302">
      <c r="A302" s="1531"/>
      <c r="B302" s="1460"/>
      <c r="C302" s="1460"/>
      <c r="D302" s="1460"/>
      <c r="E302" s="1460"/>
      <c r="F302" s="1460"/>
      <c r="G302" s="1460"/>
      <c r="H302" s="1460"/>
      <c r="I302" s="1460"/>
      <c r="J302" s="1532"/>
      <c r="K302" s="1532"/>
    </row>
    <row r="303">
      <c r="A303" s="1531"/>
      <c r="B303" s="1460"/>
      <c r="C303" s="1460"/>
      <c r="D303" s="1460"/>
      <c r="E303" s="1460"/>
      <c r="F303" s="1460"/>
      <c r="G303" s="1460"/>
      <c r="H303" s="1460"/>
      <c r="I303" s="1460"/>
      <c r="J303" s="1532"/>
      <c r="K303" s="1532"/>
    </row>
    <row r="304">
      <c r="A304" s="1531"/>
      <c r="B304" s="1460"/>
      <c r="C304" s="1460"/>
      <c r="D304" s="1460"/>
      <c r="E304" s="1460"/>
      <c r="F304" s="1460"/>
      <c r="G304" s="1460"/>
      <c r="H304" s="1460"/>
      <c r="I304" s="1460"/>
      <c r="J304" s="1532"/>
      <c r="K304" s="1532"/>
    </row>
    <row r="305">
      <c r="A305" s="1531"/>
      <c r="B305" s="1460"/>
      <c r="C305" s="1460"/>
      <c r="D305" s="1460"/>
      <c r="E305" s="1460"/>
      <c r="F305" s="1460"/>
      <c r="G305" s="1460"/>
      <c r="H305" s="1460"/>
      <c r="I305" s="1460"/>
      <c r="J305" s="1532"/>
      <c r="K305" s="1532"/>
    </row>
    <row r="306">
      <c r="A306" s="1531"/>
      <c r="B306" s="1460"/>
      <c r="C306" s="1460"/>
      <c r="D306" s="1460"/>
      <c r="E306" s="1460"/>
      <c r="F306" s="1460"/>
      <c r="G306" s="1460"/>
      <c r="H306" s="1460"/>
      <c r="I306" s="1460"/>
      <c r="J306" s="1532"/>
      <c r="K306" s="1532"/>
    </row>
    <row r="307">
      <c r="A307" s="1531"/>
      <c r="B307" s="1460"/>
      <c r="C307" s="1460"/>
      <c r="D307" s="1460"/>
      <c r="E307" s="1460"/>
      <c r="F307" s="1460"/>
      <c r="G307" s="1460"/>
      <c r="H307" s="1460"/>
      <c r="I307" s="1460"/>
      <c r="J307" s="1532"/>
      <c r="K307" s="1532"/>
    </row>
    <row r="308">
      <c r="A308" s="1531"/>
      <c r="B308" s="1460"/>
      <c r="C308" s="1460"/>
      <c r="D308" s="1460"/>
      <c r="E308" s="1460"/>
      <c r="F308" s="1460"/>
      <c r="G308" s="1460"/>
      <c r="H308" s="1460"/>
      <c r="I308" s="1460"/>
      <c r="J308" s="1532"/>
      <c r="K308" s="1532"/>
    </row>
    <row r="309">
      <c r="A309" s="1531"/>
      <c r="B309" s="1460"/>
      <c r="C309" s="1460"/>
      <c r="D309" s="1460"/>
      <c r="E309" s="1460"/>
      <c r="F309" s="1460"/>
      <c r="G309" s="1460"/>
      <c r="H309" s="1460"/>
      <c r="I309" s="1460"/>
      <c r="J309" s="1532"/>
      <c r="K309" s="1532"/>
    </row>
    <row r="310">
      <c r="A310" s="1531"/>
      <c r="B310" s="1460"/>
      <c r="C310" s="1460"/>
      <c r="D310" s="1460"/>
      <c r="E310" s="1460"/>
      <c r="F310" s="1460"/>
      <c r="G310" s="1460"/>
      <c r="H310" s="1460"/>
      <c r="I310" s="1460"/>
      <c r="J310" s="1532"/>
      <c r="K310" s="1532"/>
    </row>
    <row r="311">
      <c r="A311" s="1531"/>
      <c r="B311" s="1460"/>
      <c r="C311" s="1460"/>
      <c r="D311" s="1460"/>
      <c r="E311" s="1460"/>
      <c r="F311" s="1460"/>
      <c r="G311" s="1460"/>
      <c r="H311" s="1460"/>
      <c r="I311" s="1460"/>
      <c r="J311" s="1532"/>
      <c r="K311" s="1532"/>
    </row>
    <row r="312">
      <c r="A312" s="1531"/>
      <c r="B312" s="1460"/>
      <c r="C312" s="1460"/>
      <c r="D312" s="1460"/>
      <c r="E312" s="1460"/>
      <c r="F312" s="1460"/>
      <c r="G312" s="1460"/>
      <c r="H312" s="1460"/>
      <c r="I312" s="1460"/>
      <c r="J312" s="1532"/>
      <c r="K312" s="1532"/>
    </row>
    <row r="313">
      <c r="A313" s="1531"/>
      <c r="B313" s="1460"/>
      <c r="C313" s="1460"/>
      <c r="D313" s="1460"/>
      <c r="E313" s="1460"/>
      <c r="F313" s="1460"/>
      <c r="G313" s="1460"/>
      <c r="H313" s="1460"/>
      <c r="I313" s="1460"/>
      <c r="J313" s="1532"/>
      <c r="K313" s="1532"/>
    </row>
    <row r="314">
      <c r="A314" s="1531"/>
      <c r="B314" s="1460"/>
      <c r="C314" s="1460"/>
      <c r="D314" s="1460"/>
      <c r="E314" s="1460"/>
      <c r="F314" s="1460"/>
      <c r="G314" s="1460"/>
      <c r="H314" s="1460"/>
      <c r="I314" s="1460"/>
      <c r="J314" s="1532"/>
      <c r="K314" s="1532"/>
    </row>
    <row r="315">
      <c r="A315" s="1531"/>
      <c r="B315" s="1460"/>
      <c r="C315" s="1460"/>
      <c r="D315" s="1460"/>
      <c r="E315" s="1460"/>
      <c r="F315" s="1460"/>
      <c r="G315" s="1460"/>
      <c r="H315" s="1460"/>
      <c r="I315" s="1460"/>
      <c r="J315" s="1532"/>
      <c r="K315" s="1532"/>
    </row>
    <row r="316">
      <c r="A316" s="1531"/>
      <c r="B316" s="1460"/>
      <c r="C316" s="1460"/>
      <c r="D316" s="1460"/>
      <c r="E316" s="1460"/>
      <c r="F316" s="1460"/>
      <c r="G316" s="1460"/>
      <c r="H316" s="1460"/>
      <c r="I316" s="1460"/>
      <c r="J316" s="1532"/>
      <c r="K316" s="1532"/>
    </row>
    <row r="317">
      <c r="A317" s="1531"/>
      <c r="B317" s="1460"/>
      <c r="C317" s="1460"/>
      <c r="D317" s="1460"/>
      <c r="E317" s="1460"/>
      <c r="F317" s="1460"/>
      <c r="G317" s="1460"/>
      <c r="H317" s="1460"/>
      <c r="I317" s="1460"/>
      <c r="J317" s="1532"/>
      <c r="K317" s="1532"/>
    </row>
    <row r="318">
      <c r="A318" s="1531"/>
      <c r="B318" s="1460"/>
      <c r="C318" s="1460"/>
      <c r="D318" s="1460"/>
      <c r="E318" s="1460"/>
      <c r="F318" s="1460"/>
      <c r="G318" s="1460"/>
      <c r="H318" s="1460"/>
      <c r="I318" s="1460"/>
      <c r="J318" s="1532"/>
      <c r="K318" s="1532"/>
    </row>
    <row r="319">
      <c r="A319" s="1531"/>
      <c r="B319" s="1460"/>
      <c r="C319" s="1460"/>
      <c r="D319" s="1460"/>
      <c r="E319" s="1460"/>
      <c r="F319" s="1460"/>
      <c r="G319" s="1460"/>
      <c r="H319" s="1460"/>
      <c r="I319" s="1460"/>
      <c r="J319" s="1532"/>
      <c r="K319" s="1532"/>
    </row>
    <row r="320">
      <c r="A320" s="1531"/>
      <c r="B320" s="1460"/>
      <c r="C320" s="1460"/>
      <c r="D320" s="1460"/>
      <c r="E320" s="1460"/>
      <c r="F320" s="1460"/>
      <c r="G320" s="1460"/>
      <c r="H320" s="1460"/>
      <c r="I320" s="1460"/>
      <c r="J320" s="1532"/>
      <c r="K320" s="1532"/>
    </row>
    <row r="321">
      <c r="A321" s="1531"/>
      <c r="B321" s="1460"/>
      <c r="C321" s="1460"/>
      <c r="D321" s="1460"/>
      <c r="E321" s="1460"/>
      <c r="F321" s="1460"/>
      <c r="G321" s="1460"/>
      <c r="H321" s="1460"/>
      <c r="I321" s="1460"/>
      <c r="J321" s="1532"/>
      <c r="K321" s="1532"/>
    </row>
    <row r="322">
      <c r="A322" s="1531"/>
      <c r="B322" s="1460"/>
      <c r="C322" s="1460"/>
      <c r="D322" s="1460"/>
      <c r="E322" s="1460"/>
      <c r="F322" s="1460"/>
      <c r="G322" s="1460"/>
      <c r="H322" s="1460"/>
      <c r="I322" s="1460"/>
      <c r="J322" s="1532"/>
      <c r="K322" s="1532"/>
    </row>
    <row r="323">
      <c r="A323" s="1531"/>
      <c r="B323" s="1460"/>
      <c r="C323" s="1460"/>
      <c r="D323" s="1460"/>
      <c r="E323" s="1460"/>
      <c r="F323" s="1460"/>
      <c r="G323" s="1460"/>
      <c r="H323" s="1460"/>
      <c r="I323" s="1460"/>
      <c r="J323" s="1532"/>
      <c r="K323" s="1532"/>
    </row>
    <row r="324">
      <c r="A324" s="1531"/>
      <c r="B324" s="1460"/>
      <c r="C324" s="1460"/>
      <c r="D324" s="1460"/>
      <c r="E324" s="1460"/>
      <c r="F324" s="1460"/>
      <c r="G324" s="1460"/>
      <c r="H324" s="1460"/>
      <c r="I324" s="1460"/>
      <c r="J324" s="1532"/>
      <c r="K324" s="1532"/>
    </row>
    <row r="325">
      <c r="A325" s="1531"/>
      <c r="B325" s="1460"/>
      <c r="C325" s="1460"/>
      <c r="D325" s="1460"/>
      <c r="E325" s="1460"/>
      <c r="F325" s="1460"/>
      <c r="G325" s="1460"/>
      <c r="H325" s="1460"/>
      <c r="I325" s="1460"/>
      <c r="J325" s="1532"/>
      <c r="K325" s="1532"/>
    </row>
    <row r="326">
      <c r="A326" s="1531"/>
      <c r="B326" s="1460"/>
      <c r="C326" s="1460"/>
      <c r="D326" s="1460"/>
      <c r="E326" s="1460"/>
      <c r="F326" s="1460"/>
      <c r="G326" s="1460"/>
      <c r="H326" s="1460"/>
      <c r="I326" s="1460"/>
      <c r="J326" s="1532"/>
      <c r="K326" s="1532"/>
    </row>
    <row r="327">
      <c r="A327" s="1531"/>
      <c r="B327" s="1460"/>
      <c r="C327" s="1460"/>
      <c r="D327" s="1460"/>
      <c r="E327" s="1460"/>
      <c r="F327" s="1460"/>
      <c r="G327" s="1460"/>
      <c r="H327" s="1460"/>
      <c r="I327" s="1460"/>
      <c r="J327" s="1532"/>
      <c r="K327" s="1532"/>
    </row>
    <row r="328">
      <c r="A328" s="1531"/>
      <c r="B328" s="1460"/>
      <c r="C328" s="1460"/>
      <c r="D328" s="1460"/>
      <c r="E328" s="1460"/>
      <c r="F328" s="1460"/>
      <c r="G328" s="1460"/>
      <c r="H328" s="1460"/>
      <c r="I328" s="1460"/>
      <c r="J328" s="1532"/>
      <c r="K328" s="1532"/>
    </row>
    <row r="329">
      <c r="A329" s="1531"/>
      <c r="B329" s="1460"/>
      <c r="C329" s="1460"/>
      <c r="D329" s="1460"/>
      <c r="E329" s="1460"/>
      <c r="F329" s="1460"/>
      <c r="G329" s="1460"/>
      <c r="H329" s="1460"/>
      <c r="I329" s="1460"/>
      <c r="J329" s="1532"/>
      <c r="K329" s="1532"/>
    </row>
    <row r="330">
      <c r="A330" s="1531"/>
      <c r="B330" s="1460"/>
      <c r="C330" s="1460"/>
      <c r="D330" s="1460"/>
      <c r="E330" s="1460"/>
      <c r="F330" s="1460"/>
      <c r="G330" s="1460"/>
      <c r="H330" s="1460"/>
      <c r="I330" s="1460"/>
      <c r="J330" s="1532"/>
      <c r="K330" s="1532"/>
    </row>
    <row r="331">
      <c r="A331" s="1531"/>
      <c r="B331" s="1460"/>
      <c r="C331" s="1460"/>
      <c r="D331" s="1460"/>
      <c r="E331" s="1460"/>
      <c r="F331" s="1460"/>
      <c r="G331" s="1460"/>
      <c r="H331" s="1460"/>
      <c r="I331" s="1460"/>
      <c r="J331" s="1532"/>
      <c r="K331" s="1532"/>
    </row>
    <row r="332">
      <c r="A332" s="1531"/>
      <c r="B332" s="1460"/>
      <c r="C332" s="1460"/>
      <c r="D332" s="1460"/>
      <c r="E332" s="1460"/>
      <c r="F332" s="1460"/>
      <c r="G332" s="1460"/>
      <c r="H332" s="1460"/>
      <c r="I332" s="1460"/>
      <c r="J332" s="1532"/>
      <c r="K332" s="1532"/>
    </row>
    <row r="333">
      <c r="A333" s="1531"/>
      <c r="B333" s="1460"/>
      <c r="C333" s="1460"/>
      <c r="D333" s="1460"/>
      <c r="E333" s="1460"/>
      <c r="F333" s="1460"/>
      <c r="G333" s="1460"/>
      <c r="H333" s="1460"/>
      <c r="I333" s="1460"/>
      <c r="J333" s="1532"/>
      <c r="K333" s="1532"/>
    </row>
    <row r="334">
      <c r="A334" s="1531"/>
      <c r="B334" s="1460"/>
      <c r="C334" s="1460"/>
      <c r="D334" s="1460"/>
      <c r="E334" s="1460"/>
      <c r="F334" s="1460"/>
      <c r="G334" s="1460"/>
      <c r="H334" s="1460"/>
      <c r="I334" s="1460"/>
      <c r="J334" s="1532"/>
      <c r="K334" s="1532"/>
    </row>
    <row r="335">
      <c r="A335" s="1531"/>
      <c r="B335" s="1460"/>
      <c r="C335" s="1460"/>
      <c r="D335" s="1460"/>
      <c r="E335" s="1460"/>
      <c r="F335" s="1460"/>
      <c r="G335" s="1460"/>
      <c r="H335" s="1460"/>
      <c r="I335" s="1460"/>
      <c r="J335" s="1532"/>
      <c r="K335" s="1532"/>
    </row>
    <row r="336">
      <c r="A336" s="1531"/>
      <c r="B336" s="1460"/>
      <c r="C336" s="1460"/>
      <c r="D336" s="1460"/>
      <c r="E336" s="1460"/>
      <c r="F336" s="1460"/>
      <c r="G336" s="1460"/>
      <c r="H336" s="1460"/>
      <c r="I336" s="1460"/>
      <c r="J336" s="1532"/>
      <c r="K336" s="1532"/>
    </row>
    <row r="337">
      <c r="A337" s="1531"/>
      <c r="B337" s="1460"/>
      <c r="C337" s="1460"/>
      <c r="D337" s="1460"/>
      <c r="E337" s="1460"/>
      <c r="F337" s="1460"/>
      <c r="G337" s="1460"/>
      <c r="H337" s="1460"/>
      <c r="I337" s="1460"/>
      <c r="J337" s="1532"/>
      <c r="K337" s="1532"/>
    </row>
    <row r="338">
      <c r="A338" s="1531"/>
      <c r="B338" s="1460"/>
      <c r="C338" s="1460"/>
      <c r="D338" s="1460"/>
      <c r="E338" s="1460"/>
      <c r="F338" s="1460"/>
      <c r="G338" s="1460"/>
      <c r="H338" s="1460"/>
      <c r="I338" s="1460"/>
      <c r="J338" s="1532"/>
      <c r="K338" s="1532"/>
    </row>
    <row r="339">
      <c r="A339" s="1531"/>
      <c r="B339" s="1460"/>
      <c r="C339" s="1460"/>
      <c r="D339" s="1460"/>
      <c r="E339" s="1460"/>
      <c r="F339" s="1460"/>
      <c r="G339" s="1460"/>
      <c r="H339" s="1460"/>
      <c r="I339" s="1460"/>
      <c r="J339" s="1532"/>
      <c r="K339" s="1532"/>
    </row>
    <row r="340">
      <c r="A340" s="1531"/>
      <c r="B340" s="1460"/>
      <c r="C340" s="1460"/>
      <c r="D340" s="1460"/>
      <c r="E340" s="1460"/>
      <c r="F340" s="1460"/>
      <c r="G340" s="1460"/>
      <c r="H340" s="1460"/>
      <c r="I340" s="1460"/>
      <c r="J340" s="1532"/>
      <c r="K340" s="1532"/>
    </row>
    <row r="341">
      <c r="A341" s="1531"/>
      <c r="B341" s="1460"/>
      <c r="C341" s="1460"/>
      <c r="D341" s="1460"/>
      <c r="E341" s="1460"/>
      <c r="F341" s="1460"/>
      <c r="G341" s="1460"/>
      <c r="H341" s="1460"/>
      <c r="I341" s="1460"/>
      <c r="J341" s="1532"/>
      <c r="K341" s="1532"/>
    </row>
    <row r="342">
      <c r="A342" s="1531"/>
      <c r="B342" s="1460"/>
      <c r="C342" s="1460"/>
      <c r="D342" s="1460"/>
      <c r="E342" s="1460"/>
      <c r="F342" s="1460"/>
      <c r="G342" s="1460"/>
      <c r="H342" s="1460"/>
      <c r="I342" s="1460"/>
      <c r="J342" s="1532"/>
      <c r="K342" s="1532"/>
    </row>
    <row r="343">
      <c r="A343" s="1531"/>
      <c r="B343" s="1460"/>
      <c r="C343" s="1460"/>
      <c r="D343" s="1460"/>
      <c r="E343" s="1460"/>
      <c r="F343" s="1460"/>
      <c r="G343" s="1460"/>
      <c r="H343" s="1460"/>
      <c r="I343" s="1460"/>
      <c r="J343" s="1532"/>
      <c r="K343" s="1532"/>
    </row>
    <row r="344">
      <c r="A344" s="1531"/>
      <c r="B344" s="1460"/>
      <c r="C344" s="1460"/>
      <c r="D344" s="1460"/>
      <c r="E344" s="1460"/>
      <c r="F344" s="1460"/>
      <c r="G344" s="1460"/>
      <c r="H344" s="1460"/>
      <c r="I344" s="1460"/>
      <c r="J344" s="1532"/>
      <c r="K344" s="1532"/>
    </row>
    <row r="345">
      <c r="A345" s="1531"/>
      <c r="B345" s="1460"/>
      <c r="C345" s="1460"/>
      <c r="D345" s="1460"/>
      <c r="E345" s="1460"/>
      <c r="F345" s="1460"/>
      <c r="G345" s="1460"/>
      <c r="H345" s="1460"/>
      <c r="I345" s="1460"/>
      <c r="J345" s="1532"/>
      <c r="K345" s="1532"/>
    </row>
    <row r="346">
      <c r="A346" s="1531"/>
      <c r="B346" s="1460"/>
      <c r="C346" s="1460"/>
      <c r="D346" s="1460"/>
      <c r="E346" s="1460"/>
      <c r="F346" s="1460"/>
      <c r="G346" s="1460"/>
      <c r="H346" s="1460"/>
      <c r="I346" s="1460"/>
      <c r="J346" s="1532"/>
      <c r="K346" s="1532"/>
    </row>
    <row r="347">
      <c r="A347" s="1531"/>
      <c r="B347" s="1460"/>
      <c r="C347" s="1460"/>
      <c r="D347" s="1460"/>
      <c r="E347" s="1460"/>
      <c r="F347" s="1460"/>
      <c r="G347" s="1460"/>
      <c r="H347" s="1460"/>
      <c r="I347" s="1460"/>
      <c r="J347" s="1532"/>
      <c r="K347" s="1532"/>
    </row>
    <row r="348">
      <c r="A348" s="1531"/>
      <c r="B348" s="1460"/>
      <c r="C348" s="1460"/>
      <c r="D348" s="1460"/>
      <c r="E348" s="1460"/>
      <c r="F348" s="1460"/>
      <c r="G348" s="1460"/>
      <c r="H348" s="1460"/>
      <c r="I348" s="1460"/>
      <c r="J348" s="1532"/>
      <c r="K348" s="1532"/>
    </row>
    <row r="349">
      <c r="A349" s="1531"/>
      <c r="B349" s="1460"/>
      <c r="C349" s="1460"/>
      <c r="D349" s="1460"/>
      <c r="E349" s="1460"/>
      <c r="F349" s="1460"/>
      <c r="G349" s="1460"/>
      <c r="H349" s="1460"/>
      <c r="I349" s="1460"/>
      <c r="J349" s="1532"/>
      <c r="K349" s="1532"/>
    </row>
    <row r="350">
      <c r="A350" s="1531"/>
      <c r="B350" s="1460"/>
      <c r="C350" s="1460"/>
      <c r="D350" s="1460"/>
      <c r="E350" s="1460"/>
      <c r="F350" s="1460"/>
      <c r="G350" s="1460"/>
      <c r="H350" s="1460"/>
      <c r="I350" s="1460"/>
      <c r="J350" s="1532"/>
      <c r="K350" s="1532"/>
    </row>
    <row r="351">
      <c r="A351" s="1531"/>
      <c r="B351" s="1460"/>
      <c r="C351" s="1460"/>
      <c r="D351" s="1460"/>
      <c r="E351" s="1460"/>
      <c r="F351" s="1460"/>
      <c r="G351" s="1460"/>
      <c r="H351" s="1460"/>
      <c r="I351" s="1460"/>
      <c r="J351" s="1532"/>
      <c r="K351" s="1532"/>
    </row>
    <row r="352">
      <c r="A352" s="1531"/>
      <c r="B352" s="1460"/>
      <c r="C352" s="1460"/>
      <c r="D352" s="1460"/>
      <c r="E352" s="1460"/>
      <c r="F352" s="1460"/>
      <c r="G352" s="1460"/>
      <c r="H352" s="1460"/>
      <c r="I352" s="1460"/>
      <c r="J352" s="1532"/>
      <c r="K352" s="1532"/>
    </row>
    <row r="353">
      <c r="A353" s="1531"/>
      <c r="B353" s="1460"/>
      <c r="C353" s="1460"/>
      <c r="D353" s="1460"/>
      <c r="E353" s="1460"/>
      <c r="F353" s="1460"/>
      <c r="G353" s="1460"/>
      <c r="H353" s="1460"/>
      <c r="I353" s="1460"/>
      <c r="J353" s="1532"/>
      <c r="K353" s="1532"/>
    </row>
    <row r="354">
      <c r="A354" s="1531"/>
      <c r="B354" s="1460"/>
      <c r="C354" s="1460"/>
      <c r="D354" s="1460"/>
      <c r="E354" s="1460"/>
      <c r="F354" s="1460"/>
      <c r="G354" s="1460"/>
      <c r="H354" s="1460"/>
      <c r="I354" s="1460"/>
      <c r="J354" s="1532"/>
      <c r="K354" s="1532"/>
    </row>
    <row r="355">
      <c r="A355" s="1531"/>
      <c r="B355" s="1460"/>
      <c r="C355" s="1460"/>
      <c r="D355" s="1460"/>
      <c r="E355" s="1460"/>
      <c r="F355" s="1460"/>
      <c r="G355" s="1460"/>
      <c r="H355" s="1460"/>
      <c r="I355" s="1460"/>
      <c r="J355" s="1532"/>
      <c r="K355" s="1532"/>
    </row>
    <row r="356">
      <c r="A356" s="1531"/>
      <c r="B356" s="1460"/>
      <c r="C356" s="1460"/>
      <c r="D356" s="1460"/>
      <c r="E356" s="1460"/>
      <c r="F356" s="1460"/>
      <c r="G356" s="1460"/>
      <c r="H356" s="1460"/>
      <c r="I356" s="1460"/>
      <c r="J356" s="1532"/>
      <c r="K356" s="1532"/>
    </row>
    <row r="357">
      <c r="A357" s="1531"/>
      <c r="B357" s="1460"/>
      <c r="C357" s="1460"/>
      <c r="D357" s="1460"/>
      <c r="E357" s="1460"/>
      <c r="F357" s="1460"/>
      <c r="G357" s="1460"/>
      <c r="H357" s="1460"/>
      <c r="I357" s="1460"/>
      <c r="J357" s="1532"/>
      <c r="K357" s="1532"/>
    </row>
    <row r="358">
      <c r="A358" s="1531"/>
      <c r="B358" s="1460"/>
      <c r="C358" s="1460"/>
      <c r="D358" s="1460"/>
      <c r="E358" s="1460"/>
      <c r="F358" s="1460"/>
      <c r="G358" s="1460"/>
      <c r="H358" s="1460"/>
      <c r="I358" s="1460"/>
      <c r="J358" s="1532"/>
      <c r="K358" s="1532"/>
    </row>
    <row r="359">
      <c r="A359" s="1531"/>
      <c r="B359" s="1460"/>
      <c r="C359" s="1460"/>
      <c r="D359" s="1460"/>
      <c r="E359" s="1460"/>
      <c r="F359" s="1460"/>
      <c r="G359" s="1460"/>
      <c r="H359" s="1460"/>
      <c r="I359" s="1460"/>
      <c r="J359" s="1532"/>
      <c r="K359" s="1532"/>
    </row>
    <row r="360">
      <c r="A360" s="1531"/>
      <c r="B360" s="1460"/>
      <c r="C360" s="1460"/>
      <c r="D360" s="1460"/>
      <c r="E360" s="1460"/>
      <c r="F360" s="1460"/>
      <c r="G360" s="1460"/>
      <c r="H360" s="1460"/>
      <c r="I360" s="1460"/>
      <c r="J360" s="1532"/>
      <c r="K360" s="1532"/>
    </row>
    <row r="361">
      <c r="A361" s="1531"/>
      <c r="B361" s="1460"/>
      <c r="C361" s="1460"/>
      <c r="D361" s="1460"/>
      <c r="E361" s="1460"/>
      <c r="F361" s="1460"/>
      <c r="G361" s="1460"/>
      <c r="H361" s="1460"/>
      <c r="I361" s="1460"/>
      <c r="J361" s="1532"/>
      <c r="K361" s="1532"/>
    </row>
    <row r="362">
      <c r="A362" s="1531"/>
      <c r="B362" s="1460"/>
      <c r="C362" s="1460"/>
      <c r="D362" s="1460"/>
      <c r="E362" s="1460"/>
      <c r="F362" s="1460"/>
      <c r="G362" s="1460"/>
      <c r="H362" s="1460"/>
      <c r="I362" s="1460"/>
      <c r="J362" s="1532"/>
      <c r="K362" s="1532"/>
    </row>
    <row r="363">
      <c r="A363" s="1531"/>
      <c r="B363" s="1460"/>
      <c r="C363" s="1460"/>
      <c r="D363" s="1460"/>
      <c r="E363" s="1460"/>
      <c r="F363" s="1460"/>
      <c r="G363" s="1460"/>
      <c r="H363" s="1460"/>
      <c r="I363" s="1460"/>
      <c r="J363" s="1532"/>
      <c r="K363" s="1532"/>
    </row>
    <row r="364">
      <c r="A364" s="1531"/>
      <c r="B364" s="1460"/>
      <c r="C364" s="1460"/>
      <c r="D364" s="1460"/>
      <c r="E364" s="1460"/>
      <c r="F364" s="1460"/>
      <c r="G364" s="1460"/>
      <c r="H364" s="1460"/>
      <c r="I364" s="1460"/>
      <c r="J364" s="1532"/>
      <c r="K364" s="1532"/>
    </row>
    <row r="365">
      <c r="A365" s="1531"/>
      <c r="B365" s="1460"/>
      <c r="C365" s="1460"/>
      <c r="D365" s="1460"/>
      <c r="E365" s="1460"/>
      <c r="F365" s="1460"/>
      <c r="G365" s="1460"/>
      <c r="H365" s="1460"/>
      <c r="I365" s="1460"/>
      <c r="J365" s="1532"/>
      <c r="K365" s="1532"/>
    </row>
    <row r="366">
      <c r="A366" s="1531"/>
      <c r="B366" s="1460"/>
      <c r="C366" s="1460"/>
      <c r="D366" s="1460"/>
      <c r="E366" s="1460"/>
      <c r="F366" s="1460"/>
      <c r="G366" s="1460"/>
      <c r="H366" s="1460"/>
      <c r="I366" s="1460"/>
      <c r="J366" s="1532"/>
      <c r="K366" s="1532"/>
    </row>
    <row r="367">
      <c r="A367" s="1531"/>
      <c r="B367" s="1460"/>
      <c r="C367" s="1460"/>
      <c r="D367" s="1460"/>
      <c r="E367" s="1460"/>
      <c r="F367" s="1460"/>
      <c r="G367" s="1460"/>
      <c r="H367" s="1460"/>
      <c r="I367" s="1460"/>
      <c r="J367" s="1532"/>
      <c r="K367" s="1532"/>
    </row>
    <row r="368">
      <c r="A368" s="1531"/>
      <c r="B368" s="1460"/>
      <c r="C368" s="1460"/>
      <c r="D368" s="1460"/>
      <c r="E368" s="1460"/>
      <c r="F368" s="1460"/>
      <c r="G368" s="1460"/>
      <c r="H368" s="1460"/>
      <c r="I368" s="1460"/>
      <c r="J368" s="1532"/>
      <c r="K368" s="1532"/>
    </row>
    <row r="369">
      <c r="A369" s="1531"/>
      <c r="B369" s="1460"/>
      <c r="C369" s="1460"/>
      <c r="D369" s="1460"/>
      <c r="E369" s="1460"/>
      <c r="F369" s="1460"/>
      <c r="G369" s="1460"/>
      <c r="H369" s="1460"/>
      <c r="I369" s="1460"/>
      <c r="J369" s="1532"/>
      <c r="K369" s="1532"/>
    </row>
    <row r="370">
      <c r="A370" s="1531"/>
      <c r="B370" s="1460"/>
      <c r="C370" s="1460"/>
      <c r="D370" s="1460"/>
      <c r="E370" s="1460"/>
      <c r="F370" s="1460"/>
      <c r="G370" s="1460"/>
      <c r="H370" s="1460"/>
      <c r="I370" s="1460"/>
      <c r="J370" s="1532"/>
      <c r="K370" s="1532"/>
    </row>
    <row r="371">
      <c r="A371" s="1531"/>
      <c r="B371" s="1460"/>
      <c r="C371" s="1460"/>
      <c r="D371" s="1460"/>
      <c r="E371" s="1460"/>
      <c r="F371" s="1460"/>
      <c r="G371" s="1460"/>
      <c r="H371" s="1460"/>
      <c r="I371" s="1460"/>
      <c r="J371" s="1532"/>
      <c r="K371" s="1532"/>
    </row>
    <row r="372">
      <c r="A372" s="1531"/>
      <c r="B372" s="1460"/>
      <c r="C372" s="1460"/>
      <c r="D372" s="1460"/>
      <c r="E372" s="1460"/>
      <c r="F372" s="1460"/>
      <c r="G372" s="1460"/>
      <c r="H372" s="1460"/>
      <c r="I372" s="1460"/>
      <c r="J372" s="1532"/>
      <c r="K372" s="1532"/>
    </row>
    <row r="373">
      <c r="A373" s="1531"/>
      <c r="B373" s="1460"/>
      <c r="C373" s="1460"/>
      <c r="D373" s="1460"/>
      <c r="E373" s="1460"/>
      <c r="F373" s="1460"/>
      <c r="G373" s="1460"/>
      <c r="H373" s="1460"/>
      <c r="I373" s="1460"/>
      <c r="J373" s="1532"/>
      <c r="K373" s="1532"/>
    </row>
    <row r="374">
      <c r="A374" s="1531"/>
      <c r="B374" s="1460"/>
      <c r="C374" s="1460"/>
      <c r="D374" s="1460"/>
      <c r="E374" s="1460"/>
      <c r="F374" s="1460"/>
      <c r="G374" s="1460"/>
      <c r="H374" s="1460"/>
      <c r="I374" s="1460"/>
      <c r="J374" s="1532"/>
      <c r="K374" s="1532"/>
    </row>
    <row r="375">
      <c r="A375" s="1531"/>
      <c r="B375" s="1460"/>
      <c r="C375" s="1460"/>
      <c r="D375" s="1460"/>
      <c r="E375" s="1460"/>
      <c r="F375" s="1460"/>
      <c r="G375" s="1460"/>
      <c r="H375" s="1460"/>
      <c r="I375" s="1460"/>
      <c r="J375" s="1532"/>
      <c r="K375" s="1532"/>
    </row>
    <row r="376">
      <c r="A376" s="1531"/>
      <c r="B376" s="1460"/>
      <c r="C376" s="1460"/>
      <c r="D376" s="1460"/>
      <c r="E376" s="1460"/>
      <c r="F376" s="1460"/>
      <c r="G376" s="1460"/>
      <c r="H376" s="1460"/>
      <c r="I376" s="1460"/>
      <c r="J376" s="1532"/>
      <c r="K376" s="1532"/>
    </row>
    <row r="377">
      <c r="A377" s="1531"/>
      <c r="B377" s="1460"/>
      <c r="C377" s="1460"/>
      <c r="D377" s="1460"/>
      <c r="E377" s="1460"/>
      <c r="F377" s="1460"/>
      <c r="G377" s="1460"/>
      <c r="H377" s="1460"/>
      <c r="I377" s="1460"/>
      <c r="J377" s="1532"/>
      <c r="K377" s="1532"/>
    </row>
    <row r="378">
      <c r="A378" s="1531"/>
      <c r="B378" s="1460"/>
      <c r="C378" s="1460"/>
      <c r="D378" s="1460"/>
      <c r="E378" s="1460"/>
      <c r="F378" s="1460"/>
      <c r="G378" s="1460"/>
      <c r="H378" s="1460"/>
      <c r="I378" s="1460"/>
      <c r="J378" s="1532"/>
      <c r="K378" s="1532"/>
    </row>
    <row r="379">
      <c r="A379" s="1531"/>
      <c r="B379" s="1460"/>
      <c r="C379" s="1460"/>
      <c r="D379" s="1460"/>
      <c r="E379" s="1460"/>
      <c r="F379" s="1460"/>
      <c r="G379" s="1460"/>
      <c r="H379" s="1460"/>
      <c r="I379" s="1460"/>
      <c r="J379" s="1532"/>
      <c r="K379" s="1532"/>
    </row>
    <row r="380">
      <c r="A380" s="1531"/>
      <c r="B380" s="1460"/>
      <c r="C380" s="1460"/>
      <c r="D380" s="1460"/>
      <c r="E380" s="1460"/>
      <c r="F380" s="1460"/>
      <c r="G380" s="1460"/>
      <c r="H380" s="1460"/>
      <c r="I380" s="1460"/>
      <c r="J380" s="1532"/>
      <c r="K380" s="1532"/>
    </row>
    <row r="381">
      <c r="A381" s="1531"/>
      <c r="B381" s="1460"/>
      <c r="C381" s="1460"/>
      <c r="D381" s="1460"/>
      <c r="E381" s="1460"/>
      <c r="F381" s="1460"/>
      <c r="G381" s="1460"/>
      <c r="H381" s="1460"/>
      <c r="I381" s="1460"/>
      <c r="J381" s="1532"/>
      <c r="K381" s="1532"/>
    </row>
    <row r="382">
      <c r="A382" s="1531"/>
      <c r="B382" s="1460"/>
      <c r="C382" s="1460"/>
      <c r="D382" s="1460"/>
      <c r="E382" s="1460"/>
      <c r="F382" s="1460"/>
      <c r="G382" s="1460"/>
      <c r="H382" s="1460"/>
      <c r="I382" s="1460"/>
      <c r="J382" s="1532"/>
      <c r="K382" s="1532"/>
    </row>
    <row r="383">
      <c r="A383" s="1531"/>
      <c r="B383" s="1460"/>
      <c r="C383" s="1460"/>
      <c r="D383" s="1460"/>
      <c r="E383" s="1460"/>
      <c r="F383" s="1460"/>
      <c r="G383" s="1460"/>
      <c r="H383" s="1460"/>
      <c r="I383" s="1460"/>
      <c r="J383" s="1532"/>
      <c r="K383" s="1532"/>
    </row>
    <row r="384">
      <c r="A384" s="1531"/>
      <c r="B384" s="1460"/>
      <c r="C384" s="1460"/>
      <c r="D384" s="1460"/>
      <c r="E384" s="1460"/>
      <c r="F384" s="1460"/>
      <c r="G384" s="1460"/>
      <c r="H384" s="1460"/>
      <c r="I384" s="1460"/>
      <c r="J384" s="1532"/>
      <c r="K384" s="1532"/>
    </row>
    <row r="385">
      <c r="A385" s="1531"/>
      <c r="B385" s="1460"/>
      <c r="C385" s="1460"/>
      <c r="D385" s="1460"/>
      <c r="E385" s="1460"/>
      <c r="F385" s="1460"/>
      <c r="G385" s="1460"/>
      <c r="H385" s="1460"/>
      <c r="I385" s="1460"/>
      <c r="J385" s="1532"/>
      <c r="K385" s="1532"/>
    </row>
    <row r="386">
      <c r="A386" s="1531"/>
      <c r="B386" s="1460"/>
      <c r="C386" s="1460"/>
      <c r="D386" s="1460"/>
      <c r="E386" s="1460"/>
      <c r="F386" s="1460"/>
      <c r="G386" s="1460"/>
      <c r="H386" s="1460"/>
      <c r="I386" s="1460"/>
      <c r="J386" s="1532"/>
      <c r="K386" s="1532"/>
    </row>
    <row r="387">
      <c r="A387" s="1531"/>
      <c r="B387" s="1460"/>
      <c r="C387" s="1460"/>
      <c r="D387" s="1460"/>
      <c r="E387" s="1460"/>
      <c r="F387" s="1460"/>
      <c r="G387" s="1460"/>
      <c r="H387" s="1460"/>
      <c r="I387" s="1460"/>
      <c r="J387" s="1532"/>
      <c r="K387" s="1532"/>
    </row>
    <row r="388">
      <c r="A388" s="1531"/>
      <c r="B388" s="1460"/>
      <c r="C388" s="1460"/>
      <c r="D388" s="1460"/>
      <c r="E388" s="1460"/>
      <c r="F388" s="1460"/>
      <c r="G388" s="1460"/>
      <c r="H388" s="1460"/>
      <c r="I388" s="1460"/>
      <c r="J388" s="1532"/>
      <c r="K388" s="1532"/>
    </row>
    <row r="389">
      <c r="A389" s="1531"/>
      <c r="B389" s="1460"/>
      <c r="C389" s="1460"/>
      <c r="D389" s="1460"/>
      <c r="E389" s="1460"/>
      <c r="F389" s="1460"/>
      <c r="G389" s="1460"/>
      <c r="H389" s="1460"/>
      <c r="I389" s="1460"/>
      <c r="J389" s="1532"/>
      <c r="K389" s="1532"/>
    </row>
    <row r="390">
      <c r="A390" s="1531"/>
      <c r="B390" s="1460"/>
      <c r="C390" s="1460"/>
      <c r="D390" s="1460"/>
      <c r="E390" s="1460"/>
      <c r="F390" s="1460"/>
      <c r="G390" s="1460"/>
      <c r="H390" s="1460"/>
      <c r="I390" s="1460"/>
      <c r="J390" s="1532"/>
      <c r="K390" s="1532"/>
    </row>
    <row r="391">
      <c r="A391" s="1531"/>
      <c r="B391" s="1460"/>
      <c r="C391" s="1460"/>
      <c r="D391" s="1460"/>
      <c r="E391" s="1460"/>
      <c r="F391" s="1460"/>
      <c r="G391" s="1460"/>
      <c r="H391" s="1460"/>
      <c r="I391" s="1460"/>
      <c r="J391" s="1532"/>
      <c r="K391" s="1532"/>
    </row>
    <row r="392">
      <c r="A392" s="1531"/>
      <c r="B392" s="1460"/>
      <c r="C392" s="1460"/>
      <c r="D392" s="1460"/>
      <c r="E392" s="1460"/>
      <c r="F392" s="1460"/>
      <c r="G392" s="1460"/>
      <c r="H392" s="1460"/>
      <c r="I392" s="1460"/>
      <c r="J392" s="1532"/>
      <c r="K392" s="1532"/>
    </row>
    <row r="393">
      <c r="A393" s="1531"/>
      <c r="B393" s="1460"/>
      <c r="C393" s="1460"/>
      <c r="D393" s="1460"/>
      <c r="E393" s="1460"/>
      <c r="F393" s="1460"/>
      <c r="G393" s="1460"/>
      <c r="H393" s="1460"/>
      <c r="I393" s="1460"/>
      <c r="J393" s="1532"/>
      <c r="K393" s="1532"/>
    </row>
    <row r="394">
      <c r="A394" s="1531"/>
      <c r="B394" s="1460"/>
      <c r="C394" s="1460"/>
      <c r="D394" s="1460"/>
      <c r="E394" s="1460"/>
      <c r="F394" s="1460"/>
      <c r="G394" s="1460"/>
      <c r="H394" s="1460"/>
      <c r="I394" s="1460"/>
      <c r="J394" s="1532"/>
      <c r="K394" s="1532"/>
    </row>
    <row r="395">
      <c r="A395" s="1531"/>
      <c r="B395" s="1460"/>
      <c r="C395" s="1460"/>
      <c r="D395" s="1460"/>
      <c r="E395" s="1460"/>
      <c r="F395" s="1460"/>
      <c r="G395" s="1460"/>
      <c r="H395" s="1460"/>
      <c r="I395" s="1460"/>
      <c r="J395" s="1532"/>
      <c r="K395" s="1532"/>
    </row>
    <row r="396">
      <c r="A396" s="1531"/>
      <c r="B396" s="1460"/>
      <c r="C396" s="1460"/>
      <c r="D396" s="1460"/>
      <c r="E396" s="1460"/>
      <c r="F396" s="1460"/>
      <c r="G396" s="1460"/>
      <c r="H396" s="1460"/>
      <c r="I396" s="1460"/>
      <c r="J396" s="1532"/>
      <c r="K396" s="1532"/>
    </row>
    <row r="397">
      <c r="A397" s="1531"/>
      <c r="B397" s="1460"/>
      <c r="C397" s="1460"/>
      <c r="D397" s="1460"/>
      <c r="E397" s="1460"/>
      <c r="F397" s="1460"/>
      <c r="G397" s="1460"/>
      <c r="H397" s="1460"/>
      <c r="I397" s="1460"/>
      <c r="J397" s="1532"/>
      <c r="K397" s="1532"/>
    </row>
    <row r="398">
      <c r="A398" s="1531"/>
      <c r="B398" s="1460"/>
      <c r="C398" s="1460"/>
      <c r="D398" s="1460"/>
      <c r="E398" s="1460"/>
      <c r="F398" s="1460"/>
      <c r="G398" s="1460"/>
      <c r="H398" s="1460"/>
      <c r="I398" s="1460"/>
      <c r="J398" s="1532"/>
      <c r="K398" s="1532"/>
    </row>
    <row r="399">
      <c r="A399" s="1531"/>
      <c r="B399" s="1460"/>
      <c r="C399" s="1460"/>
      <c r="D399" s="1460"/>
      <c r="E399" s="1460"/>
      <c r="F399" s="1460"/>
      <c r="G399" s="1460"/>
      <c r="H399" s="1460"/>
      <c r="I399" s="1460"/>
      <c r="J399" s="1532"/>
      <c r="K399" s="1532"/>
    </row>
    <row r="400">
      <c r="A400" s="1531"/>
      <c r="B400" s="1460"/>
      <c r="C400" s="1460"/>
      <c r="D400" s="1460"/>
      <c r="E400" s="1460"/>
      <c r="F400" s="1460"/>
      <c r="G400" s="1460"/>
      <c r="H400" s="1460"/>
      <c r="I400" s="1460"/>
      <c r="J400" s="1532"/>
      <c r="K400" s="1532"/>
    </row>
    <row r="401">
      <c r="A401" s="1531"/>
      <c r="B401" s="1460"/>
      <c r="C401" s="1460"/>
      <c r="D401" s="1460"/>
      <c r="E401" s="1460"/>
      <c r="F401" s="1460"/>
      <c r="G401" s="1460"/>
      <c r="H401" s="1460"/>
      <c r="I401" s="1460"/>
      <c r="J401" s="1532"/>
      <c r="K401" s="1532"/>
    </row>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sheetData>
  <mergeCells count="120">
    <mergeCell ref="A2:I2"/>
    <mergeCell ref="E6:F6"/>
    <mergeCell ref="D7:F7"/>
    <mergeCell ref="F8:G8"/>
    <mergeCell ref="C9:H11"/>
    <mergeCell ref="C14:H14"/>
    <mergeCell ref="C15:H15"/>
    <mergeCell ref="C16:H16"/>
    <mergeCell ref="A19:I19"/>
    <mergeCell ref="C21:I21"/>
    <mergeCell ref="C23:E23"/>
    <mergeCell ref="F26:G26"/>
    <mergeCell ref="F28:G28"/>
    <mergeCell ref="E29:H29"/>
    <mergeCell ref="C28:D28"/>
    <mergeCell ref="D32:E32"/>
    <mergeCell ref="F33:G33"/>
    <mergeCell ref="E34:H34"/>
    <mergeCell ref="C35:D35"/>
    <mergeCell ref="C37:H37"/>
    <mergeCell ref="C38:I38"/>
    <mergeCell ref="B39:I39"/>
    <mergeCell ref="C40:I40"/>
    <mergeCell ref="A41:I41"/>
    <mergeCell ref="C44:H44"/>
    <mergeCell ref="D45:H45"/>
    <mergeCell ref="A46:I46"/>
    <mergeCell ref="C47:H47"/>
    <mergeCell ref="D51:H51"/>
    <mergeCell ref="D52:F52"/>
    <mergeCell ref="C53:I53"/>
    <mergeCell ref="D54:E54"/>
    <mergeCell ref="C55:I55"/>
    <mergeCell ref="B56:H56"/>
    <mergeCell ref="C57:I57"/>
    <mergeCell ref="D58:E58"/>
    <mergeCell ref="A59:I59"/>
    <mergeCell ref="D60:H60"/>
    <mergeCell ref="B61:I61"/>
    <mergeCell ref="C62:I62"/>
    <mergeCell ref="C68:I68"/>
    <mergeCell ref="E69:G69"/>
    <mergeCell ref="C70:G70"/>
    <mergeCell ref="E71:H71"/>
    <mergeCell ref="C74:H74"/>
    <mergeCell ref="C75:H75"/>
    <mergeCell ref="C77:G77"/>
    <mergeCell ref="C81:G81"/>
    <mergeCell ref="A83:I83"/>
    <mergeCell ref="C179:F182"/>
    <mergeCell ref="H179:I182"/>
    <mergeCell ref="A188:I188"/>
    <mergeCell ref="C189:I189"/>
    <mergeCell ref="A190:I190"/>
    <mergeCell ref="E191:H191"/>
    <mergeCell ref="D192:H192"/>
    <mergeCell ref="A193:I193"/>
    <mergeCell ref="C194:H194"/>
    <mergeCell ref="A197:I197"/>
    <mergeCell ref="C200:H200"/>
    <mergeCell ref="A201:I201"/>
    <mergeCell ref="B202:H202"/>
    <mergeCell ref="A205:I205"/>
    <mergeCell ref="C84:F84"/>
    <mergeCell ref="D87:F87"/>
    <mergeCell ref="C94:G94"/>
    <mergeCell ref="C95:I95"/>
    <mergeCell ref="D97:G97"/>
    <mergeCell ref="C98:I98"/>
    <mergeCell ref="C100:F100"/>
    <mergeCell ref="E102:G102"/>
    <mergeCell ref="C104:E104"/>
    <mergeCell ref="D106:H106"/>
    <mergeCell ref="A107:I107"/>
    <mergeCell ref="C108:H108"/>
    <mergeCell ref="C109:F109"/>
    <mergeCell ref="C110:E110"/>
    <mergeCell ref="F111:G111"/>
    <mergeCell ref="C112:G112"/>
    <mergeCell ref="E114:F114"/>
    <mergeCell ref="F115:G115"/>
    <mergeCell ref="D117:F117"/>
    <mergeCell ref="A118:I118"/>
    <mergeCell ref="G120:H120"/>
    <mergeCell ref="B121:H121"/>
    <mergeCell ref="D122:F122"/>
    <mergeCell ref="A126:A127"/>
    <mergeCell ref="C126:H126"/>
    <mergeCell ref="C131:I131"/>
    <mergeCell ref="A133:I133"/>
    <mergeCell ref="B135:B140"/>
    <mergeCell ref="D138:F145"/>
    <mergeCell ref="H145:I145"/>
    <mergeCell ref="G147:H147"/>
    <mergeCell ref="C149:E149"/>
    <mergeCell ref="G149:I149"/>
    <mergeCell ref="C151:H151"/>
    <mergeCell ref="D153:F153"/>
    <mergeCell ref="C156:F158"/>
    <mergeCell ref="H156:I160"/>
    <mergeCell ref="C161:H161"/>
    <mergeCell ref="D163:E163"/>
    <mergeCell ref="H163:I174"/>
    <mergeCell ref="C164:F174"/>
    <mergeCell ref="C175:I175"/>
    <mergeCell ref="A213:I213"/>
    <mergeCell ref="A214:I214"/>
    <mergeCell ref="C215:H215"/>
    <mergeCell ref="B216:H216"/>
    <mergeCell ref="A217:I217"/>
    <mergeCell ref="D218:F218"/>
    <mergeCell ref="B219:H219"/>
    <mergeCell ref="A220:I220"/>
    <mergeCell ref="B206:H206"/>
    <mergeCell ref="B207:I207"/>
    <mergeCell ref="A208:I208"/>
    <mergeCell ref="B209:H209"/>
    <mergeCell ref="A210:I210"/>
    <mergeCell ref="B211:H211"/>
    <mergeCell ref="E212:G212"/>
  </mergeCells>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63"/>
    <col customWidth="1" min="3" max="3" width="18.5"/>
  </cols>
  <sheetData>
    <row r="1">
      <c r="B1" s="953" t="s">
        <v>15475</v>
      </c>
      <c r="C1" s="953" t="s">
        <v>15476</v>
      </c>
      <c r="D1" s="953" t="s">
        <v>15477</v>
      </c>
    </row>
    <row r="2">
      <c r="A2" s="1790">
        <v>0.375</v>
      </c>
      <c r="B2" s="953" t="s">
        <v>15478</v>
      </c>
      <c r="C2" s="953" t="s">
        <v>15479</v>
      </c>
      <c r="D2" s="953" t="s">
        <v>15480</v>
      </c>
    </row>
    <row r="3">
      <c r="A3" s="1790">
        <v>0.38055555555555554</v>
      </c>
      <c r="B3" s="953" t="s">
        <v>15481</v>
      </c>
      <c r="C3" s="953" t="s">
        <v>15482</v>
      </c>
      <c r="D3" s="953" t="s">
        <v>15483</v>
      </c>
    </row>
    <row r="4">
      <c r="A4" s="1790">
        <v>0.3861111111111111</v>
      </c>
      <c r="B4" s="953" t="s">
        <v>15484</v>
      </c>
      <c r="C4" s="953" t="s">
        <v>13668</v>
      </c>
      <c r="D4" s="953">
        <v>406.0</v>
      </c>
    </row>
    <row r="5">
      <c r="A5" s="1790">
        <v>0.3958333333333333</v>
      </c>
      <c r="B5" s="953" t="s">
        <v>15485</v>
      </c>
      <c r="C5" s="953" t="s">
        <v>15486</v>
      </c>
      <c r="D5" s="953">
        <v>406.0</v>
      </c>
    </row>
    <row r="6">
      <c r="A6" s="1790">
        <v>0.4027777777777778</v>
      </c>
      <c r="B6" s="953" t="s">
        <v>15487</v>
      </c>
      <c r="C6" s="953" t="s">
        <v>15488</v>
      </c>
      <c r="D6" s="953">
        <v>406.0</v>
      </c>
    </row>
    <row r="7">
      <c r="A7" s="1790">
        <v>0.4131944444444444</v>
      </c>
      <c r="B7" s="953" t="s">
        <v>15489</v>
      </c>
      <c r="C7" s="953" t="s">
        <v>13560</v>
      </c>
      <c r="D7" s="953" t="s">
        <v>15490</v>
      </c>
    </row>
    <row r="8">
      <c r="A8" s="1790">
        <v>0.4236111111111111</v>
      </c>
      <c r="B8" s="953" t="s">
        <v>15491</v>
      </c>
      <c r="C8" s="953" t="s">
        <v>12289</v>
      </c>
      <c r="D8" s="953">
        <v>406.0</v>
      </c>
    </row>
    <row r="9">
      <c r="A9" s="1790">
        <v>0.4305555555555556</v>
      </c>
      <c r="B9" s="953" t="s">
        <v>15492</v>
      </c>
      <c r="C9" s="953" t="s">
        <v>15493</v>
      </c>
      <c r="D9" s="953">
        <v>406.0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 customWidth="1" min="2" max="2" width="13.63"/>
    <col customWidth="1" min="3" max="3" width="18.13"/>
    <col customWidth="1" min="4" max="4" width="25.25"/>
    <col customWidth="1" min="5" max="5" width="32.63"/>
    <col customWidth="1" min="6" max="6" width="14.13"/>
    <col customWidth="1" min="7" max="7" width="28.38"/>
    <col customWidth="1" min="8" max="8" width="21.0"/>
  </cols>
  <sheetData>
    <row r="1">
      <c r="A1" s="1791" t="s">
        <v>12381</v>
      </c>
      <c r="B1" s="1791" t="s">
        <v>12382</v>
      </c>
      <c r="C1" s="1791" t="s">
        <v>12843</v>
      </c>
      <c r="D1" s="1792" t="s">
        <v>12385</v>
      </c>
      <c r="E1" s="1791" t="s">
        <v>12386</v>
      </c>
      <c r="F1" s="1791" t="s">
        <v>15494</v>
      </c>
      <c r="G1" s="1793" t="s">
        <v>15495</v>
      </c>
      <c r="H1" s="1791" t="s">
        <v>15496</v>
      </c>
      <c r="I1" s="1794"/>
      <c r="J1" s="1794"/>
      <c r="K1" s="1794"/>
      <c r="L1" s="1794"/>
      <c r="M1" s="1794"/>
      <c r="N1" s="1794"/>
      <c r="O1" s="1794"/>
      <c r="P1" s="1794"/>
      <c r="Q1" s="1794"/>
      <c r="R1" s="1794"/>
      <c r="S1" s="1794"/>
      <c r="T1" s="1794"/>
      <c r="U1" s="1794"/>
      <c r="V1" s="1794"/>
      <c r="W1" s="1794"/>
      <c r="X1" s="1794"/>
      <c r="Y1" s="1794"/>
      <c r="Z1" s="1794"/>
    </row>
    <row r="2">
      <c r="A2" s="1119" t="s">
        <v>15497</v>
      </c>
      <c r="B2" s="1119" t="s">
        <v>12276</v>
      </c>
      <c r="C2" s="1119" t="s">
        <v>12259</v>
      </c>
      <c r="D2" s="1795">
        <v>8.9588073854E10</v>
      </c>
      <c r="E2" s="1119" t="s">
        <v>15498</v>
      </c>
      <c r="F2" s="1796">
        <v>2021.0</v>
      </c>
      <c r="G2" s="1797" t="s">
        <v>15499</v>
      </c>
      <c r="H2" s="1798" t="s">
        <v>15500</v>
      </c>
      <c r="I2" s="1799"/>
      <c r="J2" s="1799"/>
      <c r="K2" s="1799"/>
      <c r="L2" s="1799"/>
      <c r="M2" s="1799"/>
      <c r="N2" s="1799"/>
      <c r="O2" s="1799"/>
      <c r="P2" s="1799"/>
      <c r="Q2" s="1799"/>
      <c r="R2" s="1799"/>
      <c r="S2" s="1799"/>
      <c r="T2" s="1799"/>
      <c r="U2" s="1799"/>
      <c r="V2" s="1799"/>
      <c r="W2" s="1799"/>
      <c r="X2" s="1799"/>
      <c r="Y2" s="1799"/>
      <c r="Z2" s="1799"/>
    </row>
    <row r="3">
      <c r="A3" s="1119" t="s">
        <v>15501</v>
      </c>
      <c r="B3" s="1119" t="s">
        <v>13485</v>
      </c>
      <c r="C3" s="1119" t="s">
        <v>15502</v>
      </c>
      <c r="D3" s="1795"/>
      <c r="E3" s="1800" t="s">
        <v>15503</v>
      </c>
      <c r="F3" s="1796">
        <v>2021.0</v>
      </c>
      <c r="G3" s="1797" t="s">
        <v>15504</v>
      </c>
      <c r="H3" s="1798" t="s">
        <v>15505</v>
      </c>
      <c r="I3" s="1799"/>
      <c r="J3" s="1799"/>
      <c r="K3" s="1799"/>
      <c r="L3" s="1799"/>
      <c r="M3" s="1799"/>
      <c r="N3" s="1799"/>
      <c r="O3" s="1799"/>
      <c r="P3" s="1799"/>
      <c r="Q3" s="1799"/>
      <c r="R3" s="1799"/>
      <c r="S3" s="1799"/>
      <c r="T3" s="1799"/>
      <c r="U3" s="1799"/>
      <c r="V3" s="1799"/>
      <c r="W3" s="1799"/>
      <c r="X3" s="1799"/>
      <c r="Y3" s="1799"/>
      <c r="Z3" s="1799"/>
    </row>
    <row r="4">
      <c r="A4" s="1119" t="s">
        <v>15506</v>
      </c>
      <c r="B4" s="1119" t="s">
        <v>15507</v>
      </c>
      <c r="C4" s="1119" t="s">
        <v>15508</v>
      </c>
      <c r="D4" s="1801" t="s">
        <v>15509</v>
      </c>
      <c r="E4" s="1119" t="s">
        <v>15510</v>
      </c>
      <c r="F4" s="1796">
        <v>2021.0</v>
      </c>
      <c r="G4" s="1797" t="s">
        <v>15511</v>
      </c>
      <c r="H4" s="1798" t="s">
        <v>15512</v>
      </c>
      <c r="I4" s="1799"/>
      <c r="J4" s="1799"/>
      <c r="K4" s="1799"/>
      <c r="L4" s="1799"/>
      <c r="M4" s="1799"/>
      <c r="N4" s="1799"/>
      <c r="O4" s="1799"/>
      <c r="P4" s="1799"/>
      <c r="Q4" s="1799"/>
      <c r="R4" s="1799"/>
      <c r="S4" s="1799"/>
      <c r="T4" s="1799"/>
      <c r="U4" s="1799"/>
      <c r="V4" s="1799"/>
      <c r="W4" s="1799"/>
      <c r="X4" s="1799"/>
      <c r="Y4" s="1799"/>
      <c r="Z4" s="1799"/>
    </row>
    <row r="5">
      <c r="A5" s="1119" t="s">
        <v>15513</v>
      </c>
      <c r="B5" s="1119" t="s">
        <v>12475</v>
      </c>
      <c r="C5" s="1119" t="s">
        <v>12401</v>
      </c>
      <c r="D5" s="1802" t="s">
        <v>15514</v>
      </c>
      <c r="E5" s="1119" t="s">
        <v>15515</v>
      </c>
      <c r="F5" s="1796">
        <v>2021.0</v>
      </c>
      <c r="G5" s="1797" t="s">
        <v>15516</v>
      </c>
      <c r="H5" s="1803" t="s">
        <v>15517</v>
      </c>
      <c r="I5" s="1799"/>
      <c r="J5" s="1799"/>
      <c r="K5" s="1799"/>
      <c r="L5" s="1799"/>
      <c r="M5" s="1799"/>
      <c r="N5" s="1799"/>
      <c r="O5" s="1799"/>
      <c r="P5" s="1799"/>
      <c r="Q5" s="1799"/>
      <c r="R5" s="1799"/>
      <c r="S5" s="1799"/>
      <c r="T5" s="1799"/>
      <c r="U5" s="1799"/>
      <c r="V5" s="1799"/>
      <c r="W5" s="1799"/>
      <c r="X5" s="1799"/>
      <c r="Y5" s="1799"/>
      <c r="Z5" s="1799"/>
    </row>
    <row r="6">
      <c r="A6" s="1119" t="s">
        <v>15518</v>
      </c>
      <c r="B6" s="1119" t="s">
        <v>15519</v>
      </c>
      <c r="C6" s="1119" t="s">
        <v>15520</v>
      </c>
      <c r="D6" s="1795">
        <v>8.9295370187E10</v>
      </c>
      <c r="E6" s="1119" t="s">
        <v>15521</v>
      </c>
      <c r="F6" s="1796">
        <v>2021.0</v>
      </c>
      <c r="G6" s="1797" t="s">
        <v>15522</v>
      </c>
      <c r="H6" s="1804"/>
      <c r="I6" s="1799"/>
      <c r="J6" s="1799"/>
      <c r="K6" s="1799"/>
      <c r="L6" s="1799"/>
      <c r="M6" s="1799"/>
      <c r="N6" s="1799"/>
      <c r="O6" s="1799"/>
      <c r="P6" s="1799"/>
      <c r="Q6" s="1799"/>
      <c r="R6" s="1799"/>
      <c r="S6" s="1799"/>
      <c r="T6" s="1799"/>
      <c r="U6" s="1799"/>
      <c r="V6" s="1799"/>
      <c r="W6" s="1799"/>
      <c r="X6" s="1799"/>
      <c r="Y6" s="1799"/>
      <c r="Z6" s="1799"/>
    </row>
    <row r="7">
      <c r="A7" s="1119" t="s">
        <v>15523</v>
      </c>
      <c r="B7" s="1119" t="s">
        <v>12795</v>
      </c>
      <c r="C7" s="1119" t="s">
        <v>12281</v>
      </c>
      <c r="D7" s="1795" t="s">
        <v>15524</v>
      </c>
      <c r="E7" s="1119" t="s">
        <v>15525</v>
      </c>
      <c r="F7" s="1796">
        <v>2021.0</v>
      </c>
      <c r="G7" s="1797" t="s">
        <v>15516</v>
      </c>
      <c r="H7" s="1803" t="s">
        <v>15517</v>
      </c>
      <c r="I7" s="1799"/>
      <c r="J7" s="1799"/>
      <c r="K7" s="1799"/>
      <c r="L7" s="1799"/>
      <c r="M7" s="1799"/>
      <c r="N7" s="1799"/>
      <c r="O7" s="1799"/>
      <c r="P7" s="1799"/>
      <c r="Q7" s="1799"/>
      <c r="R7" s="1799"/>
      <c r="S7" s="1799"/>
      <c r="T7" s="1799"/>
      <c r="U7" s="1799"/>
      <c r="V7" s="1799"/>
      <c r="W7" s="1799"/>
      <c r="X7" s="1799"/>
      <c r="Y7" s="1799"/>
      <c r="Z7" s="1799"/>
    </row>
    <row r="8">
      <c r="A8" s="1119" t="s">
        <v>15526</v>
      </c>
      <c r="B8" s="1119" t="s">
        <v>12481</v>
      </c>
      <c r="C8" s="1119" t="s">
        <v>13348</v>
      </c>
      <c r="D8" s="1795">
        <v>8.9154272664E10</v>
      </c>
      <c r="E8" s="1119" t="s">
        <v>15527</v>
      </c>
      <c r="F8" s="1796">
        <v>2021.0</v>
      </c>
      <c r="G8" s="1797" t="s">
        <v>15528</v>
      </c>
      <c r="H8" s="1798" t="s">
        <v>15529</v>
      </c>
      <c r="I8" s="1799"/>
      <c r="J8" s="1799"/>
      <c r="K8" s="1799"/>
      <c r="L8" s="1799"/>
      <c r="M8" s="1799"/>
      <c r="N8" s="1799"/>
      <c r="O8" s="1799"/>
      <c r="P8" s="1799"/>
      <c r="Q8" s="1799"/>
      <c r="R8" s="1799"/>
      <c r="S8" s="1799"/>
      <c r="T8" s="1799"/>
      <c r="U8" s="1799"/>
      <c r="V8" s="1799"/>
      <c r="W8" s="1799"/>
      <c r="X8" s="1799"/>
      <c r="Y8" s="1799"/>
      <c r="Z8" s="1799"/>
    </row>
    <row r="9">
      <c r="A9" s="1119" t="s">
        <v>15530</v>
      </c>
      <c r="B9" s="1119" t="s">
        <v>12255</v>
      </c>
      <c r="C9" s="1119" t="s">
        <v>12277</v>
      </c>
      <c r="D9" s="1795">
        <v>8.9850736471E10</v>
      </c>
      <c r="E9" s="1119" t="s">
        <v>15531</v>
      </c>
      <c r="F9" s="1796">
        <v>2021.0</v>
      </c>
      <c r="G9" s="1797" t="s">
        <v>15532</v>
      </c>
      <c r="H9" s="1800" t="s">
        <v>15533</v>
      </c>
      <c r="I9" s="1799"/>
      <c r="J9" s="1799"/>
      <c r="K9" s="1799"/>
      <c r="L9" s="1799"/>
      <c r="M9" s="1799"/>
      <c r="N9" s="1799"/>
      <c r="O9" s="1799"/>
      <c r="P9" s="1799"/>
      <c r="Q9" s="1799"/>
      <c r="R9" s="1799"/>
      <c r="S9" s="1799"/>
      <c r="T9" s="1799"/>
      <c r="U9" s="1799"/>
      <c r="V9" s="1799"/>
      <c r="W9" s="1799"/>
      <c r="X9" s="1799"/>
      <c r="Y9" s="1799"/>
      <c r="Z9" s="1799"/>
    </row>
    <row r="10">
      <c r="A10" s="1119" t="s">
        <v>15534</v>
      </c>
      <c r="B10" s="1119" t="s">
        <v>14033</v>
      </c>
      <c r="C10" s="1119" t="s">
        <v>12291</v>
      </c>
      <c r="D10" s="1795" t="s">
        <v>15535</v>
      </c>
      <c r="E10" s="1119" t="s">
        <v>15536</v>
      </c>
      <c r="F10" s="1796">
        <v>2021.0</v>
      </c>
      <c r="G10" s="1797" t="s">
        <v>15537</v>
      </c>
      <c r="H10" s="1803" t="s">
        <v>15538</v>
      </c>
      <c r="I10" s="1799"/>
      <c r="J10" s="1799"/>
      <c r="K10" s="1799"/>
      <c r="L10" s="1799"/>
      <c r="M10" s="1799"/>
      <c r="N10" s="1799"/>
      <c r="O10" s="1799"/>
      <c r="P10" s="1799"/>
      <c r="Q10" s="1799"/>
      <c r="R10" s="1799"/>
      <c r="S10" s="1799"/>
      <c r="T10" s="1799"/>
      <c r="U10" s="1799"/>
      <c r="V10" s="1799"/>
      <c r="W10" s="1799"/>
      <c r="X10" s="1799"/>
      <c r="Y10" s="1799"/>
      <c r="Z10" s="1799"/>
    </row>
    <row r="11">
      <c r="A11" s="1805" t="s">
        <v>15539</v>
      </c>
      <c r="B11" s="1805" t="s">
        <v>12438</v>
      </c>
      <c r="C11" s="1119" t="s">
        <v>12271</v>
      </c>
      <c r="D11" s="1795"/>
      <c r="E11" s="1119"/>
      <c r="F11" s="1796">
        <v>2021.0</v>
      </c>
      <c r="G11" s="1797" t="s">
        <v>15540</v>
      </c>
      <c r="H11" s="1798" t="s">
        <v>15541</v>
      </c>
      <c r="I11" s="1799"/>
      <c r="J11" s="1799"/>
      <c r="K11" s="1799"/>
      <c r="L11" s="1799"/>
      <c r="M11" s="1799"/>
      <c r="N11" s="1799"/>
      <c r="O11" s="1799"/>
      <c r="P11" s="1799"/>
      <c r="Q11" s="1799"/>
      <c r="R11" s="1799"/>
      <c r="S11" s="1799"/>
      <c r="T11" s="1799"/>
      <c r="U11" s="1799"/>
      <c r="V11" s="1799"/>
      <c r="W11" s="1799"/>
      <c r="X11" s="1799"/>
      <c r="Y11" s="1799"/>
      <c r="Z11" s="1799"/>
    </row>
    <row r="12">
      <c r="A12" s="1119" t="s">
        <v>12489</v>
      </c>
      <c r="B12" s="1119" t="s">
        <v>12306</v>
      </c>
      <c r="C12" s="1119" t="s">
        <v>12490</v>
      </c>
      <c r="D12" s="1795" t="s">
        <v>15542</v>
      </c>
      <c r="E12" s="1119" t="s">
        <v>12492</v>
      </c>
      <c r="F12" s="1796">
        <v>2021.0</v>
      </c>
      <c r="G12" s="1797" t="s">
        <v>15511</v>
      </c>
      <c r="H12" s="1806"/>
      <c r="I12" s="1799"/>
      <c r="J12" s="1799"/>
      <c r="K12" s="1799"/>
      <c r="L12" s="1799"/>
      <c r="M12" s="1799"/>
      <c r="N12" s="1799"/>
      <c r="O12" s="1799"/>
      <c r="P12" s="1799"/>
      <c r="Q12" s="1799"/>
      <c r="R12" s="1799"/>
      <c r="S12" s="1799"/>
      <c r="T12" s="1799"/>
      <c r="U12" s="1799"/>
      <c r="V12" s="1799"/>
      <c r="W12" s="1799"/>
      <c r="X12" s="1799"/>
      <c r="Y12" s="1799"/>
      <c r="Z12" s="1799"/>
    </row>
    <row r="13">
      <c r="A13" s="1119" t="s">
        <v>12493</v>
      </c>
      <c r="B13" s="1119" t="s">
        <v>12309</v>
      </c>
      <c r="C13" s="1119" t="s">
        <v>12288</v>
      </c>
      <c r="D13" s="1802">
        <v>8.9852958794E10</v>
      </c>
      <c r="E13" s="1119" t="s">
        <v>12495</v>
      </c>
      <c r="F13" s="1796">
        <v>2021.0</v>
      </c>
      <c r="G13" s="1797" t="s">
        <v>15532</v>
      </c>
      <c r="H13" s="1806"/>
      <c r="I13" s="1799"/>
      <c r="J13" s="1799"/>
      <c r="K13" s="1799"/>
      <c r="L13" s="1799"/>
      <c r="M13" s="1799"/>
      <c r="N13" s="1799"/>
      <c r="O13" s="1799"/>
      <c r="P13" s="1799"/>
      <c r="Q13" s="1799"/>
      <c r="R13" s="1799"/>
      <c r="S13" s="1799"/>
      <c r="T13" s="1799"/>
      <c r="U13" s="1799"/>
      <c r="V13" s="1799"/>
      <c r="W13" s="1799"/>
      <c r="X13" s="1799"/>
      <c r="Y13" s="1799"/>
      <c r="Z13" s="1799"/>
    </row>
    <row r="14">
      <c r="A14" s="1119" t="s">
        <v>15543</v>
      </c>
      <c r="B14" s="1119" t="s">
        <v>12548</v>
      </c>
      <c r="C14" s="1119" t="s">
        <v>12283</v>
      </c>
      <c r="D14" s="1802" t="s">
        <v>15544</v>
      </c>
      <c r="E14" s="1119" t="s">
        <v>15545</v>
      </c>
      <c r="F14" s="1796">
        <v>2021.0</v>
      </c>
      <c r="G14" s="1797" t="s">
        <v>15546</v>
      </c>
      <c r="H14" s="1798" t="s">
        <v>15547</v>
      </c>
      <c r="I14" s="1799"/>
      <c r="J14" s="1799"/>
      <c r="K14" s="1799"/>
      <c r="L14" s="1799"/>
      <c r="M14" s="1799"/>
      <c r="N14" s="1799"/>
      <c r="O14" s="1799"/>
      <c r="P14" s="1799"/>
      <c r="Q14" s="1799"/>
      <c r="R14" s="1799"/>
      <c r="S14" s="1799"/>
      <c r="T14" s="1799"/>
      <c r="U14" s="1799"/>
      <c r="V14" s="1799"/>
      <c r="W14" s="1799"/>
      <c r="X14" s="1799"/>
      <c r="Y14" s="1799"/>
      <c r="Z14" s="1799"/>
    </row>
    <row r="15">
      <c r="A15" s="1119" t="s">
        <v>15548</v>
      </c>
      <c r="B15" s="1119" t="s">
        <v>13000</v>
      </c>
      <c r="C15" s="1119" t="s">
        <v>12256</v>
      </c>
      <c r="D15" s="1795" t="s">
        <v>15549</v>
      </c>
      <c r="E15" s="1119" t="s">
        <v>15550</v>
      </c>
      <c r="F15" s="1796">
        <v>2021.0</v>
      </c>
      <c r="G15" s="1797" t="s">
        <v>15516</v>
      </c>
      <c r="H15" s="1803" t="s">
        <v>15517</v>
      </c>
      <c r="I15" s="1799"/>
      <c r="J15" s="1799"/>
      <c r="K15" s="1799"/>
      <c r="L15" s="1799"/>
      <c r="M15" s="1799"/>
      <c r="N15" s="1799"/>
      <c r="O15" s="1799"/>
      <c r="P15" s="1799"/>
      <c r="Q15" s="1799"/>
      <c r="R15" s="1799"/>
      <c r="S15" s="1799"/>
      <c r="T15" s="1799"/>
      <c r="U15" s="1799"/>
      <c r="V15" s="1799"/>
      <c r="W15" s="1799"/>
      <c r="X15" s="1799"/>
      <c r="Y15" s="1799"/>
      <c r="Z15" s="1799"/>
    </row>
    <row r="16">
      <c r="A16" s="1119" t="s">
        <v>15551</v>
      </c>
      <c r="B16" s="1119" t="s">
        <v>13643</v>
      </c>
      <c r="C16" s="1119" t="s">
        <v>15552</v>
      </c>
      <c r="D16" s="1795">
        <v>8.9629774933E10</v>
      </c>
      <c r="E16" s="1119" t="s">
        <v>15553</v>
      </c>
      <c r="F16" s="1796">
        <v>2021.0</v>
      </c>
      <c r="G16" s="1797" t="s">
        <v>15528</v>
      </c>
      <c r="H16" s="1798" t="s">
        <v>15529</v>
      </c>
      <c r="I16" s="1799"/>
      <c r="J16" s="1799"/>
      <c r="K16" s="1799"/>
      <c r="L16" s="1799"/>
      <c r="M16" s="1799"/>
      <c r="N16" s="1799"/>
      <c r="O16" s="1799"/>
      <c r="P16" s="1799"/>
      <c r="Q16" s="1799"/>
      <c r="R16" s="1799"/>
      <c r="S16" s="1799"/>
      <c r="T16" s="1799"/>
      <c r="U16" s="1799"/>
      <c r="V16" s="1799"/>
      <c r="W16" s="1799"/>
      <c r="X16" s="1799"/>
      <c r="Y16" s="1799"/>
      <c r="Z16" s="1799"/>
    </row>
    <row r="17">
      <c r="A17" s="1807"/>
      <c r="B17" s="1807"/>
      <c r="C17" s="1807"/>
      <c r="D17" s="1808"/>
      <c r="E17" s="1807"/>
      <c r="F17" s="1809"/>
      <c r="G17" s="1810"/>
      <c r="H17" s="1811"/>
      <c r="I17" s="1799"/>
      <c r="J17" s="1799"/>
      <c r="K17" s="1799"/>
      <c r="L17" s="1799"/>
      <c r="M17" s="1799"/>
      <c r="N17" s="1799"/>
      <c r="O17" s="1799"/>
      <c r="P17" s="1799"/>
      <c r="Q17" s="1799"/>
      <c r="R17" s="1799"/>
      <c r="S17" s="1799"/>
      <c r="T17" s="1799"/>
      <c r="U17" s="1799"/>
      <c r="V17" s="1799"/>
      <c r="W17" s="1799"/>
      <c r="X17" s="1799"/>
      <c r="Y17" s="1799"/>
      <c r="Z17" s="1799"/>
    </row>
    <row r="18">
      <c r="A18" s="1799"/>
      <c r="B18" s="1799"/>
      <c r="C18" s="1799"/>
      <c r="D18" s="1812"/>
      <c r="E18" s="1799"/>
      <c r="F18" s="1813"/>
      <c r="G18" s="1814"/>
      <c r="H18" s="1799"/>
      <c r="I18" s="1799"/>
      <c r="J18" s="1799"/>
      <c r="K18" s="1799"/>
      <c r="L18" s="1799"/>
      <c r="M18" s="1799"/>
      <c r="N18" s="1799"/>
      <c r="O18" s="1799"/>
      <c r="P18" s="1799"/>
      <c r="Q18" s="1799"/>
      <c r="R18" s="1799"/>
      <c r="S18" s="1799"/>
      <c r="T18" s="1799"/>
      <c r="U18" s="1799"/>
      <c r="V18" s="1799"/>
      <c r="W18" s="1799"/>
      <c r="X18" s="1799"/>
      <c r="Y18" s="1799"/>
      <c r="Z18" s="1799"/>
    </row>
    <row r="19">
      <c r="A19" s="1799"/>
      <c r="B19" s="1799"/>
      <c r="C19" s="1799"/>
      <c r="D19" s="1812"/>
      <c r="E19" s="1799"/>
      <c r="F19" s="1813"/>
      <c r="G19" s="1814"/>
      <c r="H19" s="1799"/>
      <c r="I19" s="1799"/>
      <c r="J19" s="1799"/>
      <c r="K19" s="1799"/>
      <c r="L19" s="1799"/>
      <c r="M19" s="1799"/>
      <c r="N19" s="1799"/>
      <c r="O19" s="1799"/>
      <c r="P19" s="1799"/>
      <c r="Q19" s="1799"/>
      <c r="R19" s="1799"/>
      <c r="S19" s="1799"/>
      <c r="T19" s="1799"/>
      <c r="U19" s="1799"/>
      <c r="V19" s="1799"/>
      <c r="W19" s="1799"/>
      <c r="X19" s="1799"/>
      <c r="Y19" s="1799"/>
      <c r="Z19" s="1799"/>
    </row>
    <row r="20">
      <c r="A20" s="1799"/>
      <c r="B20" s="1799"/>
      <c r="C20" s="1799"/>
      <c r="D20" s="1812"/>
      <c r="E20" s="1799"/>
      <c r="F20" s="1813"/>
      <c r="G20" s="1814"/>
      <c r="H20" s="1799"/>
      <c r="I20" s="1799"/>
      <c r="J20" s="1799"/>
      <c r="K20" s="1799"/>
      <c r="L20" s="1799"/>
      <c r="M20" s="1799"/>
      <c r="N20" s="1799"/>
      <c r="O20" s="1799"/>
      <c r="P20" s="1799"/>
      <c r="Q20" s="1799"/>
      <c r="R20" s="1799"/>
      <c r="S20" s="1799"/>
      <c r="T20" s="1799"/>
      <c r="U20" s="1799"/>
      <c r="V20" s="1799"/>
      <c r="W20" s="1799"/>
      <c r="X20" s="1799"/>
      <c r="Y20" s="1799"/>
      <c r="Z20" s="1799"/>
    </row>
    <row r="21">
      <c r="A21" s="1799"/>
      <c r="B21" s="1799"/>
      <c r="C21" s="1799"/>
      <c r="D21" s="1815"/>
      <c r="E21" s="1799"/>
      <c r="F21" s="1813"/>
      <c r="G21" s="1814"/>
      <c r="H21" s="1799"/>
      <c r="I21" s="1799"/>
      <c r="J21" s="1799"/>
      <c r="K21" s="1799"/>
      <c r="L21" s="1799"/>
      <c r="M21" s="1799"/>
      <c r="N21" s="1799"/>
      <c r="O21" s="1799"/>
      <c r="P21" s="1799"/>
      <c r="Q21" s="1799"/>
      <c r="R21" s="1799"/>
      <c r="S21" s="1799"/>
      <c r="T21" s="1799"/>
      <c r="U21" s="1799"/>
      <c r="V21" s="1799"/>
      <c r="W21" s="1799"/>
      <c r="X21" s="1799"/>
      <c r="Y21" s="1799"/>
      <c r="Z21" s="1799"/>
    </row>
    <row r="22">
      <c r="A22" s="1799"/>
      <c r="B22" s="1799"/>
      <c r="C22" s="1799"/>
      <c r="D22" s="1812"/>
      <c r="E22" s="1799"/>
      <c r="F22" s="1813"/>
      <c r="G22" s="1814"/>
      <c r="H22" s="1799"/>
      <c r="I22" s="1799"/>
      <c r="J22" s="1799"/>
      <c r="K22" s="1799"/>
      <c r="L22" s="1799"/>
      <c r="M22" s="1799"/>
      <c r="N22" s="1799"/>
      <c r="O22" s="1799"/>
      <c r="P22" s="1799"/>
      <c r="Q22" s="1799"/>
      <c r="R22" s="1799"/>
      <c r="S22" s="1799"/>
      <c r="T22" s="1799"/>
      <c r="U22" s="1799"/>
      <c r="V22" s="1799"/>
      <c r="W22" s="1799"/>
      <c r="X22" s="1799"/>
      <c r="Y22" s="1799"/>
      <c r="Z22" s="1799"/>
    </row>
    <row r="23">
      <c r="A23" s="1799"/>
      <c r="B23" s="1799"/>
      <c r="C23" s="1799"/>
      <c r="D23" s="1812"/>
      <c r="E23" s="1799"/>
      <c r="F23" s="1813"/>
      <c r="G23" s="1814"/>
      <c r="H23" s="1799"/>
      <c r="I23" s="1799"/>
      <c r="J23" s="1799"/>
      <c r="K23" s="1799"/>
      <c r="L23" s="1799"/>
      <c r="M23" s="1799"/>
      <c r="N23" s="1799"/>
      <c r="O23" s="1799"/>
      <c r="P23" s="1799"/>
      <c r="Q23" s="1799"/>
      <c r="R23" s="1799"/>
      <c r="S23" s="1799"/>
      <c r="T23" s="1799"/>
      <c r="U23" s="1799"/>
      <c r="V23" s="1799"/>
      <c r="W23" s="1799"/>
      <c r="X23" s="1799"/>
      <c r="Y23" s="1799"/>
      <c r="Z23" s="1799"/>
    </row>
    <row r="24">
      <c r="A24" s="1799"/>
      <c r="B24" s="1799"/>
      <c r="C24" s="1799"/>
      <c r="D24" s="1812"/>
      <c r="E24" s="1799"/>
      <c r="F24" s="1813"/>
      <c r="G24" s="1814"/>
      <c r="H24" s="1799"/>
      <c r="I24" s="1799"/>
      <c r="J24" s="1799"/>
      <c r="K24" s="1799"/>
      <c r="L24" s="1799"/>
      <c r="M24" s="1799"/>
      <c r="N24" s="1799"/>
      <c r="O24" s="1799"/>
      <c r="P24" s="1799"/>
      <c r="Q24" s="1799"/>
      <c r="R24" s="1799"/>
      <c r="S24" s="1799"/>
      <c r="T24" s="1799"/>
      <c r="U24" s="1799"/>
      <c r="V24" s="1799"/>
      <c r="W24" s="1799"/>
      <c r="X24" s="1799"/>
      <c r="Y24" s="1799"/>
      <c r="Z24" s="1799"/>
    </row>
    <row r="25">
      <c r="A25" s="1799"/>
      <c r="B25" s="1799"/>
      <c r="C25" s="1799"/>
      <c r="D25" s="1812"/>
      <c r="E25" s="1799"/>
      <c r="F25" s="1813"/>
      <c r="G25" s="1814"/>
      <c r="H25" s="1799"/>
      <c r="I25" s="1799"/>
      <c r="J25" s="1799"/>
      <c r="K25" s="1799"/>
      <c r="L25" s="1799"/>
      <c r="M25" s="1799"/>
      <c r="N25" s="1799"/>
      <c r="O25" s="1799"/>
      <c r="P25" s="1799"/>
      <c r="Q25" s="1799"/>
      <c r="R25" s="1799"/>
      <c r="S25" s="1799"/>
      <c r="T25" s="1799"/>
      <c r="U25" s="1799"/>
      <c r="V25" s="1799"/>
      <c r="W25" s="1799"/>
      <c r="X25" s="1799"/>
      <c r="Y25" s="1799"/>
      <c r="Z25" s="1799"/>
    </row>
    <row r="26">
      <c r="A26" s="1799"/>
      <c r="B26" s="1799"/>
      <c r="C26" s="1799"/>
      <c r="D26" s="1812"/>
      <c r="E26" s="1799"/>
      <c r="F26" s="1813"/>
      <c r="G26" s="1814"/>
      <c r="H26" s="1799"/>
      <c r="I26" s="1799"/>
      <c r="J26" s="1799"/>
      <c r="K26" s="1799"/>
      <c r="L26" s="1799"/>
      <c r="M26" s="1799"/>
      <c r="N26" s="1799"/>
      <c r="O26" s="1799"/>
      <c r="P26" s="1799"/>
      <c r="Q26" s="1799"/>
      <c r="R26" s="1799"/>
      <c r="S26" s="1799"/>
      <c r="T26" s="1799"/>
      <c r="U26" s="1799"/>
      <c r="V26" s="1799"/>
      <c r="W26" s="1799"/>
      <c r="X26" s="1799"/>
      <c r="Y26" s="1799"/>
      <c r="Z26" s="1799"/>
    </row>
    <row r="27">
      <c r="A27" s="1799"/>
      <c r="B27" s="1799"/>
      <c r="C27" s="1799"/>
      <c r="D27" s="1812"/>
      <c r="E27" s="1799"/>
      <c r="F27" s="1813"/>
      <c r="G27" s="1814"/>
      <c r="H27" s="1799"/>
      <c r="I27" s="1799"/>
      <c r="J27" s="1799"/>
      <c r="K27" s="1799"/>
      <c r="L27" s="1799"/>
      <c r="M27" s="1799"/>
      <c r="N27" s="1799"/>
      <c r="O27" s="1799"/>
      <c r="P27" s="1799"/>
      <c r="Q27" s="1799"/>
      <c r="R27" s="1799"/>
      <c r="S27" s="1799"/>
      <c r="T27" s="1799"/>
      <c r="U27" s="1799"/>
      <c r="V27" s="1799"/>
      <c r="W27" s="1799"/>
      <c r="X27" s="1799"/>
      <c r="Y27" s="1799"/>
      <c r="Z27" s="1799"/>
    </row>
    <row r="28">
      <c r="A28" s="1799"/>
      <c r="B28" s="1799"/>
      <c r="C28" s="1799"/>
      <c r="D28" s="1812"/>
      <c r="E28" s="1799"/>
      <c r="F28" s="1813"/>
      <c r="G28" s="1814"/>
      <c r="H28" s="1799"/>
      <c r="I28" s="1799"/>
      <c r="J28" s="1799"/>
      <c r="K28" s="1799"/>
      <c r="L28" s="1799"/>
      <c r="M28" s="1799"/>
      <c r="N28" s="1799"/>
      <c r="O28" s="1799"/>
      <c r="P28" s="1799"/>
      <c r="Q28" s="1799"/>
      <c r="R28" s="1799"/>
      <c r="S28" s="1799"/>
      <c r="T28" s="1799"/>
      <c r="U28" s="1799"/>
      <c r="V28" s="1799"/>
      <c r="W28" s="1799"/>
      <c r="X28" s="1799"/>
      <c r="Y28" s="1799"/>
      <c r="Z28" s="1799"/>
    </row>
    <row r="29">
      <c r="A29" s="1799"/>
      <c r="B29" s="1799"/>
      <c r="C29" s="1799"/>
      <c r="D29" s="1812"/>
      <c r="E29" s="1799"/>
      <c r="F29" s="1813"/>
      <c r="G29" s="1814"/>
      <c r="H29" s="1799"/>
      <c r="I29" s="1799"/>
      <c r="J29" s="1799"/>
      <c r="K29" s="1799"/>
      <c r="L29" s="1799"/>
      <c r="M29" s="1799"/>
      <c r="N29" s="1799"/>
      <c r="O29" s="1799"/>
      <c r="P29" s="1799"/>
      <c r="Q29" s="1799"/>
      <c r="R29" s="1799"/>
      <c r="S29" s="1799"/>
      <c r="T29" s="1799"/>
      <c r="U29" s="1799"/>
      <c r="V29" s="1799"/>
      <c r="W29" s="1799"/>
      <c r="X29" s="1799"/>
      <c r="Y29" s="1799"/>
      <c r="Z29" s="1799"/>
    </row>
    <row r="30">
      <c r="A30" s="1799"/>
      <c r="B30" s="1799"/>
      <c r="C30" s="1799"/>
      <c r="D30" s="1812"/>
      <c r="E30" s="1799"/>
      <c r="F30" s="1813"/>
      <c r="G30" s="1814"/>
      <c r="H30" s="1799"/>
      <c r="I30" s="1799"/>
      <c r="J30" s="1799"/>
      <c r="K30" s="1799"/>
      <c r="L30" s="1799"/>
      <c r="M30" s="1799"/>
      <c r="N30" s="1799"/>
      <c r="O30" s="1799"/>
      <c r="P30" s="1799"/>
      <c r="Q30" s="1799"/>
      <c r="R30" s="1799"/>
      <c r="S30" s="1799"/>
      <c r="T30" s="1799"/>
      <c r="U30" s="1799"/>
      <c r="V30" s="1799"/>
      <c r="W30" s="1799"/>
      <c r="X30" s="1799"/>
      <c r="Y30" s="1799"/>
      <c r="Z30" s="1799"/>
    </row>
    <row r="31">
      <c r="A31" s="1799"/>
      <c r="B31" s="1799"/>
      <c r="C31" s="1799"/>
      <c r="D31" s="1812"/>
      <c r="E31" s="1799"/>
      <c r="F31" s="1813"/>
      <c r="G31" s="1814"/>
      <c r="H31" s="1799"/>
      <c r="I31" s="1799"/>
      <c r="J31" s="1799"/>
      <c r="K31" s="1799"/>
      <c r="L31" s="1799"/>
      <c r="M31" s="1799"/>
      <c r="N31" s="1799"/>
      <c r="O31" s="1799"/>
      <c r="P31" s="1799"/>
      <c r="Q31" s="1799"/>
      <c r="R31" s="1799"/>
      <c r="S31" s="1799"/>
      <c r="T31" s="1799"/>
      <c r="U31" s="1799"/>
      <c r="V31" s="1799"/>
      <c r="W31" s="1799"/>
      <c r="X31" s="1799"/>
      <c r="Y31" s="1799"/>
      <c r="Z31" s="1799"/>
    </row>
    <row r="32">
      <c r="A32" s="1799"/>
      <c r="B32" s="1799"/>
      <c r="C32" s="1799"/>
      <c r="D32" s="1812"/>
      <c r="E32" s="1799"/>
      <c r="F32" s="1813"/>
      <c r="G32" s="1814"/>
      <c r="H32" s="1799"/>
      <c r="I32" s="1799"/>
      <c r="J32" s="1799"/>
      <c r="K32" s="1799"/>
      <c r="L32" s="1799"/>
      <c r="M32" s="1799"/>
      <c r="N32" s="1799"/>
      <c r="O32" s="1799"/>
      <c r="P32" s="1799"/>
      <c r="Q32" s="1799"/>
      <c r="R32" s="1799"/>
      <c r="S32" s="1799"/>
      <c r="T32" s="1799"/>
      <c r="U32" s="1799"/>
      <c r="V32" s="1799"/>
      <c r="W32" s="1799"/>
      <c r="X32" s="1799"/>
      <c r="Y32" s="1799"/>
      <c r="Z32" s="1799"/>
    </row>
    <row r="33">
      <c r="A33" s="1799"/>
      <c r="B33" s="1799"/>
      <c r="C33" s="1799"/>
      <c r="D33" s="1812"/>
      <c r="E33" s="1799"/>
      <c r="F33" s="1813"/>
      <c r="G33" s="1814"/>
      <c r="H33" s="1799"/>
      <c r="I33" s="1799"/>
      <c r="J33" s="1799"/>
      <c r="K33" s="1799"/>
      <c r="L33" s="1799"/>
      <c r="M33" s="1799"/>
      <c r="N33" s="1799"/>
      <c r="O33" s="1799"/>
      <c r="P33" s="1799"/>
      <c r="Q33" s="1799"/>
      <c r="R33" s="1799"/>
      <c r="S33" s="1799"/>
      <c r="T33" s="1799"/>
      <c r="U33" s="1799"/>
      <c r="V33" s="1799"/>
      <c r="W33" s="1799"/>
      <c r="X33" s="1799"/>
      <c r="Y33" s="1799"/>
      <c r="Z33" s="1799"/>
    </row>
    <row r="34">
      <c r="A34" s="1799"/>
      <c r="B34" s="1799"/>
      <c r="C34" s="1799"/>
      <c r="D34" s="1812"/>
      <c r="E34" s="1799"/>
      <c r="F34" s="1813"/>
      <c r="G34" s="1814"/>
      <c r="H34" s="1799"/>
      <c r="I34" s="1799"/>
      <c r="J34" s="1799"/>
      <c r="K34" s="1799"/>
      <c r="L34" s="1799"/>
      <c r="M34" s="1799"/>
      <c r="N34" s="1799"/>
      <c r="O34" s="1799"/>
      <c r="P34" s="1799"/>
      <c r="Q34" s="1799"/>
      <c r="R34" s="1799"/>
      <c r="S34" s="1799"/>
      <c r="T34" s="1799"/>
      <c r="U34" s="1799"/>
      <c r="V34" s="1799"/>
      <c r="W34" s="1799"/>
      <c r="X34" s="1799"/>
      <c r="Y34" s="1799"/>
      <c r="Z34" s="1799"/>
    </row>
    <row r="35">
      <c r="A35" s="1799"/>
      <c r="B35" s="1799"/>
      <c r="C35" s="1799"/>
      <c r="D35" s="1812"/>
      <c r="E35" s="1799"/>
      <c r="F35" s="1813"/>
      <c r="G35" s="1814"/>
      <c r="H35" s="1799"/>
      <c r="I35" s="1799"/>
      <c r="J35" s="1799"/>
      <c r="K35" s="1799"/>
      <c r="L35" s="1799"/>
      <c r="M35" s="1799"/>
      <c r="N35" s="1799"/>
      <c r="O35" s="1799"/>
      <c r="P35" s="1799"/>
      <c r="Q35" s="1799"/>
      <c r="R35" s="1799"/>
      <c r="S35" s="1799"/>
      <c r="T35" s="1799"/>
      <c r="U35" s="1799"/>
      <c r="V35" s="1799"/>
      <c r="W35" s="1799"/>
      <c r="X35" s="1799"/>
      <c r="Y35" s="1799"/>
      <c r="Z35" s="1799"/>
    </row>
    <row r="36">
      <c r="A36" s="1799"/>
      <c r="B36" s="1799"/>
      <c r="C36" s="1799"/>
      <c r="D36" s="1812"/>
      <c r="E36" s="1799"/>
      <c r="F36" s="1813"/>
      <c r="G36" s="1814"/>
      <c r="H36" s="1799"/>
      <c r="I36" s="1799"/>
      <c r="J36" s="1799"/>
      <c r="K36" s="1799"/>
      <c r="L36" s="1799"/>
      <c r="M36" s="1799"/>
      <c r="N36" s="1799"/>
      <c r="O36" s="1799"/>
      <c r="P36" s="1799"/>
      <c r="Q36" s="1799"/>
      <c r="R36" s="1799"/>
      <c r="S36" s="1799"/>
      <c r="T36" s="1799"/>
      <c r="U36" s="1799"/>
      <c r="V36" s="1799"/>
      <c r="W36" s="1799"/>
      <c r="X36" s="1799"/>
      <c r="Y36" s="1799"/>
      <c r="Z36" s="1799"/>
    </row>
    <row r="37">
      <c r="A37" s="1799"/>
      <c r="B37" s="1799"/>
      <c r="C37" s="1799"/>
      <c r="D37" s="1812"/>
      <c r="E37" s="1799"/>
      <c r="F37" s="1813"/>
      <c r="G37" s="1814"/>
      <c r="H37" s="1799"/>
      <c r="I37" s="1799"/>
      <c r="J37" s="1799"/>
      <c r="K37" s="1799"/>
      <c r="L37" s="1799"/>
      <c r="M37" s="1799"/>
      <c r="N37" s="1799"/>
      <c r="O37" s="1799"/>
      <c r="P37" s="1799"/>
      <c r="Q37" s="1799"/>
      <c r="R37" s="1799"/>
      <c r="S37" s="1799"/>
      <c r="T37" s="1799"/>
      <c r="U37" s="1799"/>
      <c r="V37" s="1799"/>
      <c r="W37" s="1799"/>
      <c r="X37" s="1799"/>
      <c r="Y37" s="1799"/>
      <c r="Z37" s="1799"/>
    </row>
    <row r="38">
      <c r="A38" s="1799"/>
      <c r="B38" s="1799"/>
      <c r="C38" s="1799"/>
      <c r="D38" s="1812"/>
      <c r="E38" s="1799"/>
      <c r="F38" s="1813"/>
      <c r="G38" s="1814"/>
      <c r="H38" s="1799"/>
      <c r="I38" s="1799"/>
      <c r="J38" s="1799"/>
      <c r="K38" s="1799"/>
      <c r="L38" s="1799"/>
      <c r="M38" s="1799"/>
      <c r="N38" s="1799"/>
      <c r="O38" s="1799"/>
      <c r="P38" s="1799"/>
      <c r="Q38" s="1799"/>
      <c r="R38" s="1799"/>
      <c r="S38" s="1799"/>
      <c r="T38" s="1799"/>
      <c r="U38" s="1799"/>
      <c r="V38" s="1799"/>
      <c r="W38" s="1799"/>
      <c r="X38" s="1799"/>
      <c r="Y38" s="1799"/>
      <c r="Z38" s="1799"/>
    </row>
    <row r="39">
      <c r="A39" s="1799"/>
      <c r="B39" s="1799"/>
      <c r="C39" s="1799"/>
      <c r="D39" s="1812"/>
      <c r="E39" s="1799"/>
      <c r="F39" s="1813"/>
      <c r="G39" s="1814"/>
      <c r="H39" s="1799"/>
      <c r="I39" s="1799"/>
      <c r="J39" s="1799"/>
      <c r="K39" s="1799"/>
      <c r="L39" s="1799"/>
      <c r="M39" s="1799"/>
      <c r="N39" s="1799"/>
      <c r="O39" s="1799"/>
      <c r="P39" s="1799"/>
      <c r="Q39" s="1799"/>
      <c r="R39" s="1799"/>
      <c r="S39" s="1799"/>
      <c r="T39" s="1799"/>
      <c r="U39" s="1799"/>
      <c r="V39" s="1799"/>
      <c r="W39" s="1799"/>
      <c r="X39" s="1799"/>
      <c r="Y39" s="1799"/>
      <c r="Z39" s="1799"/>
    </row>
    <row r="40">
      <c r="A40" s="1799"/>
      <c r="B40" s="1799"/>
      <c r="C40" s="1799"/>
      <c r="D40" s="1812"/>
      <c r="E40" s="1799"/>
      <c r="F40" s="1813"/>
      <c r="G40" s="1814"/>
      <c r="H40" s="1799"/>
      <c r="I40" s="1799"/>
      <c r="J40" s="1799"/>
      <c r="K40" s="1799"/>
      <c r="L40" s="1799"/>
      <c r="M40" s="1799"/>
      <c r="N40" s="1799"/>
      <c r="O40" s="1799"/>
      <c r="P40" s="1799"/>
      <c r="Q40" s="1799"/>
      <c r="R40" s="1799"/>
      <c r="S40" s="1799"/>
      <c r="T40" s="1799"/>
      <c r="U40" s="1799"/>
      <c r="V40" s="1799"/>
      <c r="W40" s="1799"/>
      <c r="X40" s="1799"/>
      <c r="Y40" s="1799"/>
      <c r="Z40" s="1799"/>
    </row>
    <row r="41">
      <c r="A41" s="1799"/>
      <c r="B41" s="1799"/>
      <c r="C41" s="1799"/>
      <c r="D41" s="1812"/>
      <c r="E41" s="1799"/>
      <c r="F41" s="1813"/>
      <c r="G41" s="1814"/>
      <c r="H41" s="1799"/>
      <c r="I41" s="1799"/>
      <c r="J41" s="1799"/>
      <c r="K41" s="1799"/>
      <c r="L41" s="1799"/>
      <c r="M41" s="1799"/>
      <c r="N41" s="1799"/>
      <c r="O41" s="1799"/>
      <c r="P41" s="1799"/>
      <c r="Q41" s="1799"/>
      <c r="R41" s="1799"/>
      <c r="S41" s="1799"/>
      <c r="T41" s="1799"/>
      <c r="U41" s="1799"/>
      <c r="V41" s="1799"/>
      <c r="W41" s="1799"/>
      <c r="X41" s="1799"/>
      <c r="Y41" s="1799"/>
      <c r="Z41" s="1799"/>
    </row>
    <row r="42">
      <c r="A42" s="1799"/>
      <c r="B42" s="1799"/>
      <c r="C42" s="1799"/>
      <c r="D42" s="1812"/>
      <c r="E42" s="1799"/>
      <c r="F42" s="1813"/>
      <c r="G42" s="1814"/>
      <c r="H42" s="1799"/>
      <c r="I42" s="1799"/>
      <c r="J42" s="1799"/>
      <c r="K42" s="1799"/>
      <c r="L42" s="1799"/>
      <c r="M42" s="1799"/>
      <c r="N42" s="1799"/>
      <c r="O42" s="1799"/>
      <c r="P42" s="1799"/>
      <c r="Q42" s="1799"/>
      <c r="R42" s="1799"/>
      <c r="S42" s="1799"/>
      <c r="T42" s="1799"/>
      <c r="U42" s="1799"/>
      <c r="V42" s="1799"/>
      <c r="W42" s="1799"/>
      <c r="X42" s="1799"/>
      <c r="Y42" s="1799"/>
      <c r="Z42" s="1799"/>
    </row>
    <row r="43">
      <c r="A43" s="1799"/>
      <c r="B43" s="1799"/>
      <c r="C43" s="1799"/>
      <c r="D43" s="1812"/>
      <c r="E43" s="1799"/>
      <c r="F43" s="1813"/>
      <c r="G43" s="1814"/>
      <c r="H43" s="1799"/>
      <c r="I43" s="1799"/>
      <c r="J43" s="1799"/>
      <c r="K43" s="1799"/>
      <c r="L43" s="1799"/>
      <c r="M43" s="1799"/>
      <c r="N43" s="1799"/>
      <c r="O43" s="1799"/>
      <c r="P43" s="1799"/>
      <c r="Q43" s="1799"/>
      <c r="R43" s="1799"/>
      <c r="S43" s="1799"/>
      <c r="T43" s="1799"/>
      <c r="U43" s="1799"/>
      <c r="V43" s="1799"/>
      <c r="W43" s="1799"/>
      <c r="X43" s="1799"/>
      <c r="Y43" s="1799"/>
      <c r="Z43" s="1799"/>
    </row>
    <row r="44">
      <c r="A44" s="1799"/>
      <c r="B44" s="1799"/>
      <c r="C44" s="1799"/>
      <c r="D44" s="1812"/>
      <c r="E44" s="1799"/>
      <c r="F44" s="1813"/>
      <c r="G44" s="1814"/>
      <c r="H44" s="1799"/>
      <c r="I44" s="1799"/>
      <c r="J44" s="1799"/>
      <c r="K44" s="1799"/>
      <c r="L44" s="1799"/>
      <c r="M44" s="1799"/>
      <c r="N44" s="1799"/>
      <c r="O44" s="1799"/>
      <c r="P44" s="1799"/>
      <c r="Q44" s="1799"/>
      <c r="R44" s="1799"/>
      <c r="S44" s="1799"/>
      <c r="T44" s="1799"/>
      <c r="U44" s="1799"/>
      <c r="V44" s="1799"/>
      <c r="W44" s="1799"/>
      <c r="X44" s="1799"/>
      <c r="Y44" s="1799"/>
      <c r="Z44" s="1799"/>
    </row>
    <row r="45">
      <c r="A45" s="1799"/>
      <c r="B45" s="1799"/>
      <c r="C45" s="1799"/>
      <c r="D45" s="1812"/>
      <c r="E45" s="1799"/>
      <c r="F45" s="1813"/>
      <c r="G45" s="1814"/>
      <c r="H45" s="1799"/>
      <c r="I45" s="1799"/>
      <c r="J45" s="1799"/>
      <c r="K45" s="1799"/>
      <c r="L45" s="1799"/>
      <c r="M45" s="1799"/>
      <c r="N45" s="1799"/>
      <c r="O45" s="1799"/>
      <c r="P45" s="1799"/>
      <c r="Q45" s="1799"/>
      <c r="R45" s="1799"/>
      <c r="S45" s="1799"/>
      <c r="T45" s="1799"/>
      <c r="U45" s="1799"/>
      <c r="V45" s="1799"/>
      <c r="W45" s="1799"/>
      <c r="X45" s="1799"/>
      <c r="Y45" s="1799"/>
      <c r="Z45" s="1799"/>
    </row>
    <row r="46">
      <c r="A46" s="1799"/>
      <c r="B46" s="1799"/>
      <c r="C46" s="1799"/>
      <c r="D46" s="1812"/>
      <c r="E46" s="1799"/>
      <c r="F46" s="1813"/>
      <c r="G46" s="1814"/>
      <c r="H46" s="1799"/>
      <c r="I46" s="1799"/>
      <c r="J46" s="1799"/>
      <c r="K46" s="1799"/>
      <c r="L46" s="1799"/>
      <c r="M46" s="1799"/>
      <c r="N46" s="1799"/>
      <c r="O46" s="1799"/>
      <c r="P46" s="1799"/>
      <c r="Q46" s="1799"/>
      <c r="R46" s="1799"/>
      <c r="S46" s="1799"/>
      <c r="T46" s="1799"/>
      <c r="U46" s="1799"/>
      <c r="V46" s="1799"/>
      <c r="W46" s="1799"/>
      <c r="X46" s="1799"/>
      <c r="Y46" s="1799"/>
      <c r="Z46" s="1799"/>
    </row>
    <row r="47">
      <c r="A47" s="1799"/>
      <c r="B47" s="1799"/>
      <c r="C47" s="1799"/>
      <c r="D47" s="1812"/>
      <c r="E47" s="1799"/>
      <c r="F47" s="1813"/>
      <c r="G47" s="1814"/>
      <c r="H47" s="1799"/>
      <c r="I47" s="1799"/>
      <c r="J47" s="1799"/>
      <c r="K47" s="1799"/>
      <c r="L47" s="1799"/>
      <c r="M47" s="1799"/>
      <c r="N47" s="1799"/>
      <c r="O47" s="1799"/>
      <c r="P47" s="1799"/>
      <c r="Q47" s="1799"/>
      <c r="R47" s="1799"/>
      <c r="S47" s="1799"/>
      <c r="T47" s="1799"/>
      <c r="U47" s="1799"/>
      <c r="V47" s="1799"/>
      <c r="W47" s="1799"/>
      <c r="X47" s="1799"/>
      <c r="Y47" s="1799"/>
      <c r="Z47" s="1799"/>
    </row>
    <row r="48">
      <c r="A48" s="1799"/>
      <c r="B48" s="1799"/>
      <c r="C48" s="1799"/>
      <c r="D48" s="1812"/>
      <c r="E48" s="1799"/>
      <c r="F48" s="1813"/>
      <c r="G48" s="1814"/>
      <c r="H48" s="1799"/>
      <c r="I48" s="1799"/>
      <c r="J48" s="1799"/>
      <c r="K48" s="1799"/>
      <c r="L48" s="1799"/>
      <c r="M48" s="1799"/>
      <c r="N48" s="1799"/>
      <c r="O48" s="1799"/>
      <c r="P48" s="1799"/>
      <c r="Q48" s="1799"/>
      <c r="R48" s="1799"/>
      <c r="S48" s="1799"/>
      <c r="T48" s="1799"/>
      <c r="U48" s="1799"/>
      <c r="V48" s="1799"/>
      <c r="W48" s="1799"/>
      <c r="X48" s="1799"/>
      <c r="Y48" s="1799"/>
      <c r="Z48" s="1799"/>
    </row>
    <row r="49">
      <c r="A49" s="1799"/>
      <c r="B49" s="1799"/>
      <c r="C49" s="1799"/>
      <c r="D49" s="1812"/>
      <c r="E49" s="1799"/>
      <c r="F49" s="1813"/>
      <c r="G49" s="1814"/>
      <c r="H49" s="1799"/>
      <c r="I49" s="1799"/>
      <c r="J49" s="1799"/>
      <c r="K49" s="1799"/>
      <c r="L49" s="1799"/>
      <c r="M49" s="1799"/>
      <c r="N49" s="1799"/>
      <c r="O49" s="1799"/>
      <c r="P49" s="1799"/>
      <c r="Q49" s="1799"/>
      <c r="R49" s="1799"/>
      <c r="S49" s="1799"/>
      <c r="T49" s="1799"/>
      <c r="U49" s="1799"/>
      <c r="V49" s="1799"/>
      <c r="W49" s="1799"/>
      <c r="X49" s="1799"/>
      <c r="Y49" s="1799"/>
      <c r="Z49" s="1799"/>
    </row>
    <row r="50">
      <c r="A50" s="1799"/>
      <c r="B50" s="1799"/>
      <c r="C50" s="1799"/>
      <c r="D50" s="1812"/>
      <c r="E50" s="1799"/>
      <c r="F50" s="1813"/>
      <c r="G50" s="1814"/>
      <c r="H50" s="1799"/>
      <c r="I50" s="1799"/>
      <c r="J50" s="1799"/>
      <c r="K50" s="1799"/>
      <c r="L50" s="1799"/>
      <c r="M50" s="1799"/>
      <c r="N50" s="1799"/>
      <c r="O50" s="1799"/>
      <c r="P50" s="1799"/>
      <c r="Q50" s="1799"/>
      <c r="R50" s="1799"/>
      <c r="S50" s="1799"/>
      <c r="T50" s="1799"/>
      <c r="U50" s="1799"/>
      <c r="V50" s="1799"/>
      <c r="W50" s="1799"/>
      <c r="X50" s="1799"/>
      <c r="Y50" s="1799"/>
      <c r="Z50" s="1799"/>
    </row>
    <row r="51">
      <c r="A51" s="1799"/>
      <c r="B51" s="1799"/>
      <c r="C51" s="1799"/>
      <c r="D51" s="1812"/>
      <c r="E51" s="1799"/>
      <c r="F51" s="1813"/>
      <c r="G51" s="1814"/>
      <c r="H51" s="1799"/>
      <c r="I51" s="1799"/>
      <c r="J51" s="1799"/>
      <c r="K51" s="1799"/>
      <c r="L51" s="1799"/>
      <c r="M51" s="1799"/>
      <c r="N51" s="1799"/>
      <c r="O51" s="1799"/>
      <c r="P51" s="1799"/>
      <c r="Q51" s="1799"/>
      <c r="R51" s="1799"/>
      <c r="S51" s="1799"/>
      <c r="T51" s="1799"/>
      <c r="U51" s="1799"/>
      <c r="V51" s="1799"/>
      <c r="W51" s="1799"/>
      <c r="X51" s="1799"/>
      <c r="Y51" s="1799"/>
      <c r="Z51" s="1799"/>
    </row>
    <row r="52">
      <c r="A52" s="1799"/>
      <c r="B52" s="1799"/>
      <c r="C52" s="1799"/>
      <c r="D52" s="1812"/>
      <c r="E52" s="1799"/>
      <c r="F52" s="1813"/>
      <c r="G52" s="1814"/>
      <c r="H52" s="1799"/>
      <c r="I52" s="1799"/>
      <c r="J52" s="1799"/>
      <c r="K52" s="1799"/>
      <c r="L52" s="1799"/>
      <c r="M52" s="1799"/>
      <c r="N52" s="1799"/>
      <c r="O52" s="1799"/>
      <c r="P52" s="1799"/>
      <c r="Q52" s="1799"/>
      <c r="R52" s="1799"/>
      <c r="S52" s="1799"/>
      <c r="T52" s="1799"/>
      <c r="U52" s="1799"/>
      <c r="V52" s="1799"/>
      <c r="W52" s="1799"/>
      <c r="X52" s="1799"/>
      <c r="Y52" s="1799"/>
      <c r="Z52" s="1799"/>
    </row>
    <row r="53">
      <c r="A53" s="1799"/>
      <c r="B53" s="1799"/>
      <c r="C53" s="1799"/>
      <c r="D53" s="1812"/>
      <c r="E53" s="1799"/>
      <c r="F53" s="1813"/>
      <c r="G53" s="1814"/>
      <c r="H53" s="1799"/>
      <c r="I53" s="1799"/>
      <c r="J53" s="1799"/>
      <c r="K53" s="1799"/>
      <c r="L53" s="1799"/>
      <c r="M53" s="1799"/>
      <c r="N53" s="1799"/>
      <c r="O53" s="1799"/>
      <c r="P53" s="1799"/>
      <c r="Q53" s="1799"/>
      <c r="R53" s="1799"/>
      <c r="S53" s="1799"/>
      <c r="T53" s="1799"/>
      <c r="U53" s="1799"/>
      <c r="V53" s="1799"/>
      <c r="W53" s="1799"/>
      <c r="X53" s="1799"/>
      <c r="Y53" s="1799"/>
      <c r="Z53" s="1799"/>
    </row>
    <row r="54">
      <c r="A54" s="1799"/>
      <c r="B54" s="1799"/>
      <c r="C54" s="1799"/>
      <c r="D54" s="1812"/>
      <c r="E54" s="1799"/>
      <c r="F54" s="1813"/>
      <c r="G54" s="1814"/>
      <c r="H54" s="1799"/>
      <c r="I54" s="1799"/>
      <c r="J54" s="1799"/>
      <c r="K54" s="1799"/>
      <c r="L54" s="1799"/>
      <c r="M54" s="1799"/>
      <c r="N54" s="1799"/>
      <c r="O54" s="1799"/>
      <c r="P54" s="1799"/>
      <c r="Q54" s="1799"/>
      <c r="R54" s="1799"/>
      <c r="S54" s="1799"/>
      <c r="T54" s="1799"/>
      <c r="U54" s="1799"/>
      <c r="V54" s="1799"/>
      <c r="W54" s="1799"/>
      <c r="X54" s="1799"/>
      <c r="Y54" s="1799"/>
      <c r="Z54" s="1799"/>
    </row>
    <row r="55">
      <c r="A55" s="1799"/>
      <c r="B55" s="1799"/>
      <c r="C55" s="1799"/>
      <c r="D55" s="1812"/>
      <c r="E55" s="1799"/>
      <c r="F55" s="1813"/>
      <c r="G55" s="1814"/>
      <c r="H55" s="1799"/>
      <c r="I55" s="1799"/>
      <c r="J55" s="1799"/>
      <c r="K55" s="1799"/>
      <c r="L55" s="1799"/>
      <c r="M55" s="1799"/>
      <c r="N55" s="1799"/>
      <c r="O55" s="1799"/>
      <c r="P55" s="1799"/>
      <c r="Q55" s="1799"/>
      <c r="R55" s="1799"/>
      <c r="S55" s="1799"/>
      <c r="T55" s="1799"/>
      <c r="U55" s="1799"/>
      <c r="V55" s="1799"/>
      <c r="W55" s="1799"/>
      <c r="X55" s="1799"/>
      <c r="Y55" s="1799"/>
      <c r="Z55" s="1799"/>
    </row>
    <row r="56">
      <c r="A56" s="1799"/>
      <c r="B56" s="1799"/>
      <c r="C56" s="1799"/>
      <c r="D56" s="1812"/>
      <c r="E56" s="1799"/>
      <c r="F56" s="1813"/>
      <c r="G56" s="1814"/>
      <c r="H56" s="1799"/>
      <c r="I56" s="1799"/>
      <c r="J56" s="1799"/>
      <c r="K56" s="1799"/>
      <c r="L56" s="1799"/>
      <c r="M56" s="1799"/>
      <c r="N56" s="1799"/>
      <c r="O56" s="1799"/>
      <c r="P56" s="1799"/>
      <c r="Q56" s="1799"/>
      <c r="R56" s="1799"/>
      <c r="S56" s="1799"/>
      <c r="T56" s="1799"/>
      <c r="U56" s="1799"/>
      <c r="V56" s="1799"/>
      <c r="W56" s="1799"/>
      <c r="X56" s="1799"/>
      <c r="Y56" s="1799"/>
      <c r="Z56" s="1799"/>
    </row>
    <row r="57">
      <c r="A57" s="1799"/>
      <c r="B57" s="1799"/>
      <c r="C57" s="1799"/>
      <c r="D57" s="1812"/>
      <c r="E57" s="1799"/>
      <c r="F57" s="1813"/>
      <c r="G57" s="1814"/>
      <c r="H57" s="1799"/>
      <c r="I57" s="1799"/>
      <c r="J57" s="1799"/>
      <c r="K57" s="1799"/>
      <c r="L57" s="1799"/>
      <c r="M57" s="1799"/>
      <c r="N57" s="1799"/>
      <c r="O57" s="1799"/>
      <c r="P57" s="1799"/>
      <c r="Q57" s="1799"/>
      <c r="R57" s="1799"/>
      <c r="S57" s="1799"/>
      <c r="T57" s="1799"/>
      <c r="U57" s="1799"/>
      <c r="V57" s="1799"/>
      <c r="W57" s="1799"/>
      <c r="X57" s="1799"/>
      <c r="Y57" s="1799"/>
      <c r="Z57" s="1799"/>
    </row>
    <row r="58">
      <c r="A58" s="1799"/>
      <c r="B58" s="1799"/>
      <c r="C58" s="1799"/>
      <c r="D58" s="1812"/>
      <c r="E58" s="1799"/>
      <c r="F58" s="1813"/>
      <c r="G58" s="1814"/>
      <c r="H58" s="1799"/>
      <c r="I58" s="1799"/>
      <c r="J58" s="1799"/>
      <c r="K58" s="1799"/>
      <c r="L58" s="1799"/>
      <c r="M58" s="1799"/>
      <c r="N58" s="1799"/>
      <c r="O58" s="1799"/>
      <c r="P58" s="1799"/>
      <c r="Q58" s="1799"/>
      <c r="R58" s="1799"/>
      <c r="S58" s="1799"/>
      <c r="T58" s="1799"/>
      <c r="U58" s="1799"/>
      <c r="V58" s="1799"/>
      <c r="W58" s="1799"/>
      <c r="X58" s="1799"/>
      <c r="Y58" s="1799"/>
      <c r="Z58" s="1799"/>
    </row>
    <row r="59">
      <c r="A59" s="1799"/>
      <c r="B59" s="1799"/>
      <c r="C59" s="1799"/>
      <c r="D59" s="1812"/>
      <c r="E59" s="1799"/>
      <c r="F59" s="1813"/>
      <c r="G59" s="1814"/>
      <c r="H59" s="1799"/>
      <c r="I59" s="1799"/>
      <c r="J59" s="1799"/>
      <c r="K59" s="1799"/>
      <c r="L59" s="1799"/>
      <c r="M59" s="1799"/>
      <c r="N59" s="1799"/>
      <c r="O59" s="1799"/>
      <c r="P59" s="1799"/>
      <c r="Q59" s="1799"/>
      <c r="R59" s="1799"/>
      <c r="S59" s="1799"/>
      <c r="T59" s="1799"/>
      <c r="U59" s="1799"/>
      <c r="V59" s="1799"/>
      <c r="W59" s="1799"/>
      <c r="X59" s="1799"/>
      <c r="Y59" s="1799"/>
      <c r="Z59" s="1799"/>
    </row>
    <row r="60">
      <c r="A60" s="1799"/>
      <c r="B60" s="1799"/>
      <c r="C60" s="1799"/>
      <c r="D60" s="1812"/>
      <c r="E60" s="1799"/>
      <c r="F60" s="1813"/>
      <c r="G60" s="1814"/>
      <c r="H60" s="1799"/>
      <c r="I60" s="1799"/>
      <c r="J60" s="1799"/>
      <c r="K60" s="1799"/>
      <c r="L60" s="1799"/>
      <c r="M60" s="1799"/>
      <c r="N60" s="1799"/>
      <c r="O60" s="1799"/>
      <c r="P60" s="1799"/>
      <c r="Q60" s="1799"/>
      <c r="R60" s="1799"/>
      <c r="S60" s="1799"/>
      <c r="T60" s="1799"/>
      <c r="U60" s="1799"/>
      <c r="V60" s="1799"/>
      <c r="W60" s="1799"/>
      <c r="X60" s="1799"/>
      <c r="Y60" s="1799"/>
      <c r="Z60" s="1799"/>
    </row>
    <row r="61">
      <c r="A61" s="1799"/>
      <c r="B61" s="1799"/>
      <c r="C61" s="1799"/>
      <c r="D61" s="1812"/>
      <c r="E61" s="1799"/>
      <c r="F61" s="1813"/>
      <c r="G61" s="1814"/>
      <c r="H61" s="1799"/>
      <c r="I61" s="1799"/>
      <c r="J61" s="1799"/>
      <c r="K61" s="1799"/>
      <c r="L61" s="1799"/>
      <c r="M61" s="1799"/>
      <c r="N61" s="1799"/>
      <c r="O61" s="1799"/>
      <c r="P61" s="1799"/>
      <c r="Q61" s="1799"/>
      <c r="R61" s="1799"/>
      <c r="S61" s="1799"/>
      <c r="T61" s="1799"/>
      <c r="U61" s="1799"/>
      <c r="V61" s="1799"/>
      <c r="W61" s="1799"/>
      <c r="X61" s="1799"/>
      <c r="Y61" s="1799"/>
      <c r="Z61" s="1799"/>
    </row>
    <row r="62">
      <c r="A62" s="1799"/>
      <c r="B62" s="1799"/>
      <c r="C62" s="1799"/>
      <c r="D62" s="1812"/>
      <c r="E62" s="1799"/>
      <c r="F62" s="1813"/>
      <c r="G62" s="1814"/>
      <c r="H62" s="1799"/>
      <c r="I62" s="1799"/>
      <c r="J62" s="1799"/>
      <c r="K62" s="1799"/>
      <c r="L62" s="1799"/>
      <c r="M62" s="1799"/>
      <c r="N62" s="1799"/>
      <c r="O62" s="1799"/>
      <c r="P62" s="1799"/>
      <c r="Q62" s="1799"/>
      <c r="R62" s="1799"/>
      <c r="S62" s="1799"/>
      <c r="T62" s="1799"/>
      <c r="U62" s="1799"/>
      <c r="V62" s="1799"/>
      <c r="W62" s="1799"/>
      <c r="X62" s="1799"/>
      <c r="Y62" s="1799"/>
      <c r="Z62" s="1799"/>
    </row>
    <row r="63">
      <c r="A63" s="1799"/>
      <c r="B63" s="1799"/>
      <c r="C63" s="1799"/>
      <c r="D63" s="1812"/>
      <c r="E63" s="1799"/>
      <c r="F63" s="1813"/>
      <c r="G63" s="1814"/>
      <c r="H63" s="1799"/>
      <c r="I63" s="1799"/>
      <c r="J63" s="1799"/>
      <c r="K63" s="1799"/>
      <c r="L63" s="1799"/>
      <c r="M63" s="1799"/>
      <c r="N63" s="1799"/>
      <c r="O63" s="1799"/>
      <c r="P63" s="1799"/>
      <c r="Q63" s="1799"/>
      <c r="R63" s="1799"/>
      <c r="S63" s="1799"/>
      <c r="T63" s="1799"/>
      <c r="U63" s="1799"/>
      <c r="V63" s="1799"/>
      <c r="W63" s="1799"/>
      <c r="X63" s="1799"/>
      <c r="Y63" s="1799"/>
      <c r="Z63" s="1799"/>
    </row>
    <row r="64">
      <c r="A64" s="1799"/>
      <c r="B64" s="1799"/>
      <c r="C64" s="1799"/>
      <c r="D64" s="1812"/>
      <c r="E64" s="1799"/>
      <c r="F64" s="1813"/>
      <c r="G64" s="1814"/>
      <c r="H64" s="1799"/>
      <c r="I64" s="1799"/>
      <c r="J64" s="1799"/>
      <c r="K64" s="1799"/>
      <c r="L64" s="1799"/>
      <c r="M64" s="1799"/>
      <c r="N64" s="1799"/>
      <c r="O64" s="1799"/>
      <c r="P64" s="1799"/>
      <c r="Q64" s="1799"/>
      <c r="R64" s="1799"/>
      <c r="S64" s="1799"/>
      <c r="T64" s="1799"/>
      <c r="U64" s="1799"/>
      <c r="V64" s="1799"/>
      <c r="W64" s="1799"/>
      <c r="X64" s="1799"/>
      <c r="Y64" s="1799"/>
      <c r="Z64" s="1799"/>
    </row>
    <row r="65">
      <c r="A65" s="1799"/>
      <c r="B65" s="1799"/>
      <c r="C65" s="1799"/>
      <c r="D65" s="1812"/>
      <c r="E65" s="1799"/>
      <c r="F65" s="1813"/>
      <c r="G65" s="1814"/>
      <c r="H65" s="1799"/>
      <c r="I65" s="1799"/>
      <c r="J65" s="1799"/>
      <c r="K65" s="1799"/>
      <c r="L65" s="1799"/>
      <c r="M65" s="1799"/>
      <c r="N65" s="1799"/>
      <c r="O65" s="1799"/>
      <c r="P65" s="1799"/>
      <c r="Q65" s="1799"/>
      <c r="R65" s="1799"/>
      <c r="S65" s="1799"/>
      <c r="T65" s="1799"/>
      <c r="U65" s="1799"/>
      <c r="V65" s="1799"/>
      <c r="W65" s="1799"/>
      <c r="X65" s="1799"/>
      <c r="Y65" s="1799"/>
      <c r="Z65" s="1799"/>
    </row>
    <row r="66">
      <c r="A66" s="1799"/>
      <c r="B66" s="1799"/>
      <c r="C66" s="1799"/>
      <c r="D66" s="1812"/>
      <c r="E66" s="1799"/>
      <c r="F66" s="1813"/>
      <c r="G66" s="1814"/>
      <c r="H66" s="1799"/>
      <c r="I66" s="1799"/>
      <c r="J66" s="1799"/>
      <c r="K66" s="1799"/>
      <c r="L66" s="1799"/>
      <c r="M66" s="1799"/>
      <c r="N66" s="1799"/>
      <c r="O66" s="1799"/>
      <c r="P66" s="1799"/>
      <c r="Q66" s="1799"/>
      <c r="R66" s="1799"/>
      <c r="S66" s="1799"/>
      <c r="T66" s="1799"/>
      <c r="U66" s="1799"/>
      <c r="V66" s="1799"/>
      <c r="W66" s="1799"/>
      <c r="X66" s="1799"/>
      <c r="Y66" s="1799"/>
      <c r="Z66" s="1799"/>
    </row>
    <row r="67">
      <c r="A67" s="1799"/>
      <c r="B67" s="1799"/>
      <c r="C67" s="1799"/>
      <c r="D67" s="1812"/>
      <c r="E67" s="1799"/>
      <c r="F67" s="1813"/>
      <c r="G67" s="1814"/>
      <c r="H67" s="1799"/>
      <c r="I67" s="1799"/>
      <c r="J67" s="1799"/>
      <c r="K67" s="1799"/>
      <c r="L67" s="1799"/>
      <c r="M67" s="1799"/>
      <c r="N67" s="1799"/>
      <c r="O67" s="1799"/>
      <c r="P67" s="1799"/>
      <c r="Q67" s="1799"/>
      <c r="R67" s="1799"/>
      <c r="S67" s="1799"/>
      <c r="T67" s="1799"/>
      <c r="U67" s="1799"/>
      <c r="V67" s="1799"/>
      <c r="W67" s="1799"/>
      <c r="X67" s="1799"/>
      <c r="Y67" s="1799"/>
      <c r="Z67" s="1799"/>
    </row>
    <row r="68">
      <c r="A68" s="1799"/>
      <c r="B68" s="1799"/>
      <c r="C68" s="1799"/>
      <c r="D68" s="1812"/>
      <c r="E68" s="1799"/>
      <c r="F68" s="1813"/>
      <c r="G68" s="1814"/>
      <c r="H68" s="1799"/>
      <c r="I68" s="1799"/>
      <c r="J68" s="1799"/>
      <c r="K68" s="1799"/>
      <c r="L68" s="1799"/>
      <c r="M68" s="1799"/>
      <c r="N68" s="1799"/>
      <c r="O68" s="1799"/>
      <c r="P68" s="1799"/>
      <c r="Q68" s="1799"/>
      <c r="R68" s="1799"/>
      <c r="S68" s="1799"/>
      <c r="T68" s="1799"/>
      <c r="U68" s="1799"/>
      <c r="V68" s="1799"/>
      <c r="W68" s="1799"/>
      <c r="X68" s="1799"/>
      <c r="Y68" s="1799"/>
      <c r="Z68" s="1799"/>
    </row>
    <row r="69">
      <c r="A69" s="1799"/>
      <c r="B69" s="1799"/>
      <c r="C69" s="1799"/>
      <c r="D69" s="1812"/>
      <c r="E69" s="1799"/>
      <c r="F69" s="1813"/>
      <c r="G69" s="1814"/>
      <c r="H69" s="1799"/>
      <c r="I69" s="1799"/>
      <c r="J69" s="1799"/>
      <c r="K69" s="1799"/>
      <c r="L69" s="1799"/>
      <c r="M69" s="1799"/>
      <c r="N69" s="1799"/>
      <c r="O69" s="1799"/>
      <c r="P69" s="1799"/>
      <c r="Q69" s="1799"/>
      <c r="R69" s="1799"/>
      <c r="S69" s="1799"/>
      <c r="T69" s="1799"/>
      <c r="U69" s="1799"/>
      <c r="V69" s="1799"/>
      <c r="W69" s="1799"/>
      <c r="X69" s="1799"/>
      <c r="Y69" s="1799"/>
      <c r="Z69" s="1799"/>
    </row>
    <row r="70">
      <c r="A70" s="1799"/>
      <c r="B70" s="1799"/>
      <c r="C70" s="1799"/>
      <c r="D70" s="1812"/>
      <c r="E70" s="1799"/>
      <c r="F70" s="1813"/>
      <c r="G70" s="1814"/>
      <c r="H70" s="1799"/>
      <c r="I70" s="1799"/>
      <c r="J70" s="1799"/>
      <c r="K70" s="1799"/>
      <c r="L70" s="1799"/>
      <c r="M70" s="1799"/>
      <c r="N70" s="1799"/>
      <c r="O70" s="1799"/>
      <c r="P70" s="1799"/>
      <c r="Q70" s="1799"/>
      <c r="R70" s="1799"/>
      <c r="S70" s="1799"/>
      <c r="T70" s="1799"/>
      <c r="U70" s="1799"/>
      <c r="V70" s="1799"/>
      <c r="W70" s="1799"/>
      <c r="X70" s="1799"/>
      <c r="Y70" s="1799"/>
      <c r="Z70" s="1799"/>
    </row>
    <row r="71">
      <c r="A71" s="1799"/>
      <c r="B71" s="1799"/>
      <c r="C71" s="1799"/>
      <c r="D71" s="1812"/>
      <c r="E71" s="1799"/>
      <c r="F71" s="1813"/>
      <c r="G71" s="1814"/>
      <c r="H71" s="1799"/>
      <c r="I71" s="1799"/>
      <c r="J71" s="1799"/>
      <c r="K71" s="1799"/>
      <c r="L71" s="1799"/>
      <c r="M71" s="1799"/>
      <c r="N71" s="1799"/>
      <c r="O71" s="1799"/>
      <c r="P71" s="1799"/>
      <c r="Q71" s="1799"/>
      <c r="R71" s="1799"/>
      <c r="S71" s="1799"/>
      <c r="T71" s="1799"/>
      <c r="U71" s="1799"/>
      <c r="V71" s="1799"/>
      <c r="W71" s="1799"/>
      <c r="X71" s="1799"/>
      <c r="Y71" s="1799"/>
      <c r="Z71" s="1799"/>
    </row>
    <row r="72">
      <c r="A72" s="1799"/>
      <c r="B72" s="1799"/>
      <c r="C72" s="1799"/>
      <c r="D72" s="1812"/>
      <c r="E72" s="1799"/>
      <c r="F72" s="1813"/>
      <c r="G72" s="1814"/>
      <c r="H72" s="1799"/>
      <c r="I72" s="1799"/>
      <c r="J72" s="1799"/>
      <c r="K72" s="1799"/>
      <c r="L72" s="1799"/>
      <c r="M72" s="1799"/>
      <c r="N72" s="1799"/>
      <c r="O72" s="1799"/>
      <c r="P72" s="1799"/>
      <c r="Q72" s="1799"/>
      <c r="R72" s="1799"/>
      <c r="S72" s="1799"/>
      <c r="T72" s="1799"/>
      <c r="U72" s="1799"/>
      <c r="V72" s="1799"/>
      <c r="W72" s="1799"/>
      <c r="X72" s="1799"/>
      <c r="Y72" s="1799"/>
      <c r="Z72" s="1799"/>
    </row>
    <row r="73">
      <c r="A73" s="1799"/>
      <c r="B73" s="1799"/>
      <c r="C73" s="1799"/>
      <c r="D73" s="1812"/>
      <c r="E73" s="1799"/>
      <c r="F73" s="1813"/>
      <c r="G73" s="1814"/>
      <c r="H73" s="1799"/>
      <c r="I73" s="1799"/>
      <c r="J73" s="1799"/>
      <c r="K73" s="1799"/>
      <c r="L73" s="1799"/>
      <c r="M73" s="1799"/>
      <c r="N73" s="1799"/>
      <c r="O73" s="1799"/>
      <c r="P73" s="1799"/>
      <c r="Q73" s="1799"/>
      <c r="R73" s="1799"/>
      <c r="S73" s="1799"/>
      <c r="T73" s="1799"/>
      <c r="U73" s="1799"/>
      <c r="V73" s="1799"/>
      <c r="W73" s="1799"/>
      <c r="X73" s="1799"/>
      <c r="Y73" s="1799"/>
      <c r="Z73" s="1799"/>
    </row>
    <row r="74">
      <c r="A74" s="1799"/>
      <c r="B74" s="1799"/>
      <c r="C74" s="1799"/>
      <c r="D74" s="1812"/>
      <c r="E74" s="1799"/>
      <c r="F74" s="1813"/>
      <c r="G74" s="1814"/>
      <c r="H74" s="1799"/>
      <c r="I74" s="1799"/>
      <c r="J74" s="1799"/>
      <c r="K74" s="1799"/>
      <c r="L74" s="1799"/>
      <c r="M74" s="1799"/>
      <c r="N74" s="1799"/>
      <c r="O74" s="1799"/>
      <c r="P74" s="1799"/>
      <c r="Q74" s="1799"/>
      <c r="R74" s="1799"/>
      <c r="S74" s="1799"/>
      <c r="T74" s="1799"/>
      <c r="U74" s="1799"/>
      <c r="V74" s="1799"/>
      <c r="W74" s="1799"/>
      <c r="X74" s="1799"/>
      <c r="Y74" s="1799"/>
      <c r="Z74" s="1799"/>
    </row>
    <row r="75">
      <c r="A75" s="1799"/>
      <c r="B75" s="1799"/>
      <c r="C75" s="1799"/>
      <c r="D75" s="1812"/>
      <c r="E75" s="1799"/>
      <c r="F75" s="1813"/>
      <c r="G75" s="1814"/>
      <c r="H75" s="1799"/>
      <c r="I75" s="1799"/>
      <c r="J75" s="1799"/>
      <c r="K75" s="1799"/>
      <c r="L75" s="1799"/>
      <c r="M75" s="1799"/>
      <c r="N75" s="1799"/>
      <c r="O75" s="1799"/>
      <c r="P75" s="1799"/>
      <c r="Q75" s="1799"/>
      <c r="R75" s="1799"/>
      <c r="S75" s="1799"/>
      <c r="T75" s="1799"/>
      <c r="U75" s="1799"/>
      <c r="V75" s="1799"/>
      <c r="W75" s="1799"/>
      <c r="X75" s="1799"/>
      <c r="Y75" s="1799"/>
      <c r="Z75" s="1799"/>
    </row>
    <row r="76">
      <c r="A76" s="1799"/>
      <c r="B76" s="1799"/>
      <c r="C76" s="1799"/>
      <c r="D76" s="1812"/>
      <c r="E76" s="1799"/>
      <c r="F76" s="1813"/>
      <c r="G76" s="1814"/>
      <c r="H76" s="1799"/>
      <c r="I76" s="1799"/>
      <c r="J76" s="1799"/>
      <c r="K76" s="1799"/>
      <c r="L76" s="1799"/>
      <c r="M76" s="1799"/>
      <c r="N76" s="1799"/>
      <c r="O76" s="1799"/>
      <c r="P76" s="1799"/>
      <c r="Q76" s="1799"/>
      <c r="R76" s="1799"/>
      <c r="S76" s="1799"/>
      <c r="T76" s="1799"/>
      <c r="U76" s="1799"/>
      <c r="V76" s="1799"/>
      <c r="W76" s="1799"/>
      <c r="X76" s="1799"/>
      <c r="Y76" s="1799"/>
      <c r="Z76" s="1799"/>
    </row>
    <row r="77">
      <c r="A77" s="1799"/>
      <c r="B77" s="1799"/>
      <c r="C77" s="1799"/>
      <c r="D77" s="1812"/>
      <c r="E77" s="1799"/>
      <c r="F77" s="1813"/>
      <c r="G77" s="1814"/>
      <c r="H77" s="1799"/>
      <c r="I77" s="1799"/>
      <c r="J77" s="1799"/>
      <c r="K77" s="1799"/>
      <c r="L77" s="1799"/>
      <c r="M77" s="1799"/>
      <c r="N77" s="1799"/>
      <c r="O77" s="1799"/>
      <c r="P77" s="1799"/>
      <c r="Q77" s="1799"/>
      <c r="R77" s="1799"/>
      <c r="S77" s="1799"/>
      <c r="T77" s="1799"/>
      <c r="U77" s="1799"/>
      <c r="V77" s="1799"/>
      <c r="W77" s="1799"/>
      <c r="X77" s="1799"/>
      <c r="Y77" s="1799"/>
      <c r="Z77" s="1799"/>
    </row>
    <row r="78">
      <c r="A78" s="1799"/>
      <c r="B78" s="1799"/>
      <c r="C78" s="1799"/>
      <c r="D78" s="1812"/>
      <c r="E78" s="1799"/>
      <c r="F78" s="1813"/>
      <c r="G78" s="1814"/>
      <c r="H78" s="1799"/>
      <c r="I78" s="1799"/>
      <c r="J78" s="1799"/>
      <c r="K78" s="1799"/>
      <c r="L78" s="1799"/>
      <c r="M78" s="1799"/>
      <c r="N78" s="1799"/>
      <c r="O78" s="1799"/>
      <c r="P78" s="1799"/>
      <c r="Q78" s="1799"/>
      <c r="R78" s="1799"/>
      <c r="S78" s="1799"/>
      <c r="T78" s="1799"/>
      <c r="U78" s="1799"/>
      <c r="V78" s="1799"/>
      <c r="W78" s="1799"/>
      <c r="X78" s="1799"/>
      <c r="Y78" s="1799"/>
      <c r="Z78" s="1799"/>
    </row>
    <row r="79">
      <c r="A79" s="1799"/>
      <c r="B79" s="1799"/>
      <c r="C79" s="1799"/>
      <c r="D79" s="1812"/>
      <c r="E79" s="1799"/>
      <c r="F79" s="1813"/>
      <c r="G79" s="1814"/>
      <c r="H79" s="1799"/>
      <c r="I79" s="1799"/>
      <c r="J79" s="1799"/>
      <c r="K79" s="1799"/>
      <c r="L79" s="1799"/>
      <c r="M79" s="1799"/>
      <c r="N79" s="1799"/>
      <c r="O79" s="1799"/>
      <c r="P79" s="1799"/>
      <c r="Q79" s="1799"/>
      <c r="R79" s="1799"/>
      <c r="S79" s="1799"/>
      <c r="T79" s="1799"/>
      <c r="U79" s="1799"/>
      <c r="V79" s="1799"/>
      <c r="W79" s="1799"/>
      <c r="X79" s="1799"/>
      <c r="Y79" s="1799"/>
      <c r="Z79" s="1799"/>
    </row>
    <row r="80">
      <c r="A80" s="1799"/>
      <c r="B80" s="1799"/>
      <c r="C80" s="1799"/>
      <c r="D80" s="1812"/>
      <c r="E80" s="1799"/>
      <c r="F80" s="1813"/>
      <c r="G80" s="1814"/>
      <c r="H80" s="1799"/>
      <c r="I80" s="1799"/>
      <c r="J80" s="1799"/>
      <c r="K80" s="1799"/>
      <c r="L80" s="1799"/>
      <c r="M80" s="1799"/>
      <c r="N80" s="1799"/>
      <c r="O80" s="1799"/>
      <c r="P80" s="1799"/>
      <c r="Q80" s="1799"/>
      <c r="R80" s="1799"/>
      <c r="S80" s="1799"/>
      <c r="T80" s="1799"/>
      <c r="U80" s="1799"/>
      <c r="V80" s="1799"/>
      <c r="W80" s="1799"/>
      <c r="X80" s="1799"/>
      <c r="Y80" s="1799"/>
      <c r="Z80" s="1799"/>
    </row>
    <row r="81">
      <c r="A81" s="1799"/>
      <c r="B81" s="1799"/>
      <c r="C81" s="1799"/>
      <c r="D81" s="1812"/>
      <c r="E81" s="1799"/>
      <c r="F81" s="1813"/>
      <c r="G81" s="1814"/>
      <c r="H81" s="1799"/>
      <c r="I81" s="1799"/>
      <c r="J81" s="1799"/>
      <c r="K81" s="1799"/>
      <c r="L81" s="1799"/>
      <c r="M81" s="1799"/>
      <c r="N81" s="1799"/>
      <c r="O81" s="1799"/>
      <c r="P81" s="1799"/>
      <c r="Q81" s="1799"/>
      <c r="R81" s="1799"/>
      <c r="S81" s="1799"/>
      <c r="T81" s="1799"/>
      <c r="U81" s="1799"/>
      <c r="V81" s="1799"/>
      <c r="W81" s="1799"/>
      <c r="X81" s="1799"/>
      <c r="Y81" s="1799"/>
      <c r="Z81" s="1799"/>
    </row>
    <row r="82">
      <c r="A82" s="1799"/>
      <c r="B82" s="1799"/>
      <c r="C82" s="1799"/>
      <c r="D82" s="1812"/>
      <c r="E82" s="1799"/>
      <c r="F82" s="1813"/>
      <c r="G82" s="1814"/>
      <c r="H82" s="1799"/>
      <c r="I82" s="1799"/>
      <c r="J82" s="1799"/>
      <c r="K82" s="1799"/>
      <c r="L82" s="1799"/>
      <c r="M82" s="1799"/>
      <c r="N82" s="1799"/>
      <c r="O82" s="1799"/>
      <c r="P82" s="1799"/>
      <c r="Q82" s="1799"/>
      <c r="R82" s="1799"/>
      <c r="S82" s="1799"/>
      <c r="T82" s="1799"/>
      <c r="U82" s="1799"/>
      <c r="V82" s="1799"/>
      <c r="W82" s="1799"/>
      <c r="X82" s="1799"/>
      <c r="Y82" s="1799"/>
      <c r="Z82" s="1799"/>
    </row>
    <row r="83">
      <c r="A83" s="1799"/>
      <c r="B83" s="1799"/>
      <c r="C83" s="1799"/>
      <c r="D83" s="1812"/>
      <c r="E83" s="1799"/>
      <c r="F83" s="1813"/>
      <c r="G83" s="1814"/>
      <c r="H83" s="1799"/>
      <c r="I83" s="1799"/>
      <c r="J83" s="1799"/>
      <c r="K83" s="1799"/>
      <c r="L83" s="1799"/>
      <c r="M83" s="1799"/>
      <c r="N83" s="1799"/>
      <c r="O83" s="1799"/>
      <c r="P83" s="1799"/>
      <c r="Q83" s="1799"/>
      <c r="R83" s="1799"/>
      <c r="S83" s="1799"/>
      <c r="T83" s="1799"/>
      <c r="U83" s="1799"/>
      <c r="V83" s="1799"/>
      <c r="W83" s="1799"/>
      <c r="X83" s="1799"/>
      <c r="Y83" s="1799"/>
      <c r="Z83" s="1799"/>
    </row>
    <row r="84">
      <c r="A84" s="1799"/>
      <c r="B84" s="1799"/>
      <c r="C84" s="1799"/>
      <c r="D84" s="1812"/>
      <c r="E84" s="1799"/>
      <c r="F84" s="1813"/>
      <c r="G84" s="1814"/>
      <c r="H84" s="1799"/>
      <c r="I84" s="1799"/>
      <c r="J84" s="1799"/>
      <c r="K84" s="1799"/>
      <c r="L84" s="1799"/>
      <c r="M84" s="1799"/>
      <c r="N84" s="1799"/>
      <c r="O84" s="1799"/>
      <c r="P84" s="1799"/>
      <c r="Q84" s="1799"/>
      <c r="R84" s="1799"/>
      <c r="S84" s="1799"/>
      <c r="T84" s="1799"/>
      <c r="U84" s="1799"/>
      <c r="V84" s="1799"/>
      <c r="W84" s="1799"/>
      <c r="X84" s="1799"/>
      <c r="Y84" s="1799"/>
      <c r="Z84" s="1799"/>
    </row>
    <row r="85">
      <c r="A85" s="1799"/>
      <c r="B85" s="1799"/>
      <c r="C85" s="1799"/>
      <c r="D85" s="1812"/>
      <c r="E85" s="1799"/>
      <c r="F85" s="1813"/>
      <c r="G85" s="1814"/>
      <c r="H85" s="1799"/>
      <c r="I85" s="1799"/>
      <c r="J85" s="1799"/>
      <c r="K85" s="1799"/>
      <c r="L85" s="1799"/>
      <c r="M85" s="1799"/>
      <c r="N85" s="1799"/>
      <c r="O85" s="1799"/>
      <c r="P85" s="1799"/>
      <c r="Q85" s="1799"/>
      <c r="R85" s="1799"/>
      <c r="S85" s="1799"/>
      <c r="T85" s="1799"/>
      <c r="U85" s="1799"/>
      <c r="V85" s="1799"/>
      <c r="W85" s="1799"/>
      <c r="X85" s="1799"/>
      <c r="Y85" s="1799"/>
      <c r="Z85" s="1799"/>
    </row>
    <row r="86">
      <c r="A86" s="1799"/>
      <c r="B86" s="1799"/>
      <c r="C86" s="1799"/>
      <c r="D86" s="1812"/>
      <c r="E86" s="1799"/>
      <c r="F86" s="1813"/>
      <c r="G86" s="1814"/>
      <c r="H86" s="1799"/>
      <c r="I86" s="1799"/>
      <c r="J86" s="1799"/>
      <c r="K86" s="1799"/>
      <c r="L86" s="1799"/>
      <c r="M86" s="1799"/>
      <c r="N86" s="1799"/>
      <c r="O86" s="1799"/>
      <c r="P86" s="1799"/>
      <c r="Q86" s="1799"/>
      <c r="R86" s="1799"/>
      <c r="S86" s="1799"/>
      <c r="T86" s="1799"/>
      <c r="U86" s="1799"/>
      <c r="V86" s="1799"/>
      <c r="W86" s="1799"/>
      <c r="X86" s="1799"/>
      <c r="Y86" s="1799"/>
      <c r="Z86" s="1799"/>
    </row>
    <row r="87">
      <c r="A87" s="1799"/>
      <c r="B87" s="1799"/>
      <c r="C87" s="1799"/>
      <c r="D87" s="1812"/>
      <c r="E87" s="1799"/>
      <c r="F87" s="1813"/>
      <c r="G87" s="1814"/>
      <c r="H87" s="1799"/>
      <c r="I87" s="1799"/>
      <c r="J87" s="1799"/>
      <c r="K87" s="1799"/>
      <c r="L87" s="1799"/>
      <c r="M87" s="1799"/>
      <c r="N87" s="1799"/>
      <c r="O87" s="1799"/>
      <c r="P87" s="1799"/>
      <c r="Q87" s="1799"/>
      <c r="R87" s="1799"/>
      <c r="S87" s="1799"/>
      <c r="T87" s="1799"/>
      <c r="U87" s="1799"/>
      <c r="V87" s="1799"/>
      <c r="W87" s="1799"/>
      <c r="X87" s="1799"/>
      <c r="Y87" s="1799"/>
      <c r="Z87" s="1799"/>
    </row>
    <row r="88">
      <c r="A88" s="1799"/>
      <c r="B88" s="1799"/>
      <c r="C88" s="1799"/>
      <c r="D88" s="1812"/>
      <c r="E88" s="1799"/>
      <c r="F88" s="1813"/>
      <c r="G88" s="1814"/>
      <c r="H88" s="1799"/>
      <c r="I88" s="1799"/>
      <c r="J88" s="1799"/>
      <c r="K88" s="1799"/>
      <c r="L88" s="1799"/>
      <c r="M88" s="1799"/>
      <c r="N88" s="1799"/>
      <c r="O88" s="1799"/>
      <c r="P88" s="1799"/>
      <c r="Q88" s="1799"/>
      <c r="R88" s="1799"/>
      <c r="S88" s="1799"/>
      <c r="T88" s="1799"/>
      <c r="U88" s="1799"/>
      <c r="V88" s="1799"/>
      <c r="W88" s="1799"/>
      <c r="X88" s="1799"/>
      <c r="Y88" s="1799"/>
      <c r="Z88" s="1799"/>
    </row>
    <row r="89">
      <c r="A89" s="1799"/>
      <c r="B89" s="1799"/>
      <c r="C89" s="1799"/>
      <c r="D89" s="1812"/>
      <c r="E89" s="1799"/>
      <c r="F89" s="1813"/>
      <c r="G89" s="1814"/>
      <c r="H89" s="1799"/>
      <c r="I89" s="1799"/>
      <c r="J89" s="1799"/>
      <c r="K89" s="1799"/>
      <c r="L89" s="1799"/>
      <c r="M89" s="1799"/>
      <c r="N89" s="1799"/>
      <c r="O89" s="1799"/>
      <c r="P89" s="1799"/>
      <c r="Q89" s="1799"/>
      <c r="R89" s="1799"/>
      <c r="S89" s="1799"/>
      <c r="T89" s="1799"/>
      <c r="U89" s="1799"/>
      <c r="V89" s="1799"/>
      <c r="W89" s="1799"/>
      <c r="X89" s="1799"/>
      <c r="Y89" s="1799"/>
      <c r="Z89" s="1799"/>
    </row>
    <row r="90">
      <c r="A90" s="1799"/>
      <c r="B90" s="1799"/>
      <c r="C90" s="1799"/>
      <c r="D90" s="1812"/>
      <c r="E90" s="1799"/>
      <c r="F90" s="1813"/>
      <c r="G90" s="1814"/>
      <c r="H90" s="1799"/>
      <c r="I90" s="1799"/>
      <c r="J90" s="1799"/>
      <c r="K90" s="1799"/>
      <c r="L90" s="1799"/>
      <c r="M90" s="1799"/>
      <c r="N90" s="1799"/>
      <c r="O90" s="1799"/>
      <c r="P90" s="1799"/>
      <c r="Q90" s="1799"/>
      <c r="R90" s="1799"/>
      <c r="S90" s="1799"/>
      <c r="T90" s="1799"/>
      <c r="U90" s="1799"/>
      <c r="V90" s="1799"/>
      <c r="W90" s="1799"/>
      <c r="X90" s="1799"/>
      <c r="Y90" s="1799"/>
      <c r="Z90" s="1799"/>
    </row>
    <row r="91">
      <c r="A91" s="1799"/>
      <c r="B91" s="1799"/>
      <c r="C91" s="1799"/>
      <c r="D91" s="1812"/>
      <c r="E91" s="1799"/>
      <c r="F91" s="1813"/>
      <c r="G91" s="1814"/>
      <c r="H91" s="1799"/>
      <c r="I91" s="1799"/>
      <c r="J91" s="1799"/>
      <c r="K91" s="1799"/>
      <c r="L91" s="1799"/>
      <c r="M91" s="1799"/>
      <c r="N91" s="1799"/>
      <c r="O91" s="1799"/>
      <c r="P91" s="1799"/>
      <c r="Q91" s="1799"/>
      <c r="R91" s="1799"/>
      <c r="S91" s="1799"/>
      <c r="T91" s="1799"/>
      <c r="U91" s="1799"/>
      <c r="V91" s="1799"/>
      <c r="W91" s="1799"/>
      <c r="X91" s="1799"/>
      <c r="Y91" s="1799"/>
      <c r="Z91" s="1799"/>
    </row>
    <row r="92">
      <c r="A92" s="1799"/>
      <c r="B92" s="1799"/>
      <c r="C92" s="1799"/>
      <c r="D92" s="1812"/>
      <c r="E92" s="1799"/>
      <c r="F92" s="1813"/>
      <c r="G92" s="1814"/>
      <c r="H92" s="1799"/>
      <c r="I92" s="1799"/>
      <c r="J92" s="1799"/>
      <c r="K92" s="1799"/>
      <c r="L92" s="1799"/>
      <c r="M92" s="1799"/>
      <c r="N92" s="1799"/>
      <c r="O92" s="1799"/>
      <c r="P92" s="1799"/>
      <c r="Q92" s="1799"/>
      <c r="R92" s="1799"/>
      <c r="S92" s="1799"/>
      <c r="T92" s="1799"/>
      <c r="U92" s="1799"/>
      <c r="V92" s="1799"/>
      <c r="W92" s="1799"/>
      <c r="X92" s="1799"/>
      <c r="Y92" s="1799"/>
      <c r="Z92" s="1799"/>
    </row>
    <row r="93">
      <c r="A93" s="1799"/>
      <c r="B93" s="1799"/>
      <c r="C93" s="1799"/>
      <c r="D93" s="1812"/>
      <c r="E93" s="1799"/>
      <c r="F93" s="1813"/>
      <c r="G93" s="1814"/>
      <c r="H93" s="1799"/>
      <c r="I93" s="1799"/>
      <c r="J93" s="1799"/>
      <c r="K93" s="1799"/>
      <c r="L93" s="1799"/>
      <c r="M93" s="1799"/>
      <c r="N93" s="1799"/>
      <c r="O93" s="1799"/>
      <c r="P93" s="1799"/>
      <c r="Q93" s="1799"/>
      <c r="R93" s="1799"/>
      <c r="S93" s="1799"/>
      <c r="T93" s="1799"/>
      <c r="U93" s="1799"/>
      <c r="V93" s="1799"/>
      <c r="W93" s="1799"/>
      <c r="X93" s="1799"/>
      <c r="Y93" s="1799"/>
      <c r="Z93" s="1799"/>
    </row>
    <row r="94">
      <c r="A94" s="1799"/>
      <c r="B94" s="1799"/>
      <c r="C94" s="1799"/>
      <c r="D94" s="1812"/>
      <c r="E94" s="1799"/>
      <c r="F94" s="1813"/>
      <c r="G94" s="1814"/>
      <c r="H94" s="1799"/>
      <c r="I94" s="1799"/>
      <c r="J94" s="1799"/>
      <c r="K94" s="1799"/>
      <c r="L94" s="1799"/>
      <c r="M94" s="1799"/>
      <c r="N94" s="1799"/>
      <c r="O94" s="1799"/>
      <c r="P94" s="1799"/>
      <c r="Q94" s="1799"/>
      <c r="R94" s="1799"/>
      <c r="S94" s="1799"/>
      <c r="T94" s="1799"/>
      <c r="U94" s="1799"/>
      <c r="V94" s="1799"/>
      <c r="W94" s="1799"/>
      <c r="X94" s="1799"/>
      <c r="Y94" s="1799"/>
      <c r="Z94" s="1799"/>
    </row>
    <row r="95">
      <c r="A95" s="1799"/>
      <c r="B95" s="1799"/>
      <c r="C95" s="1799"/>
      <c r="D95" s="1812"/>
      <c r="E95" s="1799"/>
      <c r="F95" s="1813"/>
      <c r="G95" s="1814"/>
      <c r="H95" s="1799"/>
      <c r="I95" s="1799"/>
      <c r="J95" s="1799"/>
      <c r="K95" s="1799"/>
      <c r="L95" s="1799"/>
      <c r="M95" s="1799"/>
      <c r="N95" s="1799"/>
      <c r="O95" s="1799"/>
      <c r="P95" s="1799"/>
      <c r="Q95" s="1799"/>
      <c r="R95" s="1799"/>
      <c r="S95" s="1799"/>
      <c r="T95" s="1799"/>
      <c r="U95" s="1799"/>
      <c r="V95" s="1799"/>
      <c r="W95" s="1799"/>
      <c r="X95" s="1799"/>
      <c r="Y95" s="1799"/>
      <c r="Z95" s="1799"/>
    </row>
    <row r="96">
      <c r="A96" s="1799"/>
      <c r="B96" s="1799"/>
      <c r="C96" s="1799"/>
      <c r="D96" s="1812"/>
      <c r="E96" s="1799"/>
      <c r="F96" s="1813"/>
      <c r="G96" s="1814"/>
      <c r="H96" s="1799"/>
      <c r="I96" s="1799"/>
      <c r="J96" s="1799"/>
      <c r="K96" s="1799"/>
      <c r="L96" s="1799"/>
      <c r="M96" s="1799"/>
      <c r="N96" s="1799"/>
      <c r="O96" s="1799"/>
      <c r="P96" s="1799"/>
      <c r="Q96" s="1799"/>
      <c r="R96" s="1799"/>
      <c r="S96" s="1799"/>
      <c r="T96" s="1799"/>
      <c r="U96" s="1799"/>
      <c r="V96" s="1799"/>
      <c r="W96" s="1799"/>
      <c r="X96" s="1799"/>
      <c r="Y96" s="1799"/>
      <c r="Z96" s="1799"/>
    </row>
    <row r="97">
      <c r="A97" s="1799"/>
      <c r="B97" s="1799"/>
      <c r="C97" s="1799"/>
      <c r="D97" s="1812"/>
      <c r="E97" s="1799"/>
      <c r="F97" s="1813"/>
      <c r="G97" s="1814"/>
      <c r="H97" s="1799"/>
      <c r="I97" s="1799"/>
      <c r="J97" s="1799"/>
      <c r="K97" s="1799"/>
      <c r="L97" s="1799"/>
      <c r="M97" s="1799"/>
      <c r="N97" s="1799"/>
      <c r="O97" s="1799"/>
      <c r="P97" s="1799"/>
      <c r="Q97" s="1799"/>
      <c r="R97" s="1799"/>
      <c r="S97" s="1799"/>
      <c r="T97" s="1799"/>
      <c r="U97" s="1799"/>
      <c r="V97" s="1799"/>
      <c r="W97" s="1799"/>
      <c r="X97" s="1799"/>
      <c r="Y97" s="1799"/>
      <c r="Z97" s="1799"/>
    </row>
    <row r="98">
      <c r="A98" s="1799"/>
      <c r="B98" s="1799"/>
      <c r="C98" s="1799"/>
      <c r="D98" s="1812"/>
      <c r="E98" s="1799"/>
      <c r="F98" s="1813"/>
      <c r="G98" s="1814"/>
      <c r="H98" s="1799"/>
      <c r="I98" s="1799"/>
      <c r="J98" s="1799"/>
      <c r="K98" s="1799"/>
      <c r="L98" s="1799"/>
      <c r="M98" s="1799"/>
      <c r="N98" s="1799"/>
      <c r="O98" s="1799"/>
      <c r="P98" s="1799"/>
      <c r="Q98" s="1799"/>
      <c r="R98" s="1799"/>
      <c r="S98" s="1799"/>
      <c r="T98" s="1799"/>
      <c r="U98" s="1799"/>
      <c r="V98" s="1799"/>
      <c r="W98" s="1799"/>
      <c r="X98" s="1799"/>
      <c r="Y98" s="1799"/>
      <c r="Z98" s="1799"/>
    </row>
    <row r="99">
      <c r="A99" s="1799"/>
      <c r="B99" s="1799"/>
      <c r="C99" s="1799"/>
      <c r="D99" s="1812"/>
      <c r="E99" s="1799"/>
      <c r="F99" s="1813"/>
      <c r="G99" s="1814"/>
      <c r="H99" s="1799"/>
      <c r="I99" s="1799"/>
      <c r="J99" s="1799"/>
      <c r="K99" s="1799"/>
      <c r="L99" s="1799"/>
      <c r="M99" s="1799"/>
      <c r="N99" s="1799"/>
      <c r="O99" s="1799"/>
      <c r="P99" s="1799"/>
      <c r="Q99" s="1799"/>
      <c r="R99" s="1799"/>
      <c r="S99" s="1799"/>
      <c r="T99" s="1799"/>
      <c r="U99" s="1799"/>
      <c r="V99" s="1799"/>
      <c r="W99" s="1799"/>
      <c r="X99" s="1799"/>
      <c r="Y99" s="1799"/>
      <c r="Z99" s="1799"/>
    </row>
    <row r="100">
      <c r="A100" s="1799"/>
      <c r="B100" s="1799"/>
      <c r="C100" s="1799"/>
      <c r="D100" s="1812"/>
      <c r="E100" s="1799"/>
      <c r="F100" s="1813"/>
      <c r="G100" s="1814"/>
      <c r="H100" s="1799"/>
      <c r="I100" s="1799"/>
      <c r="J100" s="1799"/>
      <c r="K100" s="1799"/>
      <c r="L100" s="1799"/>
      <c r="M100" s="1799"/>
      <c r="N100" s="1799"/>
      <c r="O100" s="1799"/>
      <c r="P100" s="1799"/>
      <c r="Q100" s="1799"/>
      <c r="R100" s="1799"/>
      <c r="S100" s="1799"/>
      <c r="T100" s="1799"/>
      <c r="U100" s="1799"/>
      <c r="V100" s="1799"/>
      <c r="W100" s="1799"/>
      <c r="X100" s="1799"/>
      <c r="Y100" s="1799"/>
      <c r="Z100" s="1799"/>
    </row>
    <row r="101">
      <c r="A101" s="1799"/>
      <c r="B101" s="1799"/>
      <c r="C101" s="1799"/>
      <c r="D101" s="1812"/>
      <c r="E101" s="1799"/>
      <c r="F101" s="1813"/>
      <c r="G101" s="1814"/>
      <c r="H101" s="1799"/>
      <c r="I101" s="1799"/>
      <c r="J101" s="1799"/>
      <c r="K101" s="1799"/>
      <c r="L101" s="1799"/>
      <c r="M101" s="1799"/>
      <c r="N101" s="1799"/>
      <c r="O101" s="1799"/>
      <c r="P101" s="1799"/>
      <c r="Q101" s="1799"/>
      <c r="R101" s="1799"/>
      <c r="S101" s="1799"/>
      <c r="T101" s="1799"/>
      <c r="U101" s="1799"/>
      <c r="V101" s="1799"/>
      <c r="W101" s="1799"/>
      <c r="X101" s="1799"/>
      <c r="Y101" s="1799"/>
      <c r="Z101" s="1799"/>
    </row>
    <row r="102">
      <c r="A102" s="1799"/>
      <c r="B102" s="1799"/>
      <c r="C102" s="1799"/>
      <c r="D102" s="1812"/>
      <c r="E102" s="1799"/>
      <c r="F102" s="1813"/>
      <c r="G102" s="1814"/>
      <c r="H102" s="1799"/>
      <c r="I102" s="1799"/>
      <c r="J102" s="1799"/>
      <c r="K102" s="1799"/>
      <c r="L102" s="1799"/>
      <c r="M102" s="1799"/>
      <c r="N102" s="1799"/>
      <c r="O102" s="1799"/>
      <c r="P102" s="1799"/>
      <c r="Q102" s="1799"/>
      <c r="R102" s="1799"/>
      <c r="S102" s="1799"/>
      <c r="T102" s="1799"/>
      <c r="U102" s="1799"/>
      <c r="V102" s="1799"/>
      <c r="W102" s="1799"/>
      <c r="X102" s="1799"/>
      <c r="Y102" s="1799"/>
      <c r="Z102" s="1799"/>
    </row>
    <row r="103">
      <c r="A103" s="1799"/>
      <c r="B103" s="1799"/>
      <c r="C103" s="1799"/>
      <c r="D103" s="1812"/>
      <c r="E103" s="1799"/>
      <c r="F103" s="1813"/>
      <c r="G103" s="1814"/>
      <c r="H103" s="1799"/>
      <c r="I103" s="1799"/>
      <c r="J103" s="1799"/>
      <c r="K103" s="1799"/>
      <c r="L103" s="1799"/>
      <c r="M103" s="1799"/>
      <c r="N103" s="1799"/>
      <c r="O103" s="1799"/>
      <c r="P103" s="1799"/>
      <c r="Q103" s="1799"/>
      <c r="R103" s="1799"/>
      <c r="S103" s="1799"/>
      <c r="T103" s="1799"/>
      <c r="U103" s="1799"/>
      <c r="V103" s="1799"/>
      <c r="W103" s="1799"/>
      <c r="X103" s="1799"/>
      <c r="Y103" s="1799"/>
      <c r="Z103" s="1799"/>
    </row>
    <row r="104">
      <c r="A104" s="1799"/>
      <c r="B104" s="1799"/>
      <c r="C104" s="1799"/>
      <c r="D104" s="1812"/>
      <c r="E104" s="1799"/>
      <c r="F104" s="1813"/>
      <c r="G104" s="1814"/>
      <c r="H104" s="1799"/>
      <c r="I104" s="1799"/>
      <c r="J104" s="1799"/>
      <c r="K104" s="1799"/>
      <c r="L104" s="1799"/>
      <c r="M104" s="1799"/>
      <c r="N104" s="1799"/>
      <c r="O104" s="1799"/>
      <c r="P104" s="1799"/>
      <c r="Q104" s="1799"/>
      <c r="R104" s="1799"/>
      <c r="S104" s="1799"/>
      <c r="T104" s="1799"/>
      <c r="U104" s="1799"/>
      <c r="V104" s="1799"/>
      <c r="W104" s="1799"/>
      <c r="X104" s="1799"/>
      <c r="Y104" s="1799"/>
      <c r="Z104" s="1799"/>
    </row>
    <row r="105">
      <c r="A105" s="1799"/>
      <c r="B105" s="1799"/>
      <c r="C105" s="1799"/>
      <c r="D105" s="1812"/>
      <c r="E105" s="1799"/>
      <c r="F105" s="1813"/>
      <c r="G105" s="1814"/>
      <c r="H105" s="1799"/>
      <c r="I105" s="1799"/>
      <c r="J105" s="1799"/>
      <c r="K105" s="1799"/>
      <c r="L105" s="1799"/>
      <c r="M105" s="1799"/>
      <c r="N105" s="1799"/>
      <c r="O105" s="1799"/>
      <c r="P105" s="1799"/>
      <c r="Q105" s="1799"/>
      <c r="R105" s="1799"/>
      <c r="S105" s="1799"/>
      <c r="T105" s="1799"/>
      <c r="U105" s="1799"/>
      <c r="V105" s="1799"/>
      <c r="W105" s="1799"/>
      <c r="X105" s="1799"/>
      <c r="Y105" s="1799"/>
      <c r="Z105" s="1799"/>
    </row>
    <row r="106">
      <c r="A106" s="1799"/>
      <c r="B106" s="1799"/>
      <c r="C106" s="1799"/>
      <c r="D106" s="1812"/>
      <c r="E106" s="1799"/>
      <c r="F106" s="1813"/>
      <c r="G106" s="1814"/>
      <c r="H106" s="1799"/>
      <c r="I106" s="1799"/>
      <c r="J106" s="1799"/>
      <c r="K106" s="1799"/>
      <c r="L106" s="1799"/>
      <c r="M106" s="1799"/>
      <c r="N106" s="1799"/>
      <c r="O106" s="1799"/>
      <c r="P106" s="1799"/>
      <c r="Q106" s="1799"/>
      <c r="R106" s="1799"/>
      <c r="S106" s="1799"/>
      <c r="T106" s="1799"/>
      <c r="U106" s="1799"/>
      <c r="V106" s="1799"/>
      <c r="W106" s="1799"/>
      <c r="X106" s="1799"/>
      <c r="Y106" s="1799"/>
      <c r="Z106" s="1799"/>
    </row>
    <row r="107">
      <c r="A107" s="1799"/>
      <c r="B107" s="1799"/>
      <c r="C107" s="1799"/>
      <c r="D107" s="1812"/>
      <c r="E107" s="1799"/>
      <c r="F107" s="1813"/>
      <c r="G107" s="1814"/>
      <c r="H107" s="1799"/>
      <c r="I107" s="1799"/>
      <c r="J107" s="1799"/>
      <c r="K107" s="1799"/>
      <c r="L107" s="1799"/>
      <c r="M107" s="1799"/>
      <c r="N107" s="1799"/>
      <c r="O107" s="1799"/>
      <c r="P107" s="1799"/>
      <c r="Q107" s="1799"/>
      <c r="R107" s="1799"/>
      <c r="S107" s="1799"/>
      <c r="T107" s="1799"/>
      <c r="U107" s="1799"/>
      <c r="V107" s="1799"/>
      <c r="W107" s="1799"/>
      <c r="X107" s="1799"/>
      <c r="Y107" s="1799"/>
      <c r="Z107" s="1799"/>
    </row>
    <row r="108">
      <c r="A108" s="1799"/>
      <c r="B108" s="1799"/>
      <c r="C108" s="1799"/>
      <c r="D108" s="1812"/>
      <c r="E108" s="1799"/>
      <c r="F108" s="1813"/>
      <c r="G108" s="1814"/>
      <c r="H108" s="1799"/>
      <c r="I108" s="1799"/>
      <c r="J108" s="1799"/>
      <c r="K108" s="1799"/>
      <c r="L108" s="1799"/>
      <c r="M108" s="1799"/>
      <c r="N108" s="1799"/>
      <c r="O108" s="1799"/>
      <c r="P108" s="1799"/>
      <c r="Q108" s="1799"/>
      <c r="R108" s="1799"/>
      <c r="S108" s="1799"/>
      <c r="T108" s="1799"/>
      <c r="U108" s="1799"/>
      <c r="V108" s="1799"/>
      <c r="W108" s="1799"/>
      <c r="X108" s="1799"/>
      <c r="Y108" s="1799"/>
      <c r="Z108" s="1799"/>
    </row>
    <row r="109">
      <c r="A109" s="1799"/>
      <c r="B109" s="1799"/>
      <c r="C109" s="1799"/>
      <c r="D109" s="1812"/>
      <c r="E109" s="1799"/>
      <c r="F109" s="1813"/>
      <c r="G109" s="1814"/>
      <c r="H109" s="1799"/>
      <c r="I109" s="1799"/>
      <c r="J109" s="1799"/>
      <c r="K109" s="1799"/>
      <c r="L109" s="1799"/>
      <c r="M109" s="1799"/>
      <c r="N109" s="1799"/>
      <c r="O109" s="1799"/>
      <c r="P109" s="1799"/>
      <c r="Q109" s="1799"/>
      <c r="R109" s="1799"/>
      <c r="S109" s="1799"/>
      <c r="T109" s="1799"/>
      <c r="U109" s="1799"/>
      <c r="V109" s="1799"/>
      <c r="W109" s="1799"/>
      <c r="X109" s="1799"/>
      <c r="Y109" s="1799"/>
      <c r="Z109" s="1799"/>
    </row>
    <row r="110">
      <c r="A110" s="1799"/>
      <c r="B110" s="1799"/>
      <c r="C110" s="1799"/>
      <c r="D110" s="1812"/>
      <c r="E110" s="1799"/>
      <c r="F110" s="1813"/>
      <c r="G110" s="1814"/>
      <c r="H110" s="1799"/>
      <c r="I110" s="1799"/>
      <c r="J110" s="1799"/>
      <c r="K110" s="1799"/>
      <c r="L110" s="1799"/>
      <c r="M110" s="1799"/>
      <c r="N110" s="1799"/>
      <c r="O110" s="1799"/>
      <c r="P110" s="1799"/>
      <c r="Q110" s="1799"/>
      <c r="R110" s="1799"/>
      <c r="S110" s="1799"/>
      <c r="T110" s="1799"/>
      <c r="U110" s="1799"/>
      <c r="V110" s="1799"/>
      <c r="W110" s="1799"/>
      <c r="X110" s="1799"/>
      <c r="Y110" s="1799"/>
      <c r="Z110" s="1799"/>
    </row>
    <row r="111">
      <c r="A111" s="1799"/>
      <c r="B111" s="1799"/>
      <c r="C111" s="1799"/>
      <c r="D111" s="1812"/>
      <c r="E111" s="1799"/>
      <c r="F111" s="1813"/>
      <c r="G111" s="1814"/>
      <c r="H111" s="1799"/>
      <c r="I111" s="1799"/>
      <c r="J111" s="1799"/>
      <c r="K111" s="1799"/>
      <c r="L111" s="1799"/>
      <c r="M111" s="1799"/>
      <c r="N111" s="1799"/>
      <c r="O111" s="1799"/>
      <c r="P111" s="1799"/>
      <c r="Q111" s="1799"/>
      <c r="R111" s="1799"/>
      <c r="S111" s="1799"/>
      <c r="T111" s="1799"/>
      <c r="U111" s="1799"/>
      <c r="V111" s="1799"/>
      <c r="W111" s="1799"/>
      <c r="X111" s="1799"/>
      <c r="Y111" s="1799"/>
      <c r="Z111" s="1799"/>
    </row>
    <row r="112">
      <c r="A112" s="1799"/>
      <c r="B112" s="1799"/>
      <c r="C112" s="1799"/>
      <c r="D112" s="1812"/>
      <c r="E112" s="1799"/>
      <c r="F112" s="1813"/>
      <c r="G112" s="1814"/>
      <c r="H112" s="1799"/>
      <c r="I112" s="1799"/>
      <c r="J112" s="1799"/>
      <c r="K112" s="1799"/>
      <c r="L112" s="1799"/>
      <c r="M112" s="1799"/>
      <c r="N112" s="1799"/>
      <c r="O112" s="1799"/>
      <c r="P112" s="1799"/>
      <c r="Q112" s="1799"/>
      <c r="R112" s="1799"/>
      <c r="S112" s="1799"/>
      <c r="T112" s="1799"/>
      <c r="U112" s="1799"/>
      <c r="V112" s="1799"/>
      <c r="W112" s="1799"/>
      <c r="X112" s="1799"/>
      <c r="Y112" s="1799"/>
      <c r="Z112" s="1799"/>
    </row>
    <row r="113">
      <c r="A113" s="1799"/>
      <c r="B113" s="1799"/>
      <c r="C113" s="1799"/>
      <c r="D113" s="1812"/>
      <c r="E113" s="1799"/>
      <c r="F113" s="1813"/>
      <c r="G113" s="1814"/>
      <c r="H113" s="1799"/>
      <c r="I113" s="1799"/>
      <c r="J113" s="1799"/>
      <c r="K113" s="1799"/>
      <c r="L113" s="1799"/>
      <c r="M113" s="1799"/>
      <c r="N113" s="1799"/>
      <c r="O113" s="1799"/>
      <c r="P113" s="1799"/>
      <c r="Q113" s="1799"/>
      <c r="R113" s="1799"/>
      <c r="S113" s="1799"/>
      <c r="T113" s="1799"/>
      <c r="U113" s="1799"/>
      <c r="V113" s="1799"/>
      <c r="W113" s="1799"/>
      <c r="X113" s="1799"/>
      <c r="Y113" s="1799"/>
      <c r="Z113" s="1799"/>
    </row>
    <row r="114">
      <c r="A114" s="1799"/>
      <c r="B114" s="1799"/>
      <c r="C114" s="1799"/>
      <c r="D114" s="1812"/>
      <c r="E114" s="1799"/>
      <c r="F114" s="1813"/>
      <c r="G114" s="1814"/>
      <c r="H114" s="1799"/>
      <c r="I114" s="1799"/>
      <c r="J114" s="1799"/>
      <c r="K114" s="1799"/>
      <c r="L114" s="1799"/>
      <c r="M114" s="1799"/>
      <c r="N114" s="1799"/>
      <c r="O114" s="1799"/>
      <c r="P114" s="1799"/>
      <c r="Q114" s="1799"/>
      <c r="R114" s="1799"/>
      <c r="S114" s="1799"/>
      <c r="T114" s="1799"/>
      <c r="U114" s="1799"/>
      <c r="V114" s="1799"/>
      <c r="W114" s="1799"/>
      <c r="X114" s="1799"/>
      <c r="Y114" s="1799"/>
      <c r="Z114" s="1799"/>
    </row>
    <row r="115">
      <c r="A115" s="1799"/>
      <c r="B115" s="1799"/>
      <c r="C115" s="1799"/>
      <c r="D115" s="1812"/>
      <c r="E115" s="1799"/>
      <c r="F115" s="1813"/>
      <c r="G115" s="1814"/>
      <c r="H115" s="1799"/>
      <c r="I115" s="1799"/>
      <c r="J115" s="1799"/>
      <c r="K115" s="1799"/>
      <c r="L115" s="1799"/>
      <c r="M115" s="1799"/>
      <c r="N115" s="1799"/>
      <c r="O115" s="1799"/>
      <c r="P115" s="1799"/>
      <c r="Q115" s="1799"/>
      <c r="R115" s="1799"/>
      <c r="S115" s="1799"/>
      <c r="T115" s="1799"/>
      <c r="U115" s="1799"/>
      <c r="V115" s="1799"/>
      <c r="W115" s="1799"/>
      <c r="X115" s="1799"/>
      <c r="Y115" s="1799"/>
      <c r="Z115" s="1799"/>
    </row>
    <row r="116">
      <c r="A116" s="1799"/>
      <c r="B116" s="1799"/>
      <c r="C116" s="1799"/>
      <c r="D116" s="1812"/>
      <c r="E116" s="1799"/>
      <c r="F116" s="1813"/>
      <c r="G116" s="1814"/>
      <c r="H116" s="1799"/>
      <c r="I116" s="1799"/>
      <c r="J116" s="1799"/>
      <c r="K116" s="1799"/>
      <c r="L116" s="1799"/>
      <c r="M116" s="1799"/>
      <c r="N116" s="1799"/>
      <c r="O116" s="1799"/>
      <c r="P116" s="1799"/>
      <c r="Q116" s="1799"/>
      <c r="R116" s="1799"/>
      <c r="S116" s="1799"/>
      <c r="T116" s="1799"/>
      <c r="U116" s="1799"/>
      <c r="V116" s="1799"/>
      <c r="W116" s="1799"/>
      <c r="X116" s="1799"/>
      <c r="Y116" s="1799"/>
      <c r="Z116" s="1799"/>
    </row>
    <row r="117">
      <c r="A117" s="1799"/>
      <c r="B117" s="1799"/>
      <c r="C117" s="1799"/>
      <c r="D117" s="1812"/>
      <c r="E117" s="1799"/>
      <c r="F117" s="1813"/>
      <c r="G117" s="1814"/>
      <c r="H117" s="1799"/>
      <c r="I117" s="1799"/>
      <c r="J117" s="1799"/>
      <c r="K117" s="1799"/>
      <c r="L117" s="1799"/>
      <c r="M117" s="1799"/>
      <c r="N117" s="1799"/>
      <c r="O117" s="1799"/>
      <c r="P117" s="1799"/>
      <c r="Q117" s="1799"/>
      <c r="R117" s="1799"/>
      <c r="S117" s="1799"/>
      <c r="T117" s="1799"/>
      <c r="U117" s="1799"/>
      <c r="V117" s="1799"/>
      <c r="W117" s="1799"/>
      <c r="X117" s="1799"/>
      <c r="Y117" s="1799"/>
      <c r="Z117" s="1799"/>
    </row>
    <row r="118">
      <c r="A118" s="1799"/>
      <c r="B118" s="1799"/>
      <c r="C118" s="1799"/>
      <c r="D118" s="1812"/>
      <c r="E118" s="1799"/>
      <c r="F118" s="1813"/>
      <c r="G118" s="1814"/>
      <c r="H118" s="1799"/>
      <c r="I118" s="1799"/>
      <c r="J118" s="1799"/>
      <c r="K118" s="1799"/>
      <c r="L118" s="1799"/>
      <c r="M118" s="1799"/>
      <c r="N118" s="1799"/>
      <c r="O118" s="1799"/>
      <c r="P118" s="1799"/>
      <c r="Q118" s="1799"/>
      <c r="R118" s="1799"/>
      <c r="S118" s="1799"/>
      <c r="T118" s="1799"/>
      <c r="U118" s="1799"/>
      <c r="V118" s="1799"/>
      <c r="W118" s="1799"/>
      <c r="X118" s="1799"/>
      <c r="Y118" s="1799"/>
      <c r="Z118" s="1799"/>
    </row>
    <row r="119">
      <c r="A119" s="1799"/>
      <c r="B119" s="1799"/>
      <c r="C119" s="1799"/>
      <c r="D119" s="1812"/>
      <c r="E119" s="1799"/>
      <c r="F119" s="1813"/>
      <c r="G119" s="1814"/>
      <c r="H119" s="1799"/>
      <c r="I119" s="1799"/>
      <c r="J119" s="1799"/>
      <c r="K119" s="1799"/>
      <c r="L119" s="1799"/>
      <c r="M119" s="1799"/>
      <c r="N119" s="1799"/>
      <c r="O119" s="1799"/>
      <c r="P119" s="1799"/>
      <c r="Q119" s="1799"/>
      <c r="R119" s="1799"/>
      <c r="S119" s="1799"/>
      <c r="T119" s="1799"/>
      <c r="U119" s="1799"/>
      <c r="V119" s="1799"/>
      <c r="W119" s="1799"/>
      <c r="X119" s="1799"/>
      <c r="Y119" s="1799"/>
      <c r="Z119" s="1799"/>
    </row>
    <row r="120">
      <c r="A120" s="1799"/>
      <c r="B120" s="1799"/>
      <c r="C120" s="1799"/>
      <c r="D120" s="1812"/>
      <c r="E120" s="1799"/>
      <c r="F120" s="1813"/>
      <c r="G120" s="1814"/>
      <c r="H120" s="1799"/>
      <c r="I120" s="1799"/>
      <c r="J120" s="1799"/>
      <c r="K120" s="1799"/>
      <c r="L120" s="1799"/>
      <c r="M120" s="1799"/>
      <c r="N120" s="1799"/>
      <c r="O120" s="1799"/>
      <c r="P120" s="1799"/>
      <c r="Q120" s="1799"/>
      <c r="R120" s="1799"/>
      <c r="S120" s="1799"/>
      <c r="T120" s="1799"/>
      <c r="U120" s="1799"/>
      <c r="V120" s="1799"/>
      <c r="W120" s="1799"/>
      <c r="X120" s="1799"/>
      <c r="Y120" s="1799"/>
      <c r="Z120" s="1799"/>
    </row>
    <row r="121">
      <c r="A121" s="1799"/>
      <c r="B121" s="1799"/>
      <c r="C121" s="1799"/>
      <c r="D121" s="1812"/>
      <c r="E121" s="1799"/>
      <c r="F121" s="1813"/>
      <c r="G121" s="1814"/>
      <c r="H121" s="1799"/>
      <c r="I121" s="1799"/>
      <c r="J121" s="1799"/>
      <c r="K121" s="1799"/>
      <c r="L121" s="1799"/>
      <c r="M121" s="1799"/>
      <c r="N121" s="1799"/>
      <c r="O121" s="1799"/>
      <c r="P121" s="1799"/>
      <c r="Q121" s="1799"/>
      <c r="R121" s="1799"/>
      <c r="S121" s="1799"/>
      <c r="T121" s="1799"/>
      <c r="U121" s="1799"/>
      <c r="V121" s="1799"/>
      <c r="W121" s="1799"/>
      <c r="X121" s="1799"/>
      <c r="Y121" s="1799"/>
      <c r="Z121" s="1799"/>
    </row>
    <row r="122">
      <c r="A122" s="1799"/>
      <c r="B122" s="1799"/>
      <c r="C122" s="1799"/>
      <c r="D122" s="1812"/>
      <c r="E122" s="1799"/>
      <c r="F122" s="1813"/>
      <c r="G122" s="1814"/>
      <c r="H122" s="1799"/>
      <c r="I122" s="1799"/>
      <c r="J122" s="1799"/>
      <c r="K122" s="1799"/>
      <c r="L122" s="1799"/>
      <c r="M122" s="1799"/>
      <c r="N122" s="1799"/>
      <c r="O122" s="1799"/>
      <c r="P122" s="1799"/>
      <c r="Q122" s="1799"/>
      <c r="R122" s="1799"/>
      <c r="S122" s="1799"/>
      <c r="T122" s="1799"/>
      <c r="U122" s="1799"/>
      <c r="V122" s="1799"/>
      <c r="W122" s="1799"/>
      <c r="X122" s="1799"/>
      <c r="Y122" s="1799"/>
      <c r="Z122" s="1799"/>
    </row>
    <row r="123">
      <c r="A123" s="1799"/>
      <c r="B123" s="1799"/>
      <c r="C123" s="1799"/>
      <c r="D123" s="1812"/>
      <c r="E123" s="1799"/>
      <c r="F123" s="1813"/>
      <c r="G123" s="1814"/>
      <c r="H123" s="1799"/>
      <c r="I123" s="1799"/>
      <c r="J123" s="1799"/>
      <c r="K123" s="1799"/>
      <c r="L123" s="1799"/>
      <c r="M123" s="1799"/>
      <c r="N123" s="1799"/>
      <c r="O123" s="1799"/>
      <c r="P123" s="1799"/>
      <c r="Q123" s="1799"/>
      <c r="R123" s="1799"/>
      <c r="S123" s="1799"/>
      <c r="T123" s="1799"/>
      <c r="U123" s="1799"/>
      <c r="V123" s="1799"/>
      <c r="W123" s="1799"/>
      <c r="X123" s="1799"/>
      <c r="Y123" s="1799"/>
      <c r="Z123" s="1799"/>
    </row>
    <row r="124">
      <c r="A124" s="1799"/>
      <c r="B124" s="1799"/>
      <c r="C124" s="1799"/>
      <c r="D124" s="1812"/>
      <c r="E124" s="1799"/>
      <c r="F124" s="1813"/>
      <c r="G124" s="1814"/>
      <c r="H124" s="1799"/>
      <c r="I124" s="1799"/>
      <c r="J124" s="1799"/>
      <c r="K124" s="1799"/>
      <c r="L124" s="1799"/>
      <c r="M124" s="1799"/>
      <c r="N124" s="1799"/>
      <c r="O124" s="1799"/>
      <c r="P124" s="1799"/>
      <c r="Q124" s="1799"/>
      <c r="R124" s="1799"/>
      <c r="S124" s="1799"/>
      <c r="T124" s="1799"/>
      <c r="U124" s="1799"/>
      <c r="V124" s="1799"/>
      <c r="W124" s="1799"/>
      <c r="X124" s="1799"/>
      <c r="Y124" s="1799"/>
      <c r="Z124" s="1799"/>
    </row>
    <row r="125">
      <c r="A125" s="1799"/>
      <c r="B125" s="1799"/>
      <c r="C125" s="1799"/>
      <c r="D125" s="1812"/>
      <c r="E125" s="1799"/>
      <c r="F125" s="1813"/>
      <c r="G125" s="1814"/>
      <c r="H125" s="1799"/>
      <c r="I125" s="1799"/>
      <c r="J125" s="1799"/>
      <c r="K125" s="1799"/>
      <c r="L125" s="1799"/>
      <c r="M125" s="1799"/>
      <c r="N125" s="1799"/>
      <c r="O125" s="1799"/>
      <c r="P125" s="1799"/>
      <c r="Q125" s="1799"/>
      <c r="R125" s="1799"/>
      <c r="S125" s="1799"/>
      <c r="T125" s="1799"/>
      <c r="U125" s="1799"/>
      <c r="V125" s="1799"/>
      <c r="W125" s="1799"/>
      <c r="X125" s="1799"/>
      <c r="Y125" s="1799"/>
      <c r="Z125" s="1799"/>
    </row>
    <row r="126">
      <c r="A126" s="1799"/>
      <c r="B126" s="1799"/>
      <c r="C126" s="1799"/>
      <c r="D126" s="1812"/>
      <c r="E126" s="1799"/>
      <c r="F126" s="1813"/>
      <c r="G126" s="1814"/>
      <c r="H126" s="1799"/>
      <c r="I126" s="1799"/>
      <c r="J126" s="1799"/>
      <c r="K126" s="1799"/>
      <c r="L126" s="1799"/>
      <c r="M126" s="1799"/>
      <c r="N126" s="1799"/>
      <c r="O126" s="1799"/>
      <c r="P126" s="1799"/>
      <c r="Q126" s="1799"/>
      <c r="R126" s="1799"/>
      <c r="S126" s="1799"/>
      <c r="T126" s="1799"/>
      <c r="U126" s="1799"/>
      <c r="V126" s="1799"/>
      <c r="W126" s="1799"/>
      <c r="X126" s="1799"/>
      <c r="Y126" s="1799"/>
      <c r="Z126" s="1799"/>
    </row>
    <row r="127">
      <c r="A127" s="1799"/>
      <c r="B127" s="1799"/>
      <c r="C127" s="1799"/>
      <c r="D127" s="1812"/>
      <c r="E127" s="1799"/>
      <c r="F127" s="1813"/>
      <c r="G127" s="1814"/>
      <c r="H127" s="1799"/>
      <c r="I127" s="1799"/>
      <c r="J127" s="1799"/>
      <c r="K127" s="1799"/>
      <c r="L127" s="1799"/>
      <c r="M127" s="1799"/>
      <c r="N127" s="1799"/>
      <c r="O127" s="1799"/>
      <c r="P127" s="1799"/>
      <c r="Q127" s="1799"/>
      <c r="R127" s="1799"/>
      <c r="S127" s="1799"/>
      <c r="T127" s="1799"/>
      <c r="U127" s="1799"/>
      <c r="V127" s="1799"/>
      <c r="W127" s="1799"/>
      <c r="X127" s="1799"/>
      <c r="Y127" s="1799"/>
      <c r="Z127" s="1799"/>
    </row>
    <row r="128">
      <c r="A128" s="1799"/>
      <c r="B128" s="1799"/>
      <c r="C128" s="1799"/>
      <c r="D128" s="1812"/>
      <c r="E128" s="1799"/>
      <c r="F128" s="1813"/>
      <c r="G128" s="1814"/>
      <c r="H128" s="1799"/>
      <c r="I128" s="1799"/>
      <c r="J128" s="1799"/>
      <c r="K128" s="1799"/>
      <c r="L128" s="1799"/>
      <c r="M128" s="1799"/>
      <c r="N128" s="1799"/>
      <c r="O128" s="1799"/>
      <c r="P128" s="1799"/>
      <c r="Q128" s="1799"/>
      <c r="R128" s="1799"/>
      <c r="S128" s="1799"/>
      <c r="T128" s="1799"/>
      <c r="U128" s="1799"/>
      <c r="V128" s="1799"/>
      <c r="W128" s="1799"/>
      <c r="X128" s="1799"/>
      <c r="Y128" s="1799"/>
      <c r="Z128" s="1799"/>
    </row>
    <row r="129">
      <c r="A129" s="1799"/>
      <c r="B129" s="1799"/>
      <c r="C129" s="1799"/>
      <c r="D129" s="1812"/>
      <c r="E129" s="1799"/>
      <c r="F129" s="1813"/>
      <c r="G129" s="1814"/>
      <c r="H129" s="1799"/>
      <c r="I129" s="1799"/>
      <c r="J129" s="1799"/>
      <c r="K129" s="1799"/>
      <c r="L129" s="1799"/>
      <c r="M129" s="1799"/>
      <c r="N129" s="1799"/>
      <c r="O129" s="1799"/>
      <c r="P129" s="1799"/>
      <c r="Q129" s="1799"/>
      <c r="R129" s="1799"/>
      <c r="S129" s="1799"/>
      <c r="T129" s="1799"/>
      <c r="U129" s="1799"/>
      <c r="V129" s="1799"/>
      <c r="W129" s="1799"/>
      <c r="X129" s="1799"/>
      <c r="Y129" s="1799"/>
      <c r="Z129" s="1799"/>
    </row>
    <row r="130">
      <c r="A130" s="1799"/>
      <c r="B130" s="1799"/>
      <c r="C130" s="1799"/>
      <c r="D130" s="1812"/>
      <c r="E130" s="1799"/>
      <c r="F130" s="1813"/>
      <c r="G130" s="1814"/>
      <c r="H130" s="1799"/>
      <c r="I130" s="1799"/>
      <c r="J130" s="1799"/>
      <c r="K130" s="1799"/>
      <c r="L130" s="1799"/>
      <c r="M130" s="1799"/>
      <c r="N130" s="1799"/>
      <c r="O130" s="1799"/>
      <c r="P130" s="1799"/>
      <c r="Q130" s="1799"/>
      <c r="R130" s="1799"/>
      <c r="S130" s="1799"/>
      <c r="T130" s="1799"/>
      <c r="U130" s="1799"/>
      <c r="V130" s="1799"/>
      <c r="W130" s="1799"/>
      <c r="X130" s="1799"/>
      <c r="Y130" s="1799"/>
      <c r="Z130" s="1799"/>
    </row>
    <row r="131">
      <c r="A131" s="1799"/>
      <c r="B131" s="1799"/>
      <c r="C131" s="1799"/>
      <c r="D131" s="1812"/>
      <c r="E131" s="1799"/>
      <c r="F131" s="1813"/>
      <c r="G131" s="1814"/>
      <c r="H131" s="1799"/>
      <c r="I131" s="1799"/>
      <c r="J131" s="1799"/>
      <c r="K131" s="1799"/>
      <c r="L131" s="1799"/>
      <c r="M131" s="1799"/>
      <c r="N131" s="1799"/>
      <c r="O131" s="1799"/>
      <c r="P131" s="1799"/>
      <c r="Q131" s="1799"/>
      <c r="R131" s="1799"/>
      <c r="S131" s="1799"/>
      <c r="T131" s="1799"/>
      <c r="U131" s="1799"/>
      <c r="V131" s="1799"/>
      <c r="W131" s="1799"/>
      <c r="X131" s="1799"/>
      <c r="Y131" s="1799"/>
      <c r="Z131" s="1799"/>
    </row>
    <row r="132">
      <c r="A132" s="1799"/>
      <c r="B132" s="1799"/>
      <c r="C132" s="1799"/>
      <c r="D132" s="1812"/>
      <c r="E132" s="1799"/>
      <c r="F132" s="1813"/>
      <c r="G132" s="1814"/>
      <c r="H132" s="1799"/>
      <c r="I132" s="1799"/>
      <c r="J132" s="1799"/>
      <c r="K132" s="1799"/>
      <c r="L132" s="1799"/>
      <c r="M132" s="1799"/>
      <c r="N132" s="1799"/>
      <c r="O132" s="1799"/>
      <c r="P132" s="1799"/>
      <c r="Q132" s="1799"/>
      <c r="R132" s="1799"/>
      <c r="S132" s="1799"/>
      <c r="T132" s="1799"/>
      <c r="U132" s="1799"/>
      <c r="V132" s="1799"/>
      <c r="W132" s="1799"/>
      <c r="X132" s="1799"/>
      <c r="Y132" s="1799"/>
      <c r="Z132" s="1799"/>
    </row>
    <row r="133">
      <c r="A133" s="1799"/>
      <c r="B133" s="1799"/>
      <c r="C133" s="1799"/>
      <c r="D133" s="1812"/>
      <c r="E133" s="1799"/>
      <c r="F133" s="1813"/>
      <c r="G133" s="1814"/>
      <c r="H133" s="1799"/>
      <c r="I133" s="1799"/>
      <c r="J133" s="1799"/>
      <c r="K133" s="1799"/>
      <c r="L133" s="1799"/>
      <c r="M133" s="1799"/>
      <c r="N133" s="1799"/>
      <c r="O133" s="1799"/>
      <c r="P133" s="1799"/>
      <c r="Q133" s="1799"/>
      <c r="R133" s="1799"/>
      <c r="S133" s="1799"/>
      <c r="T133" s="1799"/>
      <c r="U133" s="1799"/>
      <c r="V133" s="1799"/>
      <c r="W133" s="1799"/>
      <c r="X133" s="1799"/>
      <c r="Y133" s="1799"/>
      <c r="Z133" s="1799"/>
    </row>
    <row r="134">
      <c r="A134" s="1799"/>
      <c r="B134" s="1799"/>
      <c r="C134" s="1799"/>
      <c r="D134" s="1812"/>
      <c r="E134" s="1799"/>
      <c r="F134" s="1813"/>
      <c r="G134" s="1814"/>
      <c r="H134" s="1799"/>
      <c r="I134" s="1799"/>
      <c r="J134" s="1799"/>
      <c r="K134" s="1799"/>
      <c r="L134" s="1799"/>
      <c r="M134" s="1799"/>
      <c r="N134" s="1799"/>
      <c r="O134" s="1799"/>
      <c r="P134" s="1799"/>
      <c r="Q134" s="1799"/>
      <c r="R134" s="1799"/>
      <c r="S134" s="1799"/>
      <c r="T134" s="1799"/>
      <c r="U134" s="1799"/>
      <c r="V134" s="1799"/>
      <c r="W134" s="1799"/>
      <c r="X134" s="1799"/>
      <c r="Y134" s="1799"/>
      <c r="Z134" s="1799"/>
    </row>
    <row r="135">
      <c r="A135" s="1799"/>
      <c r="B135" s="1799"/>
      <c r="C135" s="1799"/>
      <c r="D135" s="1812"/>
      <c r="E135" s="1799"/>
      <c r="F135" s="1813"/>
      <c r="G135" s="1814"/>
      <c r="H135" s="1799"/>
      <c r="I135" s="1799"/>
      <c r="J135" s="1799"/>
      <c r="K135" s="1799"/>
      <c r="L135" s="1799"/>
      <c r="M135" s="1799"/>
      <c r="N135" s="1799"/>
      <c r="O135" s="1799"/>
      <c r="P135" s="1799"/>
      <c r="Q135" s="1799"/>
      <c r="R135" s="1799"/>
      <c r="S135" s="1799"/>
      <c r="T135" s="1799"/>
      <c r="U135" s="1799"/>
      <c r="V135" s="1799"/>
      <c r="W135" s="1799"/>
      <c r="X135" s="1799"/>
      <c r="Y135" s="1799"/>
      <c r="Z135" s="1799"/>
    </row>
    <row r="136">
      <c r="A136" s="1799"/>
      <c r="B136" s="1799"/>
      <c r="C136" s="1799"/>
      <c r="D136" s="1812"/>
      <c r="E136" s="1799"/>
      <c r="F136" s="1813"/>
      <c r="G136" s="1814"/>
      <c r="H136" s="1799"/>
      <c r="I136" s="1799"/>
      <c r="J136" s="1799"/>
      <c r="K136" s="1799"/>
      <c r="L136" s="1799"/>
      <c r="M136" s="1799"/>
      <c r="N136" s="1799"/>
      <c r="O136" s="1799"/>
      <c r="P136" s="1799"/>
      <c r="Q136" s="1799"/>
      <c r="R136" s="1799"/>
      <c r="S136" s="1799"/>
      <c r="T136" s="1799"/>
      <c r="U136" s="1799"/>
      <c r="V136" s="1799"/>
      <c r="W136" s="1799"/>
      <c r="X136" s="1799"/>
      <c r="Y136" s="1799"/>
      <c r="Z136" s="1799"/>
    </row>
    <row r="137">
      <c r="A137" s="1799"/>
      <c r="B137" s="1799"/>
      <c r="C137" s="1799"/>
      <c r="D137" s="1812"/>
      <c r="E137" s="1799"/>
      <c r="F137" s="1813"/>
      <c r="G137" s="1814"/>
      <c r="H137" s="1799"/>
      <c r="I137" s="1799"/>
      <c r="J137" s="1799"/>
      <c r="K137" s="1799"/>
      <c r="L137" s="1799"/>
      <c r="M137" s="1799"/>
      <c r="N137" s="1799"/>
      <c r="O137" s="1799"/>
      <c r="P137" s="1799"/>
      <c r="Q137" s="1799"/>
      <c r="R137" s="1799"/>
      <c r="S137" s="1799"/>
      <c r="T137" s="1799"/>
      <c r="U137" s="1799"/>
      <c r="V137" s="1799"/>
      <c r="W137" s="1799"/>
      <c r="X137" s="1799"/>
      <c r="Y137" s="1799"/>
      <c r="Z137" s="1799"/>
    </row>
    <row r="138">
      <c r="A138" s="1799"/>
      <c r="B138" s="1799"/>
      <c r="C138" s="1799"/>
      <c r="D138" s="1812"/>
      <c r="E138" s="1799"/>
      <c r="F138" s="1813"/>
      <c r="G138" s="1814"/>
      <c r="H138" s="1799"/>
      <c r="I138" s="1799"/>
      <c r="J138" s="1799"/>
      <c r="K138" s="1799"/>
      <c r="L138" s="1799"/>
      <c r="M138" s="1799"/>
      <c r="N138" s="1799"/>
      <c r="O138" s="1799"/>
      <c r="P138" s="1799"/>
      <c r="Q138" s="1799"/>
      <c r="R138" s="1799"/>
      <c r="S138" s="1799"/>
      <c r="T138" s="1799"/>
      <c r="U138" s="1799"/>
      <c r="V138" s="1799"/>
      <c r="W138" s="1799"/>
      <c r="X138" s="1799"/>
      <c r="Y138" s="1799"/>
      <c r="Z138" s="1799"/>
    </row>
    <row r="139">
      <c r="A139" s="1799"/>
      <c r="B139" s="1799"/>
      <c r="C139" s="1799"/>
      <c r="D139" s="1812"/>
      <c r="E139" s="1799"/>
      <c r="F139" s="1813"/>
      <c r="G139" s="1814"/>
      <c r="H139" s="1799"/>
      <c r="I139" s="1799"/>
      <c r="J139" s="1799"/>
      <c r="K139" s="1799"/>
      <c r="L139" s="1799"/>
      <c r="M139" s="1799"/>
      <c r="N139" s="1799"/>
      <c r="O139" s="1799"/>
      <c r="P139" s="1799"/>
      <c r="Q139" s="1799"/>
      <c r="R139" s="1799"/>
      <c r="S139" s="1799"/>
      <c r="T139" s="1799"/>
      <c r="U139" s="1799"/>
      <c r="V139" s="1799"/>
      <c r="W139" s="1799"/>
      <c r="X139" s="1799"/>
      <c r="Y139" s="1799"/>
      <c r="Z139" s="1799"/>
    </row>
    <row r="140">
      <c r="A140" s="1799"/>
      <c r="B140" s="1799"/>
      <c r="C140" s="1799"/>
      <c r="D140" s="1812"/>
      <c r="E140" s="1799"/>
      <c r="F140" s="1813"/>
      <c r="G140" s="1814"/>
      <c r="H140" s="1799"/>
      <c r="I140" s="1799"/>
      <c r="J140" s="1799"/>
      <c r="K140" s="1799"/>
      <c r="L140" s="1799"/>
      <c r="M140" s="1799"/>
      <c r="N140" s="1799"/>
      <c r="O140" s="1799"/>
      <c r="P140" s="1799"/>
      <c r="Q140" s="1799"/>
      <c r="R140" s="1799"/>
      <c r="S140" s="1799"/>
      <c r="T140" s="1799"/>
      <c r="U140" s="1799"/>
      <c r="V140" s="1799"/>
      <c r="W140" s="1799"/>
      <c r="X140" s="1799"/>
      <c r="Y140" s="1799"/>
      <c r="Z140" s="1799"/>
    </row>
    <row r="141">
      <c r="A141" s="1799"/>
      <c r="B141" s="1799"/>
      <c r="C141" s="1799"/>
      <c r="D141" s="1812"/>
      <c r="E141" s="1799"/>
      <c r="F141" s="1813"/>
      <c r="G141" s="1814"/>
      <c r="H141" s="1799"/>
      <c r="I141" s="1799"/>
      <c r="J141" s="1799"/>
      <c r="K141" s="1799"/>
      <c r="L141" s="1799"/>
      <c r="M141" s="1799"/>
      <c r="N141" s="1799"/>
      <c r="O141" s="1799"/>
      <c r="P141" s="1799"/>
      <c r="Q141" s="1799"/>
      <c r="R141" s="1799"/>
      <c r="S141" s="1799"/>
      <c r="T141" s="1799"/>
      <c r="U141" s="1799"/>
      <c r="V141" s="1799"/>
      <c r="W141" s="1799"/>
      <c r="X141" s="1799"/>
      <c r="Y141" s="1799"/>
      <c r="Z141" s="1799"/>
    </row>
    <row r="142">
      <c r="A142" s="1799"/>
      <c r="B142" s="1799"/>
      <c r="C142" s="1799"/>
      <c r="D142" s="1812"/>
      <c r="E142" s="1799"/>
      <c r="F142" s="1813"/>
      <c r="G142" s="1814"/>
      <c r="H142" s="1799"/>
      <c r="I142" s="1799"/>
      <c r="J142" s="1799"/>
      <c r="K142" s="1799"/>
      <c r="L142" s="1799"/>
      <c r="M142" s="1799"/>
      <c r="N142" s="1799"/>
      <c r="O142" s="1799"/>
      <c r="P142" s="1799"/>
      <c r="Q142" s="1799"/>
      <c r="R142" s="1799"/>
      <c r="S142" s="1799"/>
      <c r="T142" s="1799"/>
      <c r="U142" s="1799"/>
      <c r="V142" s="1799"/>
      <c r="W142" s="1799"/>
      <c r="X142" s="1799"/>
      <c r="Y142" s="1799"/>
      <c r="Z142" s="1799"/>
    </row>
    <row r="143">
      <c r="A143" s="1799"/>
      <c r="B143" s="1799"/>
      <c r="C143" s="1799"/>
      <c r="D143" s="1812"/>
      <c r="E143" s="1799"/>
      <c r="F143" s="1813"/>
      <c r="G143" s="1814"/>
      <c r="H143" s="1799"/>
      <c r="I143" s="1799"/>
      <c r="J143" s="1799"/>
      <c r="K143" s="1799"/>
      <c r="L143" s="1799"/>
      <c r="M143" s="1799"/>
      <c r="N143" s="1799"/>
      <c r="O143" s="1799"/>
      <c r="P143" s="1799"/>
      <c r="Q143" s="1799"/>
      <c r="R143" s="1799"/>
      <c r="S143" s="1799"/>
      <c r="T143" s="1799"/>
      <c r="U143" s="1799"/>
      <c r="V143" s="1799"/>
      <c r="W143" s="1799"/>
      <c r="X143" s="1799"/>
      <c r="Y143" s="1799"/>
      <c r="Z143" s="1799"/>
    </row>
    <row r="144">
      <c r="A144" s="1799"/>
      <c r="B144" s="1799"/>
      <c r="C144" s="1799"/>
      <c r="D144" s="1812"/>
      <c r="E144" s="1799"/>
      <c r="F144" s="1813"/>
      <c r="G144" s="1814"/>
      <c r="H144" s="1799"/>
      <c r="I144" s="1799"/>
      <c r="J144" s="1799"/>
      <c r="K144" s="1799"/>
      <c r="L144" s="1799"/>
      <c r="M144" s="1799"/>
      <c r="N144" s="1799"/>
      <c r="O144" s="1799"/>
      <c r="P144" s="1799"/>
      <c r="Q144" s="1799"/>
      <c r="R144" s="1799"/>
      <c r="S144" s="1799"/>
      <c r="T144" s="1799"/>
      <c r="U144" s="1799"/>
      <c r="V144" s="1799"/>
      <c r="W144" s="1799"/>
      <c r="X144" s="1799"/>
      <c r="Y144" s="1799"/>
      <c r="Z144" s="1799"/>
    </row>
    <row r="145">
      <c r="A145" s="1799"/>
      <c r="B145" s="1799"/>
      <c r="C145" s="1799"/>
      <c r="D145" s="1812"/>
      <c r="E145" s="1799"/>
      <c r="F145" s="1813"/>
      <c r="G145" s="1814"/>
      <c r="H145" s="1799"/>
      <c r="I145" s="1799"/>
      <c r="J145" s="1799"/>
      <c r="K145" s="1799"/>
      <c r="L145" s="1799"/>
      <c r="M145" s="1799"/>
      <c r="N145" s="1799"/>
      <c r="O145" s="1799"/>
      <c r="P145" s="1799"/>
      <c r="Q145" s="1799"/>
      <c r="R145" s="1799"/>
      <c r="S145" s="1799"/>
      <c r="T145" s="1799"/>
      <c r="U145" s="1799"/>
      <c r="V145" s="1799"/>
      <c r="W145" s="1799"/>
      <c r="X145" s="1799"/>
      <c r="Y145" s="1799"/>
      <c r="Z145" s="1799"/>
    </row>
    <row r="146">
      <c r="A146" s="1799"/>
      <c r="B146" s="1799"/>
      <c r="C146" s="1799"/>
      <c r="D146" s="1812"/>
      <c r="E146" s="1799"/>
      <c r="F146" s="1813"/>
      <c r="G146" s="1814"/>
      <c r="H146" s="1799"/>
      <c r="I146" s="1799"/>
      <c r="J146" s="1799"/>
      <c r="K146" s="1799"/>
      <c r="L146" s="1799"/>
      <c r="M146" s="1799"/>
      <c r="N146" s="1799"/>
      <c r="O146" s="1799"/>
      <c r="P146" s="1799"/>
      <c r="Q146" s="1799"/>
      <c r="R146" s="1799"/>
      <c r="S146" s="1799"/>
      <c r="T146" s="1799"/>
      <c r="U146" s="1799"/>
      <c r="V146" s="1799"/>
      <c r="W146" s="1799"/>
      <c r="X146" s="1799"/>
      <c r="Y146" s="1799"/>
      <c r="Z146" s="1799"/>
    </row>
    <row r="147">
      <c r="A147" s="1799"/>
      <c r="B147" s="1799"/>
      <c r="C147" s="1799"/>
      <c r="D147" s="1812"/>
      <c r="E147" s="1799"/>
      <c r="F147" s="1813"/>
      <c r="G147" s="1814"/>
      <c r="H147" s="1799"/>
      <c r="I147" s="1799"/>
      <c r="J147" s="1799"/>
      <c r="K147" s="1799"/>
      <c r="L147" s="1799"/>
      <c r="M147" s="1799"/>
      <c r="N147" s="1799"/>
      <c r="O147" s="1799"/>
      <c r="P147" s="1799"/>
      <c r="Q147" s="1799"/>
      <c r="R147" s="1799"/>
      <c r="S147" s="1799"/>
      <c r="T147" s="1799"/>
      <c r="U147" s="1799"/>
      <c r="V147" s="1799"/>
      <c r="W147" s="1799"/>
      <c r="X147" s="1799"/>
      <c r="Y147" s="1799"/>
      <c r="Z147" s="1799"/>
    </row>
    <row r="148">
      <c r="A148" s="1799"/>
      <c r="B148" s="1799"/>
      <c r="C148" s="1799"/>
      <c r="D148" s="1812"/>
      <c r="E148" s="1799"/>
      <c r="F148" s="1813"/>
      <c r="G148" s="1814"/>
      <c r="H148" s="1799"/>
      <c r="I148" s="1799"/>
      <c r="J148" s="1799"/>
      <c r="K148" s="1799"/>
      <c r="L148" s="1799"/>
      <c r="M148" s="1799"/>
      <c r="N148" s="1799"/>
      <c r="O148" s="1799"/>
      <c r="P148" s="1799"/>
      <c r="Q148" s="1799"/>
      <c r="R148" s="1799"/>
      <c r="S148" s="1799"/>
      <c r="T148" s="1799"/>
      <c r="U148" s="1799"/>
      <c r="V148" s="1799"/>
      <c r="W148" s="1799"/>
      <c r="X148" s="1799"/>
      <c r="Y148" s="1799"/>
      <c r="Z148" s="1799"/>
    </row>
    <row r="149">
      <c r="A149" s="1799"/>
      <c r="B149" s="1799"/>
      <c r="C149" s="1799"/>
      <c r="D149" s="1812"/>
      <c r="E149" s="1799"/>
      <c r="F149" s="1813"/>
      <c r="G149" s="1814"/>
      <c r="H149" s="1799"/>
      <c r="I149" s="1799"/>
      <c r="J149" s="1799"/>
      <c r="K149" s="1799"/>
      <c r="L149" s="1799"/>
      <c r="M149" s="1799"/>
      <c r="N149" s="1799"/>
      <c r="O149" s="1799"/>
      <c r="P149" s="1799"/>
      <c r="Q149" s="1799"/>
      <c r="R149" s="1799"/>
      <c r="S149" s="1799"/>
      <c r="T149" s="1799"/>
      <c r="U149" s="1799"/>
      <c r="V149" s="1799"/>
      <c r="W149" s="1799"/>
      <c r="X149" s="1799"/>
      <c r="Y149" s="1799"/>
      <c r="Z149" s="1799"/>
    </row>
    <row r="150">
      <c r="A150" s="1799"/>
      <c r="B150" s="1799"/>
      <c r="C150" s="1799"/>
      <c r="D150" s="1812"/>
      <c r="E150" s="1799"/>
      <c r="F150" s="1813"/>
      <c r="G150" s="1814"/>
      <c r="H150" s="1799"/>
      <c r="I150" s="1799"/>
      <c r="J150" s="1799"/>
      <c r="K150" s="1799"/>
      <c r="L150" s="1799"/>
      <c r="M150" s="1799"/>
      <c r="N150" s="1799"/>
      <c r="O150" s="1799"/>
      <c r="P150" s="1799"/>
      <c r="Q150" s="1799"/>
      <c r="R150" s="1799"/>
      <c r="S150" s="1799"/>
      <c r="T150" s="1799"/>
      <c r="U150" s="1799"/>
      <c r="V150" s="1799"/>
      <c r="W150" s="1799"/>
      <c r="X150" s="1799"/>
      <c r="Y150" s="1799"/>
      <c r="Z150" s="1799"/>
    </row>
    <row r="151">
      <c r="A151" s="1799"/>
      <c r="B151" s="1799"/>
      <c r="C151" s="1799"/>
      <c r="D151" s="1812"/>
      <c r="E151" s="1799"/>
      <c r="F151" s="1813"/>
      <c r="G151" s="1814"/>
      <c r="H151" s="1799"/>
      <c r="I151" s="1799"/>
      <c r="J151" s="1799"/>
      <c r="K151" s="1799"/>
      <c r="L151" s="1799"/>
      <c r="M151" s="1799"/>
      <c r="N151" s="1799"/>
      <c r="O151" s="1799"/>
      <c r="P151" s="1799"/>
      <c r="Q151" s="1799"/>
      <c r="R151" s="1799"/>
      <c r="S151" s="1799"/>
      <c r="T151" s="1799"/>
      <c r="U151" s="1799"/>
      <c r="V151" s="1799"/>
      <c r="W151" s="1799"/>
      <c r="X151" s="1799"/>
      <c r="Y151" s="1799"/>
      <c r="Z151" s="1799"/>
    </row>
    <row r="152">
      <c r="A152" s="1799"/>
      <c r="B152" s="1799"/>
      <c r="C152" s="1799"/>
      <c r="D152" s="1812"/>
      <c r="E152" s="1799"/>
      <c r="F152" s="1813"/>
      <c r="G152" s="1814"/>
      <c r="H152" s="1799"/>
      <c r="I152" s="1799"/>
      <c r="J152" s="1799"/>
      <c r="K152" s="1799"/>
      <c r="L152" s="1799"/>
      <c r="M152" s="1799"/>
      <c r="N152" s="1799"/>
      <c r="O152" s="1799"/>
      <c r="P152" s="1799"/>
      <c r="Q152" s="1799"/>
      <c r="R152" s="1799"/>
      <c r="S152" s="1799"/>
      <c r="T152" s="1799"/>
      <c r="U152" s="1799"/>
      <c r="V152" s="1799"/>
      <c r="W152" s="1799"/>
      <c r="X152" s="1799"/>
      <c r="Y152" s="1799"/>
      <c r="Z152" s="1799"/>
    </row>
    <row r="153">
      <c r="A153" s="1799"/>
      <c r="B153" s="1799"/>
      <c r="C153" s="1799"/>
      <c r="D153" s="1812"/>
      <c r="E153" s="1799"/>
      <c r="F153" s="1813"/>
      <c r="G153" s="1814"/>
      <c r="H153" s="1799"/>
      <c r="I153" s="1799"/>
      <c r="J153" s="1799"/>
      <c r="K153" s="1799"/>
      <c r="L153" s="1799"/>
      <c r="M153" s="1799"/>
      <c r="N153" s="1799"/>
      <c r="O153" s="1799"/>
      <c r="P153" s="1799"/>
      <c r="Q153" s="1799"/>
      <c r="R153" s="1799"/>
      <c r="S153" s="1799"/>
      <c r="T153" s="1799"/>
      <c r="U153" s="1799"/>
      <c r="V153" s="1799"/>
      <c r="W153" s="1799"/>
      <c r="X153" s="1799"/>
      <c r="Y153" s="1799"/>
      <c r="Z153" s="1799"/>
    </row>
    <row r="154">
      <c r="A154" s="1799"/>
      <c r="B154" s="1799"/>
      <c r="C154" s="1799"/>
      <c r="D154" s="1812"/>
      <c r="E154" s="1799"/>
      <c r="F154" s="1813"/>
      <c r="G154" s="1814"/>
      <c r="H154" s="1799"/>
      <c r="I154" s="1799"/>
      <c r="J154" s="1799"/>
      <c r="K154" s="1799"/>
      <c r="L154" s="1799"/>
      <c r="M154" s="1799"/>
      <c r="N154" s="1799"/>
      <c r="O154" s="1799"/>
      <c r="P154" s="1799"/>
      <c r="Q154" s="1799"/>
      <c r="R154" s="1799"/>
      <c r="S154" s="1799"/>
      <c r="T154" s="1799"/>
      <c r="U154" s="1799"/>
      <c r="V154" s="1799"/>
      <c r="W154" s="1799"/>
      <c r="X154" s="1799"/>
      <c r="Y154" s="1799"/>
      <c r="Z154" s="1799"/>
    </row>
    <row r="155">
      <c r="A155" s="1799"/>
      <c r="B155" s="1799"/>
      <c r="C155" s="1799"/>
      <c r="D155" s="1812"/>
      <c r="E155" s="1799"/>
      <c r="F155" s="1813"/>
      <c r="G155" s="1814"/>
      <c r="H155" s="1799"/>
      <c r="I155" s="1799"/>
      <c r="J155" s="1799"/>
      <c r="K155" s="1799"/>
      <c r="L155" s="1799"/>
      <c r="M155" s="1799"/>
      <c r="N155" s="1799"/>
      <c r="O155" s="1799"/>
      <c r="P155" s="1799"/>
      <c r="Q155" s="1799"/>
      <c r="R155" s="1799"/>
      <c r="S155" s="1799"/>
      <c r="T155" s="1799"/>
      <c r="U155" s="1799"/>
      <c r="V155" s="1799"/>
      <c r="W155" s="1799"/>
      <c r="X155" s="1799"/>
      <c r="Y155" s="1799"/>
      <c r="Z155" s="1799"/>
    </row>
    <row r="156">
      <c r="A156" s="1799"/>
      <c r="B156" s="1799"/>
      <c r="C156" s="1799"/>
      <c r="D156" s="1812"/>
      <c r="E156" s="1799"/>
      <c r="F156" s="1813"/>
      <c r="G156" s="1814"/>
      <c r="H156" s="1799"/>
      <c r="I156" s="1799"/>
      <c r="J156" s="1799"/>
      <c r="K156" s="1799"/>
      <c r="L156" s="1799"/>
      <c r="M156" s="1799"/>
      <c r="N156" s="1799"/>
      <c r="O156" s="1799"/>
      <c r="P156" s="1799"/>
      <c r="Q156" s="1799"/>
      <c r="R156" s="1799"/>
      <c r="S156" s="1799"/>
      <c r="T156" s="1799"/>
      <c r="U156" s="1799"/>
      <c r="V156" s="1799"/>
      <c r="W156" s="1799"/>
      <c r="X156" s="1799"/>
      <c r="Y156" s="1799"/>
      <c r="Z156" s="1799"/>
    </row>
    <row r="157">
      <c r="A157" s="1799"/>
      <c r="B157" s="1799"/>
      <c r="C157" s="1799"/>
      <c r="D157" s="1812"/>
      <c r="E157" s="1799"/>
      <c r="F157" s="1813"/>
      <c r="G157" s="1814"/>
      <c r="H157" s="1799"/>
      <c r="I157" s="1799"/>
      <c r="J157" s="1799"/>
      <c r="K157" s="1799"/>
      <c r="L157" s="1799"/>
      <c r="M157" s="1799"/>
      <c r="N157" s="1799"/>
      <c r="O157" s="1799"/>
      <c r="P157" s="1799"/>
      <c r="Q157" s="1799"/>
      <c r="R157" s="1799"/>
      <c r="S157" s="1799"/>
      <c r="T157" s="1799"/>
      <c r="U157" s="1799"/>
      <c r="V157" s="1799"/>
      <c r="W157" s="1799"/>
      <c r="X157" s="1799"/>
      <c r="Y157" s="1799"/>
      <c r="Z157" s="1799"/>
    </row>
    <row r="158">
      <c r="A158" s="1799"/>
      <c r="B158" s="1799"/>
      <c r="C158" s="1799"/>
      <c r="D158" s="1812"/>
      <c r="E158" s="1799"/>
      <c r="F158" s="1813"/>
      <c r="G158" s="1814"/>
      <c r="H158" s="1799"/>
      <c r="I158" s="1799"/>
      <c r="J158" s="1799"/>
      <c r="K158" s="1799"/>
      <c r="L158" s="1799"/>
      <c r="M158" s="1799"/>
      <c r="N158" s="1799"/>
      <c r="O158" s="1799"/>
      <c r="P158" s="1799"/>
      <c r="Q158" s="1799"/>
      <c r="R158" s="1799"/>
      <c r="S158" s="1799"/>
      <c r="T158" s="1799"/>
      <c r="U158" s="1799"/>
      <c r="V158" s="1799"/>
      <c r="W158" s="1799"/>
      <c r="X158" s="1799"/>
      <c r="Y158" s="1799"/>
      <c r="Z158" s="1799"/>
    </row>
    <row r="159">
      <c r="A159" s="1799"/>
      <c r="B159" s="1799"/>
      <c r="C159" s="1799"/>
      <c r="D159" s="1812"/>
      <c r="E159" s="1799"/>
      <c r="F159" s="1813"/>
      <c r="G159" s="1814"/>
      <c r="H159" s="1799"/>
      <c r="I159" s="1799"/>
      <c r="J159" s="1799"/>
      <c r="K159" s="1799"/>
      <c r="L159" s="1799"/>
      <c r="M159" s="1799"/>
      <c r="N159" s="1799"/>
      <c r="O159" s="1799"/>
      <c r="P159" s="1799"/>
      <c r="Q159" s="1799"/>
      <c r="R159" s="1799"/>
      <c r="S159" s="1799"/>
      <c r="T159" s="1799"/>
      <c r="U159" s="1799"/>
      <c r="V159" s="1799"/>
      <c r="W159" s="1799"/>
      <c r="X159" s="1799"/>
      <c r="Y159" s="1799"/>
      <c r="Z159" s="1799"/>
    </row>
    <row r="160">
      <c r="A160" s="1799"/>
      <c r="B160" s="1799"/>
      <c r="C160" s="1799"/>
      <c r="D160" s="1812"/>
      <c r="E160" s="1799"/>
      <c r="F160" s="1813"/>
      <c r="G160" s="1814"/>
      <c r="H160" s="1799"/>
      <c r="I160" s="1799"/>
      <c r="J160" s="1799"/>
      <c r="K160" s="1799"/>
      <c r="L160" s="1799"/>
      <c r="M160" s="1799"/>
      <c r="N160" s="1799"/>
      <c r="O160" s="1799"/>
      <c r="P160" s="1799"/>
      <c r="Q160" s="1799"/>
      <c r="R160" s="1799"/>
      <c r="S160" s="1799"/>
      <c r="T160" s="1799"/>
      <c r="U160" s="1799"/>
      <c r="V160" s="1799"/>
      <c r="W160" s="1799"/>
      <c r="X160" s="1799"/>
      <c r="Y160" s="1799"/>
      <c r="Z160" s="1799"/>
    </row>
    <row r="161">
      <c r="A161" s="1799"/>
      <c r="B161" s="1799"/>
      <c r="C161" s="1799"/>
      <c r="D161" s="1812"/>
      <c r="E161" s="1799"/>
      <c r="F161" s="1813"/>
      <c r="G161" s="1814"/>
      <c r="H161" s="1799"/>
      <c r="I161" s="1799"/>
      <c r="J161" s="1799"/>
      <c r="K161" s="1799"/>
      <c r="L161" s="1799"/>
      <c r="M161" s="1799"/>
      <c r="N161" s="1799"/>
      <c r="O161" s="1799"/>
      <c r="P161" s="1799"/>
      <c r="Q161" s="1799"/>
      <c r="R161" s="1799"/>
      <c r="S161" s="1799"/>
      <c r="T161" s="1799"/>
      <c r="U161" s="1799"/>
      <c r="V161" s="1799"/>
      <c r="W161" s="1799"/>
      <c r="X161" s="1799"/>
      <c r="Y161" s="1799"/>
      <c r="Z161" s="1799"/>
    </row>
    <row r="162">
      <c r="A162" s="1799"/>
      <c r="B162" s="1799"/>
      <c r="C162" s="1799"/>
      <c r="D162" s="1812"/>
      <c r="E162" s="1799"/>
      <c r="F162" s="1813"/>
      <c r="G162" s="1814"/>
      <c r="H162" s="1799"/>
      <c r="I162" s="1799"/>
      <c r="J162" s="1799"/>
      <c r="K162" s="1799"/>
      <c r="L162" s="1799"/>
      <c r="M162" s="1799"/>
      <c r="N162" s="1799"/>
      <c r="O162" s="1799"/>
      <c r="P162" s="1799"/>
      <c r="Q162" s="1799"/>
      <c r="R162" s="1799"/>
      <c r="S162" s="1799"/>
      <c r="T162" s="1799"/>
      <c r="U162" s="1799"/>
      <c r="V162" s="1799"/>
      <c r="W162" s="1799"/>
      <c r="X162" s="1799"/>
      <c r="Y162" s="1799"/>
      <c r="Z162" s="1799"/>
    </row>
    <row r="163">
      <c r="A163" s="1799"/>
      <c r="B163" s="1799"/>
      <c r="C163" s="1799"/>
      <c r="D163" s="1812"/>
      <c r="E163" s="1799"/>
      <c r="F163" s="1813"/>
      <c r="G163" s="1814"/>
      <c r="H163" s="1799"/>
      <c r="I163" s="1799"/>
      <c r="J163" s="1799"/>
      <c r="K163" s="1799"/>
      <c r="L163" s="1799"/>
      <c r="M163" s="1799"/>
      <c r="N163" s="1799"/>
      <c r="O163" s="1799"/>
      <c r="P163" s="1799"/>
      <c r="Q163" s="1799"/>
      <c r="R163" s="1799"/>
      <c r="S163" s="1799"/>
      <c r="T163" s="1799"/>
      <c r="U163" s="1799"/>
      <c r="V163" s="1799"/>
      <c r="W163" s="1799"/>
      <c r="X163" s="1799"/>
      <c r="Y163" s="1799"/>
      <c r="Z163" s="1799"/>
    </row>
    <row r="164">
      <c r="A164" s="1799"/>
      <c r="B164" s="1799"/>
      <c r="C164" s="1799"/>
      <c r="D164" s="1812"/>
      <c r="E164" s="1799"/>
      <c r="F164" s="1813"/>
      <c r="G164" s="1814"/>
      <c r="H164" s="1799"/>
      <c r="I164" s="1799"/>
      <c r="J164" s="1799"/>
      <c r="K164" s="1799"/>
      <c r="L164" s="1799"/>
      <c r="M164" s="1799"/>
      <c r="N164" s="1799"/>
      <c r="O164" s="1799"/>
      <c r="P164" s="1799"/>
      <c r="Q164" s="1799"/>
      <c r="R164" s="1799"/>
      <c r="S164" s="1799"/>
      <c r="T164" s="1799"/>
      <c r="U164" s="1799"/>
      <c r="V164" s="1799"/>
      <c r="W164" s="1799"/>
      <c r="X164" s="1799"/>
      <c r="Y164" s="1799"/>
      <c r="Z164" s="1799"/>
    </row>
    <row r="165">
      <c r="A165" s="1799"/>
      <c r="B165" s="1799"/>
      <c r="C165" s="1799"/>
      <c r="D165" s="1812"/>
      <c r="E165" s="1799"/>
      <c r="F165" s="1813"/>
      <c r="G165" s="1814"/>
      <c r="H165" s="1799"/>
      <c r="I165" s="1799"/>
      <c r="J165" s="1799"/>
      <c r="K165" s="1799"/>
      <c r="L165" s="1799"/>
      <c r="M165" s="1799"/>
      <c r="N165" s="1799"/>
      <c r="O165" s="1799"/>
      <c r="P165" s="1799"/>
      <c r="Q165" s="1799"/>
      <c r="R165" s="1799"/>
      <c r="S165" s="1799"/>
      <c r="T165" s="1799"/>
      <c r="U165" s="1799"/>
      <c r="V165" s="1799"/>
      <c r="W165" s="1799"/>
      <c r="X165" s="1799"/>
      <c r="Y165" s="1799"/>
      <c r="Z165" s="1799"/>
    </row>
    <row r="166">
      <c r="A166" s="1799"/>
      <c r="B166" s="1799"/>
      <c r="C166" s="1799"/>
      <c r="D166" s="1812"/>
      <c r="E166" s="1799"/>
      <c r="F166" s="1813"/>
      <c r="G166" s="1814"/>
      <c r="H166" s="1799"/>
      <c r="I166" s="1799"/>
      <c r="J166" s="1799"/>
      <c r="K166" s="1799"/>
      <c r="L166" s="1799"/>
      <c r="M166" s="1799"/>
      <c r="N166" s="1799"/>
      <c r="O166" s="1799"/>
      <c r="P166" s="1799"/>
      <c r="Q166" s="1799"/>
      <c r="R166" s="1799"/>
      <c r="S166" s="1799"/>
      <c r="T166" s="1799"/>
      <c r="U166" s="1799"/>
      <c r="V166" s="1799"/>
      <c r="W166" s="1799"/>
      <c r="X166" s="1799"/>
      <c r="Y166" s="1799"/>
      <c r="Z166" s="1799"/>
    </row>
    <row r="167">
      <c r="A167" s="1799"/>
      <c r="B167" s="1799"/>
      <c r="C167" s="1799"/>
      <c r="D167" s="1812"/>
      <c r="E167" s="1799"/>
      <c r="F167" s="1813"/>
      <c r="G167" s="1814"/>
      <c r="H167" s="1799"/>
      <c r="I167" s="1799"/>
      <c r="J167" s="1799"/>
      <c r="K167" s="1799"/>
      <c r="L167" s="1799"/>
      <c r="M167" s="1799"/>
      <c r="N167" s="1799"/>
      <c r="O167" s="1799"/>
      <c r="P167" s="1799"/>
      <c r="Q167" s="1799"/>
      <c r="R167" s="1799"/>
      <c r="S167" s="1799"/>
      <c r="T167" s="1799"/>
      <c r="U167" s="1799"/>
      <c r="V167" s="1799"/>
      <c r="W167" s="1799"/>
      <c r="X167" s="1799"/>
      <c r="Y167" s="1799"/>
      <c r="Z167" s="1799"/>
    </row>
    <row r="168">
      <c r="A168" s="1799"/>
      <c r="B168" s="1799"/>
      <c r="C168" s="1799"/>
      <c r="D168" s="1812"/>
      <c r="E168" s="1799"/>
      <c r="F168" s="1813"/>
      <c r="G168" s="1814"/>
      <c r="H168" s="1799"/>
      <c r="I168" s="1799"/>
      <c r="J168" s="1799"/>
      <c r="K168" s="1799"/>
      <c r="L168" s="1799"/>
      <c r="M168" s="1799"/>
      <c r="N168" s="1799"/>
      <c r="O168" s="1799"/>
      <c r="P168" s="1799"/>
      <c r="Q168" s="1799"/>
      <c r="R168" s="1799"/>
      <c r="S168" s="1799"/>
      <c r="T168" s="1799"/>
      <c r="U168" s="1799"/>
      <c r="V168" s="1799"/>
      <c r="W168" s="1799"/>
      <c r="X168" s="1799"/>
      <c r="Y168" s="1799"/>
      <c r="Z168" s="1799"/>
    </row>
    <row r="169">
      <c r="A169" s="1799"/>
      <c r="B169" s="1799"/>
      <c r="C169" s="1799"/>
      <c r="D169" s="1812"/>
      <c r="E169" s="1799"/>
      <c r="F169" s="1813"/>
      <c r="G169" s="1814"/>
      <c r="H169" s="1799"/>
      <c r="I169" s="1799"/>
      <c r="J169" s="1799"/>
      <c r="K169" s="1799"/>
      <c r="L169" s="1799"/>
      <c r="M169" s="1799"/>
      <c r="N169" s="1799"/>
      <c r="O169" s="1799"/>
      <c r="P169" s="1799"/>
      <c r="Q169" s="1799"/>
      <c r="R169" s="1799"/>
      <c r="S169" s="1799"/>
      <c r="T169" s="1799"/>
      <c r="U169" s="1799"/>
      <c r="V169" s="1799"/>
      <c r="W169" s="1799"/>
      <c r="X169" s="1799"/>
      <c r="Y169" s="1799"/>
      <c r="Z169" s="1799"/>
    </row>
    <row r="170">
      <c r="A170" s="1799"/>
      <c r="B170" s="1799"/>
      <c r="C170" s="1799"/>
      <c r="D170" s="1812"/>
      <c r="E170" s="1799"/>
      <c r="F170" s="1813"/>
      <c r="G170" s="1814"/>
      <c r="H170" s="1799"/>
      <c r="I170" s="1799"/>
      <c r="J170" s="1799"/>
      <c r="K170" s="1799"/>
      <c r="L170" s="1799"/>
      <c r="M170" s="1799"/>
      <c r="N170" s="1799"/>
      <c r="O170" s="1799"/>
      <c r="P170" s="1799"/>
      <c r="Q170" s="1799"/>
      <c r="R170" s="1799"/>
      <c r="S170" s="1799"/>
      <c r="T170" s="1799"/>
      <c r="U170" s="1799"/>
      <c r="V170" s="1799"/>
      <c r="W170" s="1799"/>
      <c r="X170" s="1799"/>
      <c r="Y170" s="1799"/>
      <c r="Z170" s="1799"/>
    </row>
    <row r="171">
      <c r="A171" s="1799"/>
      <c r="B171" s="1799"/>
      <c r="C171" s="1799"/>
      <c r="D171" s="1812"/>
      <c r="E171" s="1799"/>
      <c r="F171" s="1813"/>
      <c r="G171" s="1814"/>
      <c r="H171" s="1799"/>
      <c r="I171" s="1799"/>
      <c r="J171" s="1799"/>
      <c r="K171" s="1799"/>
      <c r="L171" s="1799"/>
      <c r="M171" s="1799"/>
      <c r="N171" s="1799"/>
      <c r="O171" s="1799"/>
      <c r="P171" s="1799"/>
      <c r="Q171" s="1799"/>
      <c r="R171" s="1799"/>
      <c r="S171" s="1799"/>
      <c r="T171" s="1799"/>
      <c r="U171" s="1799"/>
      <c r="V171" s="1799"/>
      <c r="W171" s="1799"/>
      <c r="X171" s="1799"/>
      <c r="Y171" s="1799"/>
      <c r="Z171" s="1799"/>
    </row>
    <row r="172">
      <c r="A172" s="1799"/>
      <c r="B172" s="1799"/>
      <c r="C172" s="1799"/>
      <c r="D172" s="1812"/>
      <c r="E172" s="1799"/>
      <c r="F172" s="1813"/>
      <c r="G172" s="1814"/>
      <c r="H172" s="1799"/>
      <c r="I172" s="1799"/>
      <c r="J172" s="1799"/>
      <c r="K172" s="1799"/>
      <c r="L172" s="1799"/>
      <c r="M172" s="1799"/>
      <c r="N172" s="1799"/>
      <c r="O172" s="1799"/>
      <c r="P172" s="1799"/>
      <c r="Q172" s="1799"/>
      <c r="R172" s="1799"/>
      <c r="S172" s="1799"/>
      <c r="T172" s="1799"/>
      <c r="U172" s="1799"/>
      <c r="V172" s="1799"/>
      <c r="W172" s="1799"/>
      <c r="X172" s="1799"/>
      <c r="Y172" s="1799"/>
      <c r="Z172" s="1799"/>
    </row>
    <row r="173">
      <c r="A173" s="1799"/>
      <c r="B173" s="1799"/>
      <c r="C173" s="1799"/>
      <c r="D173" s="1812"/>
      <c r="E173" s="1799"/>
      <c r="F173" s="1813"/>
      <c r="G173" s="1814"/>
      <c r="H173" s="1799"/>
      <c r="I173" s="1799"/>
      <c r="J173" s="1799"/>
      <c r="K173" s="1799"/>
      <c r="L173" s="1799"/>
      <c r="M173" s="1799"/>
      <c r="N173" s="1799"/>
      <c r="O173" s="1799"/>
      <c r="P173" s="1799"/>
      <c r="Q173" s="1799"/>
      <c r="R173" s="1799"/>
      <c r="S173" s="1799"/>
      <c r="T173" s="1799"/>
      <c r="U173" s="1799"/>
      <c r="V173" s="1799"/>
      <c r="W173" s="1799"/>
      <c r="X173" s="1799"/>
      <c r="Y173" s="1799"/>
      <c r="Z173" s="1799"/>
    </row>
    <row r="174">
      <c r="A174" s="1799"/>
      <c r="B174" s="1799"/>
      <c r="C174" s="1799"/>
      <c r="D174" s="1812"/>
      <c r="E174" s="1799"/>
      <c r="F174" s="1813"/>
      <c r="G174" s="1814"/>
      <c r="H174" s="1799"/>
      <c r="I174" s="1799"/>
      <c r="J174" s="1799"/>
      <c r="K174" s="1799"/>
      <c r="L174" s="1799"/>
      <c r="M174" s="1799"/>
      <c r="N174" s="1799"/>
      <c r="O174" s="1799"/>
      <c r="P174" s="1799"/>
      <c r="Q174" s="1799"/>
      <c r="R174" s="1799"/>
      <c r="S174" s="1799"/>
      <c r="T174" s="1799"/>
      <c r="U174" s="1799"/>
      <c r="V174" s="1799"/>
      <c r="W174" s="1799"/>
      <c r="X174" s="1799"/>
      <c r="Y174" s="1799"/>
      <c r="Z174" s="1799"/>
    </row>
    <row r="175">
      <c r="A175" s="1799"/>
      <c r="B175" s="1799"/>
      <c r="C175" s="1799"/>
      <c r="D175" s="1812"/>
      <c r="E175" s="1799"/>
      <c r="F175" s="1813"/>
      <c r="G175" s="1814"/>
      <c r="H175" s="1799"/>
      <c r="I175" s="1799"/>
      <c r="J175" s="1799"/>
      <c r="K175" s="1799"/>
      <c r="L175" s="1799"/>
      <c r="M175" s="1799"/>
      <c r="N175" s="1799"/>
      <c r="O175" s="1799"/>
      <c r="P175" s="1799"/>
      <c r="Q175" s="1799"/>
      <c r="R175" s="1799"/>
      <c r="S175" s="1799"/>
      <c r="T175" s="1799"/>
      <c r="U175" s="1799"/>
      <c r="V175" s="1799"/>
      <c r="W175" s="1799"/>
      <c r="X175" s="1799"/>
      <c r="Y175" s="1799"/>
      <c r="Z175" s="1799"/>
    </row>
    <row r="176">
      <c r="A176" s="1799"/>
      <c r="B176" s="1799"/>
      <c r="C176" s="1799"/>
      <c r="D176" s="1812"/>
      <c r="E176" s="1799"/>
      <c r="F176" s="1813"/>
      <c r="G176" s="1814"/>
      <c r="H176" s="1799"/>
      <c r="I176" s="1799"/>
      <c r="J176" s="1799"/>
      <c r="K176" s="1799"/>
      <c r="L176" s="1799"/>
      <c r="M176" s="1799"/>
      <c r="N176" s="1799"/>
      <c r="O176" s="1799"/>
      <c r="P176" s="1799"/>
      <c r="Q176" s="1799"/>
      <c r="R176" s="1799"/>
      <c r="S176" s="1799"/>
      <c r="T176" s="1799"/>
      <c r="U176" s="1799"/>
      <c r="V176" s="1799"/>
      <c r="W176" s="1799"/>
      <c r="X176" s="1799"/>
      <c r="Y176" s="1799"/>
      <c r="Z176" s="1799"/>
    </row>
    <row r="177">
      <c r="A177" s="1799"/>
      <c r="B177" s="1799"/>
      <c r="C177" s="1799"/>
      <c r="D177" s="1812"/>
      <c r="E177" s="1799"/>
      <c r="F177" s="1813"/>
      <c r="G177" s="1814"/>
      <c r="H177" s="1799"/>
      <c r="I177" s="1799"/>
      <c r="J177" s="1799"/>
      <c r="K177" s="1799"/>
      <c r="L177" s="1799"/>
      <c r="M177" s="1799"/>
      <c r="N177" s="1799"/>
      <c r="O177" s="1799"/>
      <c r="P177" s="1799"/>
      <c r="Q177" s="1799"/>
      <c r="R177" s="1799"/>
      <c r="S177" s="1799"/>
      <c r="T177" s="1799"/>
      <c r="U177" s="1799"/>
      <c r="V177" s="1799"/>
      <c r="W177" s="1799"/>
      <c r="X177" s="1799"/>
      <c r="Y177" s="1799"/>
      <c r="Z177" s="1799"/>
    </row>
    <row r="178">
      <c r="A178" s="1799"/>
      <c r="B178" s="1799"/>
      <c r="C178" s="1799"/>
      <c r="D178" s="1812"/>
      <c r="E178" s="1799"/>
      <c r="F178" s="1813"/>
      <c r="G178" s="1814"/>
      <c r="H178" s="1799"/>
      <c r="I178" s="1799"/>
      <c r="J178" s="1799"/>
      <c r="K178" s="1799"/>
      <c r="L178" s="1799"/>
      <c r="M178" s="1799"/>
      <c r="N178" s="1799"/>
      <c r="O178" s="1799"/>
      <c r="P178" s="1799"/>
      <c r="Q178" s="1799"/>
      <c r="R178" s="1799"/>
      <c r="S178" s="1799"/>
      <c r="T178" s="1799"/>
      <c r="U178" s="1799"/>
      <c r="V178" s="1799"/>
      <c r="W178" s="1799"/>
      <c r="X178" s="1799"/>
      <c r="Y178" s="1799"/>
      <c r="Z178" s="1799"/>
    </row>
    <row r="179">
      <c r="A179" s="1799"/>
      <c r="B179" s="1799"/>
      <c r="C179" s="1799"/>
      <c r="D179" s="1812"/>
      <c r="E179" s="1799"/>
      <c r="F179" s="1813"/>
      <c r="G179" s="1814"/>
      <c r="H179" s="1799"/>
      <c r="I179" s="1799"/>
      <c r="J179" s="1799"/>
      <c r="K179" s="1799"/>
      <c r="L179" s="1799"/>
      <c r="M179" s="1799"/>
      <c r="N179" s="1799"/>
      <c r="O179" s="1799"/>
      <c r="P179" s="1799"/>
      <c r="Q179" s="1799"/>
      <c r="R179" s="1799"/>
      <c r="S179" s="1799"/>
      <c r="T179" s="1799"/>
      <c r="U179" s="1799"/>
      <c r="V179" s="1799"/>
      <c r="W179" s="1799"/>
      <c r="X179" s="1799"/>
      <c r="Y179" s="1799"/>
      <c r="Z179" s="1799"/>
    </row>
    <row r="180">
      <c r="A180" s="1799"/>
      <c r="B180" s="1799"/>
      <c r="C180" s="1799"/>
      <c r="D180" s="1812"/>
      <c r="E180" s="1799"/>
      <c r="F180" s="1813"/>
      <c r="G180" s="1814"/>
      <c r="H180" s="1799"/>
      <c r="I180" s="1799"/>
      <c r="J180" s="1799"/>
      <c r="K180" s="1799"/>
      <c r="L180" s="1799"/>
      <c r="M180" s="1799"/>
      <c r="N180" s="1799"/>
      <c r="O180" s="1799"/>
      <c r="P180" s="1799"/>
      <c r="Q180" s="1799"/>
      <c r="R180" s="1799"/>
      <c r="S180" s="1799"/>
      <c r="T180" s="1799"/>
      <c r="U180" s="1799"/>
      <c r="V180" s="1799"/>
      <c r="W180" s="1799"/>
      <c r="X180" s="1799"/>
      <c r="Y180" s="1799"/>
      <c r="Z180" s="1799"/>
    </row>
    <row r="181">
      <c r="A181" s="1799"/>
      <c r="B181" s="1799"/>
      <c r="C181" s="1799"/>
      <c r="D181" s="1812"/>
      <c r="E181" s="1799"/>
      <c r="F181" s="1813"/>
      <c r="G181" s="1814"/>
      <c r="H181" s="1799"/>
      <c r="I181" s="1799"/>
      <c r="J181" s="1799"/>
      <c r="K181" s="1799"/>
      <c r="L181" s="1799"/>
      <c r="M181" s="1799"/>
      <c r="N181" s="1799"/>
      <c r="O181" s="1799"/>
      <c r="P181" s="1799"/>
      <c r="Q181" s="1799"/>
      <c r="R181" s="1799"/>
      <c r="S181" s="1799"/>
      <c r="T181" s="1799"/>
      <c r="U181" s="1799"/>
      <c r="V181" s="1799"/>
      <c r="W181" s="1799"/>
      <c r="X181" s="1799"/>
      <c r="Y181" s="1799"/>
      <c r="Z181" s="1799"/>
    </row>
    <row r="182">
      <c r="A182" s="1799"/>
      <c r="B182" s="1799"/>
      <c r="C182" s="1799"/>
      <c r="D182" s="1812"/>
      <c r="E182" s="1799"/>
      <c r="F182" s="1813"/>
      <c r="G182" s="1814"/>
      <c r="H182" s="1799"/>
      <c r="I182" s="1799"/>
      <c r="J182" s="1799"/>
      <c r="K182" s="1799"/>
      <c r="L182" s="1799"/>
      <c r="M182" s="1799"/>
      <c r="N182" s="1799"/>
      <c r="O182" s="1799"/>
      <c r="P182" s="1799"/>
      <c r="Q182" s="1799"/>
      <c r="R182" s="1799"/>
      <c r="S182" s="1799"/>
      <c r="T182" s="1799"/>
      <c r="U182" s="1799"/>
      <c r="V182" s="1799"/>
      <c r="W182" s="1799"/>
      <c r="X182" s="1799"/>
      <c r="Y182" s="1799"/>
      <c r="Z182" s="1799"/>
    </row>
    <row r="183">
      <c r="A183" s="1799"/>
      <c r="B183" s="1799"/>
      <c r="C183" s="1799"/>
      <c r="D183" s="1812"/>
      <c r="E183" s="1799"/>
      <c r="F183" s="1813"/>
      <c r="G183" s="1814"/>
      <c r="H183" s="1799"/>
      <c r="I183" s="1799"/>
      <c r="J183" s="1799"/>
      <c r="K183" s="1799"/>
      <c r="L183" s="1799"/>
      <c r="M183" s="1799"/>
      <c r="N183" s="1799"/>
      <c r="O183" s="1799"/>
      <c r="P183" s="1799"/>
      <c r="Q183" s="1799"/>
      <c r="R183" s="1799"/>
      <c r="S183" s="1799"/>
      <c r="T183" s="1799"/>
      <c r="U183" s="1799"/>
      <c r="V183" s="1799"/>
      <c r="W183" s="1799"/>
      <c r="X183" s="1799"/>
      <c r="Y183" s="1799"/>
      <c r="Z183" s="1799"/>
    </row>
    <row r="184">
      <c r="A184" s="1799"/>
      <c r="B184" s="1799"/>
      <c r="C184" s="1799"/>
      <c r="D184" s="1812"/>
      <c r="E184" s="1799"/>
      <c r="F184" s="1813"/>
      <c r="G184" s="1814"/>
      <c r="H184" s="1799"/>
      <c r="I184" s="1799"/>
      <c r="J184" s="1799"/>
      <c r="K184" s="1799"/>
      <c r="L184" s="1799"/>
      <c r="M184" s="1799"/>
      <c r="N184" s="1799"/>
      <c r="O184" s="1799"/>
      <c r="P184" s="1799"/>
      <c r="Q184" s="1799"/>
      <c r="R184" s="1799"/>
      <c r="S184" s="1799"/>
      <c r="T184" s="1799"/>
      <c r="U184" s="1799"/>
      <c r="V184" s="1799"/>
      <c r="W184" s="1799"/>
      <c r="X184" s="1799"/>
      <c r="Y184" s="1799"/>
      <c r="Z184" s="1799"/>
    </row>
    <row r="185">
      <c r="A185" s="1799"/>
      <c r="B185" s="1799"/>
      <c r="C185" s="1799"/>
      <c r="D185" s="1812"/>
      <c r="E185" s="1799"/>
      <c r="F185" s="1813"/>
      <c r="G185" s="1814"/>
      <c r="H185" s="1799"/>
      <c r="I185" s="1799"/>
      <c r="J185" s="1799"/>
      <c r="K185" s="1799"/>
      <c r="L185" s="1799"/>
      <c r="M185" s="1799"/>
      <c r="N185" s="1799"/>
      <c r="O185" s="1799"/>
      <c r="P185" s="1799"/>
      <c r="Q185" s="1799"/>
      <c r="R185" s="1799"/>
      <c r="S185" s="1799"/>
      <c r="T185" s="1799"/>
      <c r="U185" s="1799"/>
      <c r="V185" s="1799"/>
      <c r="W185" s="1799"/>
      <c r="X185" s="1799"/>
      <c r="Y185" s="1799"/>
      <c r="Z185" s="1799"/>
    </row>
    <row r="186">
      <c r="A186" s="1799"/>
      <c r="B186" s="1799"/>
      <c r="C186" s="1799"/>
      <c r="D186" s="1812"/>
      <c r="E186" s="1799"/>
      <c r="F186" s="1813"/>
      <c r="G186" s="1814"/>
      <c r="H186" s="1799"/>
      <c r="I186" s="1799"/>
      <c r="J186" s="1799"/>
      <c r="K186" s="1799"/>
      <c r="L186" s="1799"/>
      <c r="M186" s="1799"/>
      <c r="N186" s="1799"/>
      <c r="O186" s="1799"/>
      <c r="P186" s="1799"/>
      <c r="Q186" s="1799"/>
      <c r="R186" s="1799"/>
      <c r="S186" s="1799"/>
      <c r="T186" s="1799"/>
      <c r="U186" s="1799"/>
      <c r="V186" s="1799"/>
      <c r="W186" s="1799"/>
      <c r="X186" s="1799"/>
      <c r="Y186" s="1799"/>
      <c r="Z186" s="1799"/>
    </row>
    <row r="187">
      <c r="A187" s="1799"/>
      <c r="B187" s="1799"/>
      <c r="C187" s="1799"/>
      <c r="D187" s="1812"/>
      <c r="E187" s="1799"/>
      <c r="F187" s="1813"/>
      <c r="G187" s="1814"/>
      <c r="H187" s="1799"/>
      <c r="I187" s="1799"/>
      <c r="J187" s="1799"/>
      <c r="K187" s="1799"/>
      <c r="L187" s="1799"/>
      <c r="M187" s="1799"/>
      <c r="N187" s="1799"/>
      <c r="O187" s="1799"/>
      <c r="P187" s="1799"/>
      <c r="Q187" s="1799"/>
      <c r="R187" s="1799"/>
      <c r="S187" s="1799"/>
      <c r="T187" s="1799"/>
      <c r="U187" s="1799"/>
      <c r="V187" s="1799"/>
      <c r="W187" s="1799"/>
      <c r="X187" s="1799"/>
      <c r="Y187" s="1799"/>
      <c r="Z187" s="1799"/>
    </row>
    <row r="188">
      <c r="A188" s="1799"/>
      <c r="B188" s="1799"/>
      <c r="C188" s="1799"/>
      <c r="D188" s="1812"/>
      <c r="E188" s="1799"/>
      <c r="F188" s="1813"/>
      <c r="G188" s="1814"/>
      <c r="H188" s="1799"/>
      <c r="I188" s="1799"/>
      <c r="J188" s="1799"/>
      <c r="K188" s="1799"/>
      <c r="L188" s="1799"/>
      <c r="M188" s="1799"/>
      <c r="N188" s="1799"/>
      <c r="O188" s="1799"/>
      <c r="P188" s="1799"/>
      <c r="Q188" s="1799"/>
      <c r="R188" s="1799"/>
      <c r="S188" s="1799"/>
      <c r="T188" s="1799"/>
      <c r="U188" s="1799"/>
      <c r="V188" s="1799"/>
      <c r="W188" s="1799"/>
      <c r="X188" s="1799"/>
      <c r="Y188" s="1799"/>
      <c r="Z188" s="1799"/>
    </row>
    <row r="189">
      <c r="A189" s="1799"/>
      <c r="B189" s="1799"/>
      <c r="C189" s="1799"/>
      <c r="D189" s="1812"/>
      <c r="E189" s="1799"/>
      <c r="F189" s="1813"/>
      <c r="G189" s="1814"/>
      <c r="H189" s="1799"/>
      <c r="I189" s="1799"/>
      <c r="J189" s="1799"/>
      <c r="K189" s="1799"/>
      <c r="L189" s="1799"/>
      <c r="M189" s="1799"/>
      <c r="N189" s="1799"/>
      <c r="O189" s="1799"/>
      <c r="P189" s="1799"/>
      <c r="Q189" s="1799"/>
      <c r="R189" s="1799"/>
      <c r="S189" s="1799"/>
      <c r="T189" s="1799"/>
      <c r="U189" s="1799"/>
      <c r="V189" s="1799"/>
      <c r="W189" s="1799"/>
      <c r="X189" s="1799"/>
      <c r="Y189" s="1799"/>
      <c r="Z189" s="1799"/>
    </row>
    <row r="190">
      <c r="A190" s="1799"/>
      <c r="B190" s="1799"/>
      <c r="C190" s="1799"/>
      <c r="D190" s="1812"/>
      <c r="E190" s="1799"/>
      <c r="F190" s="1813"/>
      <c r="G190" s="1814"/>
      <c r="H190" s="1799"/>
      <c r="I190" s="1799"/>
      <c r="J190" s="1799"/>
      <c r="K190" s="1799"/>
      <c r="L190" s="1799"/>
      <c r="M190" s="1799"/>
      <c r="N190" s="1799"/>
      <c r="O190" s="1799"/>
      <c r="P190" s="1799"/>
      <c r="Q190" s="1799"/>
      <c r="R190" s="1799"/>
      <c r="S190" s="1799"/>
      <c r="T190" s="1799"/>
      <c r="U190" s="1799"/>
      <c r="V190" s="1799"/>
      <c r="W190" s="1799"/>
      <c r="X190" s="1799"/>
      <c r="Y190" s="1799"/>
      <c r="Z190" s="1799"/>
    </row>
    <row r="191">
      <c r="A191" s="1799"/>
      <c r="B191" s="1799"/>
      <c r="C191" s="1799"/>
      <c r="D191" s="1812"/>
      <c r="E191" s="1799"/>
      <c r="F191" s="1813"/>
      <c r="G191" s="1814"/>
      <c r="H191" s="1799"/>
      <c r="I191" s="1799"/>
      <c r="J191" s="1799"/>
      <c r="K191" s="1799"/>
      <c r="L191" s="1799"/>
      <c r="M191" s="1799"/>
      <c r="N191" s="1799"/>
      <c r="O191" s="1799"/>
      <c r="P191" s="1799"/>
      <c r="Q191" s="1799"/>
      <c r="R191" s="1799"/>
      <c r="S191" s="1799"/>
      <c r="T191" s="1799"/>
      <c r="U191" s="1799"/>
      <c r="V191" s="1799"/>
      <c r="W191" s="1799"/>
      <c r="X191" s="1799"/>
      <c r="Y191" s="1799"/>
      <c r="Z191" s="1799"/>
    </row>
    <row r="192">
      <c r="A192" s="1799"/>
      <c r="B192" s="1799"/>
      <c r="C192" s="1799"/>
      <c r="D192" s="1812"/>
      <c r="E192" s="1799"/>
      <c r="F192" s="1813"/>
      <c r="G192" s="1814"/>
      <c r="H192" s="1799"/>
      <c r="I192" s="1799"/>
      <c r="J192" s="1799"/>
      <c r="K192" s="1799"/>
      <c r="L192" s="1799"/>
      <c r="M192" s="1799"/>
      <c r="N192" s="1799"/>
      <c r="O192" s="1799"/>
      <c r="P192" s="1799"/>
      <c r="Q192" s="1799"/>
      <c r="R192" s="1799"/>
      <c r="S192" s="1799"/>
      <c r="T192" s="1799"/>
      <c r="U192" s="1799"/>
      <c r="V192" s="1799"/>
      <c r="W192" s="1799"/>
      <c r="X192" s="1799"/>
      <c r="Y192" s="1799"/>
      <c r="Z192" s="1799"/>
    </row>
    <row r="193">
      <c r="A193" s="1799"/>
      <c r="B193" s="1799"/>
      <c r="C193" s="1799"/>
      <c r="D193" s="1812"/>
      <c r="E193" s="1799"/>
      <c r="F193" s="1813"/>
      <c r="G193" s="1814"/>
      <c r="H193" s="1799"/>
      <c r="I193" s="1799"/>
      <c r="J193" s="1799"/>
      <c r="K193" s="1799"/>
      <c r="L193" s="1799"/>
      <c r="M193" s="1799"/>
      <c r="N193" s="1799"/>
      <c r="O193" s="1799"/>
      <c r="P193" s="1799"/>
      <c r="Q193" s="1799"/>
      <c r="R193" s="1799"/>
      <c r="S193" s="1799"/>
      <c r="T193" s="1799"/>
      <c r="U193" s="1799"/>
      <c r="V193" s="1799"/>
      <c r="W193" s="1799"/>
      <c r="X193" s="1799"/>
      <c r="Y193" s="1799"/>
      <c r="Z193" s="1799"/>
    </row>
    <row r="194">
      <c r="A194" s="1799"/>
      <c r="B194" s="1799"/>
      <c r="C194" s="1799"/>
      <c r="D194" s="1812"/>
      <c r="E194" s="1799"/>
      <c r="F194" s="1813"/>
      <c r="G194" s="1814"/>
      <c r="H194" s="1799"/>
      <c r="I194" s="1799"/>
      <c r="J194" s="1799"/>
      <c r="K194" s="1799"/>
      <c r="L194" s="1799"/>
      <c r="M194" s="1799"/>
      <c r="N194" s="1799"/>
      <c r="O194" s="1799"/>
      <c r="P194" s="1799"/>
      <c r="Q194" s="1799"/>
      <c r="R194" s="1799"/>
      <c r="S194" s="1799"/>
      <c r="T194" s="1799"/>
      <c r="U194" s="1799"/>
      <c r="V194" s="1799"/>
      <c r="W194" s="1799"/>
      <c r="X194" s="1799"/>
      <c r="Y194" s="1799"/>
      <c r="Z194" s="1799"/>
    </row>
    <row r="195">
      <c r="A195" s="1799"/>
      <c r="B195" s="1799"/>
      <c r="C195" s="1799"/>
      <c r="D195" s="1812"/>
      <c r="E195" s="1799"/>
      <c r="F195" s="1813"/>
      <c r="G195" s="1814"/>
      <c r="H195" s="1799"/>
      <c r="I195" s="1799"/>
      <c r="J195" s="1799"/>
      <c r="K195" s="1799"/>
      <c r="L195" s="1799"/>
      <c r="M195" s="1799"/>
      <c r="N195" s="1799"/>
      <c r="O195" s="1799"/>
      <c r="P195" s="1799"/>
      <c r="Q195" s="1799"/>
      <c r="R195" s="1799"/>
      <c r="S195" s="1799"/>
      <c r="T195" s="1799"/>
      <c r="U195" s="1799"/>
      <c r="V195" s="1799"/>
      <c r="W195" s="1799"/>
      <c r="X195" s="1799"/>
      <c r="Y195" s="1799"/>
      <c r="Z195" s="1799"/>
    </row>
    <row r="196">
      <c r="A196" s="1799"/>
      <c r="B196" s="1799"/>
      <c r="C196" s="1799"/>
      <c r="D196" s="1812"/>
      <c r="E196" s="1799"/>
      <c r="F196" s="1813"/>
      <c r="G196" s="1814"/>
      <c r="H196" s="1799"/>
      <c r="I196" s="1799"/>
      <c r="J196" s="1799"/>
      <c r="K196" s="1799"/>
      <c r="L196" s="1799"/>
      <c r="M196" s="1799"/>
      <c r="N196" s="1799"/>
      <c r="O196" s="1799"/>
      <c r="P196" s="1799"/>
      <c r="Q196" s="1799"/>
      <c r="R196" s="1799"/>
      <c r="S196" s="1799"/>
      <c r="T196" s="1799"/>
      <c r="U196" s="1799"/>
      <c r="V196" s="1799"/>
      <c r="W196" s="1799"/>
      <c r="X196" s="1799"/>
      <c r="Y196" s="1799"/>
      <c r="Z196" s="1799"/>
    </row>
    <row r="197">
      <c r="A197" s="1799"/>
      <c r="B197" s="1799"/>
      <c r="C197" s="1799"/>
      <c r="D197" s="1812"/>
      <c r="E197" s="1799"/>
      <c r="F197" s="1813"/>
      <c r="G197" s="1814"/>
      <c r="H197" s="1799"/>
      <c r="I197" s="1799"/>
      <c r="J197" s="1799"/>
      <c r="K197" s="1799"/>
      <c r="L197" s="1799"/>
      <c r="M197" s="1799"/>
      <c r="N197" s="1799"/>
      <c r="O197" s="1799"/>
      <c r="P197" s="1799"/>
      <c r="Q197" s="1799"/>
      <c r="R197" s="1799"/>
      <c r="S197" s="1799"/>
      <c r="T197" s="1799"/>
      <c r="U197" s="1799"/>
      <c r="V197" s="1799"/>
      <c r="W197" s="1799"/>
      <c r="X197" s="1799"/>
      <c r="Y197" s="1799"/>
      <c r="Z197" s="1799"/>
    </row>
    <row r="198">
      <c r="A198" s="1799"/>
      <c r="B198" s="1799"/>
      <c r="C198" s="1799"/>
      <c r="D198" s="1812"/>
      <c r="E198" s="1799"/>
      <c r="F198" s="1813"/>
      <c r="G198" s="1814"/>
      <c r="H198" s="1799"/>
      <c r="I198" s="1799"/>
      <c r="J198" s="1799"/>
      <c r="K198" s="1799"/>
      <c r="L198" s="1799"/>
      <c r="M198" s="1799"/>
      <c r="N198" s="1799"/>
      <c r="O198" s="1799"/>
      <c r="P198" s="1799"/>
      <c r="Q198" s="1799"/>
      <c r="R198" s="1799"/>
      <c r="S198" s="1799"/>
      <c r="T198" s="1799"/>
      <c r="U198" s="1799"/>
      <c r="V198" s="1799"/>
      <c r="W198" s="1799"/>
      <c r="X198" s="1799"/>
      <c r="Y198" s="1799"/>
      <c r="Z198" s="1799"/>
    </row>
    <row r="199">
      <c r="A199" s="1799"/>
      <c r="B199" s="1799"/>
      <c r="C199" s="1799"/>
      <c r="D199" s="1812"/>
      <c r="E199" s="1799"/>
      <c r="F199" s="1813"/>
      <c r="G199" s="1814"/>
      <c r="H199" s="1799"/>
      <c r="I199" s="1799"/>
      <c r="J199" s="1799"/>
      <c r="K199" s="1799"/>
      <c r="L199" s="1799"/>
      <c r="M199" s="1799"/>
      <c r="N199" s="1799"/>
      <c r="O199" s="1799"/>
      <c r="P199" s="1799"/>
      <c r="Q199" s="1799"/>
      <c r="R199" s="1799"/>
      <c r="S199" s="1799"/>
      <c r="T199" s="1799"/>
      <c r="U199" s="1799"/>
      <c r="V199" s="1799"/>
      <c r="W199" s="1799"/>
      <c r="X199" s="1799"/>
      <c r="Y199" s="1799"/>
      <c r="Z199" s="1799"/>
    </row>
    <row r="200">
      <c r="A200" s="1799"/>
      <c r="B200" s="1799"/>
      <c r="C200" s="1799"/>
      <c r="D200" s="1812"/>
      <c r="E200" s="1799"/>
      <c r="F200" s="1813"/>
      <c r="G200" s="1814"/>
      <c r="H200" s="1799"/>
      <c r="I200" s="1799"/>
      <c r="J200" s="1799"/>
      <c r="K200" s="1799"/>
      <c r="L200" s="1799"/>
      <c r="M200" s="1799"/>
      <c r="N200" s="1799"/>
      <c r="O200" s="1799"/>
      <c r="P200" s="1799"/>
      <c r="Q200" s="1799"/>
      <c r="R200" s="1799"/>
      <c r="S200" s="1799"/>
      <c r="T200" s="1799"/>
      <c r="U200" s="1799"/>
      <c r="V200" s="1799"/>
      <c r="W200" s="1799"/>
      <c r="X200" s="1799"/>
      <c r="Y200" s="1799"/>
      <c r="Z200" s="1799"/>
    </row>
    <row r="201">
      <c r="A201" s="1799"/>
      <c r="B201" s="1799"/>
      <c r="C201" s="1799"/>
      <c r="D201" s="1812"/>
      <c r="E201" s="1799"/>
      <c r="F201" s="1813"/>
      <c r="G201" s="1814"/>
      <c r="H201" s="1799"/>
      <c r="I201" s="1799"/>
      <c r="J201" s="1799"/>
      <c r="K201" s="1799"/>
      <c r="L201" s="1799"/>
      <c r="M201" s="1799"/>
      <c r="N201" s="1799"/>
      <c r="O201" s="1799"/>
      <c r="P201" s="1799"/>
      <c r="Q201" s="1799"/>
      <c r="R201" s="1799"/>
      <c r="S201" s="1799"/>
      <c r="T201" s="1799"/>
      <c r="U201" s="1799"/>
      <c r="V201" s="1799"/>
      <c r="W201" s="1799"/>
      <c r="X201" s="1799"/>
      <c r="Y201" s="1799"/>
      <c r="Z201" s="1799"/>
    </row>
    <row r="202">
      <c r="A202" s="1799"/>
      <c r="B202" s="1799"/>
      <c r="C202" s="1799"/>
      <c r="D202" s="1812"/>
      <c r="E202" s="1799"/>
      <c r="F202" s="1813"/>
      <c r="G202" s="1814"/>
      <c r="H202" s="1799"/>
      <c r="I202" s="1799"/>
      <c r="J202" s="1799"/>
      <c r="K202" s="1799"/>
      <c r="L202" s="1799"/>
      <c r="M202" s="1799"/>
      <c r="N202" s="1799"/>
      <c r="O202" s="1799"/>
      <c r="P202" s="1799"/>
      <c r="Q202" s="1799"/>
      <c r="R202" s="1799"/>
      <c r="S202" s="1799"/>
      <c r="T202" s="1799"/>
      <c r="U202" s="1799"/>
      <c r="V202" s="1799"/>
      <c r="W202" s="1799"/>
      <c r="X202" s="1799"/>
      <c r="Y202" s="1799"/>
      <c r="Z202" s="1799"/>
    </row>
    <row r="203">
      <c r="A203" s="1799"/>
      <c r="B203" s="1799"/>
      <c r="C203" s="1799"/>
      <c r="D203" s="1812"/>
      <c r="E203" s="1799"/>
      <c r="F203" s="1813"/>
      <c r="G203" s="1814"/>
      <c r="H203" s="1799"/>
      <c r="I203" s="1799"/>
      <c r="J203" s="1799"/>
      <c r="K203" s="1799"/>
      <c r="L203" s="1799"/>
      <c r="M203" s="1799"/>
      <c r="N203" s="1799"/>
      <c r="O203" s="1799"/>
      <c r="P203" s="1799"/>
      <c r="Q203" s="1799"/>
      <c r="R203" s="1799"/>
      <c r="S203" s="1799"/>
      <c r="T203" s="1799"/>
      <c r="U203" s="1799"/>
      <c r="V203" s="1799"/>
      <c r="W203" s="1799"/>
      <c r="X203" s="1799"/>
      <c r="Y203" s="1799"/>
      <c r="Z203" s="1799"/>
    </row>
    <row r="204">
      <c r="A204" s="1799"/>
      <c r="B204" s="1799"/>
      <c r="C204" s="1799"/>
      <c r="D204" s="1812"/>
      <c r="E204" s="1799"/>
      <c r="F204" s="1813"/>
      <c r="G204" s="1814"/>
      <c r="H204" s="1799"/>
      <c r="I204" s="1799"/>
      <c r="J204" s="1799"/>
      <c r="K204" s="1799"/>
      <c r="L204" s="1799"/>
      <c r="M204" s="1799"/>
      <c r="N204" s="1799"/>
      <c r="O204" s="1799"/>
      <c r="P204" s="1799"/>
      <c r="Q204" s="1799"/>
      <c r="R204" s="1799"/>
      <c r="S204" s="1799"/>
      <c r="T204" s="1799"/>
      <c r="U204" s="1799"/>
      <c r="V204" s="1799"/>
      <c r="W204" s="1799"/>
      <c r="X204" s="1799"/>
      <c r="Y204" s="1799"/>
      <c r="Z204" s="1799"/>
    </row>
    <row r="205">
      <c r="A205" s="1799"/>
      <c r="B205" s="1799"/>
      <c r="C205" s="1799"/>
      <c r="D205" s="1812"/>
      <c r="E205" s="1799"/>
      <c r="F205" s="1813"/>
      <c r="G205" s="1814"/>
      <c r="H205" s="1799"/>
      <c r="I205" s="1799"/>
      <c r="J205" s="1799"/>
      <c r="K205" s="1799"/>
      <c r="L205" s="1799"/>
      <c r="M205" s="1799"/>
      <c r="N205" s="1799"/>
      <c r="O205" s="1799"/>
      <c r="P205" s="1799"/>
      <c r="Q205" s="1799"/>
      <c r="R205" s="1799"/>
      <c r="S205" s="1799"/>
      <c r="T205" s="1799"/>
      <c r="U205" s="1799"/>
      <c r="V205" s="1799"/>
      <c r="W205" s="1799"/>
      <c r="X205" s="1799"/>
      <c r="Y205" s="1799"/>
      <c r="Z205" s="1799"/>
    </row>
    <row r="206">
      <c r="A206" s="1799"/>
      <c r="B206" s="1799"/>
      <c r="C206" s="1799"/>
      <c r="D206" s="1812"/>
      <c r="E206" s="1799"/>
      <c r="F206" s="1813"/>
      <c r="G206" s="1814"/>
      <c r="H206" s="1799"/>
      <c r="I206" s="1799"/>
      <c r="J206" s="1799"/>
      <c r="K206" s="1799"/>
      <c r="L206" s="1799"/>
      <c r="M206" s="1799"/>
      <c r="N206" s="1799"/>
      <c r="O206" s="1799"/>
      <c r="P206" s="1799"/>
      <c r="Q206" s="1799"/>
      <c r="R206" s="1799"/>
      <c r="S206" s="1799"/>
      <c r="T206" s="1799"/>
      <c r="U206" s="1799"/>
      <c r="V206" s="1799"/>
      <c r="W206" s="1799"/>
      <c r="X206" s="1799"/>
      <c r="Y206" s="1799"/>
      <c r="Z206" s="1799"/>
    </row>
    <row r="207">
      <c r="A207" s="1799"/>
      <c r="B207" s="1799"/>
      <c r="C207" s="1799"/>
      <c r="D207" s="1812"/>
      <c r="E207" s="1799"/>
      <c r="F207" s="1813"/>
      <c r="G207" s="1814"/>
      <c r="H207" s="1799"/>
      <c r="I207" s="1799"/>
      <c r="J207" s="1799"/>
      <c r="K207" s="1799"/>
      <c r="L207" s="1799"/>
      <c r="M207" s="1799"/>
      <c r="N207" s="1799"/>
      <c r="O207" s="1799"/>
      <c r="P207" s="1799"/>
      <c r="Q207" s="1799"/>
      <c r="R207" s="1799"/>
      <c r="S207" s="1799"/>
      <c r="T207" s="1799"/>
      <c r="U207" s="1799"/>
      <c r="V207" s="1799"/>
      <c r="W207" s="1799"/>
      <c r="X207" s="1799"/>
      <c r="Y207" s="1799"/>
      <c r="Z207" s="1799"/>
    </row>
    <row r="208">
      <c r="A208" s="1799"/>
      <c r="B208" s="1799"/>
      <c r="C208" s="1799"/>
      <c r="D208" s="1812"/>
      <c r="E208" s="1799"/>
      <c r="F208" s="1813"/>
      <c r="G208" s="1814"/>
      <c r="H208" s="1799"/>
      <c r="I208" s="1799"/>
      <c r="J208" s="1799"/>
      <c r="K208" s="1799"/>
      <c r="L208" s="1799"/>
      <c r="M208" s="1799"/>
      <c r="N208" s="1799"/>
      <c r="O208" s="1799"/>
      <c r="P208" s="1799"/>
      <c r="Q208" s="1799"/>
      <c r="R208" s="1799"/>
      <c r="S208" s="1799"/>
      <c r="T208" s="1799"/>
      <c r="U208" s="1799"/>
      <c r="V208" s="1799"/>
      <c r="W208" s="1799"/>
      <c r="X208" s="1799"/>
      <c r="Y208" s="1799"/>
      <c r="Z208" s="1799"/>
    </row>
    <row r="209">
      <c r="A209" s="1799"/>
      <c r="B209" s="1799"/>
      <c r="C209" s="1799"/>
      <c r="D209" s="1812"/>
      <c r="E209" s="1799"/>
      <c r="F209" s="1813"/>
      <c r="G209" s="1814"/>
      <c r="H209" s="1799"/>
      <c r="I209" s="1799"/>
      <c r="J209" s="1799"/>
      <c r="K209" s="1799"/>
      <c r="L209" s="1799"/>
      <c r="M209" s="1799"/>
      <c r="N209" s="1799"/>
      <c r="O209" s="1799"/>
      <c r="P209" s="1799"/>
      <c r="Q209" s="1799"/>
      <c r="R209" s="1799"/>
      <c r="S209" s="1799"/>
      <c r="T209" s="1799"/>
      <c r="U209" s="1799"/>
      <c r="V209" s="1799"/>
      <c r="W209" s="1799"/>
      <c r="X209" s="1799"/>
      <c r="Y209" s="1799"/>
      <c r="Z209" s="1799"/>
    </row>
    <row r="210">
      <c r="A210" s="1799"/>
      <c r="B210" s="1799"/>
      <c r="C210" s="1799"/>
      <c r="D210" s="1812"/>
      <c r="E210" s="1799"/>
      <c r="F210" s="1813"/>
      <c r="G210" s="1814"/>
      <c r="H210" s="1799"/>
      <c r="I210" s="1799"/>
      <c r="J210" s="1799"/>
      <c r="K210" s="1799"/>
      <c r="L210" s="1799"/>
      <c r="M210" s="1799"/>
      <c r="N210" s="1799"/>
      <c r="O210" s="1799"/>
      <c r="P210" s="1799"/>
      <c r="Q210" s="1799"/>
      <c r="R210" s="1799"/>
      <c r="S210" s="1799"/>
      <c r="T210" s="1799"/>
      <c r="U210" s="1799"/>
      <c r="V210" s="1799"/>
      <c r="W210" s="1799"/>
      <c r="X210" s="1799"/>
      <c r="Y210" s="1799"/>
      <c r="Z210" s="1799"/>
    </row>
    <row r="211">
      <c r="A211" s="1799"/>
      <c r="B211" s="1799"/>
      <c r="C211" s="1799"/>
      <c r="D211" s="1812"/>
      <c r="E211" s="1799"/>
      <c r="F211" s="1813"/>
      <c r="G211" s="1814"/>
      <c r="H211" s="1799"/>
      <c r="I211" s="1799"/>
      <c r="J211" s="1799"/>
      <c r="K211" s="1799"/>
      <c r="L211" s="1799"/>
      <c r="M211" s="1799"/>
      <c r="N211" s="1799"/>
      <c r="O211" s="1799"/>
      <c r="P211" s="1799"/>
      <c r="Q211" s="1799"/>
      <c r="R211" s="1799"/>
      <c r="S211" s="1799"/>
      <c r="T211" s="1799"/>
      <c r="U211" s="1799"/>
      <c r="V211" s="1799"/>
      <c r="W211" s="1799"/>
      <c r="X211" s="1799"/>
      <c r="Y211" s="1799"/>
      <c r="Z211" s="1799"/>
    </row>
    <row r="212">
      <c r="A212" s="1799"/>
      <c r="B212" s="1799"/>
      <c r="C212" s="1799"/>
      <c r="D212" s="1812"/>
      <c r="E212" s="1799"/>
      <c r="F212" s="1813"/>
      <c r="G212" s="1814"/>
      <c r="H212" s="1799"/>
      <c r="I212" s="1799"/>
      <c r="J212" s="1799"/>
      <c r="K212" s="1799"/>
      <c r="L212" s="1799"/>
      <c r="M212" s="1799"/>
      <c r="N212" s="1799"/>
      <c r="O212" s="1799"/>
      <c r="P212" s="1799"/>
      <c r="Q212" s="1799"/>
      <c r="R212" s="1799"/>
      <c r="S212" s="1799"/>
      <c r="T212" s="1799"/>
      <c r="U212" s="1799"/>
      <c r="V212" s="1799"/>
      <c r="W212" s="1799"/>
      <c r="X212" s="1799"/>
      <c r="Y212" s="1799"/>
      <c r="Z212" s="1799"/>
    </row>
    <row r="213">
      <c r="A213" s="1799"/>
      <c r="B213" s="1799"/>
      <c r="C213" s="1799"/>
      <c r="D213" s="1812"/>
      <c r="E213" s="1799"/>
      <c r="F213" s="1813"/>
      <c r="G213" s="1814"/>
      <c r="H213" s="1799"/>
      <c r="I213" s="1799"/>
      <c r="J213" s="1799"/>
      <c r="K213" s="1799"/>
      <c r="L213" s="1799"/>
      <c r="M213" s="1799"/>
      <c r="N213" s="1799"/>
      <c r="O213" s="1799"/>
      <c r="P213" s="1799"/>
      <c r="Q213" s="1799"/>
      <c r="R213" s="1799"/>
      <c r="S213" s="1799"/>
      <c r="T213" s="1799"/>
      <c r="U213" s="1799"/>
      <c r="V213" s="1799"/>
      <c r="W213" s="1799"/>
      <c r="X213" s="1799"/>
      <c r="Y213" s="1799"/>
      <c r="Z213" s="1799"/>
    </row>
    <row r="214">
      <c r="A214" s="1799"/>
      <c r="B214" s="1799"/>
      <c r="C214" s="1799"/>
      <c r="D214" s="1812"/>
      <c r="E214" s="1799"/>
      <c r="F214" s="1813"/>
      <c r="G214" s="1814"/>
      <c r="H214" s="1799"/>
      <c r="I214" s="1799"/>
      <c r="J214" s="1799"/>
      <c r="K214" s="1799"/>
      <c r="L214" s="1799"/>
      <c r="M214" s="1799"/>
      <c r="N214" s="1799"/>
      <c r="O214" s="1799"/>
      <c r="P214" s="1799"/>
      <c r="Q214" s="1799"/>
      <c r="R214" s="1799"/>
      <c r="S214" s="1799"/>
      <c r="T214" s="1799"/>
      <c r="U214" s="1799"/>
      <c r="V214" s="1799"/>
      <c r="W214" s="1799"/>
      <c r="X214" s="1799"/>
      <c r="Y214" s="1799"/>
      <c r="Z214" s="1799"/>
    </row>
    <row r="215">
      <c r="A215" s="1799"/>
      <c r="B215" s="1799"/>
      <c r="C215" s="1799"/>
      <c r="D215" s="1812"/>
      <c r="E215" s="1799"/>
      <c r="F215" s="1813"/>
      <c r="G215" s="1814"/>
      <c r="H215" s="1799"/>
      <c r="I215" s="1799"/>
      <c r="J215" s="1799"/>
      <c r="K215" s="1799"/>
      <c r="L215" s="1799"/>
      <c r="M215" s="1799"/>
      <c r="N215" s="1799"/>
      <c r="O215" s="1799"/>
      <c r="P215" s="1799"/>
      <c r="Q215" s="1799"/>
      <c r="R215" s="1799"/>
      <c r="S215" s="1799"/>
      <c r="T215" s="1799"/>
      <c r="U215" s="1799"/>
      <c r="V215" s="1799"/>
      <c r="W215" s="1799"/>
      <c r="X215" s="1799"/>
      <c r="Y215" s="1799"/>
      <c r="Z215" s="1799"/>
    </row>
    <row r="216">
      <c r="A216" s="1799"/>
      <c r="B216" s="1799"/>
      <c r="C216" s="1799"/>
      <c r="D216" s="1812"/>
      <c r="E216" s="1799"/>
      <c r="F216" s="1813"/>
      <c r="G216" s="1814"/>
      <c r="H216" s="1799"/>
      <c r="I216" s="1799"/>
      <c r="J216" s="1799"/>
      <c r="K216" s="1799"/>
      <c r="L216" s="1799"/>
      <c r="M216" s="1799"/>
      <c r="N216" s="1799"/>
      <c r="O216" s="1799"/>
      <c r="P216" s="1799"/>
      <c r="Q216" s="1799"/>
      <c r="R216" s="1799"/>
      <c r="S216" s="1799"/>
      <c r="T216" s="1799"/>
      <c r="U216" s="1799"/>
      <c r="V216" s="1799"/>
      <c r="W216" s="1799"/>
      <c r="X216" s="1799"/>
      <c r="Y216" s="1799"/>
      <c r="Z216" s="1799"/>
    </row>
    <row r="217">
      <c r="A217" s="1799"/>
      <c r="B217" s="1799"/>
      <c r="C217" s="1799"/>
      <c r="D217" s="1812"/>
      <c r="E217" s="1799"/>
      <c r="F217" s="1813"/>
      <c r="G217" s="1814"/>
      <c r="H217" s="1799"/>
      <c r="I217" s="1799"/>
      <c r="J217" s="1799"/>
      <c r="K217" s="1799"/>
      <c r="L217" s="1799"/>
      <c r="M217" s="1799"/>
      <c r="N217" s="1799"/>
      <c r="O217" s="1799"/>
      <c r="P217" s="1799"/>
      <c r="Q217" s="1799"/>
      <c r="R217" s="1799"/>
      <c r="S217" s="1799"/>
      <c r="T217" s="1799"/>
      <c r="U217" s="1799"/>
      <c r="V217" s="1799"/>
      <c r="W217" s="1799"/>
      <c r="X217" s="1799"/>
      <c r="Y217" s="1799"/>
      <c r="Z217" s="1799"/>
    </row>
    <row r="218">
      <c r="A218" s="1799"/>
      <c r="B218" s="1799"/>
      <c r="C218" s="1799"/>
      <c r="D218" s="1812"/>
      <c r="E218" s="1799"/>
      <c r="F218" s="1813"/>
      <c r="G218" s="1814"/>
      <c r="H218" s="1799"/>
      <c r="I218" s="1799"/>
      <c r="J218" s="1799"/>
      <c r="K218" s="1799"/>
      <c r="L218" s="1799"/>
      <c r="M218" s="1799"/>
      <c r="N218" s="1799"/>
      <c r="O218" s="1799"/>
      <c r="P218" s="1799"/>
      <c r="Q218" s="1799"/>
      <c r="R218" s="1799"/>
      <c r="S218" s="1799"/>
      <c r="T218" s="1799"/>
      <c r="U218" s="1799"/>
      <c r="V218" s="1799"/>
      <c r="W218" s="1799"/>
      <c r="X218" s="1799"/>
      <c r="Y218" s="1799"/>
      <c r="Z218" s="1799"/>
    </row>
    <row r="219">
      <c r="A219" s="1799"/>
      <c r="B219" s="1799"/>
      <c r="C219" s="1799"/>
      <c r="D219" s="1812"/>
      <c r="E219" s="1799"/>
      <c r="F219" s="1813"/>
      <c r="G219" s="1814"/>
      <c r="H219" s="1799"/>
      <c r="I219" s="1799"/>
      <c r="J219" s="1799"/>
      <c r="K219" s="1799"/>
      <c r="L219" s="1799"/>
      <c r="M219" s="1799"/>
      <c r="N219" s="1799"/>
      <c r="O219" s="1799"/>
      <c r="P219" s="1799"/>
      <c r="Q219" s="1799"/>
      <c r="R219" s="1799"/>
      <c r="S219" s="1799"/>
      <c r="T219" s="1799"/>
      <c r="U219" s="1799"/>
      <c r="V219" s="1799"/>
      <c r="W219" s="1799"/>
      <c r="X219" s="1799"/>
      <c r="Y219" s="1799"/>
      <c r="Z219" s="1799"/>
    </row>
    <row r="220">
      <c r="A220" s="1799"/>
      <c r="B220" s="1799"/>
      <c r="C220" s="1799"/>
      <c r="D220" s="1812"/>
      <c r="E220" s="1799"/>
      <c r="F220" s="1813"/>
      <c r="G220" s="1814"/>
      <c r="H220" s="1799"/>
      <c r="I220" s="1799"/>
      <c r="J220" s="1799"/>
      <c r="K220" s="1799"/>
      <c r="L220" s="1799"/>
      <c r="M220" s="1799"/>
      <c r="N220" s="1799"/>
      <c r="O220" s="1799"/>
      <c r="P220" s="1799"/>
      <c r="Q220" s="1799"/>
      <c r="R220" s="1799"/>
      <c r="S220" s="1799"/>
      <c r="T220" s="1799"/>
      <c r="U220" s="1799"/>
      <c r="V220" s="1799"/>
      <c r="W220" s="1799"/>
      <c r="X220" s="1799"/>
      <c r="Y220" s="1799"/>
      <c r="Z220" s="1799"/>
    </row>
    <row r="221">
      <c r="A221" s="1799"/>
      <c r="B221" s="1799"/>
      <c r="C221" s="1799"/>
      <c r="D221" s="1812"/>
      <c r="E221" s="1799"/>
      <c r="F221" s="1813"/>
      <c r="G221" s="1814"/>
      <c r="H221" s="1799"/>
      <c r="I221" s="1799"/>
      <c r="J221" s="1799"/>
      <c r="K221" s="1799"/>
      <c r="L221" s="1799"/>
      <c r="M221" s="1799"/>
      <c r="N221" s="1799"/>
      <c r="O221" s="1799"/>
      <c r="P221" s="1799"/>
      <c r="Q221" s="1799"/>
      <c r="R221" s="1799"/>
      <c r="S221" s="1799"/>
      <c r="T221" s="1799"/>
      <c r="U221" s="1799"/>
      <c r="V221" s="1799"/>
      <c r="W221" s="1799"/>
      <c r="X221" s="1799"/>
      <c r="Y221" s="1799"/>
      <c r="Z221" s="1799"/>
    </row>
    <row r="222">
      <c r="A222" s="1799"/>
      <c r="B222" s="1799"/>
      <c r="C222" s="1799"/>
      <c r="D222" s="1812"/>
      <c r="E222" s="1799"/>
      <c r="F222" s="1813"/>
      <c r="G222" s="1814"/>
      <c r="H222" s="1799"/>
      <c r="I222" s="1799"/>
      <c r="J222" s="1799"/>
      <c r="K222" s="1799"/>
      <c r="L222" s="1799"/>
      <c r="M222" s="1799"/>
      <c r="N222" s="1799"/>
      <c r="O222" s="1799"/>
      <c r="P222" s="1799"/>
      <c r="Q222" s="1799"/>
      <c r="R222" s="1799"/>
      <c r="S222" s="1799"/>
      <c r="T222" s="1799"/>
      <c r="U222" s="1799"/>
      <c r="V222" s="1799"/>
      <c r="W222" s="1799"/>
      <c r="X222" s="1799"/>
      <c r="Y222" s="1799"/>
      <c r="Z222" s="1799"/>
    </row>
    <row r="223">
      <c r="A223" s="1799"/>
      <c r="B223" s="1799"/>
      <c r="C223" s="1799"/>
      <c r="D223" s="1812"/>
      <c r="E223" s="1799"/>
      <c r="F223" s="1813"/>
      <c r="G223" s="1814"/>
      <c r="H223" s="1799"/>
      <c r="I223" s="1799"/>
      <c r="J223" s="1799"/>
      <c r="K223" s="1799"/>
      <c r="L223" s="1799"/>
      <c r="M223" s="1799"/>
      <c r="N223" s="1799"/>
      <c r="O223" s="1799"/>
      <c r="P223" s="1799"/>
      <c r="Q223" s="1799"/>
      <c r="R223" s="1799"/>
      <c r="S223" s="1799"/>
      <c r="T223" s="1799"/>
      <c r="U223" s="1799"/>
      <c r="V223" s="1799"/>
      <c r="W223" s="1799"/>
      <c r="X223" s="1799"/>
      <c r="Y223" s="1799"/>
      <c r="Z223" s="1799"/>
    </row>
    <row r="224">
      <c r="A224" s="1799"/>
      <c r="B224" s="1799"/>
      <c r="C224" s="1799"/>
      <c r="D224" s="1812"/>
      <c r="E224" s="1799"/>
      <c r="F224" s="1813"/>
      <c r="G224" s="1814"/>
      <c r="H224" s="1799"/>
      <c r="I224" s="1799"/>
      <c r="J224" s="1799"/>
      <c r="K224" s="1799"/>
      <c r="L224" s="1799"/>
      <c r="M224" s="1799"/>
      <c r="N224" s="1799"/>
      <c r="O224" s="1799"/>
      <c r="P224" s="1799"/>
      <c r="Q224" s="1799"/>
      <c r="R224" s="1799"/>
      <c r="S224" s="1799"/>
      <c r="T224" s="1799"/>
      <c r="U224" s="1799"/>
      <c r="V224" s="1799"/>
      <c r="W224" s="1799"/>
      <c r="X224" s="1799"/>
      <c r="Y224" s="1799"/>
      <c r="Z224" s="1799"/>
    </row>
    <row r="225">
      <c r="A225" s="1799"/>
      <c r="B225" s="1799"/>
      <c r="C225" s="1799"/>
      <c r="D225" s="1812"/>
      <c r="E225" s="1799"/>
      <c r="F225" s="1813"/>
      <c r="G225" s="1814"/>
      <c r="H225" s="1799"/>
      <c r="I225" s="1799"/>
      <c r="J225" s="1799"/>
      <c r="K225" s="1799"/>
      <c r="L225" s="1799"/>
      <c r="M225" s="1799"/>
      <c r="N225" s="1799"/>
      <c r="O225" s="1799"/>
      <c r="P225" s="1799"/>
      <c r="Q225" s="1799"/>
      <c r="R225" s="1799"/>
      <c r="S225" s="1799"/>
      <c r="T225" s="1799"/>
      <c r="U225" s="1799"/>
      <c r="V225" s="1799"/>
      <c r="W225" s="1799"/>
      <c r="X225" s="1799"/>
      <c r="Y225" s="1799"/>
      <c r="Z225" s="1799"/>
    </row>
    <row r="226">
      <c r="A226" s="1799"/>
      <c r="B226" s="1799"/>
      <c r="C226" s="1799"/>
      <c r="D226" s="1812"/>
      <c r="E226" s="1799"/>
      <c r="F226" s="1813"/>
      <c r="G226" s="1814"/>
      <c r="H226" s="1799"/>
      <c r="I226" s="1799"/>
      <c r="J226" s="1799"/>
      <c r="K226" s="1799"/>
      <c r="L226" s="1799"/>
      <c r="M226" s="1799"/>
      <c r="N226" s="1799"/>
      <c r="O226" s="1799"/>
      <c r="P226" s="1799"/>
      <c r="Q226" s="1799"/>
      <c r="R226" s="1799"/>
      <c r="S226" s="1799"/>
      <c r="T226" s="1799"/>
      <c r="U226" s="1799"/>
      <c r="V226" s="1799"/>
      <c r="W226" s="1799"/>
      <c r="X226" s="1799"/>
      <c r="Y226" s="1799"/>
      <c r="Z226" s="1799"/>
    </row>
    <row r="227">
      <c r="A227" s="1799"/>
      <c r="B227" s="1799"/>
      <c r="C227" s="1799"/>
      <c r="D227" s="1812"/>
      <c r="E227" s="1799"/>
      <c r="F227" s="1813"/>
      <c r="G227" s="1814"/>
      <c r="H227" s="1799"/>
      <c r="I227" s="1799"/>
      <c r="J227" s="1799"/>
      <c r="K227" s="1799"/>
      <c r="L227" s="1799"/>
      <c r="M227" s="1799"/>
      <c r="N227" s="1799"/>
      <c r="O227" s="1799"/>
      <c r="P227" s="1799"/>
      <c r="Q227" s="1799"/>
      <c r="R227" s="1799"/>
      <c r="S227" s="1799"/>
      <c r="T227" s="1799"/>
      <c r="U227" s="1799"/>
      <c r="V227" s="1799"/>
      <c r="W227" s="1799"/>
      <c r="X227" s="1799"/>
      <c r="Y227" s="1799"/>
      <c r="Z227" s="1799"/>
    </row>
    <row r="228">
      <c r="A228" s="1799"/>
      <c r="B228" s="1799"/>
      <c r="C228" s="1799"/>
      <c r="D228" s="1812"/>
      <c r="E228" s="1799"/>
      <c r="F228" s="1813"/>
      <c r="G228" s="1814"/>
      <c r="H228" s="1799"/>
      <c r="I228" s="1799"/>
      <c r="J228" s="1799"/>
      <c r="K228" s="1799"/>
      <c r="L228" s="1799"/>
      <c r="M228" s="1799"/>
      <c r="N228" s="1799"/>
      <c r="O228" s="1799"/>
      <c r="P228" s="1799"/>
      <c r="Q228" s="1799"/>
      <c r="R228" s="1799"/>
      <c r="S228" s="1799"/>
      <c r="T228" s="1799"/>
      <c r="U228" s="1799"/>
      <c r="V228" s="1799"/>
      <c r="W228" s="1799"/>
      <c r="X228" s="1799"/>
      <c r="Y228" s="1799"/>
      <c r="Z228" s="1799"/>
    </row>
    <row r="229">
      <c r="A229" s="1799"/>
      <c r="B229" s="1799"/>
      <c r="C229" s="1799"/>
      <c r="D229" s="1812"/>
      <c r="E229" s="1799"/>
      <c r="F229" s="1813"/>
      <c r="G229" s="1814"/>
      <c r="H229" s="1799"/>
      <c r="I229" s="1799"/>
      <c r="J229" s="1799"/>
      <c r="K229" s="1799"/>
      <c r="L229" s="1799"/>
      <c r="M229" s="1799"/>
      <c r="N229" s="1799"/>
      <c r="O229" s="1799"/>
      <c r="P229" s="1799"/>
      <c r="Q229" s="1799"/>
      <c r="R229" s="1799"/>
      <c r="S229" s="1799"/>
      <c r="T229" s="1799"/>
      <c r="U229" s="1799"/>
      <c r="V229" s="1799"/>
      <c r="W229" s="1799"/>
      <c r="X229" s="1799"/>
      <c r="Y229" s="1799"/>
      <c r="Z229" s="1799"/>
    </row>
    <row r="230">
      <c r="A230" s="1799"/>
      <c r="B230" s="1799"/>
      <c r="C230" s="1799"/>
      <c r="D230" s="1812"/>
      <c r="E230" s="1799"/>
      <c r="F230" s="1813"/>
      <c r="G230" s="1814"/>
      <c r="H230" s="1799"/>
      <c r="I230" s="1799"/>
      <c r="J230" s="1799"/>
      <c r="K230" s="1799"/>
      <c r="L230" s="1799"/>
      <c r="M230" s="1799"/>
      <c r="N230" s="1799"/>
      <c r="O230" s="1799"/>
      <c r="P230" s="1799"/>
      <c r="Q230" s="1799"/>
      <c r="R230" s="1799"/>
      <c r="S230" s="1799"/>
      <c r="T230" s="1799"/>
      <c r="U230" s="1799"/>
      <c r="V230" s="1799"/>
      <c r="W230" s="1799"/>
      <c r="X230" s="1799"/>
      <c r="Y230" s="1799"/>
      <c r="Z230" s="1799"/>
    </row>
    <row r="231">
      <c r="A231" s="1799"/>
      <c r="B231" s="1799"/>
      <c r="C231" s="1799"/>
      <c r="D231" s="1812"/>
      <c r="E231" s="1799"/>
      <c r="F231" s="1813"/>
      <c r="G231" s="1814"/>
      <c r="H231" s="1799"/>
      <c r="I231" s="1799"/>
      <c r="J231" s="1799"/>
      <c r="K231" s="1799"/>
      <c r="L231" s="1799"/>
      <c r="M231" s="1799"/>
      <c r="N231" s="1799"/>
      <c r="O231" s="1799"/>
      <c r="P231" s="1799"/>
      <c r="Q231" s="1799"/>
      <c r="R231" s="1799"/>
      <c r="S231" s="1799"/>
      <c r="T231" s="1799"/>
      <c r="U231" s="1799"/>
      <c r="V231" s="1799"/>
      <c r="W231" s="1799"/>
      <c r="X231" s="1799"/>
      <c r="Y231" s="1799"/>
      <c r="Z231" s="1799"/>
    </row>
    <row r="232">
      <c r="A232" s="1799"/>
      <c r="B232" s="1799"/>
      <c r="C232" s="1799"/>
      <c r="D232" s="1812"/>
      <c r="E232" s="1799"/>
      <c r="F232" s="1813"/>
      <c r="G232" s="1814"/>
      <c r="H232" s="1799"/>
      <c r="I232" s="1799"/>
      <c r="J232" s="1799"/>
      <c r="K232" s="1799"/>
      <c r="L232" s="1799"/>
      <c r="M232" s="1799"/>
      <c r="N232" s="1799"/>
      <c r="O232" s="1799"/>
      <c r="P232" s="1799"/>
      <c r="Q232" s="1799"/>
      <c r="R232" s="1799"/>
      <c r="S232" s="1799"/>
      <c r="T232" s="1799"/>
      <c r="U232" s="1799"/>
      <c r="V232" s="1799"/>
      <c r="W232" s="1799"/>
      <c r="X232" s="1799"/>
      <c r="Y232" s="1799"/>
      <c r="Z232" s="1799"/>
    </row>
    <row r="233">
      <c r="A233" s="1799"/>
      <c r="B233" s="1799"/>
      <c r="C233" s="1799"/>
      <c r="D233" s="1812"/>
      <c r="E233" s="1799"/>
      <c r="F233" s="1813"/>
      <c r="G233" s="1814"/>
      <c r="H233" s="1799"/>
      <c r="I233" s="1799"/>
      <c r="J233" s="1799"/>
      <c r="K233" s="1799"/>
      <c r="L233" s="1799"/>
      <c r="M233" s="1799"/>
      <c r="N233" s="1799"/>
      <c r="O233" s="1799"/>
      <c r="P233" s="1799"/>
      <c r="Q233" s="1799"/>
      <c r="R233" s="1799"/>
      <c r="S233" s="1799"/>
      <c r="T233" s="1799"/>
      <c r="U233" s="1799"/>
      <c r="V233" s="1799"/>
      <c r="W233" s="1799"/>
      <c r="X233" s="1799"/>
      <c r="Y233" s="1799"/>
      <c r="Z233" s="1799"/>
    </row>
    <row r="234">
      <c r="A234" s="1799"/>
      <c r="B234" s="1799"/>
      <c r="C234" s="1799"/>
      <c r="D234" s="1812"/>
      <c r="E234" s="1799"/>
      <c r="F234" s="1813"/>
      <c r="G234" s="1814"/>
      <c r="H234" s="1799"/>
      <c r="I234" s="1799"/>
      <c r="J234" s="1799"/>
      <c r="K234" s="1799"/>
      <c r="L234" s="1799"/>
      <c r="M234" s="1799"/>
      <c r="N234" s="1799"/>
      <c r="O234" s="1799"/>
      <c r="P234" s="1799"/>
      <c r="Q234" s="1799"/>
      <c r="R234" s="1799"/>
      <c r="S234" s="1799"/>
      <c r="T234" s="1799"/>
      <c r="U234" s="1799"/>
      <c r="V234" s="1799"/>
      <c r="W234" s="1799"/>
      <c r="X234" s="1799"/>
      <c r="Y234" s="1799"/>
      <c r="Z234" s="1799"/>
    </row>
    <row r="235">
      <c r="A235" s="1799"/>
      <c r="B235" s="1799"/>
      <c r="C235" s="1799"/>
      <c r="D235" s="1812"/>
      <c r="E235" s="1799"/>
      <c r="F235" s="1813"/>
      <c r="G235" s="1814"/>
      <c r="H235" s="1799"/>
      <c r="I235" s="1799"/>
      <c r="J235" s="1799"/>
      <c r="K235" s="1799"/>
      <c r="L235" s="1799"/>
      <c r="M235" s="1799"/>
      <c r="N235" s="1799"/>
      <c r="O235" s="1799"/>
      <c r="P235" s="1799"/>
      <c r="Q235" s="1799"/>
      <c r="R235" s="1799"/>
      <c r="S235" s="1799"/>
      <c r="T235" s="1799"/>
      <c r="U235" s="1799"/>
      <c r="V235" s="1799"/>
      <c r="W235" s="1799"/>
      <c r="X235" s="1799"/>
      <c r="Y235" s="1799"/>
      <c r="Z235" s="1799"/>
    </row>
    <row r="236">
      <c r="A236" s="1799"/>
      <c r="B236" s="1799"/>
      <c r="C236" s="1799"/>
      <c r="D236" s="1812"/>
      <c r="E236" s="1799"/>
      <c r="F236" s="1813"/>
      <c r="G236" s="1814"/>
      <c r="H236" s="1799"/>
      <c r="I236" s="1799"/>
      <c r="J236" s="1799"/>
      <c r="K236" s="1799"/>
      <c r="L236" s="1799"/>
      <c r="M236" s="1799"/>
      <c r="N236" s="1799"/>
      <c r="O236" s="1799"/>
      <c r="P236" s="1799"/>
      <c r="Q236" s="1799"/>
      <c r="R236" s="1799"/>
      <c r="S236" s="1799"/>
      <c r="T236" s="1799"/>
      <c r="U236" s="1799"/>
      <c r="V236" s="1799"/>
      <c r="W236" s="1799"/>
      <c r="X236" s="1799"/>
      <c r="Y236" s="1799"/>
      <c r="Z236" s="1799"/>
    </row>
    <row r="237">
      <c r="A237" s="1799"/>
      <c r="B237" s="1799"/>
      <c r="C237" s="1799"/>
      <c r="D237" s="1812"/>
      <c r="E237" s="1799"/>
      <c r="F237" s="1813"/>
      <c r="G237" s="1814"/>
      <c r="H237" s="1799"/>
      <c r="I237" s="1799"/>
      <c r="J237" s="1799"/>
      <c r="K237" s="1799"/>
      <c r="L237" s="1799"/>
      <c r="M237" s="1799"/>
      <c r="N237" s="1799"/>
      <c r="O237" s="1799"/>
      <c r="P237" s="1799"/>
      <c r="Q237" s="1799"/>
      <c r="R237" s="1799"/>
      <c r="S237" s="1799"/>
      <c r="T237" s="1799"/>
      <c r="U237" s="1799"/>
      <c r="V237" s="1799"/>
      <c r="W237" s="1799"/>
      <c r="X237" s="1799"/>
      <c r="Y237" s="1799"/>
      <c r="Z237" s="1799"/>
    </row>
    <row r="238">
      <c r="A238" s="1799"/>
      <c r="B238" s="1799"/>
      <c r="C238" s="1799"/>
      <c r="D238" s="1812"/>
      <c r="E238" s="1799"/>
      <c r="F238" s="1813"/>
      <c r="G238" s="1814"/>
      <c r="H238" s="1799"/>
      <c r="I238" s="1799"/>
      <c r="J238" s="1799"/>
      <c r="K238" s="1799"/>
      <c r="L238" s="1799"/>
      <c r="M238" s="1799"/>
      <c r="N238" s="1799"/>
      <c r="O238" s="1799"/>
      <c r="P238" s="1799"/>
      <c r="Q238" s="1799"/>
      <c r="R238" s="1799"/>
      <c r="S238" s="1799"/>
      <c r="T238" s="1799"/>
      <c r="U238" s="1799"/>
      <c r="V238" s="1799"/>
      <c r="W238" s="1799"/>
      <c r="X238" s="1799"/>
      <c r="Y238" s="1799"/>
      <c r="Z238" s="1799"/>
    </row>
    <row r="239">
      <c r="A239" s="1799"/>
      <c r="B239" s="1799"/>
      <c r="C239" s="1799"/>
      <c r="D239" s="1812"/>
      <c r="E239" s="1799"/>
      <c r="F239" s="1813"/>
      <c r="G239" s="1814"/>
      <c r="H239" s="1799"/>
      <c r="I239" s="1799"/>
      <c r="J239" s="1799"/>
      <c r="K239" s="1799"/>
      <c r="L239" s="1799"/>
      <c r="M239" s="1799"/>
      <c r="N239" s="1799"/>
      <c r="O239" s="1799"/>
      <c r="P239" s="1799"/>
      <c r="Q239" s="1799"/>
      <c r="R239" s="1799"/>
      <c r="S239" s="1799"/>
      <c r="T239" s="1799"/>
      <c r="U239" s="1799"/>
      <c r="V239" s="1799"/>
      <c r="W239" s="1799"/>
      <c r="X239" s="1799"/>
      <c r="Y239" s="1799"/>
      <c r="Z239" s="1799"/>
    </row>
    <row r="240">
      <c r="A240" s="1799"/>
      <c r="B240" s="1799"/>
      <c r="C240" s="1799"/>
      <c r="D240" s="1812"/>
      <c r="E240" s="1799"/>
      <c r="F240" s="1813"/>
      <c r="G240" s="1814"/>
      <c r="H240" s="1799"/>
      <c r="I240" s="1799"/>
      <c r="J240" s="1799"/>
      <c r="K240" s="1799"/>
      <c r="L240" s="1799"/>
      <c r="M240" s="1799"/>
      <c r="N240" s="1799"/>
      <c r="O240" s="1799"/>
      <c r="P240" s="1799"/>
      <c r="Q240" s="1799"/>
      <c r="R240" s="1799"/>
      <c r="S240" s="1799"/>
      <c r="T240" s="1799"/>
      <c r="U240" s="1799"/>
      <c r="V240" s="1799"/>
      <c r="W240" s="1799"/>
      <c r="X240" s="1799"/>
      <c r="Y240" s="1799"/>
      <c r="Z240" s="1799"/>
    </row>
    <row r="241">
      <c r="A241" s="1799"/>
      <c r="B241" s="1799"/>
      <c r="C241" s="1799"/>
      <c r="D241" s="1812"/>
      <c r="E241" s="1799"/>
      <c r="F241" s="1813"/>
      <c r="G241" s="1814"/>
      <c r="H241" s="1799"/>
      <c r="I241" s="1799"/>
      <c r="J241" s="1799"/>
      <c r="K241" s="1799"/>
      <c r="L241" s="1799"/>
      <c r="M241" s="1799"/>
      <c r="N241" s="1799"/>
      <c r="O241" s="1799"/>
      <c r="P241" s="1799"/>
      <c r="Q241" s="1799"/>
      <c r="R241" s="1799"/>
      <c r="S241" s="1799"/>
      <c r="T241" s="1799"/>
      <c r="U241" s="1799"/>
      <c r="V241" s="1799"/>
      <c r="W241" s="1799"/>
      <c r="X241" s="1799"/>
      <c r="Y241" s="1799"/>
      <c r="Z241" s="1799"/>
    </row>
    <row r="242">
      <c r="A242" s="1799"/>
      <c r="B242" s="1799"/>
      <c r="C242" s="1799"/>
      <c r="D242" s="1812"/>
      <c r="E242" s="1799"/>
      <c r="F242" s="1813"/>
      <c r="G242" s="1814"/>
      <c r="H242" s="1799"/>
      <c r="I242" s="1799"/>
      <c r="J242" s="1799"/>
      <c r="K242" s="1799"/>
      <c r="L242" s="1799"/>
      <c r="M242" s="1799"/>
      <c r="N242" s="1799"/>
      <c r="O242" s="1799"/>
      <c r="P242" s="1799"/>
      <c r="Q242" s="1799"/>
      <c r="R242" s="1799"/>
      <c r="S242" s="1799"/>
      <c r="T242" s="1799"/>
      <c r="U242" s="1799"/>
      <c r="V242" s="1799"/>
      <c r="W242" s="1799"/>
      <c r="X242" s="1799"/>
      <c r="Y242" s="1799"/>
      <c r="Z242" s="1799"/>
    </row>
    <row r="243">
      <c r="A243" s="1799"/>
      <c r="B243" s="1799"/>
      <c r="C243" s="1799"/>
      <c r="D243" s="1812"/>
      <c r="E243" s="1799"/>
      <c r="F243" s="1813"/>
      <c r="G243" s="1814"/>
      <c r="H243" s="1799"/>
      <c r="I243" s="1799"/>
      <c r="J243" s="1799"/>
      <c r="K243" s="1799"/>
      <c r="L243" s="1799"/>
      <c r="M243" s="1799"/>
      <c r="N243" s="1799"/>
      <c r="O243" s="1799"/>
      <c r="P243" s="1799"/>
      <c r="Q243" s="1799"/>
      <c r="R243" s="1799"/>
      <c r="S243" s="1799"/>
      <c r="T243" s="1799"/>
      <c r="U243" s="1799"/>
      <c r="V243" s="1799"/>
      <c r="W243" s="1799"/>
      <c r="X243" s="1799"/>
      <c r="Y243" s="1799"/>
      <c r="Z243" s="1799"/>
    </row>
    <row r="244">
      <c r="A244" s="1799"/>
      <c r="B244" s="1799"/>
      <c r="C244" s="1799"/>
      <c r="D244" s="1812"/>
      <c r="E244" s="1799"/>
      <c r="F244" s="1813"/>
      <c r="G244" s="1814"/>
      <c r="H244" s="1799"/>
      <c r="I244" s="1799"/>
      <c r="J244" s="1799"/>
      <c r="K244" s="1799"/>
      <c r="L244" s="1799"/>
      <c r="M244" s="1799"/>
      <c r="N244" s="1799"/>
      <c r="O244" s="1799"/>
      <c r="P244" s="1799"/>
      <c r="Q244" s="1799"/>
      <c r="R244" s="1799"/>
      <c r="S244" s="1799"/>
      <c r="T244" s="1799"/>
      <c r="U244" s="1799"/>
      <c r="V244" s="1799"/>
      <c r="W244" s="1799"/>
      <c r="X244" s="1799"/>
      <c r="Y244" s="1799"/>
      <c r="Z244" s="1799"/>
    </row>
    <row r="245">
      <c r="A245" s="1799"/>
      <c r="B245" s="1799"/>
      <c r="C245" s="1799"/>
      <c r="D245" s="1812"/>
      <c r="E245" s="1799"/>
      <c r="F245" s="1813"/>
      <c r="G245" s="1814"/>
      <c r="H245" s="1799"/>
      <c r="I245" s="1799"/>
      <c r="J245" s="1799"/>
      <c r="K245" s="1799"/>
      <c r="L245" s="1799"/>
      <c r="M245" s="1799"/>
      <c r="N245" s="1799"/>
      <c r="O245" s="1799"/>
      <c r="P245" s="1799"/>
      <c r="Q245" s="1799"/>
      <c r="R245" s="1799"/>
      <c r="S245" s="1799"/>
      <c r="T245" s="1799"/>
      <c r="U245" s="1799"/>
      <c r="V245" s="1799"/>
      <c r="W245" s="1799"/>
      <c r="X245" s="1799"/>
      <c r="Y245" s="1799"/>
      <c r="Z245" s="1799"/>
    </row>
    <row r="246">
      <c r="A246" s="1799"/>
      <c r="B246" s="1799"/>
      <c r="C246" s="1799"/>
      <c r="D246" s="1812"/>
      <c r="E246" s="1799"/>
      <c r="F246" s="1813"/>
      <c r="G246" s="1814"/>
      <c r="H246" s="1799"/>
      <c r="I246" s="1799"/>
      <c r="J246" s="1799"/>
      <c r="K246" s="1799"/>
      <c r="L246" s="1799"/>
      <c r="M246" s="1799"/>
      <c r="N246" s="1799"/>
      <c r="O246" s="1799"/>
      <c r="P246" s="1799"/>
      <c r="Q246" s="1799"/>
      <c r="R246" s="1799"/>
      <c r="S246" s="1799"/>
      <c r="T246" s="1799"/>
      <c r="U246" s="1799"/>
      <c r="V246" s="1799"/>
      <c r="W246" s="1799"/>
      <c r="X246" s="1799"/>
      <c r="Y246" s="1799"/>
      <c r="Z246" s="1799"/>
    </row>
    <row r="247">
      <c r="A247" s="1799"/>
      <c r="B247" s="1799"/>
      <c r="C247" s="1799"/>
      <c r="D247" s="1812"/>
      <c r="E247" s="1799"/>
      <c r="F247" s="1813"/>
      <c r="G247" s="1814"/>
      <c r="H247" s="1799"/>
      <c r="I247" s="1799"/>
      <c r="J247" s="1799"/>
      <c r="K247" s="1799"/>
      <c r="L247" s="1799"/>
      <c r="M247" s="1799"/>
      <c r="N247" s="1799"/>
      <c r="O247" s="1799"/>
      <c r="P247" s="1799"/>
      <c r="Q247" s="1799"/>
      <c r="R247" s="1799"/>
      <c r="S247" s="1799"/>
      <c r="T247" s="1799"/>
      <c r="U247" s="1799"/>
      <c r="V247" s="1799"/>
      <c r="W247" s="1799"/>
      <c r="X247" s="1799"/>
      <c r="Y247" s="1799"/>
      <c r="Z247" s="1799"/>
    </row>
    <row r="248">
      <c r="A248" s="1799"/>
      <c r="B248" s="1799"/>
      <c r="C248" s="1799"/>
      <c r="D248" s="1812"/>
      <c r="E248" s="1799"/>
      <c r="F248" s="1813"/>
      <c r="G248" s="1814"/>
      <c r="H248" s="1799"/>
      <c r="I248" s="1799"/>
      <c r="J248" s="1799"/>
      <c r="K248" s="1799"/>
      <c r="L248" s="1799"/>
      <c r="M248" s="1799"/>
      <c r="N248" s="1799"/>
      <c r="O248" s="1799"/>
      <c r="P248" s="1799"/>
      <c r="Q248" s="1799"/>
      <c r="R248" s="1799"/>
      <c r="S248" s="1799"/>
      <c r="T248" s="1799"/>
      <c r="U248" s="1799"/>
      <c r="V248" s="1799"/>
      <c r="W248" s="1799"/>
      <c r="X248" s="1799"/>
      <c r="Y248" s="1799"/>
      <c r="Z248" s="1799"/>
    </row>
    <row r="249">
      <c r="A249" s="1799"/>
      <c r="B249" s="1799"/>
      <c r="C249" s="1799"/>
      <c r="D249" s="1812"/>
      <c r="E249" s="1799"/>
      <c r="F249" s="1813"/>
      <c r="G249" s="1814"/>
      <c r="H249" s="1799"/>
      <c r="I249" s="1799"/>
      <c r="J249" s="1799"/>
      <c r="K249" s="1799"/>
      <c r="L249" s="1799"/>
      <c r="M249" s="1799"/>
      <c r="N249" s="1799"/>
      <c r="O249" s="1799"/>
      <c r="P249" s="1799"/>
      <c r="Q249" s="1799"/>
      <c r="R249" s="1799"/>
      <c r="S249" s="1799"/>
      <c r="T249" s="1799"/>
      <c r="U249" s="1799"/>
      <c r="V249" s="1799"/>
      <c r="W249" s="1799"/>
      <c r="X249" s="1799"/>
      <c r="Y249" s="1799"/>
      <c r="Z249" s="1799"/>
    </row>
    <row r="250">
      <c r="A250" s="1799"/>
      <c r="B250" s="1799"/>
      <c r="C250" s="1799"/>
      <c r="D250" s="1812"/>
      <c r="E250" s="1799"/>
      <c r="F250" s="1813"/>
      <c r="G250" s="1814"/>
      <c r="H250" s="1799"/>
      <c r="I250" s="1799"/>
      <c r="J250" s="1799"/>
      <c r="K250" s="1799"/>
      <c r="L250" s="1799"/>
      <c r="M250" s="1799"/>
      <c r="N250" s="1799"/>
      <c r="O250" s="1799"/>
      <c r="P250" s="1799"/>
      <c r="Q250" s="1799"/>
      <c r="R250" s="1799"/>
      <c r="S250" s="1799"/>
      <c r="T250" s="1799"/>
      <c r="U250" s="1799"/>
      <c r="V250" s="1799"/>
      <c r="W250" s="1799"/>
      <c r="X250" s="1799"/>
      <c r="Y250" s="1799"/>
      <c r="Z250" s="1799"/>
    </row>
    <row r="251">
      <c r="A251" s="1799"/>
      <c r="B251" s="1799"/>
      <c r="C251" s="1799"/>
      <c r="D251" s="1812"/>
      <c r="E251" s="1799"/>
      <c r="F251" s="1813"/>
      <c r="G251" s="1814"/>
      <c r="H251" s="1799"/>
      <c r="I251" s="1799"/>
      <c r="J251" s="1799"/>
      <c r="K251" s="1799"/>
      <c r="L251" s="1799"/>
      <c r="M251" s="1799"/>
      <c r="N251" s="1799"/>
      <c r="O251" s="1799"/>
      <c r="P251" s="1799"/>
      <c r="Q251" s="1799"/>
      <c r="R251" s="1799"/>
      <c r="S251" s="1799"/>
      <c r="T251" s="1799"/>
      <c r="U251" s="1799"/>
      <c r="V251" s="1799"/>
      <c r="W251" s="1799"/>
      <c r="X251" s="1799"/>
      <c r="Y251" s="1799"/>
      <c r="Z251" s="1799"/>
    </row>
    <row r="252">
      <c r="A252" s="1799"/>
      <c r="B252" s="1799"/>
      <c r="C252" s="1799"/>
      <c r="D252" s="1812"/>
      <c r="E252" s="1799"/>
      <c r="F252" s="1813"/>
      <c r="G252" s="1814"/>
      <c r="H252" s="1799"/>
      <c r="I252" s="1799"/>
      <c r="J252" s="1799"/>
      <c r="K252" s="1799"/>
      <c r="L252" s="1799"/>
      <c r="M252" s="1799"/>
      <c r="N252" s="1799"/>
      <c r="O252" s="1799"/>
      <c r="P252" s="1799"/>
      <c r="Q252" s="1799"/>
      <c r="R252" s="1799"/>
      <c r="S252" s="1799"/>
      <c r="T252" s="1799"/>
      <c r="U252" s="1799"/>
      <c r="V252" s="1799"/>
      <c r="W252" s="1799"/>
      <c r="X252" s="1799"/>
      <c r="Y252" s="1799"/>
      <c r="Z252" s="1799"/>
    </row>
    <row r="253">
      <c r="A253" s="1799"/>
      <c r="B253" s="1799"/>
      <c r="C253" s="1799"/>
      <c r="D253" s="1812"/>
      <c r="E253" s="1799"/>
      <c r="F253" s="1813"/>
      <c r="G253" s="1814"/>
      <c r="H253" s="1799"/>
      <c r="I253" s="1799"/>
      <c r="J253" s="1799"/>
      <c r="K253" s="1799"/>
      <c r="L253" s="1799"/>
      <c r="M253" s="1799"/>
      <c r="N253" s="1799"/>
      <c r="O253" s="1799"/>
      <c r="P253" s="1799"/>
      <c r="Q253" s="1799"/>
      <c r="R253" s="1799"/>
      <c r="S253" s="1799"/>
      <c r="T253" s="1799"/>
      <c r="U253" s="1799"/>
      <c r="V253" s="1799"/>
      <c r="W253" s="1799"/>
      <c r="X253" s="1799"/>
      <c r="Y253" s="1799"/>
      <c r="Z253" s="1799"/>
    </row>
    <row r="254">
      <c r="A254" s="1799"/>
      <c r="B254" s="1799"/>
      <c r="C254" s="1799"/>
      <c r="D254" s="1812"/>
      <c r="E254" s="1799"/>
      <c r="F254" s="1813"/>
      <c r="G254" s="1814"/>
      <c r="H254" s="1799"/>
      <c r="I254" s="1799"/>
      <c r="J254" s="1799"/>
      <c r="K254" s="1799"/>
      <c r="L254" s="1799"/>
      <c r="M254" s="1799"/>
      <c r="N254" s="1799"/>
      <c r="O254" s="1799"/>
      <c r="P254" s="1799"/>
      <c r="Q254" s="1799"/>
      <c r="R254" s="1799"/>
      <c r="S254" s="1799"/>
      <c r="T254" s="1799"/>
      <c r="U254" s="1799"/>
      <c r="V254" s="1799"/>
      <c r="W254" s="1799"/>
      <c r="X254" s="1799"/>
      <c r="Y254" s="1799"/>
      <c r="Z254" s="1799"/>
    </row>
    <row r="255">
      <c r="A255" s="1799"/>
      <c r="B255" s="1799"/>
      <c r="C255" s="1799"/>
      <c r="D255" s="1812"/>
      <c r="E255" s="1799"/>
      <c r="F255" s="1813"/>
      <c r="G255" s="1814"/>
      <c r="H255" s="1799"/>
      <c r="I255" s="1799"/>
      <c r="J255" s="1799"/>
      <c r="K255" s="1799"/>
      <c r="L255" s="1799"/>
      <c r="M255" s="1799"/>
      <c r="N255" s="1799"/>
      <c r="O255" s="1799"/>
      <c r="P255" s="1799"/>
      <c r="Q255" s="1799"/>
      <c r="R255" s="1799"/>
      <c r="S255" s="1799"/>
      <c r="T255" s="1799"/>
      <c r="U255" s="1799"/>
      <c r="V255" s="1799"/>
      <c r="W255" s="1799"/>
      <c r="X255" s="1799"/>
      <c r="Y255" s="1799"/>
      <c r="Z255" s="1799"/>
    </row>
    <row r="256">
      <c r="A256" s="1799"/>
      <c r="B256" s="1799"/>
      <c r="C256" s="1799"/>
      <c r="D256" s="1812"/>
      <c r="E256" s="1799"/>
      <c r="F256" s="1813"/>
      <c r="G256" s="1814"/>
      <c r="H256" s="1799"/>
      <c r="I256" s="1799"/>
      <c r="J256" s="1799"/>
      <c r="K256" s="1799"/>
      <c r="L256" s="1799"/>
      <c r="M256" s="1799"/>
      <c r="N256" s="1799"/>
      <c r="O256" s="1799"/>
      <c r="P256" s="1799"/>
      <c r="Q256" s="1799"/>
      <c r="R256" s="1799"/>
      <c r="S256" s="1799"/>
      <c r="T256" s="1799"/>
      <c r="U256" s="1799"/>
      <c r="V256" s="1799"/>
      <c r="W256" s="1799"/>
      <c r="X256" s="1799"/>
      <c r="Y256" s="1799"/>
      <c r="Z256" s="1799"/>
    </row>
    <row r="257">
      <c r="A257" s="1799"/>
      <c r="B257" s="1799"/>
      <c r="C257" s="1799"/>
      <c r="D257" s="1812"/>
      <c r="E257" s="1799"/>
      <c r="F257" s="1813"/>
      <c r="G257" s="1814"/>
      <c r="H257" s="1799"/>
      <c r="I257" s="1799"/>
      <c r="J257" s="1799"/>
      <c r="K257" s="1799"/>
      <c r="L257" s="1799"/>
      <c r="M257" s="1799"/>
      <c r="N257" s="1799"/>
      <c r="O257" s="1799"/>
      <c r="P257" s="1799"/>
      <c r="Q257" s="1799"/>
      <c r="R257" s="1799"/>
      <c r="S257" s="1799"/>
      <c r="T257" s="1799"/>
      <c r="U257" s="1799"/>
      <c r="V257" s="1799"/>
      <c r="W257" s="1799"/>
      <c r="X257" s="1799"/>
      <c r="Y257" s="1799"/>
      <c r="Z257" s="1799"/>
    </row>
    <row r="258">
      <c r="A258" s="1799"/>
      <c r="B258" s="1799"/>
      <c r="C258" s="1799"/>
      <c r="D258" s="1812"/>
      <c r="E258" s="1799"/>
      <c r="F258" s="1813"/>
      <c r="G258" s="1814"/>
      <c r="H258" s="1799"/>
      <c r="I258" s="1799"/>
      <c r="J258" s="1799"/>
      <c r="K258" s="1799"/>
      <c r="L258" s="1799"/>
      <c r="M258" s="1799"/>
      <c r="N258" s="1799"/>
      <c r="O258" s="1799"/>
      <c r="P258" s="1799"/>
      <c r="Q258" s="1799"/>
      <c r="R258" s="1799"/>
      <c r="S258" s="1799"/>
      <c r="T258" s="1799"/>
      <c r="U258" s="1799"/>
      <c r="V258" s="1799"/>
      <c r="W258" s="1799"/>
      <c r="X258" s="1799"/>
      <c r="Y258" s="1799"/>
      <c r="Z258" s="1799"/>
    </row>
    <row r="259">
      <c r="A259" s="1799"/>
      <c r="B259" s="1799"/>
      <c r="C259" s="1799"/>
      <c r="D259" s="1812"/>
      <c r="E259" s="1799"/>
      <c r="F259" s="1813"/>
      <c r="G259" s="1814"/>
      <c r="H259" s="1799"/>
      <c r="I259" s="1799"/>
      <c r="J259" s="1799"/>
      <c r="K259" s="1799"/>
      <c r="L259" s="1799"/>
      <c r="M259" s="1799"/>
      <c r="N259" s="1799"/>
      <c r="O259" s="1799"/>
      <c r="P259" s="1799"/>
      <c r="Q259" s="1799"/>
      <c r="R259" s="1799"/>
      <c r="S259" s="1799"/>
      <c r="T259" s="1799"/>
      <c r="U259" s="1799"/>
      <c r="V259" s="1799"/>
      <c r="W259" s="1799"/>
      <c r="X259" s="1799"/>
      <c r="Y259" s="1799"/>
      <c r="Z259" s="1799"/>
    </row>
    <row r="260">
      <c r="A260" s="1799"/>
      <c r="B260" s="1799"/>
      <c r="C260" s="1799"/>
      <c r="D260" s="1812"/>
      <c r="E260" s="1799"/>
      <c r="F260" s="1813"/>
      <c r="G260" s="1814"/>
      <c r="H260" s="1799"/>
      <c r="I260" s="1799"/>
      <c r="J260" s="1799"/>
      <c r="K260" s="1799"/>
      <c r="L260" s="1799"/>
      <c r="M260" s="1799"/>
      <c r="N260" s="1799"/>
      <c r="O260" s="1799"/>
      <c r="P260" s="1799"/>
      <c r="Q260" s="1799"/>
      <c r="R260" s="1799"/>
      <c r="S260" s="1799"/>
      <c r="T260" s="1799"/>
      <c r="U260" s="1799"/>
      <c r="V260" s="1799"/>
      <c r="W260" s="1799"/>
      <c r="X260" s="1799"/>
      <c r="Y260" s="1799"/>
      <c r="Z260" s="1799"/>
    </row>
    <row r="261">
      <c r="A261" s="1799"/>
      <c r="B261" s="1799"/>
      <c r="C261" s="1799"/>
      <c r="D261" s="1812"/>
      <c r="E261" s="1799"/>
      <c r="F261" s="1813"/>
      <c r="G261" s="1814"/>
      <c r="H261" s="1799"/>
      <c r="I261" s="1799"/>
      <c r="J261" s="1799"/>
      <c r="K261" s="1799"/>
      <c r="L261" s="1799"/>
      <c r="M261" s="1799"/>
      <c r="N261" s="1799"/>
      <c r="O261" s="1799"/>
      <c r="P261" s="1799"/>
      <c r="Q261" s="1799"/>
      <c r="R261" s="1799"/>
      <c r="S261" s="1799"/>
      <c r="T261" s="1799"/>
      <c r="U261" s="1799"/>
      <c r="V261" s="1799"/>
      <c r="W261" s="1799"/>
      <c r="X261" s="1799"/>
      <c r="Y261" s="1799"/>
      <c r="Z261" s="1799"/>
    </row>
    <row r="262">
      <c r="A262" s="1799"/>
      <c r="B262" s="1799"/>
      <c r="C262" s="1799"/>
      <c r="D262" s="1812"/>
      <c r="E262" s="1799"/>
      <c r="F262" s="1813"/>
      <c r="G262" s="1814"/>
      <c r="H262" s="1799"/>
      <c r="I262" s="1799"/>
      <c r="J262" s="1799"/>
      <c r="K262" s="1799"/>
      <c r="L262" s="1799"/>
      <c r="M262" s="1799"/>
      <c r="N262" s="1799"/>
      <c r="O262" s="1799"/>
      <c r="P262" s="1799"/>
      <c r="Q262" s="1799"/>
      <c r="R262" s="1799"/>
      <c r="S262" s="1799"/>
      <c r="T262" s="1799"/>
      <c r="U262" s="1799"/>
      <c r="V262" s="1799"/>
      <c r="W262" s="1799"/>
      <c r="X262" s="1799"/>
      <c r="Y262" s="1799"/>
      <c r="Z262" s="1799"/>
    </row>
    <row r="263">
      <c r="A263" s="1799"/>
      <c r="B263" s="1799"/>
      <c r="C263" s="1799"/>
      <c r="D263" s="1812"/>
      <c r="E263" s="1799"/>
      <c r="F263" s="1813"/>
      <c r="G263" s="1814"/>
      <c r="H263" s="1799"/>
      <c r="I263" s="1799"/>
      <c r="J263" s="1799"/>
      <c r="K263" s="1799"/>
      <c r="L263" s="1799"/>
      <c r="M263" s="1799"/>
      <c r="N263" s="1799"/>
      <c r="O263" s="1799"/>
      <c r="P263" s="1799"/>
      <c r="Q263" s="1799"/>
      <c r="R263" s="1799"/>
      <c r="S263" s="1799"/>
      <c r="T263" s="1799"/>
      <c r="U263" s="1799"/>
      <c r="V263" s="1799"/>
      <c r="W263" s="1799"/>
      <c r="X263" s="1799"/>
      <c r="Y263" s="1799"/>
      <c r="Z263" s="1799"/>
    </row>
    <row r="264">
      <c r="A264" s="1799"/>
      <c r="B264" s="1799"/>
      <c r="C264" s="1799"/>
      <c r="D264" s="1812"/>
      <c r="E264" s="1799"/>
      <c r="F264" s="1813"/>
      <c r="G264" s="1814"/>
      <c r="H264" s="1799"/>
      <c r="I264" s="1799"/>
      <c r="J264" s="1799"/>
      <c r="K264" s="1799"/>
      <c r="L264" s="1799"/>
      <c r="M264" s="1799"/>
      <c r="N264" s="1799"/>
      <c r="O264" s="1799"/>
      <c r="P264" s="1799"/>
      <c r="Q264" s="1799"/>
      <c r="R264" s="1799"/>
      <c r="S264" s="1799"/>
      <c r="T264" s="1799"/>
      <c r="U264" s="1799"/>
      <c r="V264" s="1799"/>
      <c r="W264" s="1799"/>
      <c r="X264" s="1799"/>
      <c r="Y264" s="1799"/>
      <c r="Z264" s="1799"/>
    </row>
    <row r="265">
      <c r="A265" s="1799"/>
      <c r="B265" s="1799"/>
      <c r="C265" s="1799"/>
      <c r="D265" s="1812"/>
      <c r="E265" s="1799"/>
      <c r="F265" s="1813"/>
      <c r="G265" s="1814"/>
      <c r="H265" s="1799"/>
      <c r="I265" s="1799"/>
      <c r="J265" s="1799"/>
      <c r="K265" s="1799"/>
      <c r="L265" s="1799"/>
      <c r="M265" s="1799"/>
      <c r="N265" s="1799"/>
      <c r="O265" s="1799"/>
      <c r="P265" s="1799"/>
      <c r="Q265" s="1799"/>
      <c r="R265" s="1799"/>
      <c r="S265" s="1799"/>
      <c r="T265" s="1799"/>
      <c r="U265" s="1799"/>
      <c r="V265" s="1799"/>
      <c r="W265" s="1799"/>
      <c r="X265" s="1799"/>
      <c r="Y265" s="1799"/>
      <c r="Z265" s="1799"/>
    </row>
    <row r="266">
      <c r="A266" s="1799"/>
      <c r="B266" s="1799"/>
      <c r="C266" s="1799"/>
      <c r="D266" s="1812"/>
      <c r="E266" s="1799"/>
      <c r="F266" s="1813"/>
      <c r="G266" s="1814"/>
      <c r="H266" s="1799"/>
      <c r="I266" s="1799"/>
      <c r="J266" s="1799"/>
      <c r="K266" s="1799"/>
      <c r="L266" s="1799"/>
      <c r="M266" s="1799"/>
      <c r="N266" s="1799"/>
      <c r="O266" s="1799"/>
      <c r="P266" s="1799"/>
      <c r="Q266" s="1799"/>
      <c r="R266" s="1799"/>
      <c r="S266" s="1799"/>
      <c r="T266" s="1799"/>
      <c r="U266" s="1799"/>
      <c r="V266" s="1799"/>
      <c r="W266" s="1799"/>
      <c r="X266" s="1799"/>
      <c r="Y266" s="1799"/>
      <c r="Z266" s="1799"/>
    </row>
    <row r="267">
      <c r="A267" s="1799"/>
      <c r="B267" s="1799"/>
      <c r="C267" s="1799"/>
      <c r="D267" s="1812"/>
      <c r="E267" s="1799"/>
      <c r="F267" s="1813"/>
      <c r="G267" s="1814"/>
      <c r="H267" s="1799"/>
      <c r="I267" s="1799"/>
      <c r="J267" s="1799"/>
      <c r="K267" s="1799"/>
      <c r="L267" s="1799"/>
      <c r="M267" s="1799"/>
      <c r="N267" s="1799"/>
      <c r="O267" s="1799"/>
      <c r="P267" s="1799"/>
      <c r="Q267" s="1799"/>
      <c r="R267" s="1799"/>
      <c r="S267" s="1799"/>
      <c r="T267" s="1799"/>
      <c r="U267" s="1799"/>
      <c r="V267" s="1799"/>
      <c r="W267" s="1799"/>
      <c r="X267" s="1799"/>
      <c r="Y267" s="1799"/>
      <c r="Z267" s="1799"/>
    </row>
    <row r="268">
      <c r="A268" s="1799"/>
      <c r="B268" s="1799"/>
      <c r="C268" s="1799"/>
      <c r="D268" s="1812"/>
      <c r="E268" s="1799"/>
      <c r="F268" s="1813"/>
      <c r="G268" s="1814"/>
      <c r="H268" s="1799"/>
      <c r="I268" s="1799"/>
      <c r="J268" s="1799"/>
      <c r="K268" s="1799"/>
      <c r="L268" s="1799"/>
      <c r="M268" s="1799"/>
      <c r="N268" s="1799"/>
      <c r="O268" s="1799"/>
      <c r="P268" s="1799"/>
      <c r="Q268" s="1799"/>
      <c r="R268" s="1799"/>
      <c r="S268" s="1799"/>
      <c r="T268" s="1799"/>
      <c r="U268" s="1799"/>
      <c r="V268" s="1799"/>
      <c r="W268" s="1799"/>
      <c r="X268" s="1799"/>
      <c r="Y268" s="1799"/>
      <c r="Z268" s="1799"/>
    </row>
    <row r="269">
      <c r="A269" s="1799"/>
      <c r="B269" s="1799"/>
      <c r="C269" s="1799"/>
      <c r="D269" s="1812"/>
      <c r="E269" s="1799"/>
      <c r="F269" s="1813"/>
      <c r="G269" s="1814"/>
      <c r="H269" s="1799"/>
      <c r="I269" s="1799"/>
      <c r="J269" s="1799"/>
      <c r="K269" s="1799"/>
      <c r="L269" s="1799"/>
      <c r="M269" s="1799"/>
      <c r="N269" s="1799"/>
      <c r="O269" s="1799"/>
      <c r="P269" s="1799"/>
      <c r="Q269" s="1799"/>
      <c r="R269" s="1799"/>
      <c r="S269" s="1799"/>
      <c r="T269" s="1799"/>
      <c r="U269" s="1799"/>
      <c r="V269" s="1799"/>
      <c r="W269" s="1799"/>
      <c r="X269" s="1799"/>
      <c r="Y269" s="1799"/>
      <c r="Z269" s="1799"/>
    </row>
    <row r="270">
      <c r="A270" s="1799"/>
      <c r="B270" s="1799"/>
      <c r="C270" s="1799"/>
      <c r="D270" s="1812"/>
      <c r="E270" s="1799"/>
      <c r="F270" s="1813"/>
      <c r="G270" s="1814"/>
      <c r="H270" s="1799"/>
      <c r="I270" s="1799"/>
      <c r="J270" s="1799"/>
      <c r="K270" s="1799"/>
      <c r="L270" s="1799"/>
      <c r="M270" s="1799"/>
      <c r="N270" s="1799"/>
      <c r="O270" s="1799"/>
      <c r="P270" s="1799"/>
      <c r="Q270" s="1799"/>
      <c r="R270" s="1799"/>
      <c r="S270" s="1799"/>
      <c r="T270" s="1799"/>
      <c r="U270" s="1799"/>
      <c r="V270" s="1799"/>
      <c r="W270" s="1799"/>
      <c r="X270" s="1799"/>
      <c r="Y270" s="1799"/>
      <c r="Z270" s="1799"/>
    </row>
    <row r="271">
      <c r="A271" s="1799"/>
      <c r="B271" s="1799"/>
      <c r="C271" s="1799"/>
      <c r="D271" s="1812"/>
      <c r="E271" s="1799"/>
      <c r="F271" s="1813"/>
      <c r="G271" s="1814"/>
      <c r="H271" s="1799"/>
      <c r="I271" s="1799"/>
      <c r="J271" s="1799"/>
      <c r="K271" s="1799"/>
      <c r="L271" s="1799"/>
      <c r="M271" s="1799"/>
      <c r="N271" s="1799"/>
      <c r="O271" s="1799"/>
      <c r="P271" s="1799"/>
      <c r="Q271" s="1799"/>
      <c r="R271" s="1799"/>
      <c r="S271" s="1799"/>
      <c r="T271" s="1799"/>
      <c r="U271" s="1799"/>
      <c r="V271" s="1799"/>
      <c r="W271" s="1799"/>
      <c r="X271" s="1799"/>
      <c r="Y271" s="1799"/>
      <c r="Z271" s="1799"/>
    </row>
    <row r="272">
      <c r="A272" s="1799"/>
      <c r="B272" s="1799"/>
      <c r="C272" s="1799"/>
      <c r="D272" s="1812"/>
      <c r="E272" s="1799"/>
      <c r="F272" s="1813"/>
      <c r="G272" s="1814"/>
      <c r="H272" s="1799"/>
      <c r="I272" s="1799"/>
      <c r="J272" s="1799"/>
      <c r="K272" s="1799"/>
      <c r="L272" s="1799"/>
      <c r="M272" s="1799"/>
      <c r="N272" s="1799"/>
      <c r="O272" s="1799"/>
      <c r="P272" s="1799"/>
      <c r="Q272" s="1799"/>
      <c r="R272" s="1799"/>
      <c r="S272" s="1799"/>
      <c r="T272" s="1799"/>
      <c r="U272" s="1799"/>
      <c r="V272" s="1799"/>
      <c r="W272" s="1799"/>
      <c r="X272" s="1799"/>
      <c r="Y272" s="1799"/>
      <c r="Z272" s="1799"/>
    </row>
    <row r="273">
      <c r="A273" s="1799"/>
      <c r="B273" s="1799"/>
      <c r="C273" s="1799"/>
      <c r="D273" s="1812"/>
      <c r="E273" s="1799"/>
      <c r="F273" s="1813"/>
      <c r="G273" s="1814"/>
      <c r="H273" s="1799"/>
      <c r="I273" s="1799"/>
      <c r="J273" s="1799"/>
      <c r="K273" s="1799"/>
      <c r="L273" s="1799"/>
      <c r="M273" s="1799"/>
      <c r="N273" s="1799"/>
      <c r="O273" s="1799"/>
      <c r="P273" s="1799"/>
      <c r="Q273" s="1799"/>
      <c r="R273" s="1799"/>
      <c r="S273" s="1799"/>
      <c r="T273" s="1799"/>
      <c r="U273" s="1799"/>
      <c r="V273" s="1799"/>
      <c r="W273" s="1799"/>
      <c r="X273" s="1799"/>
      <c r="Y273" s="1799"/>
      <c r="Z273" s="1799"/>
    </row>
    <row r="274">
      <c r="A274" s="1799"/>
      <c r="B274" s="1799"/>
      <c r="C274" s="1799"/>
      <c r="D274" s="1812"/>
      <c r="E274" s="1799"/>
      <c r="F274" s="1813"/>
      <c r="G274" s="1814"/>
      <c r="H274" s="1799"/>
      <c r="I274" s="1799"/>
      <c r="J274" s="1799"/>
      <c r="K274" s="1799"/>
      <c r="L274" s="1799"/>
      <c r="M274" s="1799"/>
      <c r="N274" s="1799"/>
      <c r="O274" s="1799"/>
      <c r="P274" s="1799"/>
      <c r="Q274" s="1799"/>
      <c r="R274" s="1799"/>
      <c r="S274" s="1799"/>
      <c r="T274" s="1799"/>
      <c r="U274" s="1799"/>
      <c r="V274" s="1799"/>
      <c r="W274" s="1799"/>
      <c r="X274" s="1799"/>
      <c r="Y274" s="1799"/>
      <c r="Z274" s="1799"/>
    </row>
    <row r="275">
      <c r="A275" s="1799"/>
      <c r="B275" s="1799"/>
      <c r="C275" s="1799"/>
      <c r="D275" s="1812"/>
      <c r="E275" s="1799"/>
      <c r="F275" s="1813"/>
      <c r="G275" s="1814"/>
      <c r="H275" s="1799"/>
      <c r="I275" s="1799"/>
      <c r="J275" s="1799"/>
      <c r="K275" s="1799"/>
      <c r="L275" s="1799"/>
      <c r="M275" s="1799"/>
      <c r="N275" s="1799"/>
      <c r="O275" s="1799"/>
      <c r="P275" s="1799"/>
      <c r="Q275" s="1799"/>
      <c r="R275" s="1799"/>
      <c r="S275" s="1799"/>
      <c r="T275" s="1799"/>
      <c r="U275" s="1799"/>
      <c r="V275" s="1799"/>
      <c r="W275" s="1799"/>
      <c r="X275" s="1799"/>
      <c r="Y275" s="1799"/>
      <c r="Z275" s="1799"/>
    </row>
    <row r="276">
      <c r="A276" s="1799"/>
      <c r="B276" s="1799"/>
      <c r="C276" s="1799"/>
      <c r="D276" s="1812"/>
      <c r="E276" s="1799"/>
      <c r="F276" s="1813"/>
      <c r="G276" s="1814"/>
      <c r="H276" s="1799"/>
      <c r="I276" s="1799"/>
      <c r="J276" s="1799"/>
      <c r="K276" s="1799"/>
      <c r="L276" s="1799"/>
      <c r="M276" s="1799"/>
      <c r="N276" s="1799"/>
      <c r="O276" s="1799"/>
      <c r="P276" s="1799"/>
      <c r="Q276" s="1799"/>
      <c r="R276" s="1799"/>
      <c r="S276" s="1799"/>
      <c r="T276" s="1799"/>
      <c r="U276" s="1799"/>
      <c r="V276" s="1799"/>
      <c r="W276" s="1799"/>
      <c r="X276" s="1799"/>
      <c r="Y276" s="1799"/>
      <c r="Z276" s="1799"/>
    </row>
    <row r="277">
      <c r="A277" s="1799"/>
      <c r="B277" s="1799"/>
      <c r="C277" s="1799"/>
      <c r="D277" s="1812"/>
      <c r="E277" s="1799"/>
      <c r="F277" s="1813"/>
      <c r="G277" s="1814"/>
      <c r="H277" s="1799"/>
      <c r="I277" s="1799"/>
      <c r="J277" s="1799"/>
      <c r="K277" s="1799"/>
      <c r="L277" s="1799"/>
      <c r="M277" s="1799"/>
      <c r="N277" s="1799"/>
      <c r="O277" s="1799"/>
      <c r="P277" s="1799"/>
      <c r="Q277" s="1799"/>
      <c r="R277" s="1799"/>
      <c r="S277" s="1799"/>
      <c r="T277" s="1799"/>
      <c r="U277" s="1799"/>
      <c r="V277" s="1799"/>
      <c r="W277" s="1799"/>
      <c r="X277" s="1799"/>
      <c r="Y277" s="1799"/>
      <c r="Z277" s="1799"/>
    </row>
    <row r="278">
      <c r="A278" s="1799"/>
      <c r="B278" s="1799"/>
      <c r="C278" s="1799"/>
      <c r="D278" s="1812"/>
      <c r="E278" s="1799"/>
      <c r="F278" s="1813"/>
      <c r="G278" s="1814"/>
      <c r="H278" s="1799"/>
      <c r="I278" s="1799"/>
      <c r="J278" s="1799"/>
      <c r="K278" s="1799"/>
      <c r="L278" s="1799"/>
      <c r="M278" s="1799"/>
      <c r="N278" s="1799"/>
      <c r="O278" s="1799"/>
      <c r="P278" s="1799"/>
      <c r="Q278" s="1799"/>
      <c r="R278" s="1799"/>
      <c r="S278" s="1799"/>
      <c r="T278" s="1799"/>
      <c r="U278" s="1799"/>
      <c r="V278" s="1799"/>
      <c r="W278" s="1799"/>
      <c r="X278" s="1799"/>
      <c r="Y278" s="1799"/>
      <c r="Z278" s="1799"/>
    </row>
    <row r="279">
      <c r="A279" s="1799"/>
      <c r="B279" s="1799"/>
      <c r="C279" s="1799"/>
      <c r="D279" s="1812"/>
      <c r="E279" s="1799"/>
      <c r="F279" s="1813"/>
      <c r="G279" s="1814"/>
      <c r="H279" s="1799"/>
      <c r="I279" s="1799"/>
      <c r="J279" s="1799"/>
      <c r="K279" s="1799"/>
      <c r="L279" s="1799"/>
      <c r="M279" s="1799"/>
      <c r="N279" s="1799"/>
      <c r="O279" s="1799"/>
      <c r="P279" s="1799"/>
      <c r="Q279" s="1799"/>
      <c r="R279" s="1799"/>
      <c r="S279" s="1799"/>
      <c r="T279" s="1799"/>
      <c r="U279" s="1799"/>
      <c r="V279" s="1799"/>
      <c r="W279" s="1799"/>
      <c r="X279" s="1799"/>
      <c r="Y279" s="1799"/>
      <c r="Z279" s="1799"/>
    </row>
    <row r="280">
      <c r="A280" s="1799"/>
      <c r="B280" s="1799"/>
      <c r="C280" s="1799"/>
      <c r="D280" s="1812"/>
      <c r="E280" s="1799"/>
      <c r="F280" s="1813"/>
      <c r="G280" s="1814"/>
      <c r="H280" s="1799"/>
      <c r="I280" s="1799"/>
      <c r="J280" s="1799"/>
      <c r="K280" s="1799"/>
      <c r="L280" s="1799"/>
      <c r="M280" s="1799"/>
      <c r="N280" s="1799"/>
      <c r="O280" s="1799"/>
      <c r="P280" s="1799"/>
      <c r="Q280" s="1799"/>
      <c r="R280" s="1799"/>
      <c r="S280" s="1799"/>
      <c r="T280" s="1799"/>
      <c r="U280" s="1799"/>
      <c r="V280" s="1799"/>
      <c r="W280" s="1799"/>
      <c r="X280" s="1799"/>
      <c r="Y280" s="1799"/>
      <c r="Z280" s="1799"/>
    </row>
    <row r="281">
      <c r="A281" s="1799"/>
      <c r="B281" s="1799"/>
      <c r="C281" s="1799"/>
      <c r="D281" s="1812"/>
      <c r="E281" s="1799"/>
      <c r="F281" s="1813"/>
      <c r="G281" s="1814"/>
      <c r="H281" s="1799"/>
      <c r="I281" s="1799"/>
      <c r="J281" s="1799"/>
      <c r="K281" s="1799"/>
      <c r="L281" s="1799"/>
      <c r="M281" s="1799"/>
      <c r="N281" s="1799"/>
      <c r="O281" s="1799"/>
      <c r="P281" s="1799"/>
      <c r="Q281" s="1799"/>
      <c r="R281" s="1799"/>
      <c r="S281" s="1799"/>
      <c r="T281" s="1799"/>
      <c r="U281" s="1799"/>
      <c r="V281" s="1799"/>
      <c r="W281" s="1799"/>
      <c r="X281" s="1799"/>
      <c r="Y281" s="1799"/>
      <c r="Z281" s="1799"/>
    </row>
    <row r="282">
      <c r="A282" s="1799"/>
      <c r="B282" s="1799"/>
      <c r="C282" s="1799"/>
      <c r="D282" s="1812"/>
      <c r="E282" s="1799"/>
      <c r="F282" s="1813"/>
      <c r="G282" s="1814"/>
      <c r="H282" s="1799"/>
      <c r="I282" s="1799"/>
      <c r="J282" s="1799"/>
      <c r="K282" s="1799"/>
      <c r="L282" s="1799"/>
      <c r="M282" s="1799"/>
      <c r="N282" s="1799"/>
      <c r="O282" s="1799"/>
      <c r="P282" s="1799"/>
      <c r="Q282" s="1799"/>
      <c r="R282" s="1799"/>
      <c r="S282" s="1799"/>
      <c r="T282" s="1799"/>
      <c r="U282" s="1799"/>
      <c r="V282" s="1799"/>
      <c r="W282" s="1799"/>
      <c r="X282" s="1799"/>
      <c r="Y282" s="1799"/>
      <c r="Z282" s="1799"/>
    </row>
    <row r="283">
      <c r="A283" s="1799"/>
      <c r="B283" s="1799"/>
      <c r="C283" s="1799"/>
      <c r="D283" s="1812"/>
      <c r="E283" s="1799"/>
      <c r="F283" s="1813"/>
      <c r="G283" s="1814"/>
      <c r="H283" s="1799"/>
      <c r="I283" s="1799"/>
      <c r="J283" s="1799"/>
      <c r="K283" s="1799"/>
      <c r="L283" s="1799"/>
      <c r="M283" s="1799"/>
      <c r="N283" s="1799"/>
      <c r="O283" s="1799"/>
      <c r="P283" s="1799"/>
      <c r="Q283" s="1799"/>
      <c r="R283" s="1799"/>
      <c r="S283" s="1799"/>
      <c r="T283" s="1799"/>
      <c r="U283" s="1799"/>
      <c r="V283" s="1799"/>
      <c r="W283" s="1799"/>
      <c r="X283" s="1799"/>
      <c r="Y283" s="1799"/>
      <c r="Z283" s="1799"/>
    </row>
    <row r="284">
      <c r="A284" s="1799"/>
      <c r="B284" s="1799"/>
      <c r="C284" s="1799"/>
      <c r="D284" s="1812"/>
      <c r="E284" s="1799"/>
      <c r="F284" s="1813"/>
      <c r="G284" s="1814"/>
      <c r="H284" s="1799"/>
      <c r="I284" s="1799"/>
      <c r="J284" s="1799"/>
      <c r="K284" s="1799"/>
      <c r="L284" s="1799"/>
      <c r="M284" s="1799"/>
      <c r="N284" s="1799"/>
      <c r="O284" s="1799"/>
      <c r="P284" s="1799"/>
      <c r="Q284" s="1799"/>
      <c r="R284" s="1799"/>
      <c r="S284" s="1799"/>
      <c r="T284" s="1799"/>
      <c r="U284" s="1799"/>
      <c r="V284" s="1799"/>
      <c r="W284" s="1799"/>
      <c r="X284" s="1799"/>
      <c r="Y284" s="1799"/>
      <c r="Z284" s="1799"/>
    </row>
    <row r="285">
      <c r="A285" s="1799"/>
      <c r="B285" s="1799"/>
      <c r="C285" s="1799"/>
      <c r="D285" s="1812"/>
      <c r="E285" s="1799"/>
      <c r="F285" s="1813"/>
      <c r="G285" s="1814"/>
      <c r="H285" s="1799"/>
      <c r="I285" s="1799"/>
      <c r="J285" s="1799"/>
      <c r="K285" s="1799"/>
      <c r="L285" s="1799"/>
      <c r="M285" s="1799"/>
      <c r="N285" s="1799"/>
      <c r="O285" s="1799"/>
      <c r="P285" s="1799"/>
      <c r="Q285" s="1799"/>
      <c r="R285" s="1799"/>
      <c r="S285" s="1799"/>
      <c r="T285" s="1799"/>
      <c r="U285" s="1799"/>
      <c r="V285" s="1799"/>
      <c r="W285" s="1799"/>
      <c r="X285" s="1799"/>
      <c r="Y285" s="1799"/>
      <c r="Z285" s="1799"/>
    </row>
    <row r="286">
      <c r="A286" s="1799"/>
      <c r="B286" s="1799"/>
      <c r="C286" s="1799"/>
      <c r="D286" s="1812"/>
      <c r="E286" s="1799"/>
      <c r="F286" s="1813"/>
      <c r="G286" s="1814"/>
      <c r="H286" s="1799"/>
      <c r="I286" s="1799"/>
      <c r="J286" s="1799"/>
      <c r="K286" s="1799"/>
      <c r="L286" s="1799"/>
      <c r="M286" s="1799"/>
      <c r="N286" s="1799"/>
      <c r="O286" s="1799"/>
      <c r="P286" s="1799"/>
      <c r="Q286" s="1799"/>
      <c r="R286" s="1799"/>
      <c r="S286" s="1799"/>
      <c r="T286" s="1799"/>
      <c r="U286" s="1799"/>
      <c r="V286" s="1799"/>
      <c r="W286" s="1799"/>
      <c r="X286" s="1799"/>
      <c r="Y286" s="1799"/>
      <c r="Z286" s="1799"/>
    </row>
    <row r="287">
      <c r="A287" s="1799"/>
      <c r="B287" s="1799"/>
      <c r="C287" s="1799"/>
      <c r="D287" s="1812"/>
      <c r="E287" s="1799"/>
      <c r="F287" s="1813"/>
      <c r="G287" s="1814"/>
      <c r="H287" s="1799"/>
      <c r="I287" s="1799"/>
      <c r="J287" s="1799"/>
      <c r="K287" s="1799"/>
      <c r="L287" s="1799"/>
      <c r="M287" s="1799"/>
      <c r="N287" s="1799"/>
      <c r="O287" s="1799"/>
      <c r="P287" s="1799"/>
      <c r="Q287" s="1799"/>
      <c r="R287" s="1799"/>
      <c r="S287" s="1799"/>
      <c r="T287" s="1799"/>
      <c r="U287" s="1799"/>
      <c r="V287" s="1799"/>
      <c r="W287" s="1799"/>
      <c r="X287" s="1799"/>
      <c r="Y287" s="1799"/>
      <c r="Z287" s="1799"/>
    </row>
    <row r="288">
      <c r="A288" s="1799"/>
      <c r="B288" s="1799"/>
      <c r="C288" s="1799"/>
      <c r="D288" s="1812"/>
      <c r="E288" s="1799"/>
      <c r="F288" s="1813"/>
      <c r="G288" s="1814"/>
      <c r="H288" s="1799"/>
      <c r="I288" s="1799"/>
      <c r="J288" s="1799"/>
      <c r="K288" s="1799"/>
      <c r="L288" s="1799"/>
      <c r="M288" s="1799"/>
      <c r="N288" s="1799"/>
      <c r="O288" s="1799"/>
      <c r="P288" s="1799"/>
      <c r="Q288" s="1799"/>
      <c r="R288" s="1799"/>
      <c r="S288" s="1799"/>
      <c r="T288" s="1799"/>
      <c r="U288" s="1799"/>
      <c r="V288" s="1799"/>
      <c r="W288" s="1799"/>
      <c r="X288" s="1799"/>
      <c r="Y288" s="1799"/>
      <c r="Z288" s="1799"/>
    </row>
    <row r="289">
      <c r="A289" s="1799"/>
      <c r="B289" s="1799"/>
      <c r="C289" s="1799"/>
      <c r="D289" s="1812"/>
      <c r="E289" s="1799"/>
      <c r="F289" s="1813"/>
      <c r="G289" s="1814"/>
      <c r="H289" s="1799"/>
      <c r="I289" s="1799"/>
      <c r="J289" s="1799"/>
      <c r="K289" s="1799"/>
      <c r="L289" s="1799"/>
      <c r="M289" s="1799"/>
      <c r="N289" s="1799"/>
      <c r="O289" s="1799"/>
      <c r="P289" s="1799"/>
      <c r="Q289" s="1799"/>
      <c r="R289" s="1799"/>
      <c r="S289" s="1799"/>
      <c r="T289" s="1799"/>
      <c r="U289" s="1799"/>
      <c r="V289" s="1799"/>
      <c r="W289" s="1799"/>
      <c r="X289" s="1799"/>
      <c r="Y289" s="1799"/>
      <c r="Z289" s="1799"/>
    </row>
    <row r="290">
      <c r="A290" s="1799"/>
      <c r="B290" s="1799"/>
      <c r="C290" s="1799"/>
      <c r="D290" s="1812"/>
      <c r="E290" s="1799"/>
      <c r="F290" s="1813"/>
      <c r="G290" s="1814"/>
      <c r="H290" s="1799"/>
      <c r="I290" s="1799"/>
      <c r="J290" s="1799"/>
      <c r="K290" s="1799"/>
      <c r="L290" s="1799"/>
      <c r="M290" s="1799"/>
      <c r="N290" s="1799"/>
      <c r="O290" s="1799"/>
      <c r="P290" s="1799"/>
      <c r="Q290" s="1799"/>
      <c r="R290" s="1799"/>
      <c r="S290" s="1799"/>
      <c r="T290" s="1799"/>
      <c r="U290" s="1799"/>
      <c r="V290" s="1799"/>
      <c r="W290" s="1799"/>
      <c r="X290" s="1799"/>
      <c r="Y290" s="1799"/>
      <c r="Z290" s="1799"/>
    </row>
    <row r="291">
      <c r="A291" s="1799"/>
      <c r="B291" s="1799"/>
      <c r="C291" s="1799"/>
      <c r="D291" s="1812"/>
      <c r="E291" s="1799"/>
      <c r="F291" s="1813"/>
      <c r="G291" s="1814"/>
      <c r="H291" s="1799"/>
      <c r="I291" s="1799"/>
      <c r="J291" s="1799"/>
      <c r="K291" s="1799"/>
      <c r="L291" s="1799"/>
      <c r="M291" s="1799"/>
      <c r="N291" s="1799"/>
      <c r="O291" s="1799"/>
      <c r="P291" s="1799"/>
      <c r="Q291" s="1799"/>
      <c r="R291" s="1799"/>
      <c r="S291" s="1799"/>
      <c r="T291" s="1799"/>
      <c r="U291" s="1799"/>
      <c r="V291" s="1799"/>
      <c r="W291" s="1799"/>
      <c r="X291" s="1799"/>
      <c r="Y291" s="1799"/>
      <c r="Z291" s="1799"/>
    </row>
    <row r="292">
      <c r="A292" s="1799"/>
      <c r="B292" s="1799"/>
      <c r="C292" s="1799"/>
      <c r="D292" s="1812"/>
      <c r="E292" s="1799"/>
      <c r="F292" s="1813"/>
      <c r="G292" s="1814"/>
      <c r="H292" s="1799"/>
      <c r="I292" s="1799"/>
      <c r="J292" s="1799"/>
      <c r="K292" s="1799"/>
      <c r="L292" s="1799"/>
      <c r="M292" s="1799"/>
      <c r="N292" s="1799"/>
      <c r="O292" s="1799"/>
      <c r="P292" s="1799"/>
      <c r="Q292" s="1799"/>
      <c r="R292" s="1799"/>
      <c r="S292" s="1799"/>
      <c r="T292" s="1799"/>
      <c r="U292" s="1799"/>
      <c r="V292" s="1799"/>
      <c r="W292" s="1799"/>
      <c r="X292" s="1799"/>
      <c r="Y292" s="1799"/>
      <c r="Z292" s="1799"/>
    </row>
    <row r="293">
      <c r="A293" s="1799"/>
      <c r="B293" s="1799"/>
      <c r="C293" s="1799"/>
      <c r="D293" s="1812"/>
      <c r="E293" s="1799"/>
      <c r="F293" s="1813"/>
      <c r="G293" s="1814"/>
      <c r="H293" s="1799"/>
      <c r="I293" s="1799"/>
      <c r="J293" s="1799"/>
      <c r="K293" s="1799"/>
      <c r="L293" s="1799"/>
      <c r="M293" s="1799"/>
      <c r="N293" s="1799"/>
      <c r="O293" s="1799"/>
      <c r="P293" s="1799"/>
      <c r="Q293" s="1799"/>
      <c r="R293" s="1799"/>
      <c r="S293" s="1799"/>
      <c r="T293" s="1799"/>
      <c r="U293" s="1799"/>
      <c r="V293" s="1799"/>
      <c r="W293" s="1799"/>
      <c r="X293" s="1799"/>
      <c r="Y293" s="1799"/>
      <c r="Z293" s="1799"/>
    </row>
    <row r="294">
      <c r="A294" s="1799"/>
      <c r="B294" s="1799"/>
      <c r="C294" s="1799"/>
      <c r="D294" s="1812"/>
      <c r="E294" s="1799"/>
      <c r="F294" s="1813"/>
      <c r="G294" s="1814"/>
      <c r="H294" s="1799"/>
      <c r="I294" s="1799"/>
      <c r="J294" s="1799"/>
      <c r="K294" s="1799"/>
      <c r="L294" s="1799"/>
      <c r="M294" s="1799"/>
      <c r="N294" s="1799"/>
      <c r="O294" s="1799"/>
      <c r="P294" s="1799"/>
      <c r="Q294" s="1799"/>
      <c r="R294" s="1799"/>
      <c r="S294" s="1799"/>
      <c r="T294" s="1799"/>
      <c r="U294" s="1799"/>
      <c r="V294" s="1799"/>
      <c r="W294" s="1799"/>
      <c r="X294" s="1799"/>
      <c r="Y294" s="1799"/>
      <c r="Z294" s="1799"/>
    </row>
    <row r="295">
      <c r="A295" s="1799"/>
      <c r="B295" s="1799"/>
      <c r="C295" s="1799"/>
      <c r="D295" s="1812"/>
      <c r="E295" s="1799"/>
      <c r="F295" s="1813"/>
      <c r="G295" s="1814"/>
      <c r="H295" s="1799"/>
      <c r="I295" s="1799"/>
      <c r="J295" s="1799"/>
      <c r="K295" s="1799"/>
      <c r="L295" s="1799"/>
      <c r="M295" s="1799"/>
      <c r="N295" s="1799"/>
      <c r="O295" s="1799"/>
      <c r="P295" s="1799"/>
      <c r="Q295" s="1799"/>
      <c r="R295" s="1799"/>
      <c r="S295" s="1799"/>
      <c r="T295" s="1799"/>
      <c r="U295" s="1799"/>
      <c r="V295" s="1799"/>
      <c r="W295" s="1799"/>
      <c r="X295" s="1799"/>
      <c r="Y295" s="1799"/>
      <c r="Z295" s="1799"/>
    </row>
    <row r="296">
      <c r="A296" s="1799"/>
      <c r="B296" s="1799"/>
      <c r="C296" s="1799"/>
      <c r="D296" s="1812"/>
      <c r="E296" s="1799"/>
      <c r="F296" s="1813"/>
      <c r="G296" s="1814"/>
      <c r="H296" s="1799"/>
      <c r="I296" s="1799"/>
      <c r="J296" s="1799"/>
      <c r="K296" s="1799"/>
      <c r="L296" s="1799"/>
      <c r="M296" s="1799"/>
      <c r="N296" s="1799"/>
      <c r="O296" s="1799"/>
      <c r="P296" s="1799"/>
      <c r="Q296" s="1799"/>
      <c r="R296" s="1799"/>
      <c r="S296" s="1799"/>
      <c r="T296" s="1799"/>
      <c r="U296" s="1799"/>
      <c r="V296" s="1799"/>
      <c r="W296" s="1799"/>
      <c r="X296" s="1799"/>
      <c r="Y296" s="1799"/>
      <c r="Z296" s="1799"/>
    </row>
    <row r="297">
      <c r="A297" s="1799"/>
      <c r="B297" s="1799"/>
      <c r="C297" s="1799"/>
      <c r="D297" s="1812"/>
      <c r="E297" s="1799"/>
      <c r="F297" s="1813"/>
      <c r="G297" s="1814"/>
      <c r="H297" s="1799"/>
      <c r="I297" s="1799"/>
      <c r="J297" s="1799"/>
      <c r="K297" s="1799"/>
      <c r="L297" s="1799"/>
      <c r="M297" s="1799"/>
      <c r="N297" s="1799"/>
      <c r="O297" s="1799"/>
      <c r="P297" s="1799"/>
      <c r="Q297" s="1799"/>
      <c r="R297" s="1799"/>
      <c r="S297" s="1799"/>
      <c r="T297" s="1799"/>
      <c r="U297" s="1799"/>
      <c r="V297" s="1799"/>
      <c r="W297" s="1799"/>
      <c r="X297" s="1799"/>
      <c r="Y297" s="1799"/>
      <c r="Z297" s="1799"/>
    </row>
    <row r="298">
      <c r="A298" s="1799"/>
      <c r="B298" s="1799"/>
      <c r="C298" s="1799"/>
      <c r="D298" s="1812"/>
      <c r="E298" s="1799"/>
      <c r="F298" s="1813"/>
      <c r="G298" s="1814"/>
      <c r="H298" s="1799"/>
      <c r="I298" s="1799"/>
      <c r="J298" s="1799"/>
      <c r="K298" s="1799"/>
      <c r="L298" s="1799"/>
      <c r="M298" s="1799"/>
      <c r="N298" s="1799"/>
      <c r="O298" s="1799"/>
      <c r="P298" s="1799"/>
      <c r="Q298" s="1799"/>
      <c r="R298" s="1799"/>
      <c r="S298" s="1799"/>
      <c r="T298" s="1799"/>
      <c r="U298" s="1799"/>
      <c r="V298" s="1799"/>
      <c r="W298" s="1799"/>
      <c r="X298" s="1799"/>
      <c r="Y298" s="1799"/>
      <c r="Z298" s="1799"/>
    </row>
    <row r="299">
      <c r="A299" s="1799"/>
      <c r="B299" s="1799"/>
      <c r="C299" s="1799"/>
      <c r="D299" s="1812"/>
      <c r="E299" s="1799"/>
      <c r="F299" s="1813"/>
      <c r="G299" s="1814"/>
      <c r="H299" s="1799"/>
      <c r="I299" s="1799"/>
      <c r="J299" s="1799"/>
      <c r="K299" s="1799"/>
      <c r="L299" s="1799"/>
      <c r="M299" s="1799"/>
      <c r="N299" s="1799"/>
      <c r="O299" s="1799"/>
      <c r="P299" s="1799"/>
      <c r="Q299" s="1799"/>
      <c r="R299" s="1799"/>
      <c r="S299" s="1799"/>
      <c r="T299" s="1799"/>
      <c r="U299" s="1799"/>
      <c r="V299" s="1799"/>
      <c r="W299" s="1799"/>
      <c r="X299" s="1799"/>
      <c r="Y299" s="1799"/>
      <c r="Z299" s="1799"/>
    </row>
    <row r="300">
      <c r="A300" s="1799"/>
      <c r="B300" s="1799"/>
      <c r="C300" s="1799"/>
      <c r="D300" s="1812"/>
      <c r="E300" s="1799"/>
      <c r="F300" s="1813"/>
      <c r="G300" s="1814"/>
      <c r="H300" s="1799"/>
      <c r="I300" s="1799"/>
      <c r="J300" s="1799"/>
      <c r="K300" s="1799"/>
      <c r="L300" s="1799"/>
      <c r="M300" s="1799"/>
      <c r="N300" s="1799"/>
      <c r="O300" s="1799"/>
      <c r="P300" s="1799"/>
      <c r="Q300" s="1799"/>
      <c r="R300" s="1799"/>
      <c r="S300" s="1799"/>
      <c r="T300" s="1799"/>
      <c r="U300" s="1799"/>
      <c r="V300" s="1799"/>
      <c r="W300" s="1799"/>
      <c r="X300" s="1799"/>
      <c r="Y300" s="1799"/>
      <c r="Z300" s="1799"/>
    </row>
    <row r="301">
      <c r="A301" s="1799"/>
      <c r="B301" s="1799"/>
      <c r="C301" s="1799"/>
      <c r="D301" s="1812"/>
      <c r="E301" s="1799"/>
      <c r="F301" s="1813"/>
      <c r="G301" s="1814"/>
      <c r="H301" s="1799"/>
      <c r="I301" s="1799"/>
      <c r="J301" s="1799"/>
      <c r="K301" s="1799"/>
      <c r="L301" s="1799"/>
      <c r="M301" s="1799"/>
      <c r="N301" s="1799"/>
      <c r="O301" s="1799"/>
      <c r="P301" s="1799"/>
      <c r="Q301" s="1799"/>
      <c r="R301" s="1799"/>
      <c r="S301" s="1799"/>
      <c r="T301" s="1799"/>
      <c r="U301" s="1799"/>
      <c r="V301" s="1799"/>
      <c r="W301" s="1799"/>
      <c r="X301" s="1799"/>
      <c r="Y301" s="1799"/>
      <c r="Z301" s="1799"/>
    </row>
    <row r="302">
      <c r="A302" s="1799"/>
      <c r="B302" s="1799"/>
      <c r="C302" s="1799"/>
      <c r="D302" s="1812"/>
      <c r="E302" s="1799"/>
      <c r="F302" s="1813"/>
      <c r="G302" s="1814"/>
      <c r="H302" s="1799"/>
      <c r="I302" s="1799"/>
      <c r="J302" s="1799"/>
      <c r="K302" s="1799"/>
      <c r="L302" s="1799"/>
      <c r="M302" s="1799"/>
      <c r="N302" s="1799"/>
      <c r="O302" s="1799"/>
      <c r="P302" s="1799"/>
      <c r="Q302" s="1799"/>
      <c r="R302" s="1799"/>
      <c r="S302" s="1799"/>
      <c r="T302" s="1799"/>
      <c r="U302" s="1799"/>
      <c r="V302" s="1799"/>
      <c r="W302" s="1799"/>
      <c r="X302" s="1799"/>
      <c r="Y302" s="1799"/>
      <c r="Z302" s="1799"/>
    </row>
    <row r="303">
      <c r="A303" s="1799"/>
      <c r="B303" s="1799"/>
      <c r="C303" s="1799"/>
      <c r="D303" s="1812"/>
      <c r="E303" s="1799"/>
      <c r="F303" s="1813"/>
      <c r="G303" s="1814"/>
      <c r="H303" s="1799"/>
      <c r="I303" s="1799"/>
      <c r="J303" s="1799"/>
      <c r="K303" s="1799"/>
      <c r="L303" s="1799"/>
      <c r="M303" s="1799"/>
      <c r="N303" s="1799"/>
      <c r="O303" s="1799"/>
      <c r="P303" s="1799"/>
      <c r="Q303" s="1799"/>
      <c r="R303" s="1799"/>
      <c r="S303" s="1799"/>
      <c r="T303" s="1799"/>
      <c r="U303" s="1799"/>
      <c r="V303" s="1799"/>
      <c r="W303" s="1799"/>
      <c r="X303" s="1799"/>
      <c r="Y303" s="1799"/>
      <c r="Z303" s="1799"/>
    </row>
    <row r="304">
      <c r="A304" s="1799"/>
      <c r="B304" s="1799"/>
      <c r="C304" s="1799"/>
      <c r="D304" s="1812"/>
      <c r="E304" s="1799"/>
      <c r="F304" s="1813"/>
      <c r="G304" s="1814"/>
      <c r="H304" s="1799"/>
      <c r="I304" s="1799"/>
      <c r="J304" s="1799"/>
      <c r="K304" s="1799"/>
      <c r="L304" s="1799"/>
      <c r="M304" s="1799"/>
      <c r="N304" s="1799"/>
      <c r="O304" s="1799"/>
      <c r="P304" s="1799"/>
      <c r="Q304" s="1799"/>
      <c r="R304" s="1799"/>
      <c r="S304" s="1799"/>
      <c r="T304" s="1799"/>
      <c r="U304" s="1799"/>
      <c r="V304" s="1799"/>
      <c r="W304" s="1799"/>
      <c r="X304" s="1799"/>
      <c r="Y304" s="1799"/>
      <c r="Z304" s="1799"/>
    </row>
    <row r="305">
      <c r="A305" s="1799"/>
      <c r="B305" s="1799"/>
      <c r="C305" s="1799"/>
      <c r="D305" s="1812"/>
      <c r="E305" s="1799"/>
      <c r="F305" s="1813"/>
      <c r="G305" s="1814"/>
      <c r="H305" s="1799"/>
      <c r="I305" s="1799"/>
      <c r="J305" s="1799"/>
      <c r="K305" s="1799"/>
      <c r="L305" s="1799"/>
      <c r="M305" s="1799"/>
      <c r="N305" s="1799"/>
      <c r="O305" s="1799"/>
      <c r="P305" s="1799"/>
      <c r="Q305" s="1799"/>
      <c r="R305" s="1799"/>
      <c r="S305" s="1799"/>
      <c r="T305" s="1799"/>
      <c r="U305" s="1799"/>
      <c r="V305" s="1799"/>
      <c r="W305" s="1799"/>
      <c r="X305" s="1799"/>
      <c r="Y305" s="1799"/>
      <c r="Z305" s="1799"/>
    </row>
    <row r="306">
      <c r="A306" s="1799"/>
      <c r="B306" s="1799"/>
      <c r="C306" s="1799"/>
      <c r="D306" s="1812"/>
      <c r="E306" s="1799"/>
      <c r="F306" s="1813"/>
      <c r="G306" s="1814"/>
      <c r="H306" s="1799"/>
      <c r="I306" s="1799"/>
      <c r="J306" s="1799"/>
      <c r="K306" s="1799"/>
      <c r="L306" s="1799"/>
      <c r="M306" s="1799"/>
      <c r="N306" s="1799"/>
      <c r="O306" s="1799"/>
      <c r="P306" s="1799"/>
      <c r="Q306" s="1799"/>
      <c r="R306" s="1799"/>
      <c r="S306" s="1799"/>
      <c r="T306" s="1799"/>
      <c r="U306" s="1799"/>
      <c r="V306" s="1799"/>
      <c r="W306" s="1799"/>
      <c r="X306" s="1799"/>
      <c r="Y306" s="1799"/>
      <c r="Z306" s="1799"/>
    </row>
    <row r="307">
      <c r="A307" s="1799"/>
      <c r="B307" s="1799"/>
      <c r="C307" s="1799"/>
      <c r="D307" s="1812"/>
      <c r="E307" s="1799"/>
      <c r="F307" s="1813"/>
      <c r="G307" s="1814"/>
      <c r="H307" s="1799"/>
      <c r="I307" s="1799"/>
      <c r="J307" s="1799"/>
      <c r="K307" s="1799"/>
      <c r="L307" s="1799"/>
      <c r="M307" s="1799"/>
      <c r="N307" s="1799"/>
      <c r="O307" s="1799"/>
      <c r="P307" s="1799"/>
      <c r="Q307" s="1799"/>
      <c r="R307" s="1799"/>
      <c r="S307" s="1799"/>
      <c r="T307" s="1799"/>
      <c r="U307" s="1799"/>
      <c r="V307" s="1799"/>
      <c r="W307" s="1799"/>
      <c r="X307" s="1799"/>
      <c r="Y307" s="1799"/>
      <c r="Z307" s="1799"/>
    </row>
    <row r="308">
      <c r="A308" s="1799"/>
      <c r="B308" s="1799"/>
      <c r="C308" s="1799"/>
      <c r="D308" s="1812"/>
      <c r="E308" s="1799"/>
      <c r="F308" s="1813"/>
      <c r="G308" s="1814"/>
      <c r="H308" s="1799"/>
      <c r="I308" s="1799"/>
      <c r="J308" s="1799"/>
      <c r="K308" s="1799"/>
      <c r="L308" s="1799"/>
      <c r="M308" s="1799"/>
      <c r="N308" s="1799"/>
      <c r="O308" s="1799"/>
      <c r="P308" s="1799"/>
      <c r="Q308" s="1799"/>
      <c r="R308" s="1799"/>
      <c r="S308" s="1799"/>
      <c r="T308" s="1799"/>
      <c r="U308" s="1799"/>
      <c r="V308" s="1799"/>
      <c r="W308" s="1799"/>
      <c r="X308" s="1799"/>
      <c r="Y308" s="1799"/>
      <c r="Z308" s="1799"/>
    </row>
    <row r="309">
      <c r="A309" s="1799"/>
      <c r="B309" s="1799"/>
      <c r="C309" s="1799"/>
      <c r="D309" s="1812"/>
      <c r="E309" s="1799"/>
      <c r="F309" s="1813"/>
      <c r="G309" s="1814"/>
      <c r="H309" s="1799"/>
      <c r="I309" s="1799"/>
      <c r="J309" s="1799"/>
      <c r="K309" s="1799"/>
      <c r="L309" s="1799"/>
      <c r="M309" s="1799"/>
      <c r="N309" s="1799"/>
      <c r="O309" s="1799"/>
      <c r="P309" s="1799"/>
      <c r="Q309" s="1799"/>
      <c r="R309" s="1799"/>
      <c r="S309" s="1799"/>
      <c r="T309" s="1799"/>
      <c r="U309" s="1799"/>
      <c r="V309" s="1799"/>
      <c r="W309" s="1799"/>
      <c r="X309" s="1799"/>
      <c r="Y309" s="1799"/>
      <c r="Z309" s="1799"/>
    </row>
    <row r="310">
      <c r="A310" s="1799"/>
      <c r="B310" s="1799"/>
      <c r="C310" s="1799"/>
      <c r="D310" s="1812"/>
      <c r="E310" s="1799"/>
      <c r="F310" s="1813"/>
      <c r="G310" s="1814"/>
      <c r="H310" s="1799"/>
      <c r="I310" s="1799"/>
      <c r="J310" s="1799"/>
      <c r="K310" s="1799"/>
      <c r="L310" s="1799"/>
      <c r="M310" s="1799"/>
      <c r="N310" s="1799"/>
      <c r="O310" s="1799"/>
      <c r="P310" s="1799"/>
      <c r="Q310" s="1799"/>
      <c r="R310" s="1799"/>
      <c r="S310" s="1799"/>
      <c r="T310" s="1799"/>
      <c r="U310" s="1799"/>
      <c r="V310" s="1799"/>
      <c r="W310" s="1799"/>
      <c r="X310" s="1799"/>
      <c r="Y310" s="1799"/>
      <c r="Z310" s="1799"/>
    </row>
    <row r="311">
      <c r="A311" s="1799"/>
      <c r="B311" s="1799"/>
      <c r="C311" s="1799"/>
      <c r="D311" s="1812"/>
      <c r="E311" s="1799"/>
      <c r="F311" s="1813"/>
      <c r="G311" s="1814"/>
      <c r="H311" s="1799"/>
      <c r="I311" s="1799"/>
      <c r="J311" s="1799"/>
      <c r="K311" s="1799"/>
      <c r="L311" s="1799"/>
      <c r="M311" s="1799"/>
      <c r="N311" s="1799"/>
      <c r="O311" s="1799"/>
      <c r="P311" s="1799"/>
      <c r="Q311" s="1799"/>
      <c r="R311" s="1799"/>
      <c r="S311" s="1799"/>
      <c r="T311" s="1799"/>
      <c r="U311" s="1799"/>
      <c r="V311" s="1799"/>
      <c r="W311" s="1799"/>
      <c r="X311" s="1799"/>
      <c r="Y311" s="1799"/>
      <c r="Z311" s="1799"/>
    </row>
    <row r="312">
      <c r="A312" s="1799"/>
      <c r="B312" s="1799"/>
      <c r="C312" s="1799"/>
      <c r="D312" s="1812"/>
      <c r="E312" s="1799"/>
      <c r="F312" s="1813"/>
      <c r="G312" s="1814"/>
      <c r="H312" s="1799"/>
      <c r="I312" s="1799"/>
      <c r="J312" s="1799"/>
      <c r="K312" s="1799"/>
      <c r="L312" s="1799"/>
      <c r="M312" s="1799"/>
      <c r="N312" s="1799"/>
      <c r="O312" s="1799"/>
      <c r="P312" s="1799"/>
      <c r="Q312" s="1799"/>
      <c r="R312" s="1799"/>
      <c r="S312" s="1799"/>
      <c r="T312" s="1799"/>
      <c r="U312" s="1799"/>
      <c r="V312" s="1799"/>
      <c r="W312" s="1799"/>
      <c r="X312" s="1799"/>
      <c r="Y312" s="1799"/>
      <c r="Z312" s="1799"/>
    </row>
    <row r="313">
      <c r="A313" s="1799"/>
      <c r="B313" s="1799"/>
      <c r="C313" s="1799"/>
      <c r="D313" s="1812"/>
      <c r="E313" s="1799"/>
      <c r="F313" s="1813"/>
      <c r="G313" s="1814"/>
      <c r="H313" s="1799"/>
      <c r="I313" s="1799"/>
      <c r="J313" s="1799"/>
      <c r="K313" s="1799"/>
      <c r="L313" s="1799"/>
      <c r="M313" s="1799"/>
      <c r="N313" s="1799"/>
      <c r="O313" s="1799"/>
      <c r="P313" s="1799"/>
      <c r="Q313" s="1799"/>
      <c r="R313" s="1799"/>
      <c r="S313" s="1799"/>
      <c r="T313" s="1799"/>
      <c r="U313" s="1799"/>
      <c r="V313" s="1799"/>
      <c r="W313" s="1799"/>
      <c r="X313" s="1799"/>
      <c r="Y313" s="1799"/>
      <c r="Z313" s="1799"/>
    </row>
    <row r="314">
      <c r="A314" s="1799"/>
      <c r="B314" s="1799"/>
      <c r="C314" s="1799"/>
      <c r="D314" s="1812"/>
      <c r="E314" s="1799"/>
      <c r="F314" s="1813"/>
      <c r="G314" s="1814"/>
      <c r="H314" s="1799"/>
      <c r="I314" s="1799"/>
      <c r="J314" s="1799"/>
      <c r="K314" s="1799"/>
      <c r="L314" s="1799"/>
      <c r="M314" s="1799"/>
      <c r="N314" s="1799"/>
      <c r="O314" s="1799"/>
      <c r="P314" s="1799"/>
      <c r="Q314" s="1799"/>
      <c r="R314" s="1799"/>
      <c r="S314" s="1799"/>
      <c r="T314" s="1799"/>
      <c r="U314" s="1799"/>
      <c r="V314" s="1799"/>
      <c r="W314" s="1799"/>
      <c r="X314" s="1799"/>
      <c r="Y314" s="1799"/>
      <c r="Z314" s="1799"/>
    </row>
    <row r="315">
      <c r="A315" s="1799"/>
      <c r="B315" s="1799"/>
      <c r="C315" s="1799"/>
      <c r="D315" s="1812"/>
      <c r="E315" s="1799"/>
      <c r="F315" s="1813"/>
      <c r="G315" s="1814"/>
      <c r="H315" s="1799"/>
      <c r="I315" s="1799"/>
      <c r="J315" s="1799"/>
      <c r="K315" s="1799"/>
      <c r="L315" s="1799"/>
      <c r="M315" s="1799"/>
      <c r="N315" s="1799"/>
      <c r="O315" s="1799"/>
      <c r="P315" s="1799"/>
      <c r="Q315" s="1799"/>
      <c r="R315" s="1799"/>
      <c r="S315" s="1799"/>
      <c r="T315" s="1799"/>
      <c r="U315" s="1799"/>
      <c r="V315" s="1799"/>
      <c r="W315" s="1799"/>
      <c r="X315" s="1799"/>
      <c r="Y315" s="1799"/>
      <c r="Z315" s="1799"/>
    </row>
    <row r="316">
      <c r="A316" s="1799"/>
      <c r="B316" s="1799"/>
      <c r="C316" s="1799"/>
      <c r="D316" s="1812"/>
      <c r="E316" s="1799"/>
      <c r="F316" s="1813"/>
      <c r="G316" s="1814"/>
      <c r="H316" s="1799"/>
      <c r="I316" s="1799"/>
      <c r="J316" s="1799"/>
      <c r="K316" s="1799"/>
      <c r="L316" s="1799"/>
      <c r="M316" s="1799"/>
      <c r="N316" s="1799"/>
      <c r="O316" s="1799"/>
      <c r="P316" s="1799"/>
      <c r="Q316" s="1799"/>
      <c r="R316" s="1799"/>
      <c r="S316" s="1799"/>
      <c r="T316" s="1799"/>
      <c r="U316" s="1799"/>
      <c r="V316" s="1799"/>
      <c r="W316" s="1799"/>
      <c r="X316" s="1799"/>
      <c r="Y316" s="1799"/>
      <c r="Z316" s="1799"/>
    </row>
    <row r="317">
      <c r="A317" s="1799"/>
      <c r="B317" s="1799"/>
      <c r="C317" s="1799"/>
      <c r="D317" s="1812"/>
      <c r="E317" s="1799"/>
      <c r="F317" s="1813"/>
      <c r="G317" s="1814"/>
      <c r="H317" s="1799"/>
      <c r="I317" s="1799"/>
      <c r="J317" s="1799"/>
      <c r="K317" s="1799"/>
      <c r="L317" s="1799"/>
      <c r="M317" s="1799"/>
      <c r="N317" s="1799"/>
      <c r="O317" s="1799"/>
      <c r="P317" s="1799"/>
      <c r="Q317" s="1799"/>
      <c r="R317" s="1799"/>
      <c r="S317" s="1799"/>
      <c r="T317" s="1799"/>
      <c r="U317" s="1799"/>
      <c r="V317" s="1799"/>
      <c r="W317" s="1799"/>
      <c r="X317" s="1799"/>
      <c r="Y317" s="1799"/>
      <c r="Z317" s="1799"/>
    </row>
    <row r="318">
      <c r="A318" s="1799"/>
      <c r="B318" s="1799"/>
      <c r="C318" s="1799"/>
      <c r="D318" s="1812"/>
      <c r="E318" s="1799"/>
      <c r="F318" s="1813"/>
      <c r="G318" s="1814"/>
      <c r="H318" s="1799"/>
      <c r="I318" s="1799"/>
      <c r="J318" s="1799"/>
      <c r="K318" s="1799"/>
      <c r="L318" s="1799"/>
      <c r="M318" s="1799"/>
      <c r="N318" s="1799"/>
      <c r="O318" s="1799"/>
      <c r="P318" s="1799"/>
      <c r="Q318" s="1799"/>
      <c r="R318" s="1799"/>
      <c r="S318" s="1799"/>
      <c r="T318" s="1799"/>
      <c r="U318" s="1799"/>
      <c r="V318" s="1799"/>
      <c r="W318" s="1799"/>
      <c r="X318" s="1799"/>
      <c r="Y318" s="1799"/>
      <c r="Z318" s="1799"/>
    </row>
    <row r="319">
      <c r="A319" s="1799"/>
      <c r="B319" s="1799"/>
      <c r="C319" s="1799"/>
      <c r="D319" s="1812"/>
      <c r="E319" s="1799"/>
      <c r="F319" s="1813"/>
      <c r="G319" s="1814"/>
      <c r="H319" s="1799"/>
      <c r="I319" s="1799"/>
      <c r="J319" s="1799"/>
      <c r="K319" s="1799"/>
      <c r="L319" s="1799"/>
      <c r="M319" s="1799"/>
      <c r="N319" s="1799"/>
      <c r="O319" s="1799"/>
      <c r="P319" s="1799"/>
      <c r="Q319" s="1799"/>
      <c r="R319" s="1799"/>
      <c r="S319" s="1799"/>
      <c r="T319" s="1799"/>
      <c r="U319" s="1799"/>
      <c r="V319" s="1799"/>
      <c r="W319" s="1799"/>
      <c r="X319" s="1799"/>
      <c r="Y319" s="1799"/>
      <c r="Z319" s="1799"/>
    </row>
    <row r="320">
      <c r="A320" s="1799"/>
      <c r="B320" s="1799"/>
      <c r="C320" s="1799"/>
      <c r="D320" s="1812"/>
      <c r="E320" s="1799"/>
      <c r="F320" s="1813"/>
      <c r="G320" s="1814"/>
      <c r="H320" s="1799"/>
      <c r="I320" s="1799"/>
      <c r="J320" s="1799"/>
      <c r="K320" s="1799"/>
      <c r="L320" s="1799"/>
      <c r="M320" s="1799"/>
      <c r="N320" s="1799"/>
      <c r="O320" s="1799"/>
      <c r="P320" s="1799"/>
      <c r="Q320" s="1799"/>
      <c r="R320" s="1799"/>
      <c r="S320" s="1799"/>
      <c r="T320" s="1799"/>
      <c r="U320" s="1799"/>
      <c r="V320" s="1799"/>
      <c r="W320" s="1799"/>
      <c r="X320" s="1799"/>
      <c r="Y320" s="1799"/>
      <c r="Z320" s="1799"/>
    </row>
    <row r="321">
      <c r="A321" s="1799"/>
      <c r="B321" s="1799"/>
      <c r="C321" s="1799"/>
      <c r="D321" s="1812"/>
      <c r="E321" s="1799"/>
      <c r="F321" s="1813"/>
      <c r="G321" s="1814"/>
      <c r="H321" s="1799"/>
      <c r="I321" s="1799"/>
      <c r="J321" s="1799"/>
      <c r="K321" s="1799"/>
      <c r="L321" s="1799"/>
      <c r="M321" s="1799"/>
      <c r="N321" s="1799"/>
      <c r="O321" s="1799"/>
      <c r="P321" s="1799"/>
      <c r="Q321" s="1799"/>
      <c r="R321" s="1799"/>
      <c r="S321" s="1799"/>
      <c r="T321" s="1799"/>
      <c r="U321" s="1799"/>
      <c r="V321" s="1799"/>
      <c r="W321" s="1799"/>
      <c r="X321" s="1799"/>
      <c r="Y321" s="1799"/>
      <c r="Z321" s="1799"/>
    </row>
    <row r="322">
      <c r="A322" s="1799"/>
      <c r="B322" s="1799"/>
      <c r="C322" s="1799"/>
      <c r="D322" s="1812"/>
      <c r="E322" s="1799"/>
      <c r="F322" s="1813"/>
      <c r="G322" s="1814"/>
      <c r="H322" s="1799"/>
      <c r="I322" s="1799"/>
      <c r="J322" s="1799"/>
      <c r="K322" s="1799"/>
      <c r="L322" s="1799"/>
      <c r="M322" s="1799"/>
      <c r="N322" s="1799"/>
      <c r="O322" s="1799"/>
      <c r="P322" s="1799"/>
      <c r="Q322" s="1799"/>
      <c r="R322" s="1799"/>
      <c r="S322" s="1799"/>
      <c r="T322" s="1799"/>
      <c r="U322" s="1799"/>
      <c r="V322" s="1799"/>
      <c r="W322" s="1799"/>
      <c r="X322" s="1799"/>
      <c r="Y322" s="1799"/>
      <c r="Z322" s="1799"/>
    </row>
    <row r="323">
      <c r="A323" s="1799"/>
      <c r="B323" s="1799"/>
      <c r="C323" s="1799"/>
      <c r="D323" s="1812"/>
      <c r="E323" s="1799"/>
      <c r="F323" s="1813"/>
      <c r="G323" s="1814"/>
      <c r="H323" s="1799"/>
      <c r="I323" s="1799"/>
      <c r="J323" s="1799"/>
      <c r="K323" s="1799"/>
      <c r="L323" s="1799"/>
      <c r="M323" s="1799"/>
      <c r="N323" s="1799"/>
      <c r="O323" s="1799"/>
      <c r="P323" s="1799"/>
      <c r="Q323" s="1799"/>
      <c r="R323" s="1799"/>
      <c r="S323" s="1799"/>
      <c r="T323" s="1799"/>
      <c r="U323" s="1799"/>
      <c r="V323" s="1799"/>
      <c r="W323" s="1799"/>
      <c r="X323" s="1799"/>
      <c r="Y323" s="1799"/>
      <c r="Z323" s="1799"/>
    </row>
    <row r="324">
      <c r="A324" s="1799"/>
      <c r="B324" s="1799"/>
      <c r="C324" s="1799"/>
      <c r="D324" s="1812"/>
      <c r="E324" s="1799"/>
      <c r="F324" s="1813"/>
      <c r="G324" s="1814"/>
      <c r="H324" s="1799"/>
      <c r="I324" s="1799"/>
      <c r="J324" s="1799"/>
      <c r="K324" s="1799"/>
      <c r="L324" s="1799"/>
      <c r="M324" s="1799"/>
      <c r="N324" s="1799"/>
      <c r="O324" s="1799"/>
      <c r="P324" s="1799"/>
      <c r="Q324" s="1799"/>
      <c r="R324" s="1799"/>
      <c r="S324" s="1799"/>
      <c r="T324" s="1799"/>
      <c r="U324" s="1799"/>
      <c r="V324" s="1799"/>
      <c r="W324" s="1799"/>
      <c r="X324" s="1799"/>
      <c r="Y324" s="1799"/>
      <c r="Z324" s="1799"/>
    </row>
    <row r="325">
      <c r="A325" s="1799"/>
      <c r="B325" s="1799"/>
      <c r="C325" s="1799"/>
      <c r="D325" s="1812"/>
      <c r="E325" s="1799"/>
      <c r="F325" s="1813"/>
      <c r="G325" s="1814"/>
      <c r="H325" s="1799"/>
      <c r="I325" s="1799"/>
      <c r="J325" s="1799"/>
      <c r="K325" s="1799"/>
      <c r="L325" s="1799"/>
      <c r="M325" s="1799"/>
      <c r="N325" s="1799"/>
      <c r="O325" s="1799"/>
      <c r="P325" s="1799"/>
      <c r="Q325" s="1799"/>
      <c r="R325" s="1799"/>
      <c r="S325" s="1799"/>
      <c r="T325" s="1799"/>
      <c r="U325" s="1799"/>
      <c r="V325" s="1799"/>
      <c r="W325" s="1799"/>
      <c r="X325" s="1799"/>
      <c r="Y325" s="1799"/>
      <c r="Z325" s="1799"/>
    </row>
    <row r="326">
      <c r="A326" s="1799"/>
      <c r="B326" s="1799"/>
      <c r="C326" s="1799"/>
      <c r="D326" s="1812"/>
      <c r="E326" s="1799"/>
      <c r="F326" s="1813"/>
      <c r="G326" s="1814"/>
      <c r="H326" s="1799"/>
      <c r="I326" s="1799"/>
      <c r="J326" s="1799"/>
      <c r="K326" s="1799"/>
      <c r="L326" s="1799"/>
      <c r="M326" s="1799"/>
      <c r="N326" s="1799"/>
      <c r="O326" s="1799"/>
      <c r="P326" s="1799"/>
      <c r="Q326" s="1799"/>
      <c r="R326" s="1799"/>
      <c r="S326" s="1799"/>
      <c r="T326" s="1799"/>
      <c r="U326" s="1799"/>
      <c r="V326" s="1799"/>
      <c r="W326" s="1799"/>
      <c r="X326" s="1799"/>
      <c r="Y326" s="1799"/>
      <c r="Z326" s="1799"/>
    </row>
    <row r="327">
      <c r="A327" s="1799"/>
      <c r="B327" s="1799"/>
      <c r="C327" s="1799"/>
      <c r="D327" s="1812"/>
      <c r="E327" s="1799"/>
      <c r="F327" s="1813"/>
      <c r="G327" s="1814"/>
      <c r="H327" s="1799"/>
      <c r="I327" s="1799"/>
      <c r="J327" s="1799"/>
      <c r="K327" s="1799"/>
      <c r="L327" s="1799"/>
      <c r="M327" s="1799"/>
      <c r="N327" s="1799"/>
      <c r="O327" s="1799"/>
      <c r="P327" s="1799"/>
      <c r="Q327" s="1799"/>
      <c r="R327" s="1799"/>
      <c r="S327" s="1799"/>
      <c r="T327" s="1799"/>
      <c r="U327" s="1799"/>
      <c r="V327" s="1799"/>
      <c r="W327" s="1799"/>
      <c r="X327" s="1799"/>
      <c r="Y327" s="1799"/>
      <c r="Z327" s="1799"/>
    </row>
    <row r="328">
      <c r="A328" s="1799"/>
      <c r="B328" s="1799"/>
      <c r="C328" s="1799"/>
      <c r="D328" s="1812"/>
      <c r="E328" s="1799"/>
      <c r="F328" s="1813"/>
      <c r="G328" s="1814"/>
      <c r="H328" s="1799"/>
      <c r="I328" s="1799"/>
      <c r="J328" s="1799"/>
      <c r="K328" s="1799"/>
      <c r="L328" s="1799"/>
      <c r="M328" s="1799"/>
      <c r="N328" s="1799"/>
      <c r="O328" s="1799"/>
      <c r="P328" s="1799"/>
      <c r="Q328" s="1799"/>
      <c r="R328" s="1799"/>
      <c r="S328" s="1799"/>
      <c r="T328" s="1799"/>
      <c r="U328" s="1799"/>
      <c r="V328" s="1799"/>
      <c r="W328" s="1799"/>
      <c r="X328" s="1799"/>
      <c r="Y328" s="1799"/>
      <c r="Z328" s="1799"/>
    </row>
    <row r="329">
      <c r="A329" s="1799"/>
      <c r="B329" s="1799"/>
      <c r="C329" s="1799"/>
      <c r="D329" s="1812"/>
      <c r="E329" s="1799"/>
      <c r="F329" s="1813"/>
      <c r="G329" s="1814"/>
      <c r="H329" s="1799"/>
      <c r="I329" s="1799"/>
      <c r="J329" s="1799"/>
      <c r="K329" s="1799"/>
      <c r="L329" s="1799"/>
      <c r="M329" s="1799"/>
      <c r="N329" s="1799"/>
      <c r="O329" s="1799"/>
      <c r="P329" s="1799"/>
      <c r="Q329" s="1799"/>
      <c r="R329" s="1799"/>
      <c r="S329" s="1799"/>
      <c r="T329" s="1799"/>
      <c r="U329" s="1799"/>
      <c r="V329" s="1799"/>
      <c r="W329" s="1799"/>
      <c r="X329" s="1799"/>
      <c r="Y329" s="1799"/>
      <c r="Z329" s="1799"/>
    </row>
    <row r="330">
      <c r="A330" s="1799"/>
      <c r="B330" s="1799"/>
      <c r="C330" s="1799"/>
      <c r="D330" s="1812"/>
      <c r="E330" s="1799"/>
      <c r="F330" s="1813"/>
      <c r="G330" s="1814"/>
      <c r="H330" s="1799"/>
      <c r="I330" s="1799"/>
      <c r="J330" s="1799"/>
      <c r="K330" s="1799"/>
      <c r="L330" s="1799"/>
      <c r="M330" s="1799"/>
      <c r="N330" s="1799"/>
      <c r="O330" s="1799"/>
      <c r="P330" s="1799"/>
      <c r="Q330" s="1799"/>
      <c r="R330" s="1799"/>
      <c r="S330" s="1799"/>
      <c r="T330" s="1799"/>
      <c r="U330" s="1799"/>
      <c r="V330" s="1799"/>
      <c r="W330" s="1799"/>
      <c r="X330" s="1799"/>
      <c r="Y330" s="1799"/>
      <c r="Z330" s="1799"/>
    </row>
    <row r="331">
      <c r="A331" s="1799"/>
      <c r="B331" s="1799"/>
      <c r="C331" s="1799"/>
      <c r="D331" s="1812"/>
      <c r="E331" s="1799"/>
      <c r="F331" s="1813"/>
      <c r="G331" s="1814"/>
      <c r="H331" s="1799"/>
      <c r="I331" s="1799"/>
      <c r="J331" s="1799"/>
      <c r="K331" s="1799"/>
      <c r="L331" s="1799"/>
      <c r="M331" s="1799"/>
      <c r="N331" s="1799"/>
      <c r="O331" s="1799"/>
      <c r="P331" s="1799"/>
      <c r="Q331" s="1799"/>
      <c r="R331" s="1799"/>
      <c r="S331" s="1799"/>
      <c r="T331" s="1799"/>
      <c r="U331" s="1799"/>
      <c r="V331" s="1799"/>
      <c r="W331" s="1799"/>
      <c r="X331" s="1799"/>
      <c r="Y331" s="1799"/>
      <c r="Z331" s="1799"/>
    </row>
    <row r="332">
      <c r="A332" s="1799"/>
      <c r="B332" s="1799"/>
      <c r="C332" s="1799"/>
      <c r="D332" s="1812"/>
      <c r="E332" s="1799"/>
      <c r="F332" s="1813"/>
      <c r="G332" s="1814"/>
      <c r="H332" s="1799"/>
      <c r="I332" s="1799"/>
      <c r="J332" s="1799"/>
      <c r="K332" s="1799"/>
      <c r="L332" s="1799"/>
      <c r="M332" s="1799"/>
      <c r="N332" s="1799"/>
      <c r="O332" s="1799"/>
      <c r="P332" s="1799"/>
      <c r="Q332" s="1799"/>
      <c r="R332" s="1799"/>
      <c r="S332" s="1799"/>
      <c r="T332" s="1799"/>
      <c r="U332" s="1799"/>
      <c r="V332" s="1799"/>
      <c r="W332" s="1799"/>
      <c r="X332" s="1799"/>
      <c r="Y332" s="1799"/>
      <c r="Z332" s="1799"/>
    </row>
    <row r="333">
      <c r="A333" s="1799"/>
      <c r="B333" s="1799"/>
      <c r="C333" s="1799"/>
      <c r="D333" s="1812"/>
      <c r="E333" s="1799"/>
      <c r="F333" s="1813"/>
      <c r="G333" s="1814"/>
      <c r="H333" s="1799"/>
      <c r="I333" s="1799"/>
      <c r="J333" s="1799"/>
      <c r="K333" s="1799"/>
      <c r="L333" s="1799"/>
      <c r="M333" s="1799"/>
      <c r="N333" s="1799"/>
      <c r="O333" s="1799"/>
      <c r="P333" s="1799"/>
      <c r="Q333" s="1799"/>
      <c r="R333" s="1799"/>
      <c r="S333" s="1799"/>
      <c r="T333" s="1799"/>
      <c r="U333" s="1799"/>
      <c r="V333" s="1799"/>
      <c r="W333" s="1799"/>
      <c r="X333" s="1799"/>
      <c r="Y333" s="1799"/>
      <c r="Z333" s="1799"/>
    </row>
    <row r="334">
      <c r="A334" s="1799"/>
      <c r="B334" s="1799"/>
      <c r="C334" s="1799"/>
      <c r="D334" s="1812"/>
      <c r="E334" s="1799"/>
      <c r="F334" s="1813"/>
      <c r="G334" s="1814"/>
      <c r="H334" s="1799"/>
      <c r="I334" s="1799"/>
      <c r="J334" s="1799"/>
      <c r="K334" s="1799"/>
      <c r="L334" s="1799"/>
      <c r="M334" s="1799"/>
      <c r="N334" s="1799"/>
      <c r="O334" s="1799"/>
      <c r="P334" s="1799"/>
      <c r="Q334" s="1799"/>
      <c r="R334" s="1799"/>
      <c r="S334" s="1799"/>
      <c r="T334" s="1799"/>
      <c r="U334" s="1799"/>
      <c r="V334" s="1799"/>
      <c r="W334" s="1799"/>
      <c r="X334" s="1799"/>
      <c r="Y334" s="1799"/>
      <c r="Z334" s="1799"/>
    </row>
    <row r="335">
      <c r="A335" s="1799"/>
      <c r="B335" s="1799"/>
      <c r="C335" s="1799"/>
      <c r="D335" s="1812"/>
      <c r="E335" s="1799"/>
      <c r="F335" s="1813"/>
      <c r="G335" s="1814"/>
      <c r="H335" s="1799"/>
      <c r="I335" s="1799"/>
      <c r="J335" s="1799"/>
      <c r="K335" s="1799"/>
      <c r="L335" s="1799"/>
      <c r="M335" s="1799"/>
      <c r="N335" s="1799"/>
      <c r="O335" s="1799"/>
      <c r="P335" s="1799"/>
      <c r="Q335" s="1799"/>
      <c r="R335" s="1799"/>
      <c r="S335" s="1799"/>
      <c r="T335" s="1799"/>
      <c r="U335" s="1799"/>
      <c r="V335" s="1799"/>
      <c r="W335" s="1799"/>
      <c r="X335" s="1799"/>
      <c r="Y335" s="1799"/>
      <c r="Z335" s="1799"/>
    </row>
    <row r="336">
      <c r="A336" s="1799"/>
      <c r="B336" s="1799"/>
      <c r="C336" s="1799"/>
      <c r="D336" s="1812"/>
      <c r="E336" s="1799"/>
      <c r="F336" s="1813"/>
      <c r="G336" s="1814"/>
      <c r="H336" s="1799"/>
      <c r="I336" s="1799"/>
      <c r="J336" s="1799"/>
      <c r="K336" s="1799"/>
      <c r="L336" s="1799"/>
      <c r="M336" s="1799"/>
      <c r="N336" s="1799"/>
      <c r="O336" s="1799"/>
      <c r="P336" s="1799"/>
      <c r="Q336" s="1799"/>
      <c r="R336" s="1799"/>
      <c r="S336" s="1799"/>
      <c r="T336" s="1799"/>
      <c r="U336" s="1799"/>
      <c r="V336" s="1799"/>
      <c r="W336" s="1799"/>
      <c r="X336" s="1799"/>
      <c r="Y336" s="1799"/>
      <c r="Z336" s="1799"/>
    </row>
    <row r="337">
      <c r="A337" s="1799"/>
      <c r="B337" s="1799"/>
      <c r="C337" s="1799"/>
      <c r="D337" s="1812"/>
      <c r="E337" s="1799"/>
      <c r="F337" s="1813"/>
      <c r="G337" s="1814"/>
      <c r="H337" s="1799"/>
      <c r="I337" s="1799"/>
      <c r="J337" s="1799"/>
      <c r="K337" s="1799"/>
      <c r="L337" s="1799"/>
      <c r="M337" s="1799"/>
      <c r="N337" s="1799"/>
      <c r="O337" s="1799"/>
      <c r="P337" s="1799"/>
      <c r="Q337" s="1799"/>
      <c r="R337" s="1799"/>
      <c r="S337" s="1799"/>
      <c r="T337" s="1799"/>
      <c r="U337" s="1799"/>
      <c r="V337" s="1799"/>
      <c r="W337" s="1799"/>
      <c r="X337" s="1799"/>
      <c r="Y337" s="1799"/>
      <c r="Z337" s="1799"/>
    </row>
    <row r="338">
      <c r="A338" s="1799"/>
      <c r="B338" s="1799"/>
      <c r="C338" s="1799"/>
      <c r="D338" s="1812"/>
      <c r="E338" s="1799"/>
      <c r="F338" s="1813"/>
      <c r="G338" s="1814"/>
      <c r="H338" s="1799"/>
      <c r="I338" s="1799"/>
      <c r="J338" s="1799"/>
      <c r="K338" s="1799"/>
      <c r="L338" s="1799"/>
      <c r="M338" s="1799"/>
      <c r="N338" s="1799"/>
      <c r="O338" s="1799"/>
      <c r="P338" s="1799"/>
      <c r="Q338" s="1799"/>
      <c r="R338" s="1799"/>
      <c r="S338" s="1799"/>
      <c r="T338" s="1799"/>
      <c r="U338" s="1799"/>
      <c r="V338" s="1799"/>
      <c r="W338" s="1799"/>
      <c r="X338" s="1799"/>
      <c r="Y338" s="1799"/>
      <c r="Z338" s="1799"/>
    </row>
    <row r="339">
      <c r="A339" s="1799"/>
      <c r="B339" s="1799"/>
      <c r="C339" s="1799"/>
      <c r="D339" s="1812"/>
      <c r="E339" s="1799"/>
      <c r="F339" s="1813"/>
      <c r="G339" s="1814"/>
      <c r="H339" s="1799"/>
      <c r="I339" s="1799"/>
      <c r="J339" s="1799"/>
      <c r="K339" s="1799"/>
      <c r="L339" s="1799"/>
      <c r="M339" s="1799"/>
      <c r="N339" s="1799"/>
      <c r="O339" s="1799"/>
      <c r="P339" s="1799"/>
      <c r="Q339" s="1799"/>
      <c r="R339" s="1799"/>
      <c r="S339" s="1799"/>
      <c r="T339" s="1799"/>
      <c r="U339" s="1799"/>
      <c r="V339" s="1799"/>
      <c r="W339" s="1799"/>
      <c r="X339" s="1799"/>
      <c r="Y339" s="1799"/>
      <c r="Z339" s="1799"/>
    </row>
    <row r="340">
      <c r="A340" s="1799"/>
      <c r="B340" s="1799"/>
      <c r="C340" s="1799"/>
      <c r="D340" s="1812"/>
      <c r="E340" s="1799"/>
      <c r="F340" s="1813"/>
      <c r="G340" s="1814"/>
      <c r="H340" s="1799"/>
      <c r="I340" s="1799"/>
      <c r="J340" s="1799"/>
      <c r="K340" s="1799"/>
      <c r="L340" s="1799"/>
      <c r="M340" s="1799"/>
      <c r="N340" s="1799"/>
      <c r="O340" s="1799"/>
      <c r="P340" s="1799"/>
      <c r="Q340" s="1799"/>
      <c r="R340" s="1799"/>
      <c r="S340" s="1799"/>
      <c r="T340" s="1799"/>
      <c r="U340" s="1799"/>
      <c r="V340" s="1799"/>
      <c r="W340" s="1799"/>
      <c r="X340" s="1799"/>
      <c r="Y340" s="1799"/>
      <c r="Z340" s="1799"/>
    </row>
    <row r="341">
      <c r="A341" s="1799"/>
      <c r="B341" s="1799"/>
      <c r="C341" s="1799"/>
      <c r="D341" s="1812"/>
      <c r="E341" s="1799"/>
      <c r="F341" s="1813"/>
      <c r="G341" s="1814"/>
      <c r="H341" s="1799"/>
      <c r="I341" s="1799"/>
      <c r="J341" s="1799"/>
      <c r="K341" s="1799"/>
      <c r="L341" s="1799"/>
      <c r="M341" s="1799"/>
      <c r="N341" s="1799"/>
      <c r="O341" s="1799"/>
      <c r="P341" s="1799"/>
      <c r="Q341" s="1799"/>
      <c r="R341" s="1799"/>
      <c r="S341" s="1799"/>
      <c r="T341" s="1799"/>
      <c r="U341" s="1799"/>
      <c r="V341" s="1799"/>
      <c r="W341" s="1799"/>
      <c r="X341" s="1799"/>
      <c r="Y341" s="1799"/>
      <c r="Z341" s="1799"/>
    </row>
    <row r="342">
      <c r="A342" s="1799"/>
      <c r="B342" s="1799"/>
      <c r="C342" s="1799"/>
      <c r="D342" s="1812"/>
      <c r="E342" s="1799"/>
      <c r="F342" s="1813"/>
      <c r="G342" s="1814"/>
      <c r="H342" s="1799"/>
      <c r="I342" s="1799"/>
      <c r="J342" s="1799"/>
      <c r="K342" s="1799"/>
      <c r="L342" s="1799"/>
      <c r="M342" s="1799"/>
      <c r="N342" s="1799"/>
      <c r="O342" s="1799"/>
      <c r="P342" s="1799"/>
      <c r="Q342" s="1799"/>
      <c r="R342" s="1799"/>
      <c r="S342" s="1799"/>
      <c r="T342" s="1799"/>
      <c r="U342" s="1799"/>
      <c r="V342" s="1799"/>
      <c r="W342" s="1799"/>
      <c r="X342" s="1799"/>
      <c r="Y342" s="1799"/>
      <c r="Z342" s="1799"/>
    </row>
    <row r="343">
      <c r="A343" s="1799"/>
      <c r="B343" s="1799"/>
      <c r="C343" s="1799"/>
      <c r="D343" s="1812"/>
      <c r="E343" s="1799"/>
      <c r="F343" s="1813"/>
      <c r="G343" s="1814"/>
      <c r="H343" s="1799"/>
      <c r="I343" s="1799"/>
      <c r="J343" s="1799"/>
      <c r="K343" s="1799"/>
      <c r="L343" s="1799"/>
      <c r="M343" s="1799"/>
      <c r="N343" s="1799"/>
      <c r="O343" s="1799"/>
      <c r="P343" s="1799"/>
      <c r="Q343" s="1799"/>
      <c r="R343" s="1799"/>
      <c r="S343" s="1799"/>
      <c r="T343" s="1799"/>
      <c r="U343" s="1799"/>
      <c r="V343" s="1799"/>
      <c r="W343" s="1799"/>
      <c r="X343" s="1799"/>
      <c r="Y343" s="1799"/>
      <c r="Z343" s="1799"/>
    </row>
    <row r="344">
      <c r="A344" s="1799"/>
      <c r="B344" s="1799"/>
      <c r="C344" s="1799"/>
      <c r="D344" s="1812"/>
      <c r="E344" s="1799"/>
      <c r="F344" s="1813"/>
      <c r="G344" s="1814"/>
      <c r="H344" s="1799"/>
      <c r="I344" s="1799"/>
      <c r="J344" s="1799"/>
      <c r="K344" s="1799"/>
      <c r="L344" s="1799"/>
      <c r="M344" s="1799"/>
      <c r="N344" s="1799"/>
      <c r="O344" s="1799"/>
      <c r="P344" s="1799"/>
      <c r="Q344" s="1799"/>
      <c r="R344" s="1799"/>
      <c r="S344" s="1799"/>
      <c r="T344" s="1799"/>
      <c r="U344" s="1799"/>
      <c r="V344" s="1799"/>
      <c r="W344" s="1799"/>
      <c r="X344" s="1799"/>
      <c r="Y344" s="1799"/>
      <c r="Z344" s="1799"/>
    </row>
    <row r="345">
      <c r="A345" s="1799"/>
      <c r="B345" s="1799"/>
      <c r="C345" s="1799"/>
      <c r="D345" s="1812"/>
      <c r="E345" s="1799"/>
      <c r="F345" s="1813"/>
      <c r="G345" s="1814"/>
      <c r="H345" s="1799"/>
      <c r="I345" s="1799"/>
      <c r="J345" s="1799"/>
      <c r="K345" s="1799"/>
      <c r="L345" s="1799"/>
      <c r="M345" s="1799"/>
      <c r="N345" s="1799"/>
      <c r="O345" s="1799"/>
      <c r="P345" s="1799"/>
      <c r="Q345" s="1799"/>
      <c r="R345" s="1799"/>
      <c r="S345" s="1799"/>
      <c r="T345" s="1799"/>
      <c r="U345" s="1799"/>
      <c r="V345" s="1799"/>
      <c r="W345" s="1799"/>
      <c r="X345" s="1799"/>
      <c r="Y345" s="1799"/>
      <c r="Z345" s="1799"/>
    </row>
    <row r="346">
      <c r="A346" s="1799"/>
      <c r="B346" s="1799"/>
      <c r="C346" s="1799"/>
      <c r="D346" s="1812"/>
      <c r="E346" s="1799"/>
      <c r="F346" s="1813"/>
      <c r="G346" s="1814"/>
      <c r="H346" s="1799"/>
      <c r="I346" s="1799"/>
      <c r="J346" s="1799"/>
      <c r="K346" s="1799"/>
      <c r="L346" s="1799"/>
      <c r="M346" s="1799"/>
      <c r="N346" s="1799"/>
      <c r="O346" s="1799"/>
      <c r="P346" s="1799"/>
      <c r="Q346" s="1799"/>
      <c r="R346" s="1799"/>
      <c r="S346" s="1799"/>
      <c r="T346" s="1799"/>
      <c r="U346" s="1799"/>
      <c r="V346" s="1799"/>
      <c r="W346" s="1799"/>
      <c r="X346" s="1799"/>
      <c r="Y346" s="1799"/>
      <c r="Z346" s="1799"/>
    </row>
    <row r="347">
      <c r="A347" s="1799"/>
      <c r="B347" s="1799"/>
      <c r="C347" s="1799"/>
      <c r="D347" s="1812"/>
      <c r="E347" s="1799"/>
      <c r="F347" s="1813"/>
      <c r="G347" s="1814"/>
      <c r="H347" s="1799"/>
      <c r="I347" s="1799"/>
      <c r="J347" s="1799"/>
      <c r="K347" s="1799"/>
      <c r="L347" s="1799"/>
      <c r="M347" s="1799"/>
      <c r="N347" s="1799"/>
      <c r="O347" s="1799"/>
      <c r="P347" s="1799"/>
      <c r="Q347" s="1799"/>
      <c r="R347" s="1799"/>
      <c r="S347" s="1799"/>
      <c r="T347" s="1799"/>
      <c r="U347" s="1799"/>
      <c r="V347" s="1799"/>
      <c r="W347" s="1799"/>
      <c r="X347" s="1799"/>
      <c r="Y347" s="1799"/>
      <c r="Z347" s="1799"/>
    </row>
    <row r="348">
      <c r="A348" s="1799"/>
      <c r="B348" s="1799"/>
      <c r="C348" s="1799"/>
      <c r="D348" s="1812"/>
      <c r="E348" s="1799"/>
      <c r="F348" s="1813"/>
      <c r="G348" s="1814"/>
      <c r="H348" s="1799"/>
      <c r="I348" s="1799"/>
      <c r="J348" s="1799"/>
      <c r="K348" s="1799"/>
      <c r="L348" s="1799"/>
      <c r="M348" s="1799"/>
      <c r="N348" s="1799"/>
      <c r="O348" s="1799"/>
      <c r="P348" s="1799"/>
      <c r="Q348" s="1799"/>
      <c r="R348" s="1799"/>
      <c r="S348" s="1799"/>
      <c r="T348" s="1799"/>
      <c r="U348" s="1799"/>
      <c r="V348" s="1799"/>
      <c r="W348" s="1799"/>
      <c r="X348" s="1799"/>
      <c r="Y348" s="1799"/>
      <c r="Z348" s="1799"/>
    </row>
    <row r="349">
      <c r="A349" s="1799"/>
      <c r="B349" s="1799"/>
      <c r="C349" s="1799"/>
      <c r="D349" s="1812"/>
      <c r="E349" s="1799"/>
      <c r="F349" s="1813"/>
      <c r="G349" s="1814"/>
      <c r="H349" s="1799"/>
      <c r="I349" s="1799"/>
      <c r="J349" s="1799"/>
      <c r="K349" s="1799"/>
      <c r="L349" s="1799"/>
      <c r="M349" s="1799"/>
      <c r="N349" s="1799"/>
      <c r="O349" s="1799"/>
      <c r="P349" s="1799"/>
      <c r="Q349" s="1799"/>
      <c r="R349" s="1799"/>
      <c r="S349" s="1799"/>
      <c r="T349" s="1799"/>
      <c r="U349" s="1799"/>
      <c r="V349" s="1799"/>
      <c r="W349" s="1799"/>
      <c r="X349" s="1799"/>
      <c r="Y349" s="1799"/>
      <c r="Z349" s="1799"/>
    </row>
    <row r="350">
      <c r="A350" s="1799"/>
      <c r="B350" s="1799"/>
      <c r="C350" s="1799"/>
      <c r="D350" s="1812"/>
      <c r="E350" s="1799"/>
      <c r="F350" s="1813"/>
      <c r="G350" s="1814"/>
      <c r="H350" s="1799"/>
      <c r="I350" s="1799"/>
      <c r="J350" s="1799"/>
      <c r="K350" s="1799"/>
      <c r="L350" s="1799"/>
      <c r="M350" s="1799"/>
      <c r="N350" s="1799"/>
      <c r="O350" s="1799"/>
      <c r="P350" s="1799"/>
      <c r="Q350" s="1799"/>
      <c r="R350" s="1799"/>
      <c r="S350" s="1799"/>
      <c r="T350" s="1799"/>
      <c r="U350" s="1799"/>
      <c r="V350" s="1799"/>
      <c r="W350" s="1799"/>
      <c r="X350" s="1799"/>
      <c r="Y350" s="1799"/>
      <c r="Z350" s="1799"/>
    </row>
    <row r="351">
      <c r="A351" s="1799"/>
      <c r="B351" s="1799"/>
      <c r="C351" s="1799"/>
      <c r="D351" s="1812"/>
      <c r="E351" s="1799"/>
      <c r="F351" s="1813"/>
      <c r="G351" s="1814"/>
      <c r="H351" s="1799"/>
      <c r="I351" s="1799"/>
      <c r="J351" s="1799"/>
      <c r="K351" s="1799"/>
      <c r="L351" s="1799"/>
      <c r="M351" s="1799"/>
      <c r="N351" s="1799"/>
      <c r="O351" s="1799"/>
      <c r="P351" s="1799"/>
      <c r="Q351" s="1799"/>
      <c r="R351" s="1799"/>
      <c r="S351" s="1799"/>
      <c r="T351" s="1799"/>
      <c r="U351" s="1799"/>
      <c r="V351" s="1799"/>
      <c r="W351" s="1799"/>
      <c r="X351" s="1799"/>
      <c r="Y351" s="1799"/>
      <c r="Z351" s="1799"/>
    </row>
    <row r="352">
      <c r="A352" s="1799"/>
      <c r="B352" s="1799"/>
      <c r="C352" s="1799"/>
      <c r="D352" s="1812"/>
      <c r="E352" s="1799"/>
      <c r="F352" s="1813"/>
      <c r="G352" s="1814"/>
      <c r="H352" s="1799"/>
      <c r="I352" s="1799"/>
      <c r="J352" s="1799"/>
      <c r="K352" s="1799"/>
      <c r="L352" s="1799"/>
      <c r="M352" s="1799"/>
      <c r="N352" s="1799"/>
      <c r="O352" s="1799"/>
      <c r="P352" s="1799"/>
      <c r="Q352" s="1799"/>
      <c r="R352" s="1799"/>
      <c r="S352" s="1799"/>
      <c r="T352" s="1799"/>
      <c r="U352" s="1799"/>
      <c r="V352" s="1799"/>
      <c r="W352" s="1799"/>
      <c r="X352" s="1799"/>
      <c r="Y352" s="1799"/>
      <c r="Z352" s="1799"/>
    </row>
    <row r="353">
      <c r="A353" s="1799"/>
      <c r="B353" s="1799"/>
      <c r="C353" s="1799"/>
      <c r="D353" s="1812"/>
      <c r="E353" s="1799"/>
      <c r="F353" s="1813"/>
      <c r="G353" s="1814"/>
      <c r="H353" s="1799"/>
      <c r="I353" s="1799"/>
      <c r="J353" s="1799"/>
      <c r="K353" s="1799"/>
      <c r="L353" s="1799"/>
      <c r="M353" s="1799"/>
      <c r="N353" s="1799"/>
      <c r="O353" s="1799"/>
      <c r="P353" s="1799"/>
      <c r="Q353" s="1799"/>
      <c r="R353" s="1799"/>
      <c r="S353" s="1799"/>
      <c r="T353" s="1799"/>
      <c r="U353" s="1799"/>
      <c r="V353" s="1799"/>
      <c r="W353" s="1799"/>
      <c r="X353" s="1799"/>
      <c r="Y353" s="1799"/>
      <c r="Z353" s="1799"/>
    </row>
    <row r="354">
      <c r="A354" s="1799"/>
      <c r="B354" s="1799"/>
      <c r="C354" s="1799"/>
      <c r="D354" s="1812"/>
      <c r="E354" s="1799"/>
      <c r="F354" s="1813"/>
      <c r="G354" s="1814"/>
      <c r="H354" s="1799"/>
      <c r="I354" s="1799"/>
      <c r="J354" s="1799"/>
      <c r="K354" s="1799"/>
      <c r="L354" s="1799"/>
      <c r="M354" s="1799"/>
      <c r="N354" s="1799"/>
      <c r="O354" s="1799"/>
      <c r="P354" s="1799"/>
      <c r="Q354" s="1799"/>
      <c r="R354" s="1799"/>
      <c r="S354" s="1799"/>
      <c r="T354" s="1799"/>
      <c r="U354" s="1799"/>
      <c r="V354" s="1799"/>
      <c r="W354" s="1799"/>
      <c r="X354" s="1799"/>
      <c r="Y354" s="1799"/>
      <c r="Z354" s="1799"/>
    </row>
    <row r="355">
      <c r="A355" s="1799"/>
      <c r="B355" s="1799"/>
      <c r="C355" s="1799"/>
      <c r="D355" s="1812"/>
      <c r="E355" s="1799"/>
      <c r="F355" s="1813"/>
      <c r="G355" s="1814"/>
      <c r="H355" s="1799"/>
      <c r="I355" s="1799"/>
      <c r="J355" s="1799"/>
      <c r="K355" s="1799"/>
      <c r="L355" s="1799"/>
      <c r="M355" s="1799"/>
      <c r="N355" s="1799"/>
      <c r="O355" s="1799"/>
      <c r="P355" s="1799"/>
      <c r="Q355" s="1799"/>
      <c r="R355" s="1799"/>
      <c r="S355" s="1799"/>
      <c r="T355" s="1799"/>
      <c r="U355" s="1799"/>
      <c r="V355" s="1799"/>
      <c r="W355" s="1799"/>
      <c r="X355" s="1799"/>
      <c r="Y355" s="1799"/>
      <c r="Z355" s="1799"/>
    </row>
    <row r="356">
      <c r="A356" s="1799"/>
      <c r="B356" s="1799"/>
      <c r="C356" s="1799"/>
      <c r="D356" s="1812"/>
      <c r="E356" s="1799"/>
      <c r="F356" s="1813"/>
      <c r="G356" s="1814"/>
      <c r="H356" s="1799"/>
      <c r="I356" s="1799"/>
      <c r="J356" s="1799"/>
      <c r="K356" s="1799"/>
      <c r="L356" s="1799"/>
      <c r="M356" s="1799"/>
      <c r="N356" s="1799"/>
      <c r="O356" s="1799"/>
      <c r="P356" s="1799"/>
      <c r="Q356" s="1799"/>
      <c r="R356" s="1799"/>
      <c r="S356" s="1799"/>
      <c r="T356" s="1799"/>
      <c r="U356" s="1799"/>
      <c r="V356" s="1799"/>
      <c r="W356" s="1799"/>
      <c r="X356" s="1799"/>
      <c r="Y356" s="1799"/>
      <c r="Z356" s="1799"/>
    </row>
    <row r="357">
      <c r="A357" s="1799"/>
      <c r="B357" s="1799"/>
      <c r="C357" s="1799"/>
      <c r="D357" s="1812"/>
      <c r="E357" s="1799"/>
      <c r="F357" s="1813"/>
      <c r="G357" s="1814"/>
      <c r="H357" s="1799"/>
      <c r="I357" s="1799"/>
      <c r="J357" s="1799"/>
      <c r="K357" s="1799"/>
      <c r="L357" s="1799"/>
      <c r="M357" s="1799"/>
      <c r="N357" s="1799"/>
      <c r="O357" s="1799"/>
      <c r="P357" s="1799"/>
      <c r="Q357" s="1799"/>
      <c r="R357" s="1799"/>
      <c r="S357" s="1799"/>
      <c r="T357" s="1799"/>
      <c r="U357" s="1799"/>
      <c r="V357" s="1799"/>
      <c r="W357" s="1799"/>
      <c r="X357" s="1799"/>
      <c r="Y357" s="1799"/>
      <c r="Z357" s="1799"/>
    </row>
    <row r="358">
      <c r="A358" s="1799"/>
      <c r="B358" s="1799"/>
      <c r="C358" s="1799"/>
      <c r="D358" s="1812"/>
      <c r="E358" s="1799"/>
      <c r="F358" s="1813"/>
      <c r="G358" s="1814"/>
      <c r="H358" s="1799"/>
      <c r="I358" s="1799"/>
      <c r="J358" s="1799"/>
      <c r="K358" s="1799"/>
      <c r="L358" s="1799"/>
      <c r="M358" s="1799"/>
      <c r="N358" s="1799"/>
      <c r="O358" s="1799"/>
      <c r="P358" s="1799"/>
      <c r="Q358" s="1799"/>
      <c r="R358" s="1799"/>
      <c r="S358" s="1799"/>
      <c r="T358" s="1799"/>
      <c r="U358" s="1799"/>
      <c r="V358" s="1799"/>
      <c r="W358" s="1799"/>
      <c r="X358" s="1799"/>
      <c r="Y358" s="1799"/>
      <c r="Z358" s="1799"/>
    </row>
    <row r="359">
      <c r="A359" s="1799"/>
      <c r="B359" s="1799"/>
      <c r="C359" s="1799"/>
      <c r="D359" s="1812"/>
      <c r="E359" s="1799"/>
      <c r="F359" s="1813"/>
      <c r="G359" s="1814"/>
      <c r="H359" s="1799"/>
      <c r="I359" s="1799"/>
      <c r="J359" s="1799"/>
      <c r="K359" s="1799"/>
      <c r="L359" s="1799"/>
      <c r="M359" s="1799"/>
      <c r="N359" s="1799"/>
      <c r="O359" s="1799"/>
      <c r="P359" s="1799"/>
      <c r="Q359" s="1799"/>
      <c r="R359" s="1799"/>
      <c r="S359" s="1799"/>
      <c r="T359" s="1799"/>
      <c r="U359" s="1799"/>
      <c r="V359" s="1799"/>
      <c r="W359" s="1799"/>
      <c r="X359" s="1799"/>
      <c r="Y359" s="1799"/>
      <c r="Z359" s="1799"/>
    </row>
    <row r="360">
      <c r="A360" s="1799"/>
      <c r="B360" s="1799"/>
      <c r="C360" s="1799"/>
      <c r="D360" s="1812"/>
      <c r="E360" s="1799"/>
      <c r="F360" s="1813"/>
      <c r="G360" s="1814"/>
      <c r="H360" s="1799"/>
      <c r="I360" s="1799"/>
      <c r="J360" s="1799"/>
      <c r="K360" s="1799"/>
      <c r="L360" s="1799"/>
      <c r="M360" s="1799"/>
      <c r="N360" s="1799"/>
      <c r="O360" s="1799"/>
      <c r="P360" s="1799"/>
      <c r="Q360" s="1799"/>
      <c r="R360" s="1799"/>
      <c r="S360" s="1799"/>
      <c r="T360" s="1799"/>
      <c r="U360" s="1799"/>
      <c r="V360" s="1799"/>
      <c r="W360" s="1799"/>
      <c r="X360" s="1799"/>
      <c r="Y360" s="1799"/>
      <c r="Z360" s="1799"/>
    </row>
    <row r="361">
      <c r="A361" s="1799"/>
      <c r="B361" s="1799"/>
      <c r="C361" s="1799"/>
      <c r="D361" s="1812"/>
      <c r="E361" s="1799"/>
      <c r="F361" s="1813"/>
      <c r="G361" s="1814"/>
      <c r="H361" s="1799"/>
      <c r="I361" s="1799"/>
      <c r="J361" s="1799"/>
      <c r="K361" s="1799"/>
      <c r="L361" s="1799"/>
      <c r="M361" s="1799"/>
      <c r="N361" s="1799"/>
      <c r="O361" s="1799"/>
      <c r="P361" s="1799"/>
      <c r="Q361" s="1799"/>
      <c r="R361" s="1799"/>
      <c r="S361" s="1799"/>
      <c r="T361" s="1799"/>
      <c r="U361" s="1799"/>
      <c r="V361" s="1799"/>
      <c r="W361" s="1799"/>
      <c r="X361" s="1799"/>
      <c r="Y361" s="1799"/>
      <c r="Z361" s="1799"/>
    </row>
    <row r="362">
      <c r="A362" s="1799"/>
      <c r="B362" s="1799"/>
      <c r="C362" s="1799"/>
      <c r="D362" s="1812"/>
      <c r="E362" s="1799"/>
      <c r="F362" s="1813"/>
      <c r="G362" s="1814"/>
      <c r="H362" s="1799"/>
      <c r="I362" s="1799"/>
      <c r="J362" s="1799"/>
      <c r="K362" s="1799"/>
      <c r="L362" s="1799"/>
      <c r="M362" s="1799"/>
      <c r="N362" s="1799"/>
      <c r="O362" s="1799"/>
      <c r="P362" s="1799"/>
      <c r="Q362" s="1799"/>
      <c r="R362" s="1799"/>
      <c r="S362" s="1799"/>
      <c r="T362" s="1799"/>
      <c r="U362" s="1799"/>
      <c r="V362" s="1799"/>
      <c r="W362" s="1799"/>
      <c r="X362" s="1799"/>
      <c r="Y362" s="1799"/>
      <c r="Z362" s="1799"/>
    </row>
    <row r="363">
      <c r="A363" s="1799"/>
      <c r="B363" s="1799"/>
      <c r="C363" s="1799"/>
      <c r="D363" s="1812"/>
      <c r="E363" s="1799"/>
      <c r="F363" s="1813"/>
      <c r="G363" s="1814"/>
      <c r="H363" s="1799"/>
      <c r="I363" s="1799"/>
      <c r="J363" s="1799"/>
      <c r="K363" s="1799"/>
      <c r="L363" s="1799"/>
      <c r="M363" s="1799"/>
      <c r="N363" s="1799"/>
      <c r="O363" s="1799"/>
      <c r="P363" s="1799"/>
      <c r="Q363" s="1799"/>
      <c r="R363" s="1799"/>
      <c r="S363" s="1799"/>
      <c r="T363" s="1799"/>
      <c r="U363" s="1799"/>
      <c r="V363" s="1799"/>
      <c r="W363" s="1799"/>
      <c r="X363" s="1799"/>
      <c r="Y363" s="1799"/>
      <c r="Z363" s="1799"/>
    </row>
    <row r="364">
      <c r="A364" s="1799"/>
      <c r="B364" s="1799"/>
      <c r="C364" s="1799"/>
      <c r="D364" s="1812"/>
      <c r="E364" s="1799"/>
      <c r="F364" s="1813"/>
      <c r="G364" s="1814"/>
      <c r="H364" s="1799"/>
      <c r="I364" s="1799"/>
      <c r="J364" s="1799"/>
      <c r="K364" s="1799"/>
      <c r="L364" s="1799"/>
      <c r="M364" s="1799"/>
      <c r="N364" s="1799"/>
      <c r="O364" s="1799"/>
      <c r="P364" s="1799"/>
      <c r="Q364" s="1799"/>
      <c r="R364" s="1799"/>
      <c r="S364" s="1799"/>
      <c r="T364" s="1799"/>
      <c r="U364" s="1799"/>
      <c r="V364" s="1799"/>
      <c r="W364" s="1799"/>
      <c r="X364" s="1799"/>
      <c r="Y364" s="1799"/>
      <c r="Z364" s="1799"/>
    </row>
    <row r="365">
      <c r="A365" s="1799"/>
      <c r="B365" s="1799"/>
      <c r="C365" s="1799"/>
      <c r="D365" s="1812"/>
      <c r="E365" s="1799"/>
      <c r="F365" s="1813"/>
      <c r="G365" s="1814"/>
      <c r="H365" s="1799"/>
      <c r="I365" s="1799"/>
      <c r="J365" s="1799"/>
      <c r="K365" s="1799"/>
      <c r="L365" s="1799"/>
      <c r="M365" s="1799"/>
      <c r="N365" s="1799"/>
      <c r="O365" s="1799"/>
      <c r="P365" s="1799"/>
      <c r="Q365" s="1799"/>
      <c r="R365" s="1799"/>
      <c r="S365" s="1799"/>
      <c r="T365" s="1799"/>
      <c r="U365" s="1799"/>
      <c r="V365" s="1799"/>
      <c r="W365" s="1799"/>
      <c r="X365" s="1799"/>
      <c r="Y365" s="1799"/>
      <c r="Z365" s="1799"/>
    </row>
    <row r="366">
      <c r="A366" s="1799"/>
      <c r="B366" s="1799"/>
      <c r="C366" s="1799"/>
      <c r="D366" s="1812"/>
      <c r="E366" s="1799"/>
      <c r="F366" s="1813"/>
      <c r="G366" s="1814"/>
      <c r="H366" s="1799"/>
      <c r="I366" s="1799"/>
      <c r="J366" s="1799"/>
      <c r="K366" s="1799"/>
      <c r="L366" s="1799"/>
      <c r="M366" s="1799"/>
      <c r="N366" s="1799"/>
      <c r="O366" s="1799"/>
      <c r="P366" s="1799"/>
      <c r="Q366" s="1799"/>
      <c r="R366" s="1799"/>
      <c r="S366" s="1799"/>
      <c r="T366" s="1799"/>
      <c r="U366" s="1799"/>
      <c r="V366" s="1799"/>
      <c r="W366" s="1799"/>
      <c r="X366" s="1799"/>
      <c r="Y366" s="1799"/>
      <c r="Z366" s="1799"/>
    </row>
    <row r="367">
      <c r="A367" s="1799"/>
      <c r="B367" s="1799"/>
      <c r="C367" s="1799"/>
      <c r="D367" s="1812"/>
      <c r="E367" s="1799"/>
      <c r="F367" s="1813"/>
      <c r="G367" s="1814"/>
      <c r="H367" s="1799"/>
      <c r="I367" s="1799"/>
      <c r="J367" s="1799"/>
      <c r="K367" s="1799"/>
      <c r="L367" s="1799"/>
      <c r="M367" s="1799"/>
      <c r="N367" s="1799"/>
      <c r="O367" s="1799"/>
      <c r="P367" s="1799"/>
      <c r="Q367" s="1799"/>
      <c r="R367" s="1799"/>
      <c r="S367" s="1799"/>
      <c r="T367" s="1799"/>
      <c r="U367" s="1799"/>
      <c r="V367" s="1799"/>
      <c r="W367" s="1799"/>
      <c r="X367" s="1799"/>
      <c r="Y367" s="1799"/>
      <c r="Z367" s="1799"/>
    </row>
    <row r="368">
      <c r="A368" s="1799"/>
      <c r="B368" s="1799"/>
      <c r="C368" s="1799"/>
      <c r="D368" s="1812"/>
      <c r="E368" s="1799"/>
      <c r="F368" s="1813"/>
      <c r="G368" s="1814"/>
      <c r="H368" s="1799"/>
      <c r="I368" s="1799"/>
      <c r="J368" s="1799"/>
      <c r="K368" s="1799"/>
      <c r="L368" s="1799"/>
      <c r="M368" s="1799"/>
      <c r="N368" s="1799"/>
      <c r="O368" s="1799"/>
      <c r="P368" s="1799"/>
      <c r="Q368" s="1799"/>
      <c r="R368" s="1799"/>
      <c r="S368" s="1799"/>
      <c r="T368" s="1799"/>
      <c r="U368" s="1799"/>
      <c r="V368" s="1799"/>
      <c r="W368" s="1799"/>
      <c r="X368" s="1799"/>
      <c r="Y368" s="1799"/>
      <c r="Z368" s="1799"/>
    </row>
    <row r="369">
      <c r="A369" s="1799"/>
      <c r="B369" s="1799"/>
      <c r="C369" s="1799"/>
      <c r="D369" s="1812"/>
      <c r="E369" s="1799"/>
      <c r="F369" s="1813"/>
      <c r="G369" s="1814"/>
      <c r="H369" s="1799"/>
      <c r="I369" s="1799"/>
      <c r="J369" s="1799"/>
      <c r="K369" s="1799"/>
      <c r="L369" s="1799"/>
      <c r="M369" s="1799"/>
      <c r="N369" s="1799"/>
      <c r="O369" s="1799"/>
      <c r="P369" s="1799"/>
      <c r="Q369" s="1799"/>
      <c r="R369" s="1799"/>
      <c r="S369" s="1799"/>
      <c r="T369" s="1799"/>
      <c r="U369" s="1799"/>
      <c r="V369" s="1799"/>
      <c r="W369" s="1799"/>
      <c r="X369" s="1799"/>
      <c r="Y369" s="1799"/>
      <c r="Z369" s="1799"/>
    </row>
    <row r="370">
      <c r="A370" s="1799"/>
      <c r="B370" s="1799"/>
      <c r="C370" s="1799"/>
      <c r="D370" s="1812"/>
      <c r="E370" s="1799"/>
      <c r="F370" s="1813"/>
      <c r="G370" s="1814"/>
      <c r="H370" s="1799"/>
      <c r="I370" s="1799"/>
      <c r="J370" s="1799"/>
      <c r="K370" s="1799"/>
      <c r="L370" s="1799"/>
      <c r="M370" s="1799"/>
      <c r="N370" s="1799"/>
      <c r="O370" s="1799"/>
      <c r="P370" s="1799"/>
      <c r="Q370" s="1799"/>
      <c r="R370" s="1799"/>
      <c r="S370" s="1799"/>
      <c r="T370" s="1799"/>
      <c r="U370" s="1799"/>
      <c r="V370" s="1799"/>
      <c r="W370" s="1799"/>
      <c r="X370" s="1799"/>
      <c r="Y370" s="1799"/>
      <c r="Z370" s="1799"/>
    </row>
    <row r="371">
      <c r="A371" s="1799"/>
      <c r="B371" s="1799"/>
      <c r="C371" s="1799"/>
      <c r="D371" s="1812"/>
      <c r="E371" s="1799"/>
      <c r="F371" s="1813"/>
      <c r="G371" s="1814"/>
      <c r="H371" s="1799"/>
      <c r="I371" s="1799"/>
      <c r="J371" s="1799"/>
      <c r="K371" s="1799"/>
      <c r="L371" s="1799"/>
      <c r="M371" s="1799"/>
      <c r="N371" s="1799"/>
      <c r="O371" s="1799"/>
      <c r="P371" s="1799"/>
      <c r="Q371" s="1799"/>
      <c r="R371" s="1799"/>
      <c r="S371" s="1799"/>
      <c r="T371" s="1799"/>
      <c r="U371" s="1799"/>
      <c r="V371" s="1799"/>
      <c r="W371" s="1799"/>
      <c r="X371" s="1799"/>
      <c r="Y371" s="1799"/>
      <c r="Z371" s="1799"/>
    </row>
    <row r="372">
      <c r="A372" s="1799"/>
      <c r="B372" s="1799"/>
      <c r="C372" s="1799"/>
      <c r="D372" s="1812"/>
      <c r="E372" s="1799"/>
      <c r="F372" s="1813"/>
      <c r="G372" s="1814"/>
      <c r="H372" s="1799"/>
      <c r="I372" s="1799"/>
      <c r="J372" s="1799"/>
      <c r="K372" s="1799"/>
      <c r="L372" s="1799"/>
      <c r="M372" s="1799"/>
      <c r="N372" s="1799"/>
      <c r="O372" s="1799"/>
      <c r="P372" s="1799"/>
      <c r="Q372" s="1799"/>
      <c r="R372" s="1799"/>
      <c r="S372" s="1799"/>
      <c r="T372" s="1799"/>
      <c r="U372" s="1799"/>
      <c r="V372" s="1799"/>
      <c r="W372" s="1799"/>
      <c r="X372" s="1799"/>
      <c r="Y372" s="1799"/>
      <c r="Z372" s="1799"/>
    </row>
    <row r="373">
      <c r="A373" s="1799"/>
      <c r="B373" s="1799"/>
      <c r="C373" s="1799"/>
      <c r="D373" s="1812"/>
      <c r="E373" s="1799"/>
      <c r="F373" s="1813"/>
      <c r="G373" s="1814"/>
      <c r="H373" s="1799"/>
      <c r="I373" s="1799"/>
      <c r="J373" s="1799"/>
      <c r="K373" s="1799"/>
      <c r="L373" s="1799"/>
      <c r="M373" s="1799"/>
      <c r="N373" s="1799"/>
      <c r="O373" s="1799"/>
      <c r="P373" s="1799"/>
      <c r="Q373" s="1799"/>
      <c r="R373" s="1799"/>
      <c r="S373" s="1799"/>
      <c r="T373" s="1799"/>
      <c r="U373" s="1799"/>
      <c r="V373" s="1799"/>
      <c r="W373" s="1799"/>
      <c r="X373" s="1799"/>
      <c r="Y373" s="1799"/>
      <c r="Z373" s="1799"/>
    </row>
    <row r="374">
      <c r="A374" s="1799"/>
      <c r="B374" s="1799"/>
      <c r="C374" s="1799"/>
      <c r="D374" s="1812"/>
      <c r="E374" s="1799"/>
      <c r="F374" s="1813"/>
      <c r="G374" s="1814"/>
      <c r="H374" s="1799"/>
      <c r="I374" s="1799"/>
      <c r="J374" s="1799"/>
      <c r="K374" s="1799"/>
      <c r="L374" s="1799"/>
      <c r="M374" s="1799"/>
      <c r="N374" s="1799"/>
      <c r="O374" s="1799"/>
      <c r="P374" s="1799"/>
      <c r="Q374" s="1799"/>
      <c r="R374" s="1799"/>
      <c r="S374" s="1799"/>
      <c r="T374" s="1799"/>
      <c r="U374" s="1799"/>
      <c r="V374" s="1799"/>
      <c r="W374" s="1799"/>
      <c r="X374" s="1799"/>
      <c r="Y374" s="1799"/>
      <c r="Z374" s="1799"/>
    </row>
    <row r="375">
      <c r="A375" s="1799"/>
      <c r="B375" s="1799"/>
      <c r="C375" s="1799"/>
      <c r="D375" s="1812"/>
      <c r="E375" s="1799"/>
      <c r="F375" s="1813"/>
      <c r="G375" s="1814"/>
      <c r="H375" s="1799"/>
      <c r="I375" s="1799"/>
      <c r="J375" s="1799"/>
      <c r="K375" s="1799"/>
      <c r="L375" s="1799"/>
      <c r="M375" s="1799"/>
      <c r="N375" s="1799"/>
      <c r="O375" s="1799"/>
      <c r="P375" s="1799"/>
      <c r="Q375" s="1799"/>
      <c r="R375" s="1799"/>
      <c r="S375" s="1799"/>
      <c r="T375" s="1799"/>
      <c r="U375" s="1799"/>
      <c r="V375" s="1799"/>
      <c r="W375" s="1799"/>
      <c r="X375" s="1799"/>
      <c r="Y375" s="1799"/>
      <c r="Z375" s="1799"/>
    </row>
    <row r="376">
      <c r="A376" s="1799"/>
      <c r="B376" s="1799"/>
      <c r="C376" s="1799"/>
      <c r="D376" s="1812"/>
      <c r="E376" s="1799"/>
      <c r="F376" s="1813"/>
      <c r="G376" s="1814"/>
      <c r="H376" s="1799"/>
      <c r="I376" s="1799"/>
      <c r="J376" s="1799"/>
      <c r="K376" s="1799"/>
      <c r="L376" s="1799"/>
      <c r="M376" s="1799"/>
      <c r="N376" s="1799"/>
      <c r="O376" s="1799"/>
      <c r="P376" s="1799"/>
      <c r="Q376" s="1799"/>
      <c r="R376" s="1799"/>
      <c r="S376" s="1799"/>
      <c r="T376" s="1799"/>
      <c r="U376" s="1799"/>
      <c r="V376" s="1799"/>
      <c r="W376" s="1799"/>
      <c r="X376" s="1799"/>
      <c r="Y376" s="1799"/>
      <c r="Z376" s="1799"/>
    </row>
    <row r="377">
      <c r="A377" s="1799"/>
      <c r="B377" s="1799"/>
      <c r="C377" s="1799"/>
      <c r="D377" s="1812"/>
      <c r="E377" s="1799"/>
      <c r="F377" s="1813"/>
      <c r="G377" s="1814"/>
      <c r="H377" s="1799"/>
      <c r="I377" s="1799"/>
      <c r="J377" s="1799"/>
      <c r="K377" s="1799"/>
      <c r="L377" s="1799"/>
      <c r="M377" s="1799"/>
      <c r="N377" s="1799"/>
      <c r="O377" s="1799"/>
      <c r="P377" s="1799"/>
      <c r="Q377" s="1799"/>
      <c r="R377" s="1799"/>
      <c r="S377" s="1799"/>
      <c r="T377" s="1799"/>
      <c r="U377" s="1799"/>
      <c r="V377" s="1799"/>
      <c r="W377" s="1799"/>
      <c r="X377" s="1799"/>
      <c r="Y377" s="1799"/>
      <c r="Z377" s="1799"/>
    </row>
    <row r="378">
      <c r="A378" s="1799"/>
      <c r="B378" s="1799"/>
      <c r="C378" s="1799"/>
      <c r="D378" s="1812"/>
      <c r="E378" s="1799"/>
      <c r="F378" s="1813"/>
      <c r="G378" s="1814"/>
      <c r="H378" s="1799"/>
      <c r="I378" s="1799"/>
      <c r="J378" s="1799"/>
      <c r="K378" s="1799"/>
      <c r="L378" s="1799"/>
      <c r="M378" s="1799"/>
      <c r="N378" s="1799"/>
      <c r="O378" s="1799"/>
      <c r="P378" s="1799"/>
      <c r="Q378" s="1799"/>
      <c r="R378" s="1799"/>
      <c r="S378" s="1799"/>
      <c r="T378" s="1799"/>
      <c r="U378" s="1799"/>
      <c r="V378" s="1799"/>
      <c r="W378" s="1799"/>
      <c r="X378" s="1799"/>
      <c r="Y378" s="1799"/>
      <c r="Z378" s="1799"/>
    </row>
    <row r="379">
      <c r="A379" s="1799"/>
      <c r="B379" s="1799"/>
      <c r="C379" s="1799"/>
      <c r="D379" s="1812"/>
      <c r="E379" s="1799"/>
      <c r="F379" s="1813"/>
      <c r="G379" s="1814"/>
      <c r="H379" s="1799"/>
      <c r="I379" s="1799"/>
      <c r="J379" s="1799"/>
      <c r="K379" s="1799"/>
      <c r="L379" s="1799"/>
      <c r="M379" s="1799"/>
      <c r="N379" s="1799"/>
      <c r="O379" s="1799"/>
      <c r="P379" s="1799"/>
      <c r="Q379" s="1799"/>
      <c r="R379" s="1799"/>
      <c r="S379" s="1799"/>
      <c r="T379" s="1799"/>
      <c r="U379" s="1799"/>
      <c r="V379" s="1799"/>
      <c r="W379" s="1799"/>
      <c r="X379" s="1799"/>
      <c r="Y379" s="1799"/>
      <c r="Z379" s="1799"/>
    </row>
    <row r="380">
      <c r="A380" s="1799"/>
      <c r="B380" s="1799"/>
      <c r="C380" s="1799"/>
      <c r="D380" s="1812"/>
      <c r="E380" s="1799"/>
      <c r="F380" s="1813"/>
      <c r="G380" s="1814"/>
      <c r="H380" s="1799"/>
      <c r="I380" s="1799"/>
      <c r="J380" s="1799"/>
      <c r="K380" s="1799"/>
      <c r="L380" s="1799"/>
      <c r="M380" s="1799"/>
      <c r="N380" s="1799"/>
      <c r="O380" s="1799"/>
      <c r="P380" s="1799"/>
      <c r="Q380" s="1799"/>
      <c r="R380" s="1799"/>
      <c r="S380" s="1799"/>
      <c r="T380" s="1799"/>
      <c r="U380" s="1799"/>
      <c r="V380" s="1799"/>
      <c r="W380" s="1799"/>
      <c r="X380" s="1799"/>
      <c r="Y380" s="1799"/>
      <c r="Z380" s="1799"/>
    </row>
    <row r="381">
      <c r="A381" s="1799"/>
      <c r="B381" s="1799"/>
      <c r="C381" s="1799"/>
      <c r="D381" s="1812"/>
      <c r="E381" s="1799"/>
      <c r="F381" s="1813"/>
      <c r="G381" s="1814"/>
      <c r="H381" s="1799"/>
      <c r="I381" s="1799"/>
      <c r="J381" s="1799"/>
      <c r="K381" s="1799"/>
      <c r="L381" s="1799"/>
      <c r="M381" s="1799"/>
      <c r="N381" s="1799"/>
      <c r="O381" s="1799"/>
      <c r="P381" s="1799"/>
      <c r="Q381" s="1799"/>
      <c r="R381" s="1799"/>
      <c r="S381" s="1799"/>
      <c r="T381" s="1799"/>
      <c r="U381" s="1799"/>
      <c r="V381" s="1799"/>
      <c r="W381" s="1799"/>
      <c r="X381" s="1799"/>
      <c r="Y381" s="1799"/>
      <c r="Z381" s="1799"/>
    </row>
    <row r="382">
      <c r="A382" s="1799"/>
      <c r="B382" s="1799"/>
      <c r="C382" s="1799"/>
      <c r="D382" s="1812"/>
      <c r="E382" s="1799"/>
      <c r="F382" s="1813"/>
      <c r="G382" s="1814"/>
      <c r="H382" s="1799"/>
      <c r="I382" s="1799"/>
      <c r="J382" s="1799"/>
      <c r="K382" s="1799"/>
      <c r="L382" s="1799"/>
      <c r="M382" s="1799"/>
      <c r="N382" s="1799"/>
      <c r="O382" s="1799"/>
      <c r="P382" s="1799"/>
      <c r="Q382" s="1799"/>
      <c r="R382" s="1799"/>
      <c r="S382" s="1799"/>
      <c r="T382" s="1799"/>
      <c r="U382" s="1799"/>
      <c r="V382" s="1799"/>
      <c r="W382" s="1799"/>
      <c r="X382" s="1799"/>
      <c r="Y382" s="1799"/>
      <c r="Z382" s="1799"/>
    </row>
    <row r="383">
      <c r="A383" s="1799"/>
      <c r="B383" s="1799"/>
      <c r="C383" s="1799"/>
      <c r="D383" s="1812"/>
      <c r="E383" s="1799"/>
      <c r="F383" s="1813"/>
      <c r="G383" s="1814"/>
      <c r="H383" s="1799"/>
      <c r="I383" s="1799"/>
      <c r="J383" s="1799"/>
      <c r="K383" s="1799"/>
      <c r="L383" s="1799"/>
      <c r="M383" s="1799"/>
      <c r="N383" s="1799"/>
      <c r="O383" s="1799"/>
      <c r="P383" s="1799"/>
      <c r="Q383" s="1799"/>
      <c r="R383" s="1799"/>
      <c r="S383" s="1799"/>
      <c r="T383" s="1799"/>
      <c r="U383" s="1799"/>
      <c r="V383" s="1799"/>
      <c r="W383" s="1799"/>
      <c r="X383" s="1799"/>
      <c r="Y383" s="1799"/>
      <c r="Z383" s="1799"/>
    </row>
    <row r="384">
      <c r="A384" s="1799"/>
      <c r="B384" s="1799"/>
      <c r="C384" s="1799"/>
      <c r="D384" s="1812"/>
      <c r="E384" s="1799"/>
      <c r="F384" s="1813"/>
      <c r="G384" s="1814"/>
      <c r="H384" s="1799"/>
      <c r="I384" s="1799"/>
      <c r="J384" s="1799"/>
      <c r="K384" s="1799"/>
      <c r="L384" s="1799"/>
      <c r="M384" s="1799"/>
      <c r="N384" s="1799"/>
      <c r="O384" s="1799"/>
      <c r="P384" s="1799"/>
      <c r="Q384" s="1799"/>
      <c r="R384" s="1799"/>
      <c r="S384" s="1799"/>
      <c r="T384" s="1799"/>
      <c r="U384" s="1799"/>
      <c r="V384" s="1799"/>
      <c r="W384" s="1799"/>
      <c r="X384" s="1799"/>
      <c r="Y384" s="1799"/>
      <c r="Z384" s="1799"/>
    </row>
    <row r="385">
      <c r="A385" s="1799"/>
      <c r="B385" s="1799"/>
      <c r="C385" s="1799"/>
      <c r="D385" s="1812"/>
      <c r="E385" s="1799"/>
      <c r="F385" s="1813"/>
      <c r="G385" s="1814"/>
      <c r="H385" s="1799"/>
      <c r="I385" s="1799"/>
      <c r="J385" s="1799"/>
      <c r="K385" s="1799"/>
      <c r="L385" s="1799"/>
      <c r="M385" s="1799"/>
      <c r="N385" s="1799"/>
      <c r="O385" s="1799"/>
      <c r="P385" s="1799"/>
      <c r="Q385" s="1799"/>
      <c r="R385" s="1799"/>
      <c r="S385" s="1799"/>
      <c r="T385" s="1799"/>
      <c r="U385" s="1799"/>
      <c r="V385" s="1799"/>
      <c r="W385" s="1799"/>
      <c r="X385" s="1799"/>
      <c r="Y385" s="1799"/>
      <c r="Z385" s="1799"/>
    </row>
    <row r="386">
      <c r="A386" s="1799"/>
      <c r="B386" s="1799"/>
      <c r="C386" s="1799"/>
      <c r="D386" s="1812"/>
      <c r="E386" s="1799"/>
      <c r="F386" s="1813"/>
      <c r="G386" s="1814"/>
      <c r="H386" s="1799"/>
      <c r="I386" s="1799"/>
      <c r="J386" s="1799"/>
      <c r="K386" s="1799"/>
      <c r="L386" s="1799"/>
      <c r="M386" s="1799"/>
      <c r="N386" s="1799"/>
      <c r="O386" s="1799"/>
      <c r="P386" s="1799"/>
      <c r="Q386" s="1799"/>
      <c r="R386" s="1799"/>
      <c r="S386" s="1799"/>
      <c r="T386" s="1799"/>
      <c r="U386" s="1799"/>
      <c r="V386" s="1799"/>
      <c r="W386" s="1799"/>
      <c r="X386" s="1799"/>
      <c r="Y386" s="1799"/>
      <c r="Z386" s="1799"/>
    </row>
    <row r="387">
      <c r="A387" s="1799"/>
      <c r="B387" s="1799"/>
      <c r="C387" s="1799"/>
      <c r="D387" s="1812"/>
      <c r="E387" s="1799"/>
      <c r="F387" s="1813"/>
      <c r="G387" s="1814"/>
      <c r="H387" s="1799"/>
      <c r="I387" s="1799"/>
      <c r="J387" s="1799"/>
      <c r="K387" s="1799"/>
      <c r="L387" s="1799"/>
      <c r="M387" s="1799"/>
      <c r="N387" s="1799"/>
      <c r="O387" s="1799"/>
      <c r="P387" s="1799"/>
      <c r="Q387" s="1799"/>
      <c r="R387" s="1799"/>
      <c r="S387" s="1799"/>
      <c r="T387" s="1799"/>
      <c r="U387" s="1799"/>
      <c r="V387" s="1799"/>
      <c r="W387" s="1799"/>
      <c r="X387" s="1799"/>
      <c r="Y387" s="1799"/>
      <c r="Z387" s="1799"/>
    </row>
    <row r="388">
      <c r="A388" s="1799"/>
      <c r="B388" s="1799"/>
      <c r="C388" s="1799"/>
      <c r="D388" s="1812"/>
      <c r="E388" s="1799"/>
      <c r="F388" s="1813"/>
      <c r="G388" s="1814"/>
      <c r="H388" s="1799"/>
      <c r="I388" s="1799"/>
      <c r="J388" s="1799"/>
      <c r="K388" s="1799"/>
      <c r="L388" s="1799"/>
      <c r="M388" s="1799"/>
      <c r="N388" s="1799"/>
      <c r="O388" s="1799"/>
      <c r="P388" s="1799"/>
      <c r="Q388" s="1799"/>
      <c r="R388" s="1799"/>
      <c r="S388" s="1799"/>
      <c r="T388" s="1799"/>
      <c r="U388" s="1799"/>
      <c r="V388" s="1799"/>
      <c r="W388" s="1799"/>
      <c r="X388" s="1799"/>
      <c r="Y388" s="1799"/>
      <c r="Z388" s="1799"/>
    </row>
    <row r="389">
      <c r="A389" s="1799"/>
      <c r="B389" s="1799"/>
      <c r="C389" s="1799"/>
      <c r="D389" s="1812"/>
      <c r="E389" s="1799"/>
      <c r="F389" s="1813"/>
      <c r="G389" s="1814"/>
      <c r="H389" s="1799"/>
      <c r="I389" s="1799"/>
      <c r="J389" s="1799"/>
      <c r="K389" s="1799"/>
      <c r="L389" s="1799"/>
      <c r="M389" s="1799"/>
      <c r="N389" s="1799"/>
      <c r="O389" s="1799"/>
      <c r="P389" s="1799"/>
      <c r="Q389" s="1799"/>
      <c r="R389" s="1799"/>
      <c r="S389" s="1799"/>
      <c r="T389" s="1799"/>
      <c r="U389" s="1799"/>
      <c r="V389" s="1799"/>
      <c r="W389" s="1799"/>
      <c r="X389" s="1799"/>
      <c r="Y389" s="1799"/>
      <c r="Z389" s="1799"/>
    </row>
    <row r="390">
      <c r="A390" s="1799"/>
      <c r="B390" s="1799"/>
      <c r="C390" s="1799"/>
      <c r="D390" s="1812"/>
      <c r="E390" s="1799"/>
      <c r="F390" s="1813"/>
      <c r="G390" s="1814"/>
      <c r="H390" s="1799"/>
      <c r="I390" s="1799"/>
      <c r="J390" s="1799"/>
      <c r="K390" s="1799"/>
      <c r="L390" s="1799"/>
      <c r="M390" s="1799"/>
      <c r="N390" s="1799"/>
      <c r="O390" s="1799"/>
      <c r="P390" s="1799"/>
      <c r="Q390" s="1799"/>
      <c r="R390" s="1799"/>
      <c r="S390" s="1799"/>
      <c r="T390" s="1799"/>
      <c r="U390" s="1799"/>
      <c r="V390" s="1799"/>
      <c r="W390" s="1799"/>
      <c r="X390" s="1799"/>
      <c r="Y390" s="1799"/>
      <c r="Z390" s="1799"/>
    </row>
    <row r="391">
      <c r="A391" s="1799"/>
      <c r="B391" s="1799"/>
      <c r="C391" s="1799"/>
      <c r="D391" s="1812"/>
      <c r="E391" s="1799"/>
      <c r="F391" s="1813"/>
      <c r="G391" s="1814"/>
      <c r="H391" s="1799"/>
      <c r="I391" s="1799"/>
      <c r="J391" s="1799"/>
      <c r="K391" s="1799"/>
      <c r="L391" s="1799"/>
      <c r="M391" s="1799"/>
      <c r="N391" s="1799"/>
      <c r="O391" s="1799"/>
      <c r="P391" s="1799"/>
      <c r="Q391" s="1799"/>
      <c r="R391" s="1799"/>
      <c r="S391" s="1799"/>
      <c r="T391" s="1799"/>
      <c r="U391" s="1799"/>
      <c r="V391" s="1799"/>
      <c r="W391" s="1799"/>
      <c r="X391" s="1799"/>
      <c r="Y391" s="1799"/>
      <c r="Z391" s="1799"/>
    </row>
    <row r="392">
      <c r="A392" s="1799"/>
      <c r="B392" s="1799"/>
      <c r="C392" s="1799"/>
      <c r="D392" s="1812"/>
      <c r="E392" s="1799"/>
      <c r="F392" s="1813"/>
      <c r="G392" s="1814"/>
      <c r="H392" s="1799"/>
      <c r="I392" s="1799"/>
      <c r="J392" s="1799"/>
      <c r="K392" s="1799"/>
      <c r="L392" s="1799"/>
      <c r="M392" s="1799"/>
      <c r="N392" s="1799"/>
      <c r="O392" s="1799"/>
      <c r="P392" s="1799"/>
      <c r="Q392" s="1799"/>
      <c r="R392" s="1799"/>
      <c r="S392" s="1799"/>
      <c r="T392" s="1799"/>
      <c r="U392" s="1799"/>
      <c r="V392" s="1799"/>
      <c r="W392" s="1799"/>
      <c r="X392" s="1799"/>
      <c r="Y392" s="1799"/>
      <c r="Z392" s="1799"/>
    </row>
    <row r="393">
      <c r="A393" s="1799"/>
      <c r="B393" s="1799"/>
      <c r="C393" s="1799"/>
      <c r="D393" s="1812"/>
      <c r="E393" s="1799"/>
      <c r="F393" s="1813"/>
      <c r="G393" s="1814"/>
      <c r="H393" s="1799"/>
      <c r="I393" s="1799"/>
      <c r="J393" s="1799"/>
      <c r="K393" s="1799"/>
      <c r="L393" s="1799"/>
      <c r="M393" s="1799"/>
      <c r="N393" s="1799"/>
      <c r="O393" s="1799"/>
      <c r="P393" s="1799"/>
      <c r="Q393" s="1799"/>
      <c r="R393" s="1799"/>
      <c r="S393" s="1799"/>
      <c r="T393" s="1799"/>
      <c r="U393" s="1799"/>
      <c r="V393" s="1799"/>
      <c r="W393" s="1799"/>
      <c r="X393" s="1799"/>
      <c r="Y393" s="1799"/>
      <c r="Z393" s="1799"/>
    </row>
    <row r="394">
      <c r="A394" s="1799"/>
      <c r="B394" s="1799"/>
      <c r="C394" s="1799"/>
      <c r="D394" s="1812"/>
      <c r="E394" s="1799"/>
      <c r="F394" s="1813"/>
      <c r="G394" s="1814"/>
      <c r="H394" s="1799"/>
      <c r="I394" s="1799"/>
      <c r="J394" s="1799"/>
      <c r="K394" s="1799"/>
      <c r="L394" s="1799"/>
      <c r="M394" s="1799"/>
      <c r="N394" s="1799"/>
      <c r="O394" s="1799"/>
      <c r="P394" s="1799"/>
      <c r="Q394" s="1799"/>
      <c r="R394" s="1799"/>
      <c r="S394" s="1799"/>
      <c r="T394" s="1799"/>
      <c r="U394" s="1799"/>
      <c r="V394" s="1799"/>
      <c r="W394" s="1799"/>
      <c r="X394" s="1799"/>
      <c r="Y394" s="1799"/>
      <c r="Z394" s="1799"/>
    </row>
    <row r="395">
      <c r="A395" s="1799"/>
      <c r="B395" s="1799"/>
      <c r="C395" s="1799"/>
      <c r="D395" s="1812"/>
      <c r="E395" s="1799"/>
      <c r="F395" s="1813"/>
      <c r="G395" s="1814"/>
      <c r="H395" s="1799"/>
      <c r="I395" s="1799"/>
      <c r="J395" s="1799"/>
      <c r="K395" s="1799"/>
      <c r="L395" s="1799"/>
      <c r="M395" s="1799"/>
      <c r="N395" s="1799"/>
      <c r="O395" s="1799"/>
      <c r="P395" s="1799"/>
      <c r="Q395" s="1799"/>
      <c r="R395" s="1799"/>
      <c r="S395" s="1799"/>
      <c r="T395" s="1799"/>
      <c r="U395" s="1799"/>
      <c r="V395" s="1799"/>
      <c r="W395" s="1799"/>
      <c r="X395" s="1799"/>
      <c r="Y395" s="1799"/>
      <c r="Z395" s="1799"/>
    </row>
    <row r="396">
      <c r="A396" s="1799"/>
      <c r="B396" s="1799"/>
      <c r="C396" s="1799"/>
      <c r="D396" s="1812"/>
      <c r="E396" s="1799"/>
      <c r="F396" s="1813"/>
      <c r="G396" s="1814"/>
      <c r="H396" s="1799"/>
      <c r="I396" s="1799"/>
      <c r="J396" s="1799"/>
      <c r="K396" s="1799"/>
      <c r="L396" s="1799"/>
      <c r="M396" s="1799"/>
      <c r="N396" s="1799"/>
      <c r="O396" s="1799"/>
      <c r="P396" s="1799"/>
      <c r="Q396" s="1799"/>
      <c r="R396" s="1799"/>
      <c r="S396" s="1799"/>
      <c r="T396" s="1799"/>
      <c r="U396" s="1799"/>
      <c r="V396" s="1799"/>
      <c r="W396" s="1799"/>
      <c r="X396" s="1799"/>
      <c r="Y396" s="1799"/>
      <c r="Z396" s="1799"/>
    </row>
    <row r="397">
      <c r="A397" s="1799"/>
      <c r="B397" s="1799"/>
      <c r="C397" s="1799"/>
      <c r="D397" s="1812"/>
      <c r="E397" s="1799"/>
      <c r="F397" s="1813"/>
      <c r="G397" s="1814"/>
      <c r="H397" s="1799"/>
      <c r="I397" s="1799"/>
      <c r="J397" s="1799"/>
      <c r="K397" s="1799"/>
      <c r="L397" s="1799"/>
      <c r="M397" s="1799"/>
      <c r="N397" s="1799"/>
      <c r="O397" s="1799"/>
      <c r="P397" s="1799"/>
      <c r="Q397" s="1799"/>
      <c r="R397" s="1799"/>
      <c r="S397" s="1799"/>
      <c r="T397" s="1799"/>
      <c r="U397" s="1799"/>
      <c r="V397" s="1799"/>
      <c r="W397" s="1799"/>
      <c r="X397" s="1799"/>
      <c r="Y397" s="1799"/>
      <c r="Z397" s="1799"/>
    </row>
    <row r="398">
      <c r="A398" s="1799"/>
      <c r="B398" s="1799"/>
      <c r="C398" s="1799"/>
      <c r="D398" s="1812"/>
      <c r="E398" s="1799"/>
      <c r="F398" s="1813"/>
      <c r="G398" s="1814"/>
      <c r="H398" s="1799"/>
      <c r="I398" s="1799"/>
      <c r="J398" s="1799"/>
      <c r="K398" s="1799"/>
      <c r="L398" s="1799"/>
      <c r="M398" s="1799"/>
      <c r="N398" s="1799"/>
      <c r="O398" s="1799"/>
      <c r="P398" s="1799"/>
      <c r="Q398" s="1799"/>
      <c r="R398" s="1799"/>
      <c r="S398" s="1799"/>
      <c r="T398" s="1799"/>
      <c r="U398" s="1799"/>
      <c r="V398" s="1799"/>
      <c r="W398" s="1799"/>
      <c r="X398" s="1799"/>
      <c r="Y398" s="1799"/>
      <c r="Z398" s="1799"/>
    </row>
    <row r="399">
      <c r="A399" s="1799"/>
      <c r="B399" s="1799"/>
      <c r="C399" s="1799"/>
      <c r="D399" s="1812"/>
      <c r="E399" s="1799"/>
      <c r="F399" s="1813"/>
      <c r="G399" s="1814"/>
      <c r="H399" s="1799"/>
      <c r="I399" s="1799"/>
      <c r="J399" s="1799"/>
      <c r="K399" s="1799"/>
      <c r="L399" s="1799"/>
      <c r="M399" s="1799"/>
      <c r="N399" s="1799"/>
      <c r="O399" s="1799"/>
      <c r="P399" s="1799"/>
      <c r="Q399" s="1799"/>
      <c r="R399" s="1799"/>
      <c r="S399" s="1799"/>
      <c r="T399" s="1799"/>
      <c r="U399" s="1799"/>
      <c r="V399" s="1799"/>
      <c r="W399" s="1799"/>
      <c r="X399" s="1799"/>
      <c r="Y399" s="1799"/>
      <c r="Z399" s="1799"/>
    </row>
    <row r="400">
      <c r="A400" s="1799"/>
      <c r="B400" s="1799"/>
      <c r="C400" s="1799"/>
      <c r="D400" s="1812"/>
      <c r="E400" s="1799"/>
      <c r="F400" s="1813"/>
      <c r="G400" s="1814"/>
      <c r="H400" s="1799"/>
      <c r="I400" s="1799"/>
      <c r="J400" s="1799"/>
      <c r="K400" s="1799"/>
      <c r="L400" s="1799"/>
      <c r="M400" s="1799"/>
      <c r="N400" s="1799"/>
      <c r="O400" s="1799"/>
      <c r="P400" s="1799"/>
      <c r="Q400" s="1799"/>
      <c r="R400" s="1799"/>
      <c r="S400" s="1799"/>
      <c r="T400" s="1799"/>
      <c r="U400" s="1799"/>
      <c r="V400" s="1799"/>
      <c r="W400" s="1799"/>
      <c r="X400" s="1799"/>
      <c r="Y400" s="1799"/>
      <c r="Z400" s="1799"/>
    </row>
    <row r="401">
      <c r="A401" s="1799"/>
      <c r="B401" s="1799"/>
      <c r="C401" s="1799"/>
      <c r="D401" s="1812"/>
      <c r="E401" s="1799"/>
      <c r="F401" s="1813"/>
      <c r="G401" s="1814"/>
      <c r="H401" s="1799"/>
      <c r="I401" s="1799"/>
      <c r="J401" s="1799"/>
      <c r="K401" s="1799"/>
      <c r="L401" s="1799"/>
      <c r="M401" s="1799"/>
      <c r="N401" s="1799"/>
      <c r="O401" s="1799"/>
      <c r="P401" s="1799"/>
      <c r="Q401" s="1799"/>
      <c r="R401" s="1799"/>
      <c r="S401" s="1799"/>
      <c r="T401" s="1799"/>
      <c r="U401" s="1799"/>
      <c r="V401" s="1799"/>
      <c r="W401" s="1799"/>
      <c r="X401" s="1799"/>
      <c r="Y401" s="1799"/>
      <c r="Z401" s="1799"/>
    </row>
    <row r="402">
      <c r="A402" s="1799"/>
      <c r="B402" s="1799"/>
      <c r="C402" s="1799"/>
      <c r="D402" s="1812"/>
      <c r="E402" s="1799"/>
      <c r="F402" s="1813"/>
      <c r="G402" s="1814"/>
      <c r="H402" s="1799"/>
      <c r="I402" s="1799"/>
      <c r="J402" s="1799"/>
      <c r="K402" s="1799"/>
      <c r="L402" s="1799"/>
      <c r="M402" s="1799"/>
      <c r="N402" s="1799"/>
      <c r="O402" s="1799"/>
      <c r="P402" s="1799"/>
      <c r="Q402" s="1799"/>
      <c r="R402" s="1799"/>
      <c r="S402" s="1799"/>
      <c r="T402" s="1799"/>
      <c r="U402" s="1799"/>
      <c r="V402" s="1799"/>
      <c r="W402" s="1799"/>
      <c r="X402" s="1799"/>
      <c r="Y402" s="1799"/>
      <c r="Z402" s="1799"/>
    </row>
    <row r="403">
      <c r="A403" s="1799"/>
      <c r="B403" s="1799"/>
      <c r="C403" s="1799"/>
      <c r="D403" s="1812"/>
      <c r="E403" s="1799"/>
      <c r="F403" s="1813"/>
      <c r="G403" s="1814"/>
      <c r="H403" s="1799"/>
      <c r="I403" s="1799"/>
      <c r="J403" s="1799"/>
      <c r="K403" s="1799"/>
      <c r="L403" s="1799"/>
      <c r="M403" s="1799"/>
      <c r="N403" s="1799"/>
      <c r="O403" s="1799"/>
      <c r="P403" s="1799"/>
      <c r="Q403" s="1799"/>
      <c r="R403" s="1799"/>
      <c r="S403" s="1799"/>
      <c r="T403" s="1799"/>
      <c r="U403" s="1799"/>
      <c r="V403" s="1799"/>
      <c r="W403" s="1799"/>
      <c r="X403" s="1799"/>
      <c r="Y403" s="1799"/>
      <c r="Z403" s="1799"/>
    </row>
    <row r="404">
      <c r="A404" s="1799"/>
      <c r="B404" s="1799"/>
      <c r="C404" s="1799"/>
      <c r="D404" s="1812"/>
      <c r="E404" s="1799"/>
      <c r="F404" s="1813"/>
      <c r="G404" s="1814"/>
      <c r="H404" s="1799"/>
      <c r="I404" s="1799"/>
      <c r="J404" s="1799"/>
      <c r="K404" s="1799"/>
      <c r="L404" s="1799"/>
      <c r="M404" s="1799"/>
      <c r="N404" s="1799"/>
      <c r="O404" s="1799"/>
      <c r="P404" s="1799"/>
      <c r="Q404" s="1799"/>
      <c r="R404" s="1799"/>
      <c r="S404" s="1799"/>
      <c r="T404" s="1799"/>
      <c r="U404" s="1799"/>
      <c r="V404" s="1799"/>
      <c r="W404" s="1799"/>
      <c r="X404" s="1799"/>
      <c r="Y404" s="1799"/>
      <c r="Z404" s="1799"/>
    </row>
    <row r="405">
      <c r="A405" s="1799"/>
      <c r="B405" s="1799"/>
      <c r="C405" s="1799"/>
      <c r="D405" s="1812"/>
      <c r="E405" s="1799"/>
      <c r="F405" s="1813"/>
      <c r="G405" s="1814"/>
      <c r="H405" s="1799"/>
      <c r="I405" s="1799"/>
      <c r="J405" s="1799"/>
      <c r="K405" s="1799"/>
      <c r="L405" s="1799"/>
      <c r="M405" s="1799"/>
      <c r="N405" s="1799"/>
      <c r="O405" s="1799"/>
      <c r="P405" s="1799"/>
      <c r="Q405" s="1799"/>
      <c r="R405" s="1799"/>
      <c r="S405" s="1799"/>
      <c r="T405" s="1799"/>
      <c r="U405" s="1799"/>
      <c r="V405" s="1799"/>
      <c r="W405" s="1799"/>
      <c r="X405" s="1799"/>
      <c r="Y405" s="1799"/>
      <c r="Z405" s="1799"/>
    </row>
    <row r="406">
      <c r="A406" s="1799"/>
      <c r="B406" s="1799"/>
      <c r="C406" s="1799"/>
      <c r="D406" s="1812"/>
      <c r="E406" s="1799"/>
      <c r="F406" s="1813"/>
      <c r="G406" s="1814"/>
      <c r="H406" s="1799"/>
      <c r="I406" s="1799"/>
      <c r="J406" s="1799"/>
      <c r="K406" s="1799"/>
      <c r="L406" s="1799"/>
      <c r="M406" s="1799"/>
      <c r="N406" s="1799"/>
      <c r="O406" s="1799"/>
      <c r="P406" s="1799"/>
      <c r="Q406" s="1799"/>
      <c r="R406" s="1799"/>
      <c r="S406" s="1799"/>
      <c r="T406" s="1799"/>
      <c r="U406" s="1799"/>
      <c r="V406" s="1799"/>
      <c r="W406" s="1799"/>
      <c r="X406" s="1799"/>
      <c r="Y406" s="1799"/>
      <c r="Z406" s="1799"/>
    </row>
    <row r="407">
      <c r="A407" s="1799"/>
      <c r="B407" s="1799"/>
      <c r="C407" s="1799"/>
      <c r="D407" s="1812"/>
      <c r="E407" s="1799"/>
      <c r="F407" s="1813"/>
      <c r="G407" s="1814"/>
      <c r="H407" s="1799"/>
      <c r="I407" s="1799"/>
      <c r="J407" s="1799"/>
      <c r="K407" s="1799"/>
      <c r="L407" s="1799"/>
      <c r="M407" s="1799"/>
      <c r="N407" s="1799"/>
      <c r="O407" s="1799"/>
      <c r="P407" s="1799"/>
      <c r="Q407" s="1799"/>
      <c r="R407" s="1799"/>
      <c r="S407" s="1799"/>
      <c r="T407" s="1799"/>
      <c r="U407" s="1799"/>
      <c r="V407" s="1799"/>
      <c r="W407" s="1799"/>
      <c r="X407" s="1799"/>
      <c r="Y407" s="1799"/>
      <c r="Z407" s="1799"/>
    </row>
    <row r="408">
      <c r="A408" s="1799"/>
      <c r="B408" s="1799"/>
      <c r="C408" s="1799"/>
      <c r="D408" s="1812"/>
      <c r="E408" s="1799"/>
      <c r="F408" s="1813"/>
      <c r="G408" s="1814"/>
      <c r="H408" s="1799"/>
      <c r="I408" s="1799"/>
      <c r="J408" s="1799"/>
      <c r="K408" s="1799"/>
      <c r="L408" s="1799"/>
      <c r="M408" s="1799"/>
      <c r="N408" s="1799"/>
      <c r="O408" s="1799"/>
      <c r="P408" s="1799"/>
      <c r="Q408" s="1799"/>
      <c r="R408" s="1799"/>
      <c r="S408" s="1799"/>
      <c r="T408" s="1799"/>
      <c r="U408" s="1799"/>
      <c r="V408" s="1799"/>
      <c r="W408" s="1799"/>
      <c r="X408" s="1799"/>
      <c r="Y408" s="1799"/>
      <c r="Z408" s="1799"/>
    </row>
    <row r="409">
      <c r="A409" s="1799"/>
      <c r="B409" s="1799"/>
      <c r="C409" s="1799"/>
      <c r="D409" s="1812"/>
      <c r="E409" s="1799"/>
      <c r="F409" s="1813"/>
      <c r="G409" s="1814"/>
      <c r="H409" s="1799"/>
      <c r="I409" s="1799"/>
      <c r="J409" s="1799"/>
      <c r="K409" s="1799"/>
      <c r="L409" s="1799"/>
      <c r="M409" s="1799"/>
      <c r="N409" s="1799"/>
      <c r="O409" s="1799"/>
      <c r="P409" s="1799"/>
      <c r="Q409" s="1799"/>
      <c r="R409" s="1799"/>
      <c r="S409" s="1799"/>
      <c r="T409" s="1799"/>
      <c r="U409" s="1799"/>
      <c r="V409" s="1799"/>
      <c r="W409" s="1799"/>
      <c r="X409" s="1799"/>
      <c r="Y409" s="1799"/>
      <c r="Z409" s="1799"/>
    </row>
    <row r="410">
      <c r="A410" s="1799"/>
      <c r="B410" s="1799"/>
      <c r="C410" s="1799"/>
      <c r="D410" s="1812"/>
      <c r="E410" s="1799"/>
      <c r="F410" s="1813"/>
      <c r="G410" s="1814"/>
      <c r="H410" s="1799"/>
      <c r="I410" s="1799"/>
      <c r="J410" s="1799"/>
      <c r="K410" s="1799"/>
      <c r="L410" s="1799"/>
      <c r="M410" s="1799"/>
      <c r="N410" s="1799"/>
      <c r="O410" s="1799"/>
      <c r="P410" s="1799"/>
      <c r="Q410" s="1799"/>
      <c r="R410" s="1799"/>
      <c r="S410" s="1799"/>
      <c r="T410" s="1799"/>
      <c r="U410" s="1799"/>
      <c r="V410" s="1799"/>
      <c r="W410" s="1799"/>
      <c r="X410" s="1799"/>
      <c r="Y410" s="1799"/>
      <c r="Z410" s="1799"/>
    </row>
    <row r="411">
      <c r="A411" s="1799"/>
      <c r="B411" s="1799"/>
      <c r="C411" s="1799"/>
      <c r="D411" s="1812"/>
      <c r="E411" s="1799"/>
      <c r="F411" s="1813"/>
      <c r="G411" s="1814"/>
      <c r="H411" s="1799"/>
      <c r="I411" s="1799"/>
      <c r="J411" s="1799"/>
      <c r="K411" s="1799"/>
      <c r="L411" s="1799"/>
      <c r="M411" s="1799"/>
      <c r="N411" s="1799"/>
      <c r="O411" s="1799"/>
      <c r="P411" s="1799"/>
      <c r="Q411" s="1799"/>
      <c r="R411" s="1799"/>
      <c r="S411" s="1799"/>
      <c r="T411" s="1799"/>
      <c r="U411" s="1799"/>
      <c r="V411" s="1799"/>
      <c r="W411" s="1799"/>
      <c r="X411" s="1799"/>
      <c r="Y411" s="1799"/>
      <c r="Z411" s="1799"/>
    </row>
    <row r="412">
      <c r="A412" s="1799"/>
      <c r="B412" s="1799"/>
      <c r="C412" s="1799"/>
      <c r="D412" s="1812"/>
      <c r="E412" s="1799"/>
      <c r="F412" s="1813"/>
      <c r="G412" s="1814"/>
      <c r="H412" s="1799"/>
      <c r="I412" s="1799"/>
      <c r="J412" s="1799"/>
      <c r="K412" s="1799"/>
      <c r="L412" s="1799"/>
      <c r="M412" s="1799"/>
      <c r="N412" s="1799"/>
      <c r="O412" s="1799"/>
      <c r="P412" s="1799"/>
      <c r="Q412" s="1799"/>
      <c r="R412" s="1799"/>
      <c r="S412" s="1799"/>
      <c r="T412" s="1799"/>
      <c r="U412" s="1799"/>
      <c r="V412" s="1799"/>
      <c r="W412" s="1799"/>
      <c r="X412" s="1799"/>
      <c r="Y412" s="1799"/>
      <c r="Z412" s="1799"/>
    </row>
    <row r="413">
      <c r="A413" s="1799"/>
      <c r="B413" s="1799"/>
      <c r="C413" s="1799"/>
      <c r="D413" s="1812"/>
      <c r="E413" s="1799"/>
      <c r="F413" s="1813"/>
      <c r="G413" s="1814"/>
      <c r="H413" s="1799"/>
      <c r="I413" s="1799"/>
      <c r="J413" s="1799"/>
      <c r="K413" s="1799"/>
      <c r="L413" s="1799"/>
      <c r="M413" s="1799"/>
      <c r="N413" s="1799"/>
      <c r="O413" s="1799"/>
      <c r="P413" s="1799"/>
      <c r="Q413" s="1799"/>
      <c r="R413" s="1799"/>
      <c r="S413" s="1799"/>
      <c r="T413" s="1799"/>
      <c r="U413" s="1799"/>
      <c r="V413" s="1799"/>
      <c r="W413" s="1799"/>
      <c r="X413" s="1799"/>
      <c r="Y413" s="1799"/>
      <c r="Z413" s="1799"/>
    </row>
    <row r="414">
      <c r="A414" s="1799"/>
      <c r="B414" s="1799"/>
      <c r="C414" s="1799"/>
      <c r="D414" s="1812"/>
      <c r="E414" s="1799"/>
      <c r="F414" s="1813"/>
      <c r="G414" s="1814"/>
      <c r="H414" s="1799"/>
      <c r="I414" s="1799"/>
      <c r="J414" s="1799"/>
      <c r="K414" s="1799"/>
      <c r="L414" s="1799"/>
      <c r="M414" s="1799"/>
      <c r="N414" s="1799"/>
      <c r="O414" s="1799"/>
      <c r="P414" s="1799"/>
      <c r="Q414" s="1799"/>
      <c r="R414" s="1799"/>
      <c r="S414" s="1799"/>
      <c r="T414" s="1799"/>
      <c r="U414" s="1799"/>
      <c r="V414" s="1799"/>
      <c r="W414" s="1799"/>
      <c r="X414" s="1799"/>
      <c r="Y414" s="1799"/>
      <c r="Z414" s="1799"/>
    </row>
    <row r="415">
      <c r="A415" s="1799"/>
      <c r="B415" s="1799"/>
      <c r="C415" s="1799"/>
      <c r="D415" s="1812"/>
      <c r="E415" s="1799"/>
      <c r="F415" s="1813"/>
      <c r="G415" s="1814"/>
      <c r="H415" s="1799"/>
      <c r="I415" s="1799"/>
      <c r="J415" s="1799"/>
      <c r="K415" s="1799"/>
      <c r="L415" s="1799"/>
      <c r="M415" s="1799"/>
      <c r="N415" s="1799"/>
      <c r="O415" s="1799"/>
      <c r="P415" s="1799"/>
      <c r="Q415" s="1799"/>
      <c r="R415" s="1799"/>
      <c r="S415" s="1799"/>
      <c r="T415" s="1799"/>
      <c r="U415" s="1799"/>
      <c r="V415" s="1799"/>
      <c r="W415" s="1799"/>
      <c r="X415" s="1799"/>
      <c r="Y415" s="1799"/>
      <c r="Z415" s="1799"/>
    </row>
    <row r="416">
      <c r="A416" s="1799"/>
      <c r="B416" s="1799"/>
      <c r="C416" s="1799"/>
      <c r="D416" s="1812"/>
      <c r="E416" s="1799"/>
      <c r="F416" s="1813"/>
      <c r="G416" s="1814"/>
      <c r="H416" s="1799"/>
      <c r="I416" s="1799"/>
      <c r="J416" s="1799"/>
      <c r="K416" s="1799"/>
      <c r="L416" s="1799"/>
      <c r="M416" s="1799"/>
      <c r="N416" s="1799"/>
      <c r="O416" s="1799"/>
      <c r="P416" s="1799"/>
      <c r="Q416" s="1799"/>
      <c r="R416" s="1799"/>
      <c r="S416" s="1799"/>
      <c r="T416" s="1799"/>
      <c r="U416" s="1799"/>
      <c r="V416" s="1799"/>
      <c r="W416" s="1799"/>
      <c r="X416" s="1799"/>
      <c r="Y416" s="1799"/>
      <c r="Z416" s="1799"/>
    </row>
    <row r="417">
      <c r="A417" s="1799"/>
      <c r="B417" s="1799"/>
      <c r="C417" s="1799"/>
      <c r="D417" s="1812"/>
      <c r="E417" s="1799"/>
      <c r="F417" s="1813"/>
      <c r="G417" s="1814"/>
      <c r="H417" s="1799"/>
      <c r="I417" s="1799"/>
      <c r="J417" s="1799"/>
      <c r="K417" s="1799"/>
      <c r="L417" s="1799"/>
      <c r="M417" s="1799"/>
      <c r="N417" s="1799"/>
      <c r="O417" s="1799"/>
      <c r="P417" s="1799"/>
      <c r="Q417" s="1799"/>
      <c r="R417" s="1799"/>
      <c r="S417" s="1799"/>
      <c r="T417" s="1799"/>
      <c r="U417" s="1799"/>
      <c r="V417" s="1799"/>
      <c r="W417" s="1799"/>
      <c r="X417" s="1799"/>
      <c r="Y417" s="1799"/>
      <c r="Z417" s="1799"/>
    </row>
    <row r="418">
      <c r="A418" s="1799"/>
      <c r="B418" s="1799"/>
      <c r="C418" s="1799"/>
      <c r="D418" s="1812"/>
      <c r="E418" s="1799"/>
      <c r="F418" s="1813"/>
      <c r="G418" s="1814"/>
      <c r="H418" s="1799"/>
      <c r="I418" s="1799"/>
      <c r="J418" s="1799"/>
      <c r="K418" s="1799"/>
      <c r="L418" s="1799"/>
      <c r="M418" s="1799"/>
      <c r="N418" s="1799"/>
      <c r="O418" s="1799"/>
      <c r="P418" s="1799"/>
      <c r="Q418" s="1799"/>
      <c r="R418" s="1799"/>
      <c r="S418" s="1799"/>
      <c r="T418" s="1799"/>
      <c r="U418" s="1799"/>
      <c r="V418" s="1799"/>
      <c r="W418" s="1799"/>
      <c r="X418" s="1799"/>
      <c r="Y418" s="1799"/>
      <c r="Z418" s="1799"/>
    </row>
    <row r="419">
      <c r="A419" s="1799"/>
      <c r="B419" s="1799"/>
      <c r="C419" s="1799"/>
      <c r="D419" s="1812"/>
      <c r="E419" s="1799"/>
      <c r="F419" s="1813"/>
      <c r="G419" s="1814"/>
      <c r="H419" s="1799"/>
      <c r="I419" s="1799"/>
      <c r="J419" s="1799"/>
      <c r="K419" s="1799"/>
      <c r="L419" s="1799"/>
      <c r="M419" s="1799"/>
      <c r="N419" s="1799"/>
      <c r="O419" s="1799"/>
      <c r="P419" s="1799"/>
      <c r="Q419" s="1799"/>
      <c r="R419" s="1799"/>
      <c r="S419" s="1799"/>
      <c r="T419" s="1799"/>
      <c r="U419" s="1799"/>
      <c r="V419" s="1799"/>
      <c r="W419" s="1799"/>
      <c r="X419" s="1799"/>
      <c r="Y419" s="1799"/>
      <c r="Z419" s="1799"/>
    </row>
    <row r="420">
      <c r="A420" s="1799"/>
      <c r="B420" s="1799"/>
      <c r="C420" s="1799"/>
      <c r="D420" s="1812"/>
      <c r="E420" s="1799"/>
      <c r="F420" s="1813"/>
      <c r="G420" s="1814"/>
      <c r="H420" s="1799"/>
      <c r="I420" s="1799"/>
      <c r="J420" s="1799"/>
      <c r="K420" s="1799"/>
      <c r="L420" s="1799"/>
      <c r="M420" s="1799"/>
      <c r="N420" s="1799"/>
      <c r="O420" s="1799"/>
      <c r="P420" s="1799"/>
      <c r="Q420" s="1799"/>
      <c r="R420" s="1799"/>
      <c r="S420" s="1799"/>
      <c r="T420" s="1799"/>
      <c r="U420" s="1799"/>
      <c r="V420" s="1799"/>
      <c r="W420" s="1799"/>
      <c r="X420" s="1799"/>
      <c r="Y420" s="1799"/>
      <c r="Z420" s="1799"/>
    </row>
    <row r="421">
      <c r="A421" s="1799"/>
      <c r="B421" s="1799"/>
      <c r="C421" s="1799"/>
      <c r="D421" s="1812"/>
      <c r="E421" s="1799"/>
      <c r="F421" s="1813"/>
      <c r="G421" s="1814"/>
      <c r="H421" s="1799"/>
      <c r="I421" s="1799"/>
      <c r="J421" s="1799"/>
      <c r="K421" s="1799"/>
      <c r="L421" s="1799"/>
      <c r="M421" s="1799"/>
      <c r="N421" s="1799"/>
      <c r="O421" s="1799"/>
      <c r="P421" s="1799"/>
      <c r="Q421" s="1799"/>
      <c r="R421" s="1799"/>
      <c r="S421" s="1799"/>
      <c r="T421" s="1799"/>
      <c r="U421" s="1799"/>
      <c r="V421" s="1799"/>
      <c r="W421" s="1799"/>
      <c r="X421" s="1799"/>
      <c r="Y421" s="1799"/>
      <c r="Z421" s="1799"/>
    </row>
    <row r="422">
      <c r="A422" s="1799"/>
      <c r="B422" s="1799"/>
      <c r="C422" s="1799"/>
      <c r="D422" s="1812"/>
      <c r="E422" s="1799"/>
      <c r="F422" s="1813"/>
      <c r="G422" s="1814"/>
      <c r="H422" s="1799"/>
      <c r="I422" s="1799"/>
      <c r="J422" s="1799"/>
      <c r="K422" s="1799"/>
      <c r="L422" s="1799"/>
      <c r="M422" s="1799"/>
      <c r="N422" s="1799"/>
      <c r="O422" s="1799"/>
      <c r="P422" s="1799"/>
      <c r="Q422" s="1799"/>
      <c r="R422" s="1799"/>
      <c r="S422" s="1799"/>
      <c r="T422" s="1799"/>
      <c r="U422" s="1799"/>
      <c r="V422" s="1799"/>
      <c r="W422" s="1799"/>
      <c r="X422" s="1799"/>
      <c r="Y422" s="1799"/>
      <c r="Z422" s="1799"/>
    </row>
    <row r="423">
      <c r="A423" s="1799"/>
      <c r="B423" s="1799"/>
      <c r="C423" s="1799"/>
      <c r="D423" s="1812"/>
      <c r="E423" s="1799"/>
      <c r="F423" s="1813"/>
      <c r="G423" s="1814"/>
      <c r="H423" s="1799"/>
      <c r="I423" s="1799"/>
      <c r="J423" s="1799"/>
      <c r="K423" s="1799"/>
      <c r="L423" s="1799"/>
      <c r="M423" s="1799"/>
      <c r="N423" s="1799"/>
      <c r="O423" s="1799"/>
      <c r="P423" s="1799"/>
      <c r="Q423" s="1799"/>
      <c r="R423" s="1799"/>
      <c r="S423" s="1799"/>
      <c r="T423" s="1799"/>
      <c r="U423" s="1799"/>
      <c r="V423" s="1799"/>
      <c r="W423" s="1799"/>
      <c r="X423" s="1799"/>
      <c r="Y423" s="1799"/>
      <c r="Z423" s="1799"/>
    </row>
    <row r="424">
      <c r="A424" s="1799"/>
      <c r="B424" s="1799"/>
      <c r="C424" s="1799"/>
      <c r="D424" s="1812"/>
      <c r="E424" s="1799"/>
      <c r="F424" s="1813"/>
      <c r="G424" s="1814"/>
      <c r="H424" s="1799"/>
      <c r="I424" s="1799"/>
      <c r="J424" s="1799"/>
      <c r="K424" s="1799"/>
      <c r="L424" s="1799"/>
      <c r="M424" s="1799"/>
      <c r="N424" s="1799"/>
      <c r="O424" s="1799"/>
      <c r="P424" s="1799"/>
      <c r="Q424" s="1799"/>
      <c r="R424" s="1799"/>
      <c r="S424" s="1799"/>
      <c r="T424" s="1799"/>
      <c r="U424" s="1799"/>
      <c r="V424" s="1799"/>
      <c r="W424" s="1799"/>
      <c r="X424" s="1799"/>
      <c r="Y424" s="1799"/>
      <c r="Z424" s="1799"/>
    </row>
    <row r="425">
      <c r="A425" s="1799"/>
      <c r="B425" s="1799"/>
      <c r="C425" s="1799"/>
      <c r="D425" s="1812"/>
      <c r="E425" s="1799"/>
      <c r="F425" s="1813"/>
      <c r="G425" s="1814"/>
      <c r="H425" s="1799"/>
      <c r="I425" s="1799"/>
      <c r="J425" s="1799"/>
      <c r="K425" s="1799"/>
      <c r="L425" s="1799"/>
      <c r="M425" s="1799"/>
      <c r="N425" s="1799"/>
      <c r="O425" s="1799"/>
      <c r="P425" s="1799"/>
      <c r="Q425" s="1799"/>
      <c r="R425" s="1799"/>
      <c r="S425" s="1799"/>
      <c r="T425" s="1799"/>
      <c r="U425" s="1799"/>
      <c r="V425" s="1799"/>
      <c r="W425" s="1799"/>
      <c r="X425" s="1799"/>
      <c r="Y425" s="1799"/>
      <c r="Z425" s="1799"/>
    </row>
    <row r="426">
      <c r="A426" s="1799"/>
      <c r="B426" s="1799"/>
      <c r="C426" s="1799"/>
      <c r="D426" s="1812"/>
      <c r="E426" s="1799"/>
      <c r="F426" s="1813"/>
      <c r="G426" s="1814"/>
      <c r="H426" s="1799"/>
      <c r="I426" s="1799"/>
      <c r="J426" s="1799"/>
      <c r="K426" s="1799"/>
      <c r="L426" s="1799"/>
      <c r="M426" s="1799"/>
      <c r="N426" s="1799"/>
      <c r="O426" s="1799"/>
      <c r="P426" s="1799"/>
      <c r="Q426" s="1799"/>
      <c r="R426" s="1799"/>
      <c r="S426" s="1799"/>
      <c r="T426" s="1799"/>
      <c r="U426" s="1799"/>
      <c r="V426" s="1799"/>
      <c r="W426" s="1799"/>
      <c r="X426" s="1799"/>
      <c r="Y426" s="1799"/>
      <c r="Z426" s="1799"/>
    </row>
    <row r="427">
      <c r="A427" s="1799"/>
      <c r="B427" s="1799"/>
      <c r="C427" s="1799"/>
      <c r="D427" s="1812"/>
      <c r="E427" s="1799"/>
      <c r="F427" s="1813"/>
      <c r="G427" s="1814"/>
      <c r="H427" s="1799"/>
      <c r="I427" s="1799"/>
      <c r="J427" s="1799"/>
      <c r="K427" s="1799"/>
      <c r="L427" s="1799"/>
      <c r="M427" s="1799"/>
      <c r="N427" s="1799"/>
      <c r="O427" s="1799"/>
      <c r="P427" s="1799"/>
      <c r="Q427" s="1799"/>
      <c r="R427" s="1799"/>
      <c r="S427" s="1799"/>
      <c r="T427" s="1799"/>
      <c r="U427" s="1799"/>
      <c r="V427" s="1799"/>
      <c r="W427" s="1799"/>
      <c r="X427" s="1799"/>
      <c r="Y427" s="1799"/>
      <c r="Z427" s="1799"/>
    </row>
    <row r="428">
      <c r="A428" s="1799"/>
      <c r="B428" s="1799"/>
      <c r="C428" s="1799"/>
      <c r="D428" s="1812"/>
      <c r="E428" s="1799"/>
      <c r="F428" s="1813"/>
      <c r="G428" s="1814"/>
      <c r="H428" s="1799"/>
      <c r="I428" s="1799"/>
      <c r="J428" s="1799"/>
      <c r="K428" s="1799"/>
      <c r="L428" s="1799"/>
      <c r="M428" s="1799"/>
      <c r="N428" s="1799"/>
      <c r="O428" s="1799"/>
      <c r="P428" s="1799"/>
      <c r="Q428" s="1799"/>
      <c r="R428" s="1799"/>
      <c r="S428" s="1799"/>
      <c r="T428" s="1799"/>
      <c r="U428" s="1799"/>
      <c r="V428" s="1799"/>
      <c r="W428" s="1799"/>
      <c r="X428" s="1799"/>
      <c r="Y428" s="1799"/>
      <c r="Z428" s="1799"/>
    </row>
    <row r="429">
      <c r="A429" s="1799"/>
      <c r="B429" s="1799"/>
      <c r="C429" s="1799"/>
      <c r="D429" s="1812"/>
      <c r="E429" s="1799"/>
      <c r="F429" s="1813"/>
      <c r="G429" s="1814"/>
      <c r="H429" s="1799"/>
      <c r="I429" s="1799"/>
      <c r="J429" s="1799"/>
      <c r="K429" s="1799"/>
      <c r="L429" s="1799"/>
      <c r="M429" s="1799"/>
      <c r="N429" s="1799"/>
      <c r="O429" s="1799"/>
      <c r="P429" s="1799"/>
      <c r="Q429" s="1799"/>
      <c r="R429" s="1799"/>
      <c r="S429" s="1799"/>
      <c r="T429" s="1799"/>
      <c r="U429" s="1799"/>
      <c r="V429" s="1799"/>
      <c r="W429" s="1799"/>
      <c r="X429" s="1799"/>
      <c r="Y429" s="1799"/>
      <c r="Z429" s="1799"/>
    </row>
    <row r="430">
      <c r="A430" s="1799"/>
      <c r="B430" s="1799"/>
      <c r="C430" s="1799"/>
      <c r="D430" s="1812"/>
      <c r="E430" s="1799"/>
      <c r="F430" s="1813"/>
      <c r="G430" s="1814"/>
      <c r="H430" s="1799"/>
      <c r="I430" s="1799"/>
      <c r="J430" s="1799"/>
      <c r="K430" s="1799"/>
      <c r="L430" s="1799"/>
      <c r="M430" s="1799"/>
      <c r="N430" s="1799"/>
      <c r="O430" s="1799"/>
      <c r="P430" s="1799"/>
      <c r="Q430" s="1799"/>
      <c r="R430" s="1799"/>
      <c r="S430" s="1799"/>
      <c r="T430" s="1799"/>
      <c r="U430" s="1799"/>
      <c r="V430" s="1799"/>
      <c r="W430" s="1799"/>
      <c r="X430" s="1799"/>
      <c r="Y430" s="1799"/>
      <c r="Z430" s="1799"/>
    </row>
    <row r="431">
      <c r="A431" s="1799"/>
      <c r="B431" s="1799"/>
      <c r="C431" s="1799"/>
      <c r="D431" s="1812"/>
      <c r="E431" s="1799"/>
      <c r="F431" s="1813"/>
      <c r="G431" s="1814"/>
      <c r="H431" s="1799"/>
      <c r="I431" s="1799"/>
      <c r="J431" s="1799"/>
      <c r="K431" s="1799"/>
      <c r="L431" s="1799"/>
      <c r="M431" s="1799"/>
      <c r="N431" s="1799"/>
      <c r="O431" s="1799"/>
      <c r="P431" s="1799"/>
      <c r="Q431" s="1799"/>
      <c r="R431" s="1799"/>
      <c r="S431" s="1799"/>
      <c r="T431" s="1799"/>
      <c r="U431" s="1799"/>
      <c r="V431" s="1799"/>
      <c r="W431" s="1799"/>
      <c r="X431" s="1799"/>
      <c r="Y431" s="1799"/>
      <c r="Z431" s="1799"/>
    </row>
    <row r="432">
      <c r="A432" s="1799"/>
      <c r="B432" s="1799"/>
      <c r="C432" s="1799"/>
      <c r="D432" s="1812"/>
      <c r="E432" s="1799"/>
      <c r="F432" s="1813"/>
      <c r="G432" s="1814"/>
      <c r="H432" s="1799"/>
      <c r="I432" s="1799"/>
      <c r="J432" s="1799"/>
      <c r="K432" s="1799"/>
      <c r="L432" s="1799"/>
      <c r="M432" s="1799"/>
      <c r="N432" s="1799"/>
      <c r="O432" s="1799"/>
      <c r="P432" s="1799"/>
      <c r="Q432" s="1799"/>
      <c r="R432" s="1799"/>
      <c r="S432" s="1799"/>
      <c r="T432" s="1799"/>
      <c r="U432" s="1799"/>
      <c r="V432" s="1799"/>
      <c r="W432" s="1799"/>
      <c r="X432" s="1799"/>
      <c r="Y432" s="1799"/>
      <c r="Z432" s="1799"/>
    </row>
    <row r="433">
      <c r="A433" s="1799"/>
      <c r="B433" s="1799"/>
      <c r="C433" s="1799"/>
      <c r="D433" s="1812"/>
      <c r="E433" s="1799"/>
      <c r="F433" s="1813"/>
      <c r="G433" s="1814"/>
      <c r="H433" s="1799"/>
      <c r="I433" s="1799"/>
      <c r="J433" s="1799"/>
      <c r="K433" s="1799"/>
      <c r="L433" s="1799"/>
      <c r="M433" s="1799"/>
      <c r="N433" s="1799"/>
      <c r="O433" s="1799"/>
      <c r="P433" s="1799"/>
      <c r="Q433" s="1799"/>
      <c r="R433" s="1799"/>
      <c r="S433" s="1799"/>
      <c r="T433" s="1799"/>
      <c r="U433" s="1799"/>
      <c r="V433" s="1799"/>
      <c r="W433" s="1799"/>
      <c r="X433" s="1799"/>
      <c r="Y433" s="1799"/>
      <c r="Z433" s="1799"/>
    </row>
    <row r="434">
      <c r="A434" s="1799"/>
      <c r="B434" s="1799"/>
      <c r="C434" s="1799"/>
      <c r="D434" s="1812"/>
      <c r="E434" s="1799"/>
      <c r="F434" s="1813"/>
      <c r="G434" s="1814"/>
      <c r="H434" s="1799"/>
      <c r="I434" s="1799"/>
      <c r="J434" s="1799"/>
      <c r="K434" s="1799"/>
      <c r="L434" s="1799"/>
      <c r="M434" s="1799"/>
      <c r="N434" s="1799"/>
      <c r="O434" s="1799"/>
      <c r="P434" s="1799"/>
      <c r="Q434" s="1799"/>
      <c r="R434" s="1799"/>
      <c r="S434" s="1799"/>
      <c r="T434" s="1799"/>
      <c r="U434" s="1799"/>
      <c r="V434" s="1799"/>
      <c r="W434" s="1799"/>
      <c r="X434" s="1799"/>
      <c r="Y434" s="1799"/>
      <c r="Z434" s="1799"/>
    </row>
    <row r="435">
      <c r="A435" s="1799"/>
      <c r="B435" s="1799"/>
      <c r="C435" s="1799"/>
      <c r="D435" s="1812"/>
      <c r="E435" s="1799"/>
      <c r="F435" s="1813"/>
      <c r="G435" s="1814"/>
      <c r="H435" s="1799"/>
      <c r="I435" s="1799"/>
      <c r="J435" s="1799"/>
      <c r="K435" s="1799"/>
      <c r="L435" s="1799"/>
      <c r="M435" s="1799"/>
      <c r="N435" s="1799"/>
      <c r="O435" s="1799"/>
      <c r="P435" s="1799"/>
      <c r="Q435" s="1799"/>
      <c r="R435" s="1799"/>
      <c r="S435" s="1799"/>
      <c r="T435" s="1799"/>
      <c r="U435" s="1799"/>
      <c r="V435" s="1799"/>
      <c r="W435" s="1799"/>
      <c r="X435" s="1799"/>
      <c r="Y435" s="1799"/>
      <c r="Z435" s="1799"/>
    </row>
    <row r="436">
      <c r="A436" s="1799"/>
      <c r="B436" s="1799"/>
      <c r="C436" s="1799"/>
      <c r="D436" s="1812"/>
      <c r="E436" s="1799"/>
      <c r="F436" s="1813"/>
      <c r="G436" s="1814"/>
      <c r="H436" s="1799"/>
      <c r="I436" s="1799"/>
      <c r="J436" s="1799"/>
      <c r="K436" s="1799"/>
      <c r="L436" s="1799"/>
      <c r="M436" s="1799"/>
      <c r="N436" s="1799"/>
      <c r="O436" s="1799"/>
      <c r="P436" s="1799"/>
      <c r="Q436" s="1799"/>
      <c r="R436" s="1799"/>
      <c r="S436" s="1799"/>
      <c r="T436" s="1799"/>
      <c r="U436" s="1799"/>
      <c r="V436" s="1799"/>
      <c r="W436" s="1799"/>
      <c r="X436" s="1799"/>
      <c r="Y436" s="1799"/>
      <c r="Z436" s="1799"/>
    </row>
    <row r="437">
      <c r="A437" s="1799"/>
      <c r="B437" s="1799"/>
      <c r="C437" s="1799"/>
      <c r="D437" s="1812"/>
      <c r="E437" s="1799"/>
      <c r="F437" s="1813"/>
      <c r="G437" s="1814"/>
      <c r="H437" s="1799"/>
      <c r="I437" s="1799"/>
      <c r="J437" s="1799"/>
      <c r="K437" s="1799"/>
      <c r="L437" s="1799"/>
      <c r="M437" s="1799"/>
      <c r="N437" s="1799"/>
      <c r="O437" s="1799"/>
      <c r="P437" s="1799"/>
      <c r="Q437" s="1799"/>
      <c r="R437" s="1799"/>
      <c r="S437" s="1799"/>
      <c r="T437" s="1799"/>
      <c r="U437" s="1799"/>
      <c r="V437" s="1799"/>
      <c r="W437" s="1799"/>
      <c r="X437" s="1799"/>
      <c r="Y437" s="1799"/>
      <c r="Z437" s="1799"/>
    </row>
    <row r="438">
      <c r="A438" s="1799"/>
      <c r="B438" s="1799"/>
      <c r="C438" s="1799"/>
      <c r="D438" s="1812"/>
      <c r="E438" s="1799"/>
      <c r="F438" s="1813"/>
      <c r="G438" s="1814"/>
      <c r="H438" s="1799"/>
      <c r="I438" s="1799"/>
      <c r="J438" s="1799"/>
      <c r="K438" s="1799"/>
      <c r="L438" s="1799"/>
      <c r="M438" s="1799"/>
      <c r="N438" s="1799"/>
      <c r="O438" s="1799"/>
      <c r="P438" s="1799"/>
      <c r="Q438" s="1799"/>
      <c r="R438" s="1799"/>
      <c r="S438" s="1799"/>
      <c r="T438" s="1799"/>
      <c r="U438" s="1799"/>
      <c r="V438" s="1799"/>
      <c r="W438" s="1799"/>
      <c r="X438" s="1799"/>
      <c r="Y438" s="1799"/>
      <c r="Z438" s="1799"/>
    </row>
    <row r="439">
      <c r="A439" s="1799"/>
      <c r="B439" s="1799"/>
      <c r="C439" s="1799"/>
      <c r="D439" s="1812"/>
      <c r="E439" s="1799"/>
      <c r="F439" s="1813"/>
      <c r="G439" s="1814"/>
      <c r="H439" s="1799"/>
      <c r="I439" s="1799"/>
      <c r="J439" s="1799"/>
      <c r="K439" s="1799"/>
      <c r="L439" s="1799"/>
      <c r="M439" s="1799"/>
      <c r="N439" s="1799"/>
      <c r="O439" s="1799"/>
      <c r="P439" s="1799"/>
      <c r="Q439" s="1799"/>
      <c r="R439" s="1799"/>
      <c r="S439" s="1799"/>
      <c r="T439" s="1799"/>
      <c r="U439" s="1799"/>
      <c r="V439" s="1799"/>
      <c r="W439" s="1799"/>
      <c r="X439" s="1799"/>
      <c r="Y439" s="1799"/>
      <c r="Z439" s="1799"/>
    </row>
    <row r="440">
      <c r="A440" s="1799"/>
      <c r="B440" s="1799"/>
      <c r="C440" s="1799"/>
      <c r="D440" s="1812"/>
      <c r="E440" s="1799"/>
      <c r="F440" s="1813"/>
      <c r="G440" s="1814"/>
      <c r="H440" s="1799"/>
      <c r="I440" s="1799"/>
      <c r="J440" s="1799"/>
      <c r="K440" s="1799"/>
      <c r="L440" s="1799"/>
      <c r="M440" s="1799"/>
      <c r="N440" s="1799"/>
      <c r="O440" s="1799"/>
      <c r="P440" s="1799"/>
      <c r="Q440" s="1799"/>
      <c r="R440" s="1799"/>
      <c r="S440" s="1799"/>
      <c r="T440" s="1799"/>
      <c r="U440" s="1799"/>
      <c r="V440" s="1799"/>
      <c r="W440" s="1799"/>
      <c r="X440" s="1799"/>
      <c r="Y440" s="1799"/>
      <c r="Z440" s="1799"/>
    </row>
    <row r="441">
      <c r="A441" s="1799"/>
      <c r="B441" s="1799"/>
      <c r="C441" s="1799"/>
      <c r="D441" s="1812"/>
      <c r="E441" s="1799"/>
      <c r="F441" s="1813"/>
      <c r="G441" s="1814"/>
      <c r="H441" s="1799"/>
      <c r="I441" s="1799"/>
      <c r="J441" s="1799"/>
      <c r="K441" s="1799"/>
      <c r="L441" s="1799"/>
      <c r="M441" s="1799"/>
      <c r="N441" s="1799"/>
      <c r="O441" s="1799"/>
      <c r="P441" s="1799"/>
      <c r="Q441" s="1799"/>
      <c r="R441" s="1799"/>
      <c r="S441" s="1799"/>
      <c r="T441" s="1799"/>
      <c r="U441" s="1799"/>
      <c r="V441" s="1799"/>
      <c r="W441" s="1799"/>
      <c r="X441" s="1799"/>
      <c r="Y441" s="1799"/>
      <c r="Z441" s="1799"/>
    </row>
    <row r="442">
      <c r="A442" s="1799"/>
      <c r="B442" s="1799"/>
      <c r="C442" s="1799"/>
      <c r="D442" s="1812"/>
      <c r="E442" s="1799"/>
      <c r="F442" s="1813"/>
      <c r="G442" s="1814"/>
      <c r="H442" s="1799"/>
      <c r="I442" s="1799"/>
      <c r="J442" s="1799"/>
      <c r="K442" s="1799"/>
      <c r="L442" s="1799"/>
      <c r="M442" s="1799"/>
      <c r="N442" s="1799"/>
      <c r="O442" s="1799"/>
      <c r="P442" s="1799"/>
      <c r="Q442" s="1799"/>
      <c r="R442" s="1799"/>
      <c r="S442" s="1799"/>
      <c r="T442" s="1799"/>
      <c r="U442" s="1799"/>
      <c r="V442" s="1799"/>
      <c r="W442" s="1799"/>
      <c r="X442" s="1799"/>
      <c r="Y442" s="1799"/>
      <c r="Z442" s="1799"/>
    </row>
    <row r="443">
      <c r="A443" s="1799"/>
      <c r="B443" s="1799"/>
      <c r="C443" s="1799"/>
      <c r="D443" s="1812"/>
      <c r="E443" s="1799"/>
      <c r="F443" s="1813"/>
      <c r="G443" s="1814"/>
      <c r="H443" s="1799"/>
      <c r="I443" s="1799"/>
      <c r="J443" s="1799"/>
      <c r="K443" s="1799"/>
      <c r="L443" s="1799"/>
      <c r="M443" s="1799"/>
      <c r="N443" s="1799"/>
      <c r="O443" s="1799"/>
      <c r="P443" s="1799"/>
      <c r="Q443" s="1799"/>
      <c r="R443" s="1799"/>
      <c r="S443" s="1799"/>
      <c r="T443" s="1799"/>
      <c r="U443" s="1799"/>
      <c r="V443" s="1799"/>
      <c r="W443" s="1799"/>
      <c r="X443" s="1799"/>
      <c r="Y443" s="1799"/>
      <c r="Z443" s="1799"/>
    </row>
    <row r="444">
      <c r="A444" s="1799"/>
      <c r="B444" s="1799"/>
      <c r="C444" s="1799"/>
      <c r="D444" s="1812"/>
      <c r="E444" s="1799"/>
      <c r="F444" s="1813"/>
      <c r="G444" s="1814"/>
      <c r="H444" s="1799"/>
      <c r="I444" s="1799"/>
      <c r="J444" s="1799"/>
      <c r="K444" s="1799"/>
      <c r="L444" s="1799"/>
      <c r="M444" s="1799"/>
      <c r="N444" s="1799"/>
      <c r="O444" s="1799"/>
      <c r="P444" s="1799"/>
      <c r="Q444" s="1799"/>
      <c r="R444" s="1799"/>
      <c r="S444" s="1799"/>
      <c r="T444" s="1799"/>
      <c r="U444" s="1799"/>
      <c r="V444" s="1799"/>
      <c r="W444" s="1799"/>
      <c r="X444" s="1799"/>
      <c r="Y444" s="1799"/>
      <c r="Z444" s="1799"/>
    </row>
    <row r="445">
      <c r="A445" s="1799"/>
      <c r="B445" s="1799"/>
      <c r="C445" s="1799"/>
      <c r="D445" s="1812"/>
      <c r="E445" s="1799"/>
      <c r="F445" s="1813"/>
      <c r="G445" s="1814"/>
      <c r="H445" s="1799"/>
      <c r="I445" s="1799"/>
      <c r="J445" s="1799"/>
      <c r="K445" s="1799"/>
      <c r="L445" s="1799"/>
      <c r="M445" s="1799"/>
      <c r="N445" s="1799"/>
      <c r="O445" s="1799"/>
      <c r="P445" s="1799"/>
      <c r="Q445" s="1799"/>
      <c r="R445" s="1799"/>
      <c r="S445" s="1799"/>
      <c r="T445" s="1799"/>
      <c r="U445" s="1799"/>
      <c r="V445" s="1799"/>
      <c r="W445" s="1799"/>
      <c r="X445" s="1799"/>
      <c r="Y445" s="1799"/>
      <c r="Z445" s="1799"/>
    </row>
    <row r="446">
      <c r="A446" s="1799"/>
      <c r="B446" s="1799"/>
      <c r="C446" s="1799"/>
      <c r="D446" s="1812"/>
      <c r="E446" s="1799"/>
      <c r="F446" s="1813"/>
      <c r="G446" s="1814"/>
      <c r="H446" s="1799"/>
      <c r="I446" s="1799"/>
      <c r="J446" s="1799"/>
      <c r="K446" s="1799"/>
      <c r="L446" s="1799"/>
      <c r="M446" s="1799"/>
      <c r="N446" s="1799"/>
      <c r="O446" s="1799"/>
      <c r="P446" s="1799"/>
      <c r="Q446" s="1799"/>
      <c r="R446" s="1799"/>
      <c r="S446" s="1799"/>
      <c r="T446" s="1799"/>
      <c r="U446" s="1799"/>
      <c r="V446" s="1799"/>
      <c r="W446" s="1799"/>
      <c r="X446" s="1799"/>
      <c r="Y446" s="1799"/>
      <c r="Z446" s="1799"/>
    </row>
    <row r="447">
      <c r="A447" s="1799"/>
      <c r="B447" s="1799"/>
      <c r="C447" s="1799"/>
      <c r="D447" s="1812"/>
      <c r="E447" s="1799"/>
      <c r="F447" s="1813"/>
      <c r="G447" s="1814"/>
      <c r="H447" s="1799"/>
      <c r="I447" s="1799"/>
      <c r="J447" s="1799"/>
      <c r="K447" s="1799"/>
      <c r="L447" s="1799"/>
      <c r="M447" s="1799"/>
      <c r="N447" s="1799"/>
      <c r="O447" s="1799"/>
      <c r="P447" s="1799"/>
      <c r="Q447" s="1799"/>
      <c r="R447" s="1799"/>
      <c r="S447" s="1799"/>
      <c r="T447" s="1799"/>
      <c r="U447" s="1799"/>
      <c r="V447" s="1799"/>
      <c r="W447" s="1799"/>
      <c r="X447" s="1799"/>
      <c r="Y447" s="1799"/>
      <c r="Z447" s="1799"/>
    </row>
    <row r="448">
      <c r="A448" s="1799"/>
      <c r="B448" s="1799"/>
      <c r="C448" s="1799"/>
      <c r="D448" s="1812"/>
      <c r="E448" s="1799"/>
      <c r="F448" s="1813"/>
      <c r="G448" s="1814"/>
      <c r="H448" s="1799"/>
      <c r="I448" s="1799"/>
      <c r="J448" s="1799"/>
      <c r="K448" s="1799"/>
      <c r="L448" s="1799"/>
      <c r="M448" s="1799"/>
      <c r="N448" s="1799"/>
      <c r="O448" s="1799"/>
      <c r="P448" s="1799"/>
      <c r="Q448" s="1799"/>
      <c r="R448" s="1799"/>
      <c r="S448" s="1799"/>
      <c r="T448" s="1799"/>
      <c r="U448" s="1799"/>
      <c r="V448" s="1799"/>
      <c r="W448" s="1799"/>
      <c r="X448" s="1799"/>
      <c r="Y448" s="1799"/>
      <c r="Z448" s="1799"/>
    </row>
    <row r="449">
      <c r="A449" s="1799"/>
      <c r="B449" s="1799"/>
      <c r="C449" s="1799"/>
      <c r="D449" s="1812"/>
      <c r="E449" s="1799"/>
      <c r="F449" s="1813"/>
      <c r="G449" s="1814"/>
      <c r="H449" s="1799"/>
      <c r="I449" s="1799"/>
      <c r="J449" s="1799"/>
      <c r="K449" s="1799"/>
      <c r="L449" s="1799"/>
      <c r="M449" s="1799"/>
      <c r="N449" s="1799"/>
      <c r="O449" s="1799"/>
      <c r="P449" s="1799"/>
      <c r="Q449" s="1799"/>
      <c r="R449" s="1799"/>
      <c r="S449" s="1799"/>
      <c r="T449" s="1799"/>
      <c r="U449" s="1799"/>
      <c r="V449" s="1799"/>
      <c r="W449" s="1799"/>
      <c r="X449" s="1799"/>
      <c r="Y449" s="1799"/>
      <c r="Z449" s="1799"/>
    </row>
    <row r="450">
      <c r="A450" s="1799"/>
      <c r="B450" s="1799"/>
      <c r="C450" s="1799"/>
      <c r="D450" s="1812"/>
      <c r="E450" s="1799"/>
      <c r="F450" s="1813"/>
      <c r="G450" s="1814"/>
      <c r="H450" s="1799"/>
      <c r="I450" s="1799"/>
      <c r="J450" s="1799"/>
      <c r="K450" s="1799"/>
      <c r="L450" s="1799"/>
      <c r="M450" s="1799"/>
      <c r="N450" s="1799"/>
      <c r="O450" s="1799"/>
      <c r="P450" s="1799"/>
      <c r="Q450" s="1799"/>
      <c r="R450" s="1799"/>
      <c r="S450" s="1799"/>
      <c r="T450" s="1799"/>
      <c r="U450" s="1799"/>
      <c r="V450" s="1799"/>
      <c r="W450" s="1799"/>
      <c r="X450" s="1799"/>
      <c r="Y450" s="1799"/>
      <c r="Z450" s="1799"/>
    </row>
    <row r="451">
      <c r="A451" s="1799"/>
      <c r="B451" s="1799"/>
      <c r="C451" s="1799"/>
      <c r="D451" s="1812"/>
      <c r="E451" s="1799"/>
      <c r="F451" s="1813"/>
      <c r="G451" s="1814"/>
      <c r="H451" s="1799"/>
      <c r="I451" s="1799"/>
      <c r="J451" s="1799"/>
      <c r="K451" s="1799"/>
      <c r="L451" s="1799"/>
      <c r="M451" s="1799"/>
      <c r="N451" s="1799"/>
      <c r="O451" s="1799"/>
      <c r="P451" s="1799"/>
      <c r="Q451" s="1799"/>
      <c r="R451" s="1799"/>
      <c r="S451" s="1799"/>
      <c r="T451" s="1799"/>
      <c r="U451" s="1799"/>
      <c r="V451" s="1799"/>
      <c r="W451" s="1799"/>
      <c r="X451" s="1799"/>
      <c r="Y451" s="1799"/>
      <c r="Z451" s="1799"/>
    </row>
    <row r="452">
      <c r="A452" s="1799"/>
      <c r="B452" s="1799"/>
      <c r="C452" s="1799"/>
      <c r="D452" s="1812"/>
      <c r="E452" s="1799"/>
      <c r="F452" s="1813"/>
      <c r="G452" s="1814"/>
      <c r="H452" s="1799"/>
      <c r="I452" s="1799"/>
      <c r="J452" s="1799"/>
      <c r="K452" s="1799"/>
      <c r="L452" s="1799"/>
      <c r="M452" s="1799"/>
      <c r="N452" s="1799"/>
      <c r="O452" s="1799"/>
      <c r="P452" s="1799"/>
      <c r="Q452" s="1799"/>
      <c r="R452" s="1799"/>
      <c r="S452" s="1799"/>
      <c r="T452" s="1799"/>
      <c r="U452" s="1799"/>
      <c r="V452" s="1799"/>
      <c r="W452" s="1799"/>
      <c r="X452" s="1799"/>
      <c r="Y452" s="1799"/>
      <c r="Z452" s="1799"/>
    </row>
    <row r="453">
      <c r="A453" s="1799"/>
      <c r="B453" s="1799"/>
      <c r="C453" s="1799"/>
      <c r="D453" s="1812"/>
      <c r="E453" s="1799"/>
      <c r="F453" s="1813"/>
      <c r="G453" s="1814"/>
      <c r="H453" s="1799"/>
      <c r="I453" s="1799"/>
      <c r="J453" s="1799"/>
      <c r="K453" s="1799"/>
      <c r="L453" s="1799"/>
      <c r="M453" s="1799"/>
      <c r="N453" s="1799"/>
      <c r="O453" s="1799"/>
      <c r="P453" s="1799"/>
      <c r="Q453" s="1799"/>
      <c r="R453" s="1799"/>
      <c r="S453" s="1799"/>
      <c r="T453" s="1799"/>
      <c r="U453" s="1799"/>
      <c r="V453" s="1799"/>
      <c r="W453" s="1799"/>
      <c r="X453" s="1799"/>
      <c r="Y453" s="1799"/>
      <c r="Z453" s="1799"/>
    </row>
    <row r="454">
      <c r="A454" s="1799"/>
      <c r="B454" s="1799"/>
      <c r="C454" s="1799"/>
      <c r="D454" s="1812"/>
      <c r="E454" s="1799"/>
      <c r="F454" s="1813"/>
      <c r="G454" s="1814"/>
      <c r="H454" s="1799"/>
      <c r="I454" s="1799"/>
      <c r="J454" s="1799"/>
      <c r="K454" s="1799"/>
      <c r="L454" s="1799"/>
      <c r="M454" s="1799"/>
      <c r="N454" s="1799"/>
      <c r="O454" s="1799"/>
      <c r="P454" s="1799"/>
      <c r="Q454" s="1799"/>
      <c r="R454" s="1799"/>
      <c r="S454" s="1799"/>
      <c r="T454" s="1799"/>
      <c r="U454" s="1799"/>
      <c r="V454" s="1799"/>
      <c r="W454" s="1799"/>
      <c r="X454" s="1799"/>
      <c r="Y454" s="1799"/>
      <c r="Z454" s="1799"/>
    </row>
    <row r="455">
      <c r="A455" s="1799"/>
      <c r="B455" s="1799"/>
      <c r="C455" s="1799"/>
      <c r="D455" s="1812"/>
      <c r="E455" s="1799"/>
      <c r="F455" s="1813"/>
      <c r="G455" s="1814"/>
      <c r="H455" s="1799"/>
      <c r="I455" s="1799"/>
      <c r="J455" s="1799"/>
      <c r="K455" s="1799"/>
      <c r="L455" s="1799"/>
      <c r="M455" s="1799"/>
      <c r="N455" s="1799"/>
      <c r="O455" s="1799"/>
      <c r="P455" s="1799"/>
      <c r="Q455" s="1799"/>
      <c r="R455" s="1799"/>
      <c r="S455" s="1799"/>
      <c r="T455" s="1799"/>
      <c r="U455" s="1799"/>
      <c r="V455" s="1799"/>
      <c r="W455" s="1799"/>
      <c r="X455" s="1799"/>
      <c r="Y455" s="1799"/>
      <c r="Z455" s="1799"/>
    </row>
    <row r="456">
      <c r="A456" s="1799"/>
      <c r="B456" s="1799"/>
      <c r="C456" s="1799"/>
      <c r="D456" s="1812"/>
      <c r="E456" s="1799"/>
      <c r="F456" s="1813"/>
      <c r="G456" s="1814"/>
      <c r="H456" s="1799"/>
      <c r="I456" s="1799"/>
      <c r="J456" s="1799"/>
      <c r="K456" s="1799"/>
      <c r="L456" s="1799"/>
      <c r="M456" s="1799"/>
      <c r="N456" s="1799"/>
      <c r="O456" s="1799"/>
      <c r="P456" s="1799"/>
      <c r="Q456" s="1799"/>
      <c r="R456" s="1799"/>
      <c r="S456" s="1799"/>
      <c r="T456" s="1799"/>
      <c r="U456" s="1799"/>
      <c r="V456" s="1799"/>
      <c r="W456" s="1799"/>
      <c r="X456" s="1799"/>
      <c r="Y456" s="1799"/>
      <c r="Z456" s="1799"/>
    </row>
    <row r="457">
      <c r="A457" s="1799"/>
      <c r="B457" s="1799"/>
      <c r="C457" s="1799"/>
      <c r="D457" s="1812"/>
      <c r="E457" s="1799"/>
      <c r="F457" s="1813"/>
      <c r="G457" s="1814"/>
      <c r="H457" s="1799"/>
      <c r="I457" s="1799"/>
      <c r="J457" s="1799"/>
      <c r="K457" s="1799"/>
      <c r="L457" s="1799"/>
      <c r="M457" s="1799"/>
      <c r="N457" s="1799"/>
      <c r="O457" s="1799"/>
      <c r="P457" s="1799"/>
      <c r="Q457" s="1799"/>
      <c r="R457" s="1799"/>
      <c r="S457" s="1799"/>
      <c r="T457" s="1799"/>
      <c r="U457" s="1799"/>
      <c r="V457" s="1799"/>
      <c r="W457" s="1799"/>
      <c r="X457" s="1799"/>
      <c r="Y457" s="1799"/>
      <c r="Z457" s="1799"/>
    </row>
    <row r="458">
      <c r="A458" s="1799"/>
      <c r="B458" s="1799"/>
      <c r="C458" s="1799"/>
      <c r="D458" s="1812"/>
      <c r="E458" s="1799"/>
      <c r="F458" s="1813"/>
      <c r="G458" s="1814"/>
      <c r="H458" s="1799"/>
      <c r="I458" s="1799"/>
      <c r="J458" s="1799"/>
      <c r="K458" s="1799"/>
      <c r="L458" s="1799"/>
      <c r="M458" s="1799"/>
      <c r="N458" s="1799"/>
      <c r="O458" s="1799"/>
      <c r="P458" s="1799"/>
      <c r="Q458" s="1799"/>
      <c r="R458" s="1799"/>
      <c r="S458" s="1799"/>
      <c r="T458" s="1799"/>
      <c r="U458" s="1799"/>
      <c r="V458" s="1799"/>
      <c r="W458" s="1799"/>
      <c r="X458" s="1799"/>
      <c r="Y458" s="1799"/>
      <c r="Z458" s="1799"/>
    </row>
    <row r="459">
      <c r="A459" s="1799"/>
      <c r="B459" s="1799"/>
      <c r="C459" s="1799"/>
      <c r="D459" s="1812"/>
      <c r="E459" s="1799"/>
      <c r="F459" s="1813"/>
      <c r="G459" s="1814"/>
      <c r="H459" s="1799"/>
      <c r="I459" s="1799"/>
      <c r="J459" s="1799"/>
      <c r="K459" s="1799"/>
      <c r="L459" s="1799"/>
      <c r="M459" s="1799"/>
      <c r="N459" s="1799"/>
      <c r="O459" s="1799"/>
      <c r="P459" s="1799"/>
      <c r="Q459" s="1799"/>
      <c r="R459" s="1799"/>
      <c r="S459" s="1799"/>
      <c r="T459" s="1799"/>
      <c r="U459" s="1799"/>
      <c r="V459" s="1799"/>
      <c r="W459" s="1799"/>
      <c r="X459" s="1799"/>
      <c r="Y459" s="1799"/>
      <c r="Z459" s="1799"/>
    </row>
    <row r="460">
      <c r="A460" s="1799"/>
      <c r="B460" s="1799"/>
      <c r="C460" s="1799"/>
      <c r="D460" s="1812"/>
      <c r="E460" s="1799"/>
      <c r="F460" s="1813"/>
      <c r="G460" s="1814"/>
      <c r="H460" s="1799"/>
      <c r="I460" s="1799"/>
      <c r="J460" s="1799"/>
      <c r="K460" s="1799"/>
      <c r="L460" s="1799"/>
      <c r="M460" s="1799"/>
      <c r="N460" s="1799"/>
      <c r="O460" s="1799"/>
      <c r="P460" s="1799"/>
      <c r="Q460" s="1799"/>
      <c r="R460" s="1799"/>
      <c r="S460" s="1799"/>
      <c r="T460" s="1799"/>
      <c r="U460" s="1799"/>
      <c r="V460" s="1799"/>
      <c r="W460" s="1799"/>
      <c r="X460" s="1799"/>
      <c r="Y460" s="1799"/>
      <c r="Z460" s="1799"/>
    </row>
    <row r="461">
      <c r="A461" s="1799"/>
      <c r="B461" s="1799"/>
      <c r="C461" s="1799"/>
      <c r="D461" s="1812"/>
      <c r="E461" s="1799"/>
      <c r="F461" s="1813"/>
      <c r="G461" s="1814"/>
      <c r="H461" s="1799"/>
      <c r="I461" s="1799"/>
      <c r="J461" s="1799"/>
      <c r="K461" s="1799"/>
      <c r="L461" s="1799"/>
      <c r="M461" s="1799"/>
      <c r="N461" s="1799"/>
      <c r="O461" s="1799"/>
      <c r="P461" s="1799"/>
      <c r="Q461" s="1799"/>
      <c r="R461" s="1799"/>
      <c r="S461" s="1799"/>
      <c r="T461" s="1799"/>
      <c r="U461" s="1799"/>
      <c r="V461" s="1799"/>
      <c r="W461" s="1799"/>
      <c r="X461" s="1799"/>
      <c r="Y461" s="1799"/>
      <c r="Z461" s="1799"/>
    </row>
    <row r="462">
      <c r="A462" s="1799"/>
      <c r="B462" s="1799"/>
      <c r="C462" s="1799"/>
      <c r="D462" s="1812"/>
      <c r="E462" s="1799"/>
      <c r="F462" s="1813"/>
      <c r="G462" s="1814"/>
      <c r="H462" s="1799"/>
      <c r="I462" s="1799"/>
      <c r="J462" s="1799"/>
      <c r="K462" s="1799"/>
      <c r="L462" s="1799"/>
      <c r="M462" s="1799"/>
      <c r="N462" s="1799"/>
      <c r="O462" s="1799"/>
      <c r="P462" s="1799"/>
      <c r="Q462" s="1799"/>
      <c r="R462" s="1799"/>
      <c r="S462" s="1799"/>
      <c r="T462" s="1799"/>
      <c r="U462" s="1799"/>
      <c r="V462" s="1799"/>
      <c r="W462" s="1799"/>
      <c r="X462" s="1799"/>
      <c r="Y462" s="1799"/>
      <c r="Z462" s="1799"/>
    </row>
    <row r="463">
      <c r="A463" s="1799"/>
      <c r="B463" s="1799"/>
      <c r="C463" s="1799"/>
      <c r="D463" s="1812"/>
      <c r="E463" s="1799"/>
      <c r="F463" s="1813"/>
      <c r="G463" s="1814"/>
      <c r="H463" s="1799"/>
      <c r="I463" s="1799"/>
      <c r="J463" s="1799"/>
      <c r="K463" s="1799"/>
      <c r="L463" s="1799"/>
      <c r="M463" s="1799"/>
      <c r="N463" s="1799"/>
      <c r="O463" s="1799"/>
      <c r="P463" s="1799"/>
      <c r="Q463" s="1799"/>
      <c r="R463" s="1799"/>
      <c r="S463" s="1799"/>
      <c r="T463" s="1799"/>
      <c r="U463" s="1799"/>
      <c r="V463" s="1799"/>
      <c r="W463" s="1799"/>
      <c r="X463" s="1799"/>
      <c r="Y463" s="1799"/>
      <c r="Z463" s="1799"/>
    </row>
    <row r="464">
      <c r="A464" s="1799"/>
      <c r="B464" s="1799"/>
      <c r="C464" s="1799"/>
      <c r="D464" s="1812"/>
      <c r="E464" s="1799"/>
      <c r="F464" s="1813"/>
      <c r="G464" s="1814"/>
      <c r="H464" s="1799"/>
      <c r="I464" s="1799"/>
      <c r="J464" s="1799"/>
      <c r="K464" s="1799"/>
      <c r="L464" s="1799"/>
      <c r="M464" s="1799"/>
      <c r="N464" s="1799"/>
      <c r="O464" s="1799"/>
      <c r="P464" s="1799"/>
      <c r="Q464" s="1799"/>
      <c r="R464" s="1799"/>
      <c r="S464" s="1799"/>
      <c r="T464" s="1799"/>
      <c r="U464" s="1799"/>
      <c r="V464" s="1799"/>
      <c r="W464" s="1799"/>
      <c r="X464" s="1799"/>
      <c r="Y464" s="1799"/>
      <c r="Z464" s="1799"/>
    </row>
    <row r="465">
      <c r="A465" s="1799"/>
      <c r="B465" s="1799"/>
      <c r="C465" s="1799"/>
      <c r="D465" s="1812"/>
      <c r="E465" s="1799"/>
      <c r="F465" s="1813"/>
      <c r="G465" s="1814"/>
      <c r="H465" s="1799"/>
      <c r="I465" s="1799"/>
      <c r="J465" s="1799"/>
      <c r="K465" s="1799"/>
      <c r="L465" s="1799"/>
      <c r="M465" s="1799"/>
      <c r="N465" s="1799"/>
      <c r="O465" s="1799"/>
      <c r="P465" s="1799"/>
      <c r="Q465" s="1799"/>
      <c r="R465" s="1799"/>
      <c r="S465" s="1799"/>
      <c r="T465" s="1799"/>
      <c r="U465" s="1799"/>
      <c r="V465" s="1799"/>
      <c r="W465" s="1799"/>
      <c r="X465" s="1799"/>
      <c r="Y465" s="1799"/>
      <c r="Z465" s="1799"/>
    </row>
    <row r="466">
      <c r="A466" s="1799"/>
      <c r="B466" s="1799"/>
      <c r="C466" s="1799"/>
      <c r="D466" s="1812"/>
      <c r="E466" s="1799"/>
      <c r="F466" s="1813"/>
      <c r="G466" s="1814"/>
      <c r="H466" s="1799"/>
      <c r="I466" s="1799"/>
      <c r="J466" s="1799"/>
      <c r="K466" s="1799"/>
      <c r="L466" s="1799"/>
      <c r="M466" s="1799"/>
      <c r="N466" s="1799"/>
      <c r="O466" s="1799"/>
      <c r="P466" s="1799"/>
      <c r="Q466" s="1799"/>
      <c r="R466" s="1799"/>
      <c r="S466" s="1799"/>
      <c r="T466" s="1799"/>
      <c r="U466" s="1799"/>
      <c r="V466" s="1799"/>
      <c r="W466" s="1799"/>
      <c r="X466" s="1799"/>
      <c r="Y466" s="1799"/>
      <c r="Z466" s="1799"/>
    </row>
    <row r="467">
      <c r="A467" s="1799"/>
      <c r="B467" s="1799"/>
      <c r="C467" s="1799"/>
      <c r="D467" s="1812"/>
      <c r="E467" s="1799"/>
      <c r="F467" s="1813"/>
      <c r="G467" s="1814"/>
      <c r="H467" s="1799"/>
      <c r="I467" s="1799"/>
      <c r="J467" s="1799"/>
      <c r="K467" s="1799"/>
      <c r="L467" s="1799"/>
      <c r="M467" s="1799"/>
      <c r="N467" s="1799"/>
      <c r="O467" s="1799"/>
      <c r="P467" s="1799"/>
      <c r="Q467" s="1799"/>
      <c r="R467" s="1799"/>
      <c r="S467" s="1799"/>
      <c r="T467" s="1799"/>
      <c r="U467" s="1799"/>
      <c r="V467" s="1799"/>
      <c r="W467" s="1799"/>
      <c r="X467" s="1799"/>
      <c r="Y467" s="1799"/>
      <c r="Z467" s="1799"/>
    </row>
    <row r="468">
      <c r="A468" s="1799"/>
      <c r="B468" s="1799"/>
      <c r="C468" s="1799"/>
      <c r="D468" s="1812"/>
      <c r="E468" s="1799"/>
      <c r="F468" s="1813"/>
      <c r="G468" s="1814"/>
      <c r="H468" s="1799"/>
      <c r="I468" s="1799"/>
      <c r="J468" s="1799"/>
      <c r="K468" s="1799"/>
      <c r="L468" s="1799"/>
      <c r="M468" s="1799"/>
      <c r="N468" s="1799"/>
      <c r="O468" s="1799"/>
      <c r="P468" s="1799"/>
      <c r="Q468" s="1799"/>
      <c r="R468" s="1799"/>
      <c r="S468" s="1799"/>
      <c r="T468" s="1799"/>
      <c r="U468" s="1799"/>
      <c r="V468" s="1799"/>
      <c r="W468" s="1799"/>
      <c r="X468" s="1799"/>
      <c r="Y468" s="1799"/>
      <c r="Z468" s="1799"/>
    </row>
    <row r="469">
      <c r="A469" s="1799"/>
      <c r="B469" s="1799"/>
      <c r="C469" s="1799"/>
      <c r="D469" s="1812"/>
      <c r="E469" s="1799"/>
      <c r="F469" s="1813"/>
      <c r="G469" s="1814"/>
      <c r="H469" s="1799"/>
      <c r="I469" s="1799"/>
      <c r="J469" s="1799"/>
      <c r="K469" s="1799"/>
      <c r="L469" s="1799"/>
      <c r="M469" s="1799"/>
      <c r="N469" s="1799"/>
      <c r="O469" s="1799"/>
      <c r="P469" s="1799"/>
      <c r="Q469" s="1799"/>
      <c r="R469" s="1799"/>
      <c r="S469" s="1799"/>
      <c r="T469" s="1799"/>
      <c r="U469" s="1799"/>
      <c r="V469" s="1799"/>
      <c r="W469" s="1799"/>
      <c r="X469" s="1799"/>
      <c r="Y469" s="1799"/>
      <c r="Z469" s="1799"/>
    </row>
    <row r="470">
      <c r="A470" s="1799"/>
      <c r="B470" s="1799"/>
      <c r="C470" s="1799"/>
      <c r="D470" s="1812"/>
      <c r="E470" s="1799"/>
      <c r="F470" s="1813"/>
      <c r="G470" s="1814"/>
      <c r="H470" s="1799"/>
      <c r="I470" s="1799"/>
      <c r="J470" s="1799"/>
      <c r="K470" s="1799"/>
      <c r="L470" s="1799"/>
      <c r="M470" s="1799"/>
      <c r="N470" s="1799"/>
      <c r="O470" s="1799"/>
      <c r="P470" s="1799"/>
      <c r="Q470" s="1799"/>
      <c r="R470" s="1799"/>
      <c r="S470" s="1799"/>
      <c r="T470" s="1799"/>
      <c r="U470" s="1799"/>
      <c r="V470" s="1799"/>
      <c r="W470" s="1799"/>
      <c r="X470" s="1799"/>
      <c r="Y470" s="1799"/>
      <c r="Z470" s="1799"/>
    </row>
    <row r="471">
      <c r="A471" s="1799"/>
      <c r="B471" s="1799"/>
      <c r="C471" s="1799"/>
      <c r="D471" s="1812"/>
      <c r="E471" s="1799"/>
      <c r="F471" s="1813"/>
      <c r="G471" s="1814"/>
      <c r="H471" s="1799"/>
      <c r="I471" s="1799"/>
      <c r="J471" s="1799"/>
      <c r="K471" s="1799"/>
      <c r="L471" s="1799"/>
      <c r="M471" s="1799"/>
      <c r="N471" s="1799"/>
      <c r="O471" s="1799"/>
      <c r="P471" s="1799"/>
      <c r="Q471" s="1799"/>
      <c r="R471" s="1799"/>
      <c r="S471" s="1799"/>
      <c r="T471" s="1799"/>
      <c r="U471" s="1799"/>
      <c r="V471" s="1799"/>
      <c r="W471" s="1799"/>
      <c r="X471" s="1799"/>
      <c r="Y471" s="1799"/>
      <c r="Z471" s="1799"/>
    </row>
    <row r="472">
      <c r="A472" s="1799"/>
      <c r="B472" s="1799"/>
      <c r="C472" s="1799"/>
      <c r="D472" s="1812"/>
      <c r="E472" s="1799"/>
      <c r="F472" s="1813"/>
      <c r="G472" s="1814"/>
      <c r="H472" s="1799"/>
      <c r="I472" s="1799"/>
      <c r="J472" s="1799"/>
      <c r="K472" s="1799"/>
      <c r="L472" s="1799"/>
      <c r="M472" s="1799"/>
      <c r="N472" s="1799"/>
      <c r="O472" s="1799"/>
      <c r="P472" s="1799"/>
      <c r="Q472" s="1799"/>
      <c r="R472" s="1799"/>
      <c r="S472" s="1799"/>
      <c r="T472" s="1799"/>
      <c r="U472" s="1799"/>
      <c r="V472" s="1799"/>
      <c r="W472" s="1799"/>
      <c r="X472" s="1799"/>
      <c r="Y472" s="1799"/>
      <c r="Z472" s="1799"/>
    </row>
    <row r="473">
      <c r="A473" s="1799"/>
      <c r="B473" s="1799"/>
      <c r="C473" s="1799"/>
      <c r="D473" s="1812"/>
      <c r="E473" s="1799"/>
      <c r="F473" s="1813"/>
      <c r="G473" s="1814"/>
      <c r="H473" s="1799"/>
      <c r="I473" s="1799"/>
      <c r="J473" s="1799"/>
      <c r="K473" s="1799"/>
      <c r="L473" s="1799"/>
      <c r="M473" s="1799"/>
      <c r="N473" s="1799"/>
      <c r="O473" s="1799"/>
      <c r="P473" s="1799"/>
      <c r="Q473" s="1799"/>
      <c r="R473" s="1799"/>
      <c r="S473" s="1799"/>
      <c r="T473" s="1799"/>
      <c r="U473" s="1799"/>
      <c r="V473" s="1799"/>
      <c r="W473" s="1799"/>
      <c r="X473" s="1799"/>
      <c r="Y473" s="1799"/>
      <c r="Z473" s="1799"/>
    </row>
    <row r="474">
      <c r="A474" s="1799"/>
      <c r="B474" s="1799"/>
      <c r="C474" s="1799"/>
      <c r="D474" s="1812"/>
      <c r="E474" s="1799"/>
      <c r="F474" s="1813"/>
      <c r="G474" s="1814"/>
      <c r="H474" s="1799"/>
      <c r="I474" s="1799"/>
      <c r="J474" s="1799"/>
      <c r="K474" s="1799"/>
      <c r="L474" s="1799"/>
      <c r="M474" s="1799"/>
      <c r="N474" s="1799"/>
      <c r="O474" s="1799"/>
      <c r="P474" s="1799"/>
      <c r="Q474" s="1799"/>
      <c r="R474" s="1799"/>
      <c r="S474" s="1799"/>
      <c r="T474" s="1799"/>
      <c r="U474" s="1799"/>
      <c r="V474" s="1799"/>
      <c r="W474" s="1799"/>
      <c r="X474" s="1799"/>
      <c r="Y474" s="1799"/>
      <c r="Z474" s="1799"/>
    </row>
    <row r="475">
      <c r="A475" s="1799"/>
      <c r="B475" s="1799"/>
      <c r="C475" s="1799"/>
      <c r="D475" s="1812"/>
      <c r="E475" s="1799"/>
      <c r="F475" s="1813"/>
      <c r="G475" s="1814"/>
      <c r="H475" s="1799"/>
      <c r="I475" s="1799"/>
      <c r="J475" s="1799"/>
      <c r="K475" s="1799"/>
      <c r="L475" s="1799"/>
      <c r="M475" s="1799"/>
      <c r="N475" s="1799"/>
      <c r="O475" s="1799"/>
      <c r="P475" s="1799"/>
      <c r="Q475" s="1799"/>
      <c r="R475" s="1799"/>
      <c r="S475" s="1799"/>
      <c r="T475" s="1799"/>
      <c r="U475" s="1799"/>
      <c r="V475" s="1799"/>
      <c r="W475" s="1799"/>
      <c r="X475" s="1799"/>
      <c r="Y475" s="1799"/>
      <c r="Z475" s="1799"/>
    </row>
    <row r="476">
      <c r="A476" s="1799"/>
      <c r="B476" s="1799"/>
      <c r="C476" s="1799"/>
      <c r="D476" s="1812"/>
      <c r="E476" s="1799"/>
      <c r="F476" s="1813"/>
      <c r="G476" s="1814"/>
      <c r="H476" s="1799"/>
      <c r="I476" s="1799"/>
      <c r="J476" s="1799"/>
      <c r="K476" s="1799"/>
      <c r="L476" s="1799"/>
      <c r="M476" s="1799"/>
      <c r="N476" s="1799"/>
      <c r="O476" s="1799"/>
      <c r="P476" s="1799"/>
      <c r="Q476" s="1799"/>
      <c r="R476" s="1799"/>
      <c r="S476" s="1799"/>
      <c r="T476" s="1799"/>
      <c r="U476" s="1799"/>
      <c r="V476" s="1799"/>
      <c r="W476" s="1799"/>
      <c r="X476" s="1799"/>
      <c r="Y476" s="1799"/>
      <c r="Z476" s="1799"/>
    </row>
    <row r="477">
      <c r="A477" s="1799"/>
      <c r="B477" s="1799"/>
      <c r="C477" s="1799"/>
      <c r="D477" s="1812"/>
      <c r="E477" s="1799"/>
      <c r="F477" s="1813"/>
      <c r="G477" s="1814"/>
      <c r="H477" s="1799"/>
      <c r="I477" s="1799"/>
      <c r="J477" s="1799"/>
      <c r="K477" s="1799"/>
      <c r="L477" s="1799"/>
      <c r="M477" s="1799"/>
      <c r="N477" s="1799"/>
      <c r="O477" s="1799"/>
      <c r="P477" s="1799"/>
      <c r="Q477" s="1799"/>
      <c r="R477" s="1799"/>
      <c r="S477" s="1799"/>
      <c r="T477" s="1799"/>
      <c r="U477" s="1799"/>
      <c r="V477" s="1799"/>
      <c r="W477" s="1799"/>
      <c r="X477" s="1799"/>
      <c r="Y477" s="1799"/>
      <c r="Z477" s="1799"/>
    </row>
    <row r="478">
      <c r="A478" s="1799"/>
      <c r="B478" s="1799"/>
      <c r="C478" s="1799"/>
      <c r="D478" s="1812"/>
      <c r="E478" s="1799"/>
      <c r="F478" s="1813"/>
      <c r="G478" s="1814"/>
      <c r="H478" s="1799"/>
      <c r="I478" s="1799"/>
      <c r="J478" s="1799"/>
      <c r="K478" s="1799"/>
      <c r="L478" s="1799"/>
      <c r="M478" s="1799"/>
      <c r="N478" s="1799"/>
      <c r="O478" s="1799"/>
      <c r="P478" s="1799"/>
      <c r="Q478" s="1799"/>
      <c r="R478" s="1799"/>
      <c r="S478" s="1799"/>
      <c r="T478" s="1799"/>
      <c r="U478" s="1799"/>
      <c r="V478" s="1799"/>
      <c r="W478" s="1799"/>
      <c r="X478" s="1799"/>
      <c r="Y478" s="1799"/>
      <c r="Z478" s="1799"/>
    </row>
    <row r="479">
      <c r="A479" s="1799"/>
      <c r="B479" s="1799"/>
      <c r="C479" s="1799"/>
      <c r="D479" s="1812"/>
      <c r="E479" s="1799"/>
      <c r="F479" s="1813"/>
      <c r="G479" s="1814"/>
      <c r="H479" s="1799"/>
      <c r="I479" s="1799"/>
      <c r="J479" s="1799"/>
      <c r="K479" s="1799"/>
      <c r="L479" s="1799"/>
      <c r="M479" s="1799"/>
      <c r="N479" s="1799"/>
      <c r="O479" s="1799"/>
      <c r="P479" s="1799"/>
      <c r="Q479" s="1799"/>
      <c r="R479" s="1799"/>
      <c r="S479" s="1799"/>
      <c r="T479" s="1799"/>
      <c r="U479" s="1799"/>
      <c r="V479" s="1799"/>
      <c r="W479" s="1799"/>
      <c r="X479" s="1799"/>
      <c r="Y479" s="1799"/>
      <c r="Z479" s="1799"/>
    </row>
    <row r="480">
      <c r="A480" s="1799"/>
      <c r="B480" s="1799"/>
      <c r="C480" s="1799"/>
      <c r="D480" s="1812"/>
      <c r="E480" s="1799"/>
      <c r="F480" s="1813"/>
      <c r="G480" s="1814"/>
      <c r="H480" s="1799"/>
      <c r="I480" s="1799"/>
      <c r="J480" s="1799"/>
      <c r="K480" s="1799"/>
      <c r="L480" s="1799"/>
      <c r="M480" s="1799"/>
      <c r="N480" s="1799"/>
      <c r="O480" s="1799"/>
      <c r="P480" s="1799"/>
      <c r="Q480" s="1799"/>
      <c r="R480" s="1799"/>
      <c r="S480" s="1799"/>
      <c r="T480" s="1799"/>
      <c r="U480" s="1799"/>
      <c r="V480" s="1799"/>
      <c r="W480" s="1799"/>
      <c r="X480" s="1799"/>
      <c r="Y480" s="1799"/>
      <c r="Z480" s="1799"/>
    </row>
    <row r="481">
      <c r="A481" s="1799"/>
      <c r="B481" s="1799"/>
      <c r="C481" s="1799"/>
      <c r="D481" s="1812"/>
      <c r="E481" s="1799"/>
      <c r="F481" s="1813"/>
      <c r="G481" s="1814"/>
      <c r="H481" s="1799"/>
      <c r="I481" s="1799"/>
      <c r="J481" s="1799"/>
      <c r="K481" s="1799"/>
      <c r="L481" s="1799"/>
      <c r="M481" s="1799"/>
      <c r="N481" s="1799"/>
      <c r="O481" s="1799"/>
      <c r="P481" s="1799"/>
      <c r="Q481" s="1799"/>
      <c r="R481" s="1799"/>
      <c r="S481" s="1799"/>
      <c r="T481" s="1799"/>
      <c r="U481" s="1799"/>
      <c r="V481" s="1799"/>
      <c r="W481" s="1799"/>
      <c r="X481" s="1799"/>
      <c r="Y481" s="1799"/>
      <c r="Z481" s="1799"/>
    </row>
    <row r="482">
      <c r="A482" s="1799"/>
      <c r="B482" s="1799"/>
      <c r="C482" s="1799"/>
      <c r="D482" s="1812"/>
      <c r="E482" s="1799"/>
      <c r="F482" s="1813"/>
      <c r="G482" s="1814"/>
      <c r="H482" s="1799"/>
      <c r="I482" s="1799"/>
      <c r="J482" s="1799"/>
      <c r="K482" s="1799"/>
      <c r="L482" s="1799"/>
      <c r="M482" s="1799"/>
      <c r="N482" s="1799"/>
      <c r="O482" s="1799"/>
      <c r="P482" s="1799"/>
      <c r="Q482" s="1799"/>
      <c r="R482" s="1799"/>
      <c r="S482" s="1799"/>
      <c r="T482" s="1799"/>
      <c r="U482" s="1799"/>
      <c r="V482" s="1799"/>
      <c r="W482" s="1799"/>
      <c r="X482" s="1799"/>
      <c r="Y482" s="1799"/>
      <c r="Z482" s="1799"/>
    </row>
    <row r="483">
      <c r="A483" s="1799"/>
      <c r="B483" s="1799"/>
      <c r="C483" s="1799"/>
      <c r="D483" s="1812"/>
      <c r="E483" s="1799"/>
      <c r="F483" s="1813"/>
      <c r="G483" s="1814"/>
      <c r="H483" s="1799"/>
      <c r="I483" s="1799"/>
      <c r="J483" s="1799"/>
      <c r="K483" s="1799"/>
      <c r="L483" s="1799"/>
      <c r="M483" s="1799"/>
      <c r="N483" s="1799"/>
      <c r="O483" s="1799"/>
      <c r="P483" s="1799"/>
      <c r="Q483" s="1799"/>
      <c r="R483" s="1799"/>
      <c r="S483" s="1799"/>
      <c r="T483" s="1799"/>
      <c r="U483" s="1799"/>
      <c r="V483" s="1799"/>
      <c r="W483" s="1799"/>
      <c r="X483" s="1799"/>
      <c r="Y483" s="1799"/>
      <c r="Z483" s="1799"/>
    </row>
    <row r="484">
      <c r="A484" s="1799"/>
      <c r="B484" s="1799"/>
      <c r="C484" s="1799"/>
      <c r="D484" s="1812"/>
      <c r="E484" s="1799"/>
      <c r="F484" s="1813"/>
      <c r="G484" s="1814"/>
      <c r="H484" s="1799"/>
      <c r="I484" s="1799"/>
      <c r="J484" s="1799"/>
      <c r="K484" s="1799"/>
      <c r="L484" s="1799"/>
      <c r="M484" s="1799"/>
      <c r="N484" s="1799"/>
      <c r="O484" s="1799"/>
      <c r="P484" s="1799"/>
      <c r="Q484" s="1799"/>
      <c r="R484" s="1799"/>
      <c r="S484" s="1799"/>
      <c r="T484" s="1799"/>
      <c r="U484" s="1799"/>
      <c r="V484" s="1799"/>
      <c r="W484" s="1799"/>
      <c r="X484" s="1799"/>
      <c r="Y484" s="1799"/>
      <c r="Z484" s="1799"/>
    </row>
    <row r="485">
      <c r="A485" s="1799"/>
      <c r="B485" s="1799"/>
      <c r="C485" s="1799"/>
      <c r="D485" s="1812"/>
      <c r="E485" s="1799"/>
      <c r="F485" s="1813"/>
      <c r="G485" s="1814"/>
      <c r="H485" s="1799"/>
      <c r="I485" s="1799"/>
      <c r="J485" s="1799"/>
      <c r="K485" s="1799"/>
      <c r="L485" s="1799"/>
      <c r="M485" s="1799"/>
      <c r="N485" s="1799"/>
      <c r="O485" s="1799"/>
      <c r="P485" s="1799"/>
      <c r="Q485" s="1799"/>
      <c r="R485" s="1799"/>
      <c r="S485" s="1799"/>
      <c r="T485" s="1799"/>
      <c r="U485" s="1799"/>
      <c r="V485" s="1799"/>
      <c r="W485" s="1799"/>
      <c r="X485" s="1799"/>
      <c r="Y485" s="1799"/>
      <c r="Z485" s="1799"/>
    </row>
    <row r="486">
      <c r="A486" s="1799"/>
      <c r="B486" s="1799"/>
      <c r="C486" s="1799"/>
      <c r="D486" s="1812"/>
      <c r="E486" s="1799"/>
      <c r="F486" s="1813"/>
      <c r="G486" s="1814"/>
      <c r="H486" s="1799"/>
      <c r="I486" s="1799"/>
      <c r="J486" s="1799"/>
      <c r="K486" s="1799"/>
      <c r="L486" s="1799"/>
      <c r="M486" s="1799"/>
      <c r="N486" s="1799"/>
      <c r="O486" s="1799"/>
      <c r="P486" s="1799"/>
      <c r="Q486" s="1799"/>
      <c r="R486" s="1799"/>
      <c r="S486" s="1799"/>
      <c r="T486" s="1799"/>
      <c r="U486" s="1799"/>
      <c r="V486" s="1799"/>
      <c r="W486" s="1799"/>
      <c r="X486" s="1799"/>
      <c r="Y486" s="1799"/>
      <c r="Z486" s="1799"/>
    </row>
    <row r="487">
      <c r="A487" s="1799"/>
      <c r="B487" s="1799"/>
      <c r="C487" s="1799"/>
      <c r="D487" s="1812"/>
      <c r="E487" s="1799"/>
      <c r="F487" s="1813"/>
      <c r="G487" s="1814"/>
      <c r="H487" s="1799"/>
      <c r="I487" s="1799"/>
      <c r="J487" s="1799"/>
      <c r="K487" s="1799"/>
      <c r="L487" s="1799"/>
      <c r="M487" s="1799"/>
      <c r="N487" s="1799"/>
      <c r="O487" s="1799"/>
      <c r="P487" s="1799"/>
      <c r="Q487" s="1799"/>
      <c r="R487" s="1799"/>
      <c r="S487" s="1799"/>
      <c r="T487" s="1799"/>
      <c r="U487" s="1799"/>
      <c r="V487" s="1799"/>
      <c r="W487" s="1799"/>
      <c r="X487" s="1799"/>
      <c r="Y487" s="1799"/>
      <c r="Z487" s="1799"/>
    </row>
    <row r="488">
      <c r="A488" s="1799"/>
      <c r="B488" s="1799"/>
      <c r="C488" s="1799"/>
      <c r="D488" s="1812"/>
      <c r="E488" s="1799"/>
      <c r="F488" s="1813"/>
      <c r="G488" s="1814"/>
      <c r="H488" s="1799"/>
      <c r="I488" s="1799"/>
      <c r="J488" s="1799"/>
      <c r="K488" s="1799"/>
      <c r="L488" s="1799"/>
      <c r="M488" s="1799"/>
      <c r="N488" s="1799"/>
      <c r="O488" s="1799"/>
      <c r="P488" s="1799"/>
      <c r="Q488" s="1799"/>
      <c r="R488" s="1799"/>
      <c r="S488" s="1799"/>
      <c r="T488" s="1799"/>
      <c r="U488" s="1799"/>
      <c r="V488" s="1799"/>
      <c r="W488" s="1799"/>
      <c r="X488" s="1799"/>
      <c r="Y488" s="1799"/>
      <c r="Z488" s="1799"/>
    </row>
    <row r="489">
      <c r="A489" s="1799"/>
      <c r="B489" s="1799"/>
      <c r="C489" s="1799"/>
      <c r="D489" s="1812"/>
      <c r="E489" s="1799"/>
      <c r="F489" s="1813"/>
      <c r="G489" s="1814"/>
      <c r="H489" s="1799"/>
      <c r="I489" s="1799"/>
      <c r="J489" s="1799"/>
      <c r="K489" s="1799"/>
      <c r="L489" s="1799"/>
      <c r="M489" s="1799"/>
      <c r="N489" s="1799"/>
      <c r="O489" s="1799"/>
      <c r="P489" s="1799"/>
      <c r="Q489" s="1799"/>
      <c r="R489" s="1799"/>
      <c r="S489" s="1799"/>
      <c r="T489" s="1799"/>
      <c r="U489" s="1799"/>
      <c r="V489" s="1799"/>
      <c r="W489" s="1799"/>
      <c r="X489" s="1799"/>
      <c r="Y489" s="1799"/>
      <c r="Z489" s="1799"/>
    </row>
    <row r="490">
      <c r="A490" s="1799"/>
      <c r="B490" s="1799"/>
      <c r="C490" s="1799"/>
      <c r="D490" s="1812"/>
      <c r="E490" s="1799"/>
      <c r="F490" s="1813"/>
      <c r="G490" s="1814"/>
      <c r="H490" s="1799"/>
      <c r="I490" s="1799"/>
      <c r="J490" s="1799"/>
      <c r="K490" s="1799"/>
      <c r="L490" s="1799"/>
      <c r="M490" s="1799"/>
      <c r="N490" s="1799"/>
      <c r="O490" s="1799"/>
      <c r="P490" s="1799"/>
      <c r="Q490" s="1799"/>
      <c r="R490" s="1799"/>
      <c r="S490" s="1799"/>
      <c r="T490" s="1799"/>
      <c r="U490" s="1799"/>
      <c r="V490" s="1799"/>
      <c r="W490" s="1799"/>
      <c r="X490" s="1799"/>
      <c r="Y490" s="1799"/>
      <c r="Z490" s="1799"/>
    </row>
    <row r="491">
      <c r="A491" s="1799"/>
      <c r="B491" s="1799"/>
      <c r="C491" s="1799"/>
      <c r="D491" s="1812"/>
      <c r="E491" s="1799"/>
      <c r="F491" s="1813"/>
      <c r="G491" s="1814"/>
      <c r="H491" s="1799"/>
      <c r="I491" s="1799"/>
      <c r="J491" s="1799"/>
      <c r="K491" s="1799"/>
      <c r="L491" s="1799"/>
      <c r="M491" s="1799"/>
      <c r="N491" s="1799"/>
      <c r="O491" s="1799"/>
      <c r="P491" s="1799"/>
      <c r="Q491" s="1799"/>
      <c r="R491" s="1799"/>
      <c r="S491" s="1799"/>
      <c r="T491" s="1799"/>
      <c r="U491" s="1799"/>
      <c r="V491" s="1799"/>
      <c r="W491" s="1799"/>
      <c r="X491" s="1799"/>
      <c r="Y491" s="1799"/>
      <c r="Z491" s="1799"/>
    </row>
    <row r="492">
      <c r="A492" s="1799"/>
      <c r="B492" s="1799"/>
      <c r="C492" s="1799"/>
      <c r="D492" s="1812"/>
      <c r="E492" s="1799"/>
      <c r="F492" s="1813"/>
      <c r="G492" s="1814"/>
      <c r="H492" s="1799"/>
      <c r="I492" s="1799"/>
      <c r="J492" s="1799"/>
      <c r="K492" s="1799"/>
      <c r="L492" s="1799"/>
      <c r="M492" s="1799"/>
      <c r="N492" s="1799"/>
      <c r="O492" s="1799"/>
      <c r="P492" s="1799"/>
      <c r="Q492" s="1799"/>
      <c r="R492" s="1799"/>
      <c r="S492" s="1799"/>
      <c r="T492" s="1799"/>
      <c r="U492" s="1799"/>
      <c r="V492" s="1799"/>
      <c r="W492" s="1799"/>
      <c r="X492" s="1799"/>
      <c r="Y492" s="1799"/>
      <c r="Z492" s="1799"/>
    </row>
    <row r="493">
      <c r="A493" s="1799"/>
      <c r="B493" s="1799"/>
      <c r="C493" s="1799"/>
      <c r="D493" s="1812"/>
      <c r="E493" s="1799"/>
      <c r="F493" s="1813"/>
      <c r="G493" s="1814"/>
      <c r="H493" s="1799"/>
      <c r="I493" s="1799"/>
      <c r="J493" s="1799"/>
      <c r="K493" s="1799"/>
      <c r="L493" s="1799"/>
      <c r="M493" s="1799"/>
      <c r="N493" s="1799"/>
      <c r="O493" s="1799"/>
      <c r="P493" s="1799"/>
      <c r="Q493" s="1799"/>
      <c r="R493" s="1799"/>
      <c r="S493" s="1799"/>
      <c r="T493" s="1799"/>
      <c r="U493" s="1799"/>
      <c r="V493" s="1799"/>
      <c r="W493" s="1799"/>
      <c r="X493" s="1799"/>
      <c r="Y493" s="1799"/>
      <c r="Z493" s="1799"/>
    </row>
    <row r="494">
      <c r="A494" s="1799"/>
      <c r="B494" s="1799"/>
      <c r="C494" s="1799"/>
      <c r="D494" s="1812"/>
      <c r="E494" s="1799"/>
      <c r="F494" s="1813"/>
      <c r="G494" s="1814"/>
      <c r="H494" s="1799"/>
      <c r="I494" s="1799"/>
      <c r="J494" s="1799"/>
      <c r="K494" s="1799"/>
      <c r="L494" s="1799"/>
      <c r="M494" s="1799"/>
      <c r="N494" s="1799"/>
      <c r="O494" s="1799"/>
      <c r="P494" s="1799"/>
      <c r="Q494" s="1799"/>
      <c r="R494" s="1799"/>
      <c r="S494" s="1799"/>
      <c r="T494" s="1799"/>
      <c r="U494" s="1799"/>
      <c r="V494" s="1799"/>
      <c r="W494" s="1799"/>
      <c r="X494" s="1799"/>
      <c r="Y494" s="1799"/>
      <c r="Z494" s="1799"/>
    </row>
    <row r="495">
      <c r="A495" s="1799"/>
      <c r="B495" s="1799"/>
      <c r="C495" s="1799"/>
      <c r="D495" s="1812"/>
      <c r="E495" s="1799"/>
      <c r="F495" s="1813"/>
      <c r="G495" s="1814"/>
      <c r="H495" s="1799"/>
      <c r="I495" s="1799"/>
      <c r="J495" s="1799"/>
      <c r="K495" s="1799"/>
      <c r="L495" s="1799"/>
      <c r="M495" s="1799"/>
      <c r="N495" s="1799"/>
      <c r="O495" s="1799"/>
      <c r="P495" s="1799"/>
      <c r="Q495" s="1799"/>
      <c r="R495" s="1799"/>
      <c r="S495" s="1799"/>
      <c r="T495" s="1799"/>
      <c r="U495" s="1799"/>
      <c r="V495" s="1799"/>
      <c r="W495" s="1799"/>
      <c r="X495" s="1799"/>
      <c r="Y495" s="1799"/>
      <c r="Z495" s="1799"/>
    </row>
    <row r="496">
      <c r="A496" s="1799"/>
      <c r="B496" s="1799"/>
      <c r="C496" s="1799"/>
      <c r="D496" s="1812"/>
      <c r="E496" s="1799"/>
      <c r="F496" s="1813"/>
      <c r="G496" s="1814"/>
      <c r="H496" s="1799"/>
      <c r="I496" s="1799"/>
      <c r="J496" s="1799"/>
      <c r="K496" s="1799"/>
      <c r="L496" s="1799"/>
      <c r="M496" s="1799"/>
      <c r="N496" s="1799"/>
      <c r="O496" s="1799"/>
      <c r="P496" s="1799"/>
      <c r="Q496" s="1799"/>
      <c r="R496" s="1799"/>
      <c r="S496" s="1799"/>
      <c r="T496" s="1799"/>
      <c r="U496" s="1799"/>
      <c r="V496" s="1799"/>
      <c r="W496" s="1799"/>
      <c r="X496" s="1799"/>
      <c r="Y496" s="1799"/>
      <c r="Z496" s="1799"/>
    </row>
    <row r="497">
      <c r="A497" s="1799"/>
      <c r="B497" s="1799"/>
      <c r="C497" s="1799"/>
      <c r="D497" s="1812"/>
      <c r="E497" s="1799"/>
      <c r="F497" s="1813"/>
      <c r="G497" s="1814"/>
      <c r="H497" s="1799"/>
      <c r="I497" s="1799"/>
      <c r="J497" s="1799"/>
      <c r="K497" s="1799"/>
      <c r="L497" s="1799"/>
      <c r="M497" s="1799"/>
      <c r="N497" s="1799"/>
      <c r="O497" s="1799"/>
      <c r="P497" s="1799"/>
      <c r="Q497" s="1799"/>
      <c r="R497" s="1799"/>
      <c r="S497" s="1799"/>
      <c r="T497" s="1799"/>
      <c r="U497" s="1799"/>
      <c r="V497" s="1799"/>
      <c r="W497" s="1799"/>
      <c r="X497" s="1799"/>
      <c r="Y497" s="1799"/>
      <c r="Z497" s="1799"/>
    </row>
    <row r="498">
      <c r="A498" s="1799"/>
      <c r="B498" s="1799"/>
      <c r="C498" s="1799"/>
      <c r="D498" s="1812"/>
      <c r="E498" s="1799"/>
      <c r="F498" s="1813"/>
      <c r="G498" s="1814"/>
      <c r="H498" s="1799"/>
      <c r="I498" s="1799"/>
      <c r="J498" s="1799"/>
      <c r="K498" s="1799"/>
      <c r="L498" s="1799"/>
      <c r="M498" s="1799"/>
      <c r="N498" s="1799"/>
      <c r="O498" s="1799"/>
      <c r="P498" s="1799"/>
      <c r="Q498" s="1799"/>
      <c r="R498" s="1799"/>
      <c r="S498" s="1799"/>
      <c r="T498" s="1799"/>
      <c r="U498" s="1799"/>
      <c r="V498" s="1799"/>
      <c r="W498" s="1799"/>
      <c r="X498" s="1799"/>
      <c r="Y498" s="1799"/>
      <c r="Z498" s="1799"/>
    </row>
    <row r="499">
      <c r="A499" s="1799"/>
      <c r="B499" s="1799"/>
      <c r="C499" s="1799"/>
      <c r="D499" s="1812"/>
      <c r="E499" s="1799"/>
      <c r="F499" s="1813"/>
      <c r="G499" s="1814"/>
      <c r="H499" s="1799"/>
      <c r="I499" s="1799"/>
      <c r="J499" s="1799"/>
      <c r="K499" s="1799"/>
      <c r="L499" s="1799"/>
      <c r="M499" s="1799"/>
      <c r="N499" s="1799"/>
      <c r="O499" s="1799"/>
      <c r="P499" s="1799"/>
      <c r="Q499" s="1799"/>
      <c r="R499" s="1799"/>
      <c r="S499" s="1799"/>
      <c r="T499" s="1799"/>
      <c r="U499" s="1799"/>
      <c r="V499" s="1799"/>
      <c r="W499" s="1799"/>
      <c r="X499" s="1799"/>
      <c r="Y499" s="1799"/>
      <c r="Z499" s="1799"/>
    </row>
    <row r="500">
      <c r="A500" s="1799"/>
      <c r="B500" s="1799"/>
      <c r="C500" s="1799"/>
      <c r="D500" s="1812"/>
      <c r="E500" s="1799"/>
      <c r="F500" s="1813"/>
      <c r="G500" s="1814"/>
      <c r="H500" s="1799"/>
      <c r="I500" s="1799"/>
      <c r="J500" s="1799"/>
      <c r="K500" s="1799"/>
      <c r="L500" s="1799"/>
      <c r="M500" s="1799"/>
      <c r="N500" s="1799"/>
      <c r="O500" s="1799"/>
      <c r="P500" s="1799"/>
      <c r="Q500" s="1799"/>
      <c r="R500" s="1799"/>
      <c r="S500" s="1799"/>
      <c r="T500" s="1799"/>
      <c r="U500" s="1799"/>
      <c r="V500" s="1799"/>
      <c r="W500" s="1799"/>
      <c r="X500" s="1799"/>
      <c r="Y500" s="1799"/>
      <c r="Z500" s="1799"/>
    </row>
    <row r="501">
      <c r="A501" s="1799"/>
      <c r="B501" s="1799"/>
      <c r="C501" s="1799"/>
      <c r="D501" s="1812"/>
      <c r="E501" s="1799"/>
      <c r="F501" s="1813"/>
      <c r="G501" s="1814"/>
      <c r="H501" s="1799"/>
      <c r="I501" s="1799"/>
      <c r="J501" s="1799"/>
      <c r="K501" s="1799"/>
      <c r="L501" s="1799"/>
      <c r="M501" s="1799"/>
      <c r="N501" s="1799"/>
      <c r="O501" s="1799"/>
      <c r="P501" s="1799"/>
      <c r="Q501" s="1799"/>
      <c r="R501" s="1799"/>
      <c r="S501" s="1799"/>
      <c r="T501" s="1799"/>
      <c r="U501" s="1799"/>
      <c r="V501" s="1799"/>
      <c r="W501" s="1799"/>
      <c r="X501" s="1799"/>
      <c r="Y501" s="1799"/>
      <c r="Z501" s="1799"/>
    </row>
    <row r="502">
      <c r="A502" s="1799"/>
      <c r="B502" s="1799"/>
      <c r="C502" s="1799"/>
      <c r="D502" s="1812"/>
      <c r="E502" s="1799"/>
      <c r="F502" s="1813"/>
      <c r="G502" s="1814"/>
      <c r="H502" s="1799"/>
      <c r="I502" s="1799"/>
      <c r="J502" s="1799"/>
      <c r="K502" s="1799"/>
      <c r="L502" s="1799"/>
      <c r="M502" s="1799"/>
      <c r="N502" s="1799"/>
      <c r="O502" s="1799"/>
      <c r="P502" s="1799"/>
      <c r="Q502" s="1799"/>
      <c r="R502" s="1799"/>
      <c r="S502" s="1799"/>
      <c r="T502" s="1799"/>
      <c r="U502" s="1799"/>
      <c r="V502" s="1799"/>
      <c r="W502" s="1799"/>
      <c r="X502" s="1799"/>
      <c r="Y502" s="1799"/>
      <c r="Z502" s="1799"/>
    </row>
    <row r="503">
      <c r="A503" s="1799"/>
      <c r="B503" s="1799"/>
      <c r="C503" s="1799"/>
      <c r="D503" s="1812"/>
      <c r="E503" s="1799"/>
      <c r="F503" s="1813"/>
      <c r="G503" s="1814"/>
      <c r="H503" s="1799"/>
      <c r="I503" s="1799"/>
      <c r="J503" s="1799"/>
      <c r="K503" s="1799"/>
      <c r="L503" s="1799"/>
      <c r="M503" s="1799"/>
      <c r="N503" s="1799"/>
      <c r="O503" s="1799"/>
      <c r="P503" s="1799"/>
      <c r="Q503" s="1799"/>
      <c r="R503" s="1799"/>
      <c r="S503" s="1799"/>
      <c r="T503" s="1799"/>
      <c r="U503" s="1799"/>
      <c r="V503" s="1799"/>
      <c r="W503" s="1799"/>
      <c r="X503" s="1799"/>
      <c r="Y503" s="1799"/>
      <c r="Z503" s="1799"/>
    </row>
    <row r="504">
      <c r="A504" s="1799"/>
      <c r="B504" s="1799"/>
      <c r="C504" s="1799"/>
      <c r="D504" s="1812"/>
      <c r="E504" s="1799"/>
      <c r="F504" s="1813"/>
      <c r="G504" s="1814"/>
      <c r="H504" s="1799"/>
      <c r="I504" s="1799"/>
      <c r="J504" s="1799"/>
      <c r="K504" s="1799"/>
      <c r="L504" s="1799"/>
      <c r="M504" s="1799"/>
      <c r="N504" s="1799"/>
      <c r="O504" s="1799"/>
      <c r="P504" s="1799"/>
      <c r="Q504" s="1799"/>
      <c r="R504" s="1799"/>
      <c r="S504" s="1799"/>
      <c r="T504" s="1799"/>
      <c r="U504" s="1799"/>
      <c r="V504" s="1799"/>
      <c r="W504" s="1799"/>
      <c r="X504" s="1799"/>
      <c r="Y504" s="1799"/>
      <c r="Z504" s="1799"/>
    </row>
    <row r="505">
      <c r="A505" s="1799"/>
      <c r="B505" s="1799"/>
      <c r="C505" s="1799"/>
      <c r="D505" s="1812"/>
      <c r="E505" s="1799"/>
      <c r="F505" s="1813"/>
      <c r="G505" s="1814"/>
      <c r="H505" s="1799"/>
      <c r="I505" s="1799"/>
      <c r="J505" s="1799"/>
      <c r="K505" s="1799"/>
      <c r="L505" s="1799"/>
      <c r="M505" s="1799"/>
      <c r="N505" s="1799"/>
      <c r="O505" s="1799"/>
      <c r="P505" s="1799"/>
      <c r="Q505" s="1799"/>
      <c r="R505" s="1799"/>
      <c r="S505" s="1799"/>
      <c r="T505" s="1799"/>
      <c r="U505" s="1799"/>
      <c r="V505" s="1799"/>
      <c r="W505" s="1799"/>
      <c r="X505" s="1799"/>
      <c r="Y505" s="1799"/>
      <c r="Z505" s="1799"/>
    </row>
    <row r="506">
      <c r="A506" s="1799"/>
      <c r="B506" s="1799"/>
      <c r="C506" s="1799"/>
      <c r="D506" s="1812"/>
      <c r="E506" s="1799"/>
      <c r="F506" s="1813"/>
      <c r="G506" s="1814"/>
      <c r="H506" s="1799"/>
      <c r="I506" s="1799"/>
      <c r="J506" s="1799"/>
      <c r="K506" s="1799"/>
      <c r="L506" s="1799"/>
      <c r="M506" s="1799"/>
      <c r="N506" s="1799"/>
      <c r="O506" s="1799"/>
      <c r="P506" s="1799"/>
      <c r="Q506" s="1799"/>
      <c r="R506" s="1799"/>
      <c r="S506" s="1799"/>
      <c r="T506" s="1799"/>
      <c r="U506" s="1799"/>
      <c r="V506" s="1799"/>
      <c r="W506" s="1799"/>
      <c r="X506" s="1799"/>
      <c r="Y506" s="1799"/>
      <c r="Z506" s="1799"/>
    </row>
    <row r="507">
      <c r="A507" s="1799"/>
      <c r="B507" s="1799"/>
      <c r="C507" s="1799"/>
      <c r="D507" s="1812"/>
      <c r="E507" s="1799"/>
      <c r="F507" s="1813"/>
      <c r="G507" s="1814"/>
      <c r="H507" s="1799"/>
      <c r="I507" s="1799"/>
      <c r="J507" s="1799"/>
      <c r="K507" s="1799"/>
      <c r="L507" s="1799"/>
      <c r="M507" s="1799"/>
      <c r="N507" s="1799"/>
      <c r="O507" s="1799"/>
      <c r="P507" s="1799"/>
      <c r="Q507" s="1799"/>
      <c r="R507" s="1799"/>
      <c r="S507" s="1799"/>
      <c r="T507" s="1799"/>
      <c r="U507" s="1799"/>
      <c r="V507" s="1799"/>
      <c r="W507" s="1799"/>
      <c r="X507" s="1799"/>
      <c r="Y507" s="1799"/>
      <c r="Z507" s="1799"/>
    </row>
    <row r="508">
      <c r="A508" s="1799"/>
      <c r="B508" s="1799"/>
      <c r="C508" s="1799"/>
      <c r="D508" s="1812"/>
      <c r="E508" s="1799"/>
      <c r="F508" s="1813"/>
      <c r="G508" s="1814"/>
      <c r="H508" s="1799"/>
      <c r="I508" s="1799"/>
      <c r="J508" s="1799"/>
      <c r="K508" s="1799"/>
      <c r="L508" s="1799"/>
      <c r="M508" s="1799"/>
      <c r="N508" s="1799"/>
      <c r="O508" s="1799"/>
      <c r="P508" s="1799"/>
      <c r="Q508" s="1799"/>
      <c r="R508" s="1799"/>
      <c r="S508" s="1799"/>
      <c r="T508" s="1799"/>
      <c r="U508" s="1799"/>
      <c r="V508" s="1799"/>
      <c r="W508" s="1799"/>
      <c r="X508" s="1799"/>
      <c r="Y508" s="1799"/>
      <c r="Z508" s="1799"/>
    </row>
    <row r="509">
      <c r="A509" s="1799"/>
      <c r="B509" s="1799"/>
      <c r="C509" s="1799"/>
      <c r="D509" s="1812"/>
      <c r="E509" s="1799"/>
      <c r="F509" s="1813"/>
      <c r="G509" s="1814"/>
      <c r="H509" s="1799"/>
      <c r="I509" s="1799"/>
      <c r="J509" s="1799"/>
      <c r="K509" s="1799"/>
      <c r="L509" s="1799"/>
      <c r="M509" s="1799"/>
      <c r="N509" s="1799"/>
      <c r="O509" s="1799"/>
      <c r="P509" s="1799"/>
      <c r="Q509" s="1799"/>
      <c r="R509" s="1799"/>
      <c r="S509" s="1799"/>
      <c r="T509" s="1799"/>
      <c r="U509" s="1799"/>
      <c r="V509" s="1799"/>
      <c r="W509" s="1799"/>
      <c r="X509" s="1799"/>
      <c r="Y509" s="1799"/>
      <c r="Z509" s="1799"/>
    </row>
    <row r="510">
      <c r="A510" s="1799"/>
      <c r="B510" s="1799"/>
      <c r="C510" s="1799"/>
      <c r="D510" s="1812"/>
      <c r="E510" s="1799"/>
      <c r="F510" s="1813"/>
      <c r="G510" s="1814"/>
      <c r="H510" s="1799"/>
      <c r="I510" s="1799"/>
      <c r="J510" s="1799"/>
      <c r="K510" s="1799"/>
      <c r="L510" s="1799"/>
      <c r="M510" s="1799"/>
      <c r="N510" s="1799"/>
      <c r="O510" s="1799"/>
      <c r="P510" s="1799"/>
      <c r="Q510" s="1799"/>
      <c r="R510" s="1799"/>
      <c r="S510" s="1799"/>
      <c r="T510" s="1799"/>
      <c r="U510" s="1799"/>
      <c r="V510" s="1799"/>
      <c r="W510" s="1799"/>
      <c r="X510" s="1799"/>
      <c r="Y510" s="1799"/>
      <c r="Z510" s="1799"/>
    </row>
    <row r="511">
      <c r="A511" s="1799"/>
      <c r="B511" s="1799"/>
      <c r="C511" s="1799"/>
      <c r="D511" s="1812"/>
      <c r="E511" s="1799"/>
      <c r="F511" s="1813"/>
      <c r="G511" s="1814"/>
      <c r="H511" s="1799"/>
      <c r="I511" s="1799"/>
      <c r="J511" s="1799"/>
      <c r="K511" s="1799"/>
      <c r="L511" s="1799"/>
      <c r="M511" s="1799"/>
      <c r="N511" s="1799"/>
      <c r="O511" s="1799"/>
      <c r="P511" s="1799"/>
      <c r="Q511" s="1799"/>
      <c r="R511" s="1799"/>
      <c r="S511" s="1799"/>
      <c r="T511" s="1799"/>
      <c r="U511" s="1799"/>
      <c r="V511" s="1799"/>
      <c r="W511" s="1799"/>
      <c r="X511" s="1799"/>
      <c r="Y511" s="1799"/>
      <c r="Z511" s="1799"/>
    </row>
    <row r="512">
      <c r="A512" s="1799"/>
      <c r="B512" s="1799"/>
      <c r="C512" s="1799"/>
      <c r="D512" s="1812"/>
      <c r="E512" s="1799"/>
      <c r="F512" s="1813"/>
      <c r="G512" s="1814"/>
      <c r="H512" s="1799"/>
      <c r="I512" s="1799"/>
      <c r="J512" s="1799"/>
      <c r="K512" s="1799"/>
      <c r="L512" s="1799"/>
      <c r="M512" s="1799"/>
      <c r="N512" s="1799"/>
      <c r="O512" s="1799"/>
      <c r="P512" s="1799"/>
      <c r="Q512" s="1799"/>
      <c r="R512" s="1799"/>
      <c r="S512" s="1799"/>
      <c r="T512" s="1799"/>
      <c r="U512" s="1799"/>
      <c r="V512" s="1799"/>
      <c r="W512" s="1799"/>
      <c r="X512" s="1799"/>
      <c r="Y512" s="1799"/>
      <c r="Z512" s="1799"/>
    </row>
    <row r="513">
      <c r="A513" s="1799"/>
      <c r="B513" s="1799"/>
      <c r="C513" s="1799"/>
      <c r="D513" s="1812"/>
      <c r="E513" s="1799"/>
      <c r="F513" s="1813"/>
      <c r="G513" s="1814"/>
      <c r="H513" s="1799"/>
      <c r="I513" s="1799"/>
      <c r="J513" s="1799"/>
      <c r="K513" s="1799"/>
      <c r="L513" s="1799"/>
      <c r="M513" s="1799"/>
      <c r="N513" s="1799"/>
      <c r="O513" s="1799"/>
      <c r="P513" s="1799"/>
      <c r="Q513" s="1799"/>
      <c r="R513" s="1799"/>
      <c r="S513" s="1799"/>
      <c r="T513" s="1799"/>
      <c r="U513" s="1799"/>
      <c r="V513" s="1799"/>
      <c r="W513" s="1799"/>
      <c r="X513" s="1799"/>
      <c r="Y513" s="1799"/>
      <c r="Z513" s="1799"/>
    </row>
    <row r="514">
      <c r="A514" s="1799"/>
      <c r="B514" s="1799"/>
      <c r="C514" s="1799"/>
      <c r="D514" s="1812"/>
      <c r="E514" s="1799"/>
      <c r="F514" s="1813"/>
      <c r="G514" s="1814"/>
      <c r="H514" s="1799"/>
      <c r="I514" s="1799"/>
      <c r="J514" s="1799"/>
      <c r="K514" s="1799"/>
      <c r="L514" s="1799"/>
      <c r="M514" s="1799"/>
      <c r="N514" s="1799"/>
      <c r="O514" s="1799"/>
      <c r="P514" s="1799"/>
      <c r="Q514" s="1799"/>
      <c r="R514" s="1799"/>
      <c r="S514" s="1799"/>
      <c r="T514" s="1799"/>
      <c r="U514" s="1799"/>
      <c r="V514" s="1799"/>
      <c r="W514" s="1799"/>
      <c r="X514" s="1799"/>
      <c r="Y514" s="1799"/>
      <c r="Z514" s="1799"/>
    </row>
    <row r="515">
      <c r="A515" s="1799"/>
      <c r="B515" s="1799"/>
      <c r="C515" s="1799"/>
      <c r="D515" s="1812"/>
      <c r="E515" s="1799"/>
      <c r="F515" s="1813"/>
      <c r="G515" s="1814"/>
      <c r="H515" s="1799"/>
      <c r="I515" s="1799"/>
      <c r="J515" s="1799"/>
      <c r="K515" s="1799"/>
      <c r="L515" s="1799"/>
      <c r="M515" s="1799"/>
      <c r="N515" s="1799"/>
      <c r="O515" s="1799"/>
      <c r="P515" s="1799"/>
      <c r="Q515" s="1799"/>
      <c r="R515" s="1799"/>
      <c r="S515" s="1799"/>
      <c r="T515" s="1799"/>
      <c r="U515" s="1799"/>
      <c r="V515" s="1799"/>
      <c r="W515" s="1799"/>
      <c r="X515" s="1799"/>
      <c r="Y515" s="1799"/>
      <c r="Z515" s="1799"/>
    </row>
    <row r="516">
      <c r="A516" s="1799"/>
      <c r="B516" s="1799"/>
      <c r="C516" s="1799"/>
      <c r="D516" s="1812"/>
      <c r="E516" s="1799"/>
      <c r="F516" s="1813"/>
      <c r="G516" s="1814"/>
      <c r="H516" s="1799"/>
      <c r="I516" s="1799"/>
      <c r="J516" s="1799"/>
      <c r="K516" s="1799"/>
      <c r="L516" s="1799"/>
      <c r="M516" s="1799"/>
      <c r="N516" s="1799"/>
      <c r="O516" s="1799"/>
      <c r="P516" s="1799"/>
      <c r="Q516" s="1799"/>
      <c r="R516" s="1799"/>
      <c r="S516" s="1799"/>
      <c r="T516" s="1799"/>
      <c r="U516" s="1799"/>
      <c r="V516" s="1799"/>
      <c r="W516" s="1799"/>
      <c r="X516" s="1799"/>
      <c r="Y516" s="1799"/>
      <c r="Z516" s="1799"/>
    </row>
    <row r="517">
      <c r="A517" s="1799"/>
      <c r="B517" s="1799"/>
      <c r="C517" s="1799"/>
      <c r="D517" s="1812"/>
      <c r="E517" s="1799"/>
      <c r="F517" s="1813"/>
      <c r="G517" s="1814"/>
      <c r="H517" s="1799"/>
      <c r="I517" s="1799"/>
      <c r="J517" s="1799"/>
      <c r="K517" s="1799"/>
      <c r="L517" s="1799"/>
      <c r="M517" s="1799"/>
      <c r="N517" s="1799"/>
      <c r="O517" s="1799"/>
      <c r="P517" s="1799"/>
      <c r="Q517" s="1799"/>
      <c r="R517" s="1799"/>
      <c r="S517" s="1799"/>
      <c r="T517" s="1799"/>
      <c r="U517" s="1799"/>
      <c r="V517" s="1799"/>
      <c r="W517" s="1799"/>
      <c r="X517" s="1799"/>
      <c r="Y517" s="1799"/>
      <c r="Z517" s="1799"/>
    </row>
    <row r="518">
      <c r="A518" s="1799"/>
      <c r="B518" s="1799"/>
      <c r="C518" s="1799"/>
      <c r="D518" s="1812"/>
      <c r="E518" s="1799"/>
      <c r="F518" s="1813"/>
      <c r="G518" s="1814"/>
      <c r="H518" s="1799"/>
      <c r="I518" s="1799"/>
      <c r="J518" s="1799"/>
      <c r="K518" s="1799"/>
      <c r="L518" s="1799"/>
      <c r="M518" s="1799"/>
      <c r="N518" s="1799"/>
      <c r="O518" s="1799"/>
      <c r="P518" s="1799"/>
      <c r="Q518" s="1799"/>
      <c r="R518" s="1799"/>
      <c r="S518" s="1799"/>
      <c r="T518" s="1799"/>
      <c r="U518" s="1799"/>
      <c r="V518" s="1799"/>
      <c r="W518" s="1799"/>
      <c r="X518" s="1799"/>
      <c r="Y518" s="1799"/>
      <c r="Z518" s="1799"/>
    </row>
    <row r="519">
      <c r="A519" s="1799"/>
      <c r="B519" s="1799"/>
      <c r="C519" s="1799"/>
      <c r="D519" s="1812"/>
      <c r="E519" s="1799"/>
      <c r="F519" s="1813"/>
      <c r="G519" s="1814"/>
      <c r="H519" s="1799"/>
      <c r="I519" s="1799"/>
      <c r="J519" s="1799"/>
      <c r="K519" s="1799"/>
      <c r="L519" s="1799"/>
      <c r="M519" s="1799"/>
      <c r="N519" s="1799"/>
      <c r="O519" s="1799"/>
      <c r="P519" s="1799"/>
      <c r="Q519" s="1799"/>
      <c r="R519" s="1799"/>
      <c r="S519" s="1799"/>
      <c r="T519" s="1799"/>
      <c r="U519" s="1799"/>
      <c r="V519" s="1799"/>
      <c r="W519" s="1799"/>
      <c r="X519" s="1799"/>
      <c r="Y519" s="1799"/>
      <c r="Z519" s="1799"/>
    </row>
    <row r="520">
      <c r="A520" s="1799"/>
      <c r="B520" s="1799"/>
      <c r="C520" s="1799"/>
      <c r="D520" s="1812"/>
      <c r="E520" s="1799"/>
      <c r="F520" s="1813"/>
      <c r="G520" s="1814"/>
      <c r="H520" s="1799"/>
      <c r="I520" s="1799"/>
      <c r="J520" s="1799"/>
      <c r="K520" s="1799"/>
      <c r="L520" s="1799"/>
      <c r="M520" s="1799"/>
      <c r="N520" s="1799"/>
      <c r="O520" s="1799"/>
      <c r="P520" s="1799"/>
      <c r="Q520" s="1799"/>
      <c r="R520" s="1799"/>
      <c r="S520" s="1799"/>
      <c r="T520" s="1799"/>
      <c r="U520" s="1799"/>
      <c r="V520" s="1799"/>
      <c r="W520" s="1799"/>
      <c r="X520" s="1799"/>
      <c r="Y520" s="1799"/>
      <c r="Z520" s="1799"/>
    </row>
    <row r="521">
      <c r="A521" s="1799"/>
      <c r="B521" s="1799"/>
      <c r="C521" s="1799"/>
      <c r="D521" s="1812"/>
      <c r="E521" s="1799"/>
      <c r="F521" s="1813"/>
      <c r="G521" s="1814"/>
      <c r="H521" s="1799"/>
      <c r="I521" s="1799"/>
      <c r="J521" s="1799"/>
      <c r="K521" s="1799"/>
      <c r="L521" s="1799"/>
      <c r="M521" s="1799"/>
      <c r="N521" s="1799"/>
      <c r="O521" s="1799"/>
      <c r="P521" s="1799"/>
      <c r="Q521" s="1799"/>
      <c r="R521" s="1799"/>
      <c r="S521" s="1799"/>
      <c r="T521" s="1799"/>
      <c r="U521" s="1799"/>
      <c r="V521" s="1799"/>
      <c r="W521" s="1799"/>
      <c r="X521" s="1799"/>
      <c r="Y521" s="1799"/>
      <c r="Z521" s="1799"/>
    </row>
    <row r="522">
      <c r="A522" s="1799"/>
      <c r="B522" s="1799"/>
      <c r="C522" s="1799"/>
      <c r="D522" s="1812"/>
      <c r="E522" s="1799"/>
      <c r="F522" s="1813"/>
      <c r="G522" s="1814"/>
      <c r="H522" s="1799"/>
      <c r="I522" s="1799"/>
      <c r="J522" s="1799"/>
      <c r="K522" s="1799"/>
      <c r="L522" s="1799"/>
      <c r="M522" s="1799"/>
      <c r="N522" s="1799"/>
      <c r="O522" s="1799"/>
      <c r="P522" s="1799"/>
      <c r="Q522" s="1799"/>
      <c r="R522" s="1799"/>
      <c r="S522" s="1799"/>
      <c r="T522" s="1799"/>
      <c r="U522" s="1799"/>
      <c r="V522" s="1799"/>
      <c r="W522" s="1799"/>
      <c r="X522" s="1799"/>
      <c r="Y522" s="1799"/>
      <c r="Z522" s="1799"/>
    </row>
    <row r="523">
      <c r="A523" s="1799"/>
      <c r="B523" s="1799"/>
      <c r="C523" s="1799"/>
      <c r="D523" s="1812"/>
      <c r="E523" s="1799"/>
      <c r="F523" s="1813"/>
      <c r="G523" s="1814"/>
      <c r="H523" s="1799"/>
      <c r="I523" s="1799"/>
      <c r="J523" s="1799"/>
      <c r="K523" s="1799"/>
      <c r="L523" s="1799"/>
      <c r="M523" s="1799"/>
      <c r="N523" s="1799"/>
      <c r="O523" s="1799"/>
      <c r="P523" s="1799"/>
      <c r="Q523" s="1799"/>
      <c r="R523" s="1799"/>
      <c r="S523" s="1799"/>
      <c r="T523" s="1799"/>
      <c r="U523" s="1799"/>
      <c r="V523" s="1799"/>
      <c r="W523" s="1799"/>
      <c r="X523" s="1799"/>
      <c r="Y523" s="1799"/>
      <c r="Z523" s="1799"/>
    </row>
    <row r="524">
      <c r="A524" s="1799"/>
      <c r="B524" s="1799"/>
      <c r="C524" s="1799"/>
      <c r="D524" s="1812"/>
      <c r="E524" s="1799"/>
      <c r="F524" s="1813"/>
      <c r="G524" s="1814"/>
      <c r="H524" s="1799"/>
      <c r="I524" s="1799"/>
      <c r="J524" s="1799"/>
      <c r="K524" s="1799"/>
      <c r="L524" s="1799"/>
      <c r="M524" s="1799"/>
      <c r="N524" s="1799"/>
      <c r="O524" s="1799"/>
      <c r="P524" s="1799"/>
      <c r="Q524" s="1799"/>
      <c r="R524" s="1799"/>
      <c r="S524" s="1799"/>
      <c r="T524" s="1799"/>
      <c r="U524" s="1799"/>
      <c r="V524" s="1799"/>
      <c r="W524" s="1799"/>
      <c r="X524" s="1799"/>
      <c r="Y524" s="1799"/>
      <c r="Z524" s="1799"/>
    </row>
    <row r="525">
      <c r="A525" s="1799"/>
      <c r="B525" s="1799"/>
      <c r="C525" s="1799"/>
      <c r="D525" s="1812"/>
      <c r="E525" s="1799"/>
      <c r="F525" s="1813"/>
      <c r="G525" s="1814"/>
      <c r="H525" s="1799"/>
      <c r="I525" s="1799"/>
      <c r="J525" s="1799"/>
      <c r="K525" s="1799"/>
      <c r="L525" s="1799"/>
      <c r="M525" s="1799"/>
      <c r="N525" s="1799"/>
      <c r="O525" s="1799"/>
      <c r="P525" s="1799"/>
      <c r="Q525" s="1799"/>
      <c r="R525" s="1799"/>
      <c r="S525" s="1799"/>
      <c r="T525" s="1799"/>
      <c r="U525" s="1799"/>
      <c r="V525" s="1799"/>
      <c r="W525" s="1799"/>
      <c r="X525" s="1799"/>
      <c r="Y525" s="1799"/>
      <c r="Z525" s="1799"/>
    </row>
    <row r="526">
      <c r="A526" s="1799"/>
      <c r="B526" s="1799"/>
      <c r="C526" s="1799"/>
      <c r="D526" s="1812"/>
      <c r="E526" s="1799"/>
      <c r="F526" s="1813"/>
      <c r="G526" s="1814"/>
      <c r="H526" s="1799"/>
      <c r="I526" s="1799"/>
      <c r="J526" s="1799"/>
      <c r="K526" s="1799"/>
      <c r="L526" s="1799"/>
      <c r="M526" s="1799"/>
      <c r="N526" s="1799"/>
      <c r="O526" s="1799"/>
      <c r="P526" s="1799"/>
      <c r="Q526" s="1799"/>
      <c r="R526" s="1799"/>
      <c r="S526" s="1799"/>
      <c r="T526" s="1799"/>
      <c r="U526" s="1799"/>
      <c r="V526" s="1799"/>
      <c r="W526" s="1799"/>
      <c r="X526" s="1799"/>
      <c r="Y526" s="1799"/>
      <c r="Z526" s="1799"/>
    </row>
    <row r="527">
      <c r="A527" s="1799"/>
      <c r="B527" s="1799"/>
      <c r="C527" s="1799"/>
      <c r="D527" s="1812"/>
      <c r="E527" s="1799"/>
      <c r="F527" s="1813"/>
      <c r="G527" s="1814"/>
      <c r="H527" s="1799"/>
      <c r="I527" s="1799"/>
      <c r="J527" s="1799"/>
      <c r="K527" s="1799"/>
      <c r="L527" s="1799"/>
      <c r="M527" s="1799"/>
      <c r="N527" s="1799"/>
      <c r="O527" s="1799"/>
      <c r="P527" s="1799"/>
      <c r="Q527" s="1799"/>
      <c r="R527" s="1799"/>
      <c r="S527" s="1799"/>
      <c r="T527" s="1799"/>
      <c r="U527" s="1799"/>
      <c r="V527" s="1799"/>
      <c r="W527" s="1799"/>
      <c r="X527" s="1799"/>
      <c r="Y527" s="1799"/>
      <c r="Z527" s="1799"/>
    </row>
    <row r="528">
      <c r="A528" s="1799"/>
      <c r="B528" s="1799"/>
      <c r="C528" s="1799"/>
      <c r="D528" s="1812"/>
      <c r="E528" s="1799"/>
      <c r="F528" s="1813"/>
      <c r="G528" s="1814"/>
      <c r="H528" s="1799"/>
      <c r="I528" s="1799"/>
      <c r="J528" s="1799"/>
      <c r="K528" s="1799"/>
      <c r="L528" s="1799"/>
      <c r="M528" s="1799"/>
      <c r="N528" s="1799"/>
      <c r="O528" s="1799"/>
      <c r="P528" s="1799"/>
      <c r="Q528" s="1799"/>
      <c r="R528" s="1799"/>
      <c r="S528" s="1799"/>
      <c r="T528" s="1799"/>
      <c r="U528" s="1799"/>
      <c r="V528" s="1799"/>
      <c r="W528" s="1799"/>
      <c r="X528" s="1799"/>
      <c r="Y528" s="1799"/>
      <c r="Z528" s="1799"/>
    </row>
    <row r="529">
      <c r="A529" s="1799"/>
      <c r="B529" s="1799"/>
      <c r="C529" s="1799"/>
      <c r="D529" s="1812"/>
      <c r="E529" s="1799"/>
      <c r="F529" s="1813"/>
      <c r="G529" s="1814"/>
      <c r="H529" s="1799"/>
      <c r="I529" s="1799"/>
      <c r="J529" s="1799"/>
      <c r="K529" s="1799"/>
      <c r="L529" s="1799"/>
      <c r="M529" s="1799"/>
      <c r="N529" s="1799"/>
      <c r="O529" s="1799"/>
      <c r="P529" s="1799"/>
      <c r="Q529" s="1799"/>
      <c r="R529" s="1799"/>
      <c r="S529" s="1799"/>
      <c r="T529" s="1799"/>
      <c r="U529" s="1799"/>
      <c r="V529" s="1799"/>
      <c r="W529" s="1799"/>
      <c r="X529" s="1799"/>
      <c r="Y529" s="1799"/>
      <c r="Z529" s="1799"/>
    </row>
    <row r="530">
      <c r="A530" s="1799"/>
      <c r="B530" s="1799"/>
      <c r="C530" s="1799"/>
      <c r="D530" s="1812"/>
      <c r="E530" s="1799"/>
      <c r="F530" s="1813"/>
      <c r="G530" s="1814"/>
      <c r="H530" s="1799"/>
      <c r="I530" s="1799"/>
      <c r="J530" s="1799"/>
      <c r="K530" s="1799"/>
      <c r="L530" s="1799"/>
      <c r="M530" s="1799"/>
      <c r="N530" s="1799"/>
      <c r="O530" s="1799"/>
      <c r="P530" s="1799"/>
      <c r="Q530" s="1799"/>
      <c r="R530" s="1799"/>
      <c r="S530" s="1799"/>
      <c r="T530" s="1799"/>
      <c r="U530" s="1799"/>
      <c r="V530" s="1799"/>
      <c r="W530" s="1799"/>
      <c r="X530" s="1799"/>
      <c r="Y530" s="1799"/>
      <c r="Z530" s="1799"/>
    </row>
    <row r="531">
      <c r="A531" s="1799"/>
      <c r="B531" s="1799"/>
      <c r="C531" s="1799"/>
      <c r="D531" s="1812"/>
      <c r="E531" s="1799"/>
      <c r="F531" s="1813"/>
      <c r="G531" s="1814"/>
      <c r="H531" s="1799"/>
      <c r="I531" s="1799"/>
      <c r="J531" s="1799"/>
      <c r="K531" s="1799"/>
      <c r="L531" s="1799"/>
      <c r="M531" s="1799"/>
      <c r="N531" s="1799"/>
      <c r="O531" s="1799"/>
      <c r="P531" s="1799"/>
      <c r="Q531" s="1799"/>
      <c r="R531" s="1799"/>
      <c r="S531" s="1799"/>
      <c r="T531" s="1799"/>
      <c r="U531" s="1799"/>
      <c r="V531" s="1799"/>
      <c r="W531" s="1799"/>
      <c r="X531" s="1799"/>
      <c r="Y531" s="1799"/>
      <c r="Z531" s="1799"/>
    </row>
    <row r="532">
      <c r="A532" s="1799"/>
      <c r="B532" s="1799"/>
      <c r="C532" s="1799"/>
      <c r="D532" s="1812"/>
      <c r="E532" s="1799"/>
      <c r="F532" s="1813"/>
      <c r="G532" s="1814"/>
      <c r="H532" s="1799"/>
      <c r="I532" s="1799"/>
      <c r="J532" s="1799"/>
      <c r="K532" s="1799"/>
      <c r="L532" s="1799"/>
      <c r="M532" s="1799"/>
      <c r="N532" s="1799"/>
      <c r="O532" s="1799"/>
      <c r="P532" s="1799"/>
      <c r="Q532" s="1799"/>
      <c r="R532" s="1799"/>
      <c r="S532" s="1799"/>
      <c r="T532" s="1799"/>
      <c r="U532" s="1799"/>
      <c r="V532" s="1799"/>
      <c r="W532" s="1799"/>
      <c r="X532" s="1799"/>
      <c r="Y532" s="1799"/>
      <c r="Z532" s="1799"/>
    </row>
    <row r="533">
      <c r="A533" s="1799"/>
      <c r="B533" s="1799"/>
      <c r="C533" s="1799"/>
      <c r="D533" s="1812"/>
      <c r="E533" s="1799"/>
      <c r="F533" s="1813"/>
      <c r="G533" s="1814"/>
      <c r="H533" s="1799"/>
      <c r="I533" s="1799"/>
      <c r="J533" s="1799"/>
      <c r="K533" s="1799"/>
      <c r="L533" s="1799"/>
      <c r="M533" s="1799"/>
      <c r="N533" s="1799"/>
      <c r="O533" s="1799"/>
      <c r="P533" s="1799"/>
      <c r="Q533" s="1799"/>
      <c r="R533" s="1799"/>
      <c r="S533" s="1799"/>
      <c r="T533" s="1799"/>
      <c r="U533" s="1799"/>
      <c r="V533" s="1799"/>
      <c r="W533" s="1799"/>
      <c r="X533" s="1799"/>
      <c r="Y533" s="1799"/>
      <c r="Z533" s="1799"/>
    </row>
    <row r="534">
      <c r="A534" s="1799"/>
      <c r="B534" s="1799"/>
      <c r="C534" s="1799"/>
      <c r="D534" s="1812"/>
      <c r="E534" s="1799"/>
      <c r="F534" s="1813"/>
      <c r="G534" s="1814"/>
      <c r="H534" s="1799"/>
      <c r="I534" s="1799"/>
      <c r="J534" s="1799"/>
      <c r="K534" s="1799"/>
      <c r="L534" s="1799"/>
      <c r="M534" s="1799"/>
      <c r="N534" s="1799"/>
      <c r="O534" s="1799"/>
      <c r="P534" s="1799"/>
      <c r="Q534" s="1799"/>
      <c r="R534" s="1799"/>
      <c r="S534" s="1799"/>
      <c r="T534" s="1799"/>
      <c r="U534" s="1799"/>
      <c r="V534" s="1799"/>
      <c r="W534" s="1799"/>
      <c r="X534" s="1799"/>
      <c r="Y534" s="1799"/>
      <c r="Z534" s="1799"/>
    </row>
    <row r="535">
      <c r="A535" s="1799"/>
      <c r="B535" s="1799"/>
      <c r="C535" s="1799"/>
      <c r="D535" s="1812"/>
      <c r="E535" s="1799"/>
      <c r="F535" s="1813"/>
      <c r="G535" s="1814"/>
      <c r="H535" s="1799"/>
      <c r="I535" s="1799"/>
      <c r="J535" s="1799"/>
      <c r="K535" s="1799"/>
      <c r="L535" s="1799"/>
      <c r="M535" s="1799"/>
      <c r="N535" s="1799"/>
      <c r="O535" s="1799"/>
      <c r="P535" s="1799"/>
      <c r="Q535" s="1799"/>
      <c r="R535" s="1799"/>
      <c r="S535" s="1799"/>
      <c r="T535" s="1799"/>
      <c r="U535" s="1799"/>
      <c r="V535" s="1799"/>
      <c r="W535" s="1799"/>
      <c r="X535" s="1799"/>
      <c r="Y535" s="1799"/>
      <c r="Z535" s="1799"/>
    </row>
    <row r="536">
      <c r="A536" s="1799"/>
      <c r="B536" s="1799"/>
      <c r="C536" s="1799"/>
      <c r="D536" s="1812"/>
      <c r="E536" s="1799"/>
      <c r="F536" s="1813"/>
      <c r="G536" s="1814"/>
      <c r="H536" s="1799"/>
      <c r="I536" s="1799"/>
      <c r="J536" s="1799"/>
      <c r="K536" s="1799"/>
      <c r="L536" s="1799"/>
      <c r="M536" s="1799"/>
      <c r="N536" s="1799"/>
      <c r="O536" s="1799"/>
      <c r="P536" s="1799"/>
      <c r="Q536" s="1799"/>
      <c r="R536" s="1799"/>
      <c r="S536" s="1799"/>
      <c r="T536" s="1799"/>
      <c r="U536" s="1799"/>
      <c r="V536" s="1799"/>
      <c r="W536" s="1799"/>
      <c r="X536" s="1799"/>
      <c r="Y536" s="1799"/>
      <c r="Z536" s="1799"/>
    </row>
    <row r="537">
      <c r="A537" s="1799"/>
      <c r="B537" s="1799"/>
      <c r="C537" s="1799"/>
      <c r="D537" s="1812"/>
      <c r="E537" s="1799"/>
      <c r="F537" s="1813"/>
      <c r="G537" s="1814"/>
      <c r="H537" s="1799"/>
      <c r="I537" s="1799"/>
      <c r="J537" s="1799"/>
      <c r="K537" s="1799"/>
      <c r="L537" s="1799"/>
      <c r="M537" s="1799"/>
      <c r="N537" s="1799"/>
      <c r="O537" s="1799"/>
      <c r="P537" s="1799"/>
      <c r="Q537" s="1799"/>
      <c r="R537" s="1799"/>
      <c r="S537" s="1799"/>
      <c r="T537" s="1799"/>
      <c r="U537" s="1799"/>
      <c r="V537" s="1799"/>
      <c r="W537" s="1799"/>
      <c r="X537" s="1799"/>
      <c r="Y537" s="1799"/>
      <c r="Z537" s="1799"/>
    </row>
    <row r="538">
      <c r="A538" s="1799"/>
      <c r="B538" s="1799"/>
      <c r="C538" s="1799"/>
      <c r="D538" s="1812"/>
      <c r="E538" s="1799"/>
      <c r="F538" s="1813"/>
      <c r="G538" s="1814"/>
      <c r="H538" s="1799"/>
      <c r="I538" s="1799"/>
      <c r="J538" s="1799"/>
      <c r="K538" s="1799"/>
      <c r="L538" s="1799"/>
      <c r="M538" s="1799"/>
      <c r="N538" s="1799"/>
      <c r="O538" s="1799"/>
      <c r="P538" s="1799"/>
      <c r="Q538" s="1799"/>
      <c r="R538" s="1799"/>
      <c r="S538" s="1799"/>
      <c r="T538" s="1799"/>
      <c r="U538" s="1799"/>
      <c r="V538" s="1799"/>
      <c r="W538" s="1799"/>
      <c r="X538" s="1799"/>
      <c r="Y538" s="1799"/>
      <c r="Z538" s="1799"/>
    </row>
    <row r="539">
      <c r="A539" s="1799"/>
      <c r="B539" s="1799"/>
      <c r="C539" s="1799"/>
      <c r="D539" s="1812"/>
      <c r="E539" s="1799"/>
      <c r="F539" s="1813"/>
      <c r="G539" s="1814"/>
      <c r="H539" s="1799"/>
      <c r="I539" s="1799"/>
      <c r="J539" s="1799"/>
      <c r="K539" s="1799"/>
      <c r="L539" s="1799"/>
      <c r="M539" s="1799"/>
      <c r="N539" s="1799"/>
      <c r="O539" s="1799"/>
      <c r="P539" s="1799"/>
      <c r="Q539" s="1799"/>
      <c r="R539" s="1799"/>
      <c r="S539" s="1799"/>
      <c r="T539" s="1799"/>
      <c r="U539" s="1799"/>
      <c r="V539" s="1799"/>
      <c r="W539" s="1799"/>
      <c r="X539" s="1799"/>
      <c r="Y539" s="1799"/>
      <c r="Z539" s="1799"/>
    </row>
    <row r="540">
      <c r="A540" s="1799"/>
      <c r="B540" s="1799"/>
      <c r="C540" s="1799"/>
      <c r="D540" s="1812"/>
      <c r="E540" s="1799"/>
      <c r="F540" s="1813"/>
      <c r="G540" s="1814"/>
      <c r="H540" s="1799"/>
      <c r="I540" s="1799"/>
      <c r="J540" s="1799"/>
      <c r="K540" s="1799"/>
      <c r="L540" s="1799"/>
      <c r="M540" s="1799"/>
      <c r="N540" s="1799"/>
      <c r="O540" s="1799"/>
      <c r="P540" s="1799"/>
      <c r="Q540" s="1799"/>
      <c r="R540" s="1799"/>
      <c r="S540" s="1799"/>
      <c r="T540" s="1799"/>
      <c r="U540" s="1799"/>
      <c r="V540" s="1799"/>
      <c r="W540" s="1799"/>
      <c r="X540" s="1799"/>
      <c r="Y540" s="1799"/>
      <c r="Z540" s="1799"/>
    </row>
    <row r="541">
      <c r="A541" s="1799"/>
      <c r="B541" s="1799"/>
      <c r="C541" s="1799"/>
      <c r="D541" s="1812"/>
      <c r="E541" s="1799"/>
      <c r="F541" s="1813"/>
      <c r="G541" s="1814"/>
      <c r="H541" s="1799"/>
      <c r="I541" s="1799"/>
      <c r="J541" s="1799"/>
      <c r="K541" s="1799"/>
      <c r="L541" s="1799"/>
      <c r="M541" s="1799"/>
      <c r="N541" s="1799"/>
      <c r="O541" s="1799"/>
      <c r="P541" s="1799"/>
      <c r="Q541" s="1799"/>
      <c r="R541" s="1799"/>
      <c r="S541" s="1799"/>
      <c r="T541" s="1799"/>
      <c r="U541" s="1799"/>
      <c r="V541" s="1799"/>
      <c r="W541" s="1799"/>
      <c r="X541" s="1799"/>
      <c r="Y541" s="1799"/>
      <c r="Z541" s="1799"/>
    </row>
    <row r="542">
      <c r="A542" s="1799"/>
      <c r="B542" s="1799"/>
      <c r="C542" s="1799"/>
      <c r="D542" s="1812"/>
      <c r="E542" s="1799"/>
      <c r="F542" s="1813"/>
      <c r="G542" s="1814"/>
      <c r="H542" s="1799"/>
      <c r="I542" s="1799"/>
      <c r="J542" s="1799"/>
      <c r="K542" s="1799"/>
      <c r="L542" s="1799"/>
      <c r="M542" s="1799"/>
      <c r="N542" s="1799"/>
      <c r="O542" s="1799"/>
      <c r="P542" s="1799"/>
      <c r="Q542" s="1799"/>
      <c r="R542" s="1799"/>
      <c r="S542" s="1799"/>
      <c r="T542" s="1799"/>
      <c r="U542" s="1799"/>
      <c r="V542" s="1799"/>
      <c r="W542" s="1799"/>
      <c r="X542" s="1799"/>
      <c r="Y542" s="1799"/>
      <c r="Z542" s="1799"/>
    </row>
    <row r="543">
      <c r="A543" s="1799"/>
      <c r="B543" s="1799"/>
      <c r="C543" s="1799"/>
      <c r="D543" s="1812"/>
      <c r="E543" s="1799"/>
      <c r="F543" s="1813"/>
      <c r="G543" s="1814"/>
      <c r="H543" s="1799"/>
      <c r="I543" s="1799"/>
      <c r="J543" s="1799"/>
      <c r="K543" s="1799"/>
      <c r="L543" s="1799"/>
      <c r="M543" s="1799"/>
      <c r="N543" s="1799"/>
      <c r="O543" s="1799"/>
      <c r="P543" s="1799"/>
      <c r="Q543" s="1799"/>
      <c r="R543" s="1799"/>
      <c r="S543" s="1799"/>
      <c r="T543" s="1799"/>
      <c r="U543" s="1799"/>
      <c r="V543" s="1799"/>
      <c r="W543" s="1799"/>
      <c r="X543" s="1799"/>
      <c r="Y543" s="1799"/>
      <c r="Z543" s="1799"/>
    </row>
    <row r="544">
      <c r="A544" s="1799"/>
      <c r="B544" s="1799"/>
      <c r="C544" s="1799"/>
      <c r="D544" s="1812"/>
      <c r="E544" s="1799"/>
      <c r="F544" s="1813"/>
      <c r="G544" s="1814"/>
      <c r="H544" s="1799"/>
      <c r="I544" s="1799"/>
      <c r="J544" s="1799"/>
      <c r="K544" s="1799"/>
      <c r="L544" s="1799"/>
      <c r="M544" s="1799"/>
      <c r="N544" s="1799"/>
      <c r="O544" s="1799"/>
      <c r="P544" s="1799"/>
      <c r="Q544" s="1799"/>
      <c r="R544" s="1799"/>
      <c r="S544" s="1799"/>
      <c r="T544" s="1799"/>
      <c r="U544" s="1799"/>
      <c r="V544" s="1799"/>
      <c r="W544" s="1799"/>
      <c r="X544" s="1799"/>
      <c r="Y544" s="1799"/>
      <c r="Z544" s="1799"/>
    </row>
    <row r="545">
      <c r="A545" s="1799"/>
      <c r="B545" s="1799"/>
      <c r="C545" s="1799"/>
      <c r="D545" s="1812"/>
      <c r="E545" s="1799"/>
      <c r="F545" s="1813"/>
      <c r="G545" s="1814"/>
      <c r="H545" s="1799"/>
      <c r="I545" s="1799"/>
      <c r="J545" s="1799"/>
      <c r="K545" s="1799"/>
      <c r="L545" s="1799"/>
      <c r="M545" s="1799"/>
      <c r="N545" s="1799"/>
      <c r="O545" s="1799"/>
      <c r="P545" s="1799"/>
      <c r="Q545" s="1799"/>
      <c r="R545" s="1799"/>
      <c r="S545" s="1799"/>
      <c r="T545" s="1799"/>
      <c r="U545" s="1799"/>
      <c r="V545" s="1799"/>
      <c r="W545" s="1799"/>
      <c r="X545" s="1799"/>
      <c r="Y545" s="1799"/>
      <c r="Z545" s="1799"/>
    </row>
    <row r="546">
      <c r="A546" s="1799"/>
      <c r="B546" s="1799"/>
      <c r="C546" s="1799"/>
      <c r="D546" s="1812"/>
      <c r="E546" s="1799"/>
      <c r="F546" s="1813"/>
      <c r="G546" s="1814"/>
      <c r="H546" s="1799"/>
      <c r="I546" s="1799"/>
      <c r="J546" s="1799"/>
      <c r="K546" s="1799"/>
      <c r="L546" s="1799"/>
      <c r="M546" s="1799"/>
      <c r="N546" s="1799"/>
      <c r="O546" s="1799"/>
      <c r="P546" s="1799"/>
      <c r="Q546" s="1799"/>
      <c r="R546" s="1799"/>
      <c r="S546" s="1799"/>
      <c r="T546" s="1799"/>
      <c r="U546" s="1799"/>
      <c r="V546" s="1799"/>
      <c r="W546" s="1799"/>
      <c r="X546" s="1799"/>
      <c r="Y546" s="1799"/>
      <c r="Z546" s="1799"/>
    </row>
    <row r="547">
      <c r="A547" s="1799"/>
      <c r="B547" s="1799"/>
      <c r="C547" s="1799"/>
      <c r="D547" s="1812"/>
      <c r="E547" s="1799"/>
      <c r="F547" s="1813"/>
      <c r="G547" s="1814"/>
      <c r="H547" s="1799"/>
      <c r="I547" s="1799"/>
      <c r="J547" s="1799"/>
      <c r="K547" s="1799"/>
      <c r="L547" s="1799"/>
      <c r="M547" s="1799"/>
      <c r="N547" s="1799"/>
      <c r="O547" s="1799"/>
      <c r="P547" s="1799"/>
      <c r="Q547" s="1799"/>
      <c r="R547" s="1799"/>
      <c r="S547" s="1799"/>
      <c r="T547" s="1799"/>
      <c r="U547" s="1799"/>
      <c r="V547" s="1799"/>
      <c r="W547" s="1799"/>
      <c r="X547" s="1799"/>
      <c r="Y547" s="1799"/>
      <c r="Z547" s="1799"/>
    </row>
    <row r="548">
      <c r="A548" s="1799"/>
      <c r="B548" s="1799"/>
      <c r="C548" s="1799"/>
      <c r="D548" s="1812"/>
      <c r="E548" s="1799"/>
      <c r="F548" s="1813"/>
      <c r="G548" s="1814"/>
      <c r="H548" s="1799"/>
      <c r="I548" s="1799"/>
      <c r="J548" s="1799"/>
      <c r="K548" s="1799"/>
      <c r="L548" s="1799"/>
      <c r="M548" s="1799"/>
      <c r="N548" s="1799"/>
      <c r="O548" s="1799"/>
      <c r="P548" s="1799"/>
      <c r="Q548" s="1799"/>
      <c r="R548" s="1799"/>
      <c r="S548" s="1799"/>
      <c r="T548" s="1799"/>
      <c r="U548" s="1799"/>
      <c r="V548" s="1799"/>
      <c r="W548" s="1799"/>
      <c r="X548" s="1799"/>
      <c r="Y548" s="1799"/>
      <c r="Z548" s="1799"/>
    </row>
    <row r="549">
      <c r="A549" s="1799"/>
      <c r="B549" s="1799"/>
      <c r="C549" s="1799"/>
      <c r="D549" s="1812"/>
      <c r="E549" s="1799"/>
      <c r="F549" s="1813"/>
      <c r="G549" s="1814"/>
      <c r="H549" s="1799"/>
      <c r="I549" s="1799"/>
      <c r="J549" s="1799"/>
      <c r="K549" s="1799"/>
      <c r="L549" s="1799"/>
      <c r="M549" s="1799"/>
      <c r="N549" s="1799"/>
      <c r="O549" s="1799"/>
      <c r="P549" s="1799"/>
      <c r="Q549" s="1799"/>
      <c r="R549" s="1799"/>
      <c r="S549" s="1799"/>
      <c r="T549" s="1799"/>
      <c r="U549" s="1799"/>
      <c r="V549" s="1799"/>
      <c r="W549" s="1799"/>
      <c r="X549" s="1799"/>
      <c r="Y549" s="1799"/>
      <c r="Z549" s="1799"/>
    </row>
    <row r="550">
      <c r="A550" s="1799"/>
      <c r="B550" s="1799"/>
      <c r="C550" s="1799"/>
      <c r="D550" s="1812"/>
      <c r="E550" s="1799"/>
      <c r="F550" s="1813"/>
      <c r="G550" s="1814"/>
      <c r="H550" s="1799"/>
      <c r="I550" s="1799"/>
      <c r="J550" s="1799"/>
      <c r="K550" s="1799"/>
      <c r="L550" s="1799"/>
      <c r="M550" s="1799"/>
      <c r="N550" s="1799"/>
      <c r="O550" s="1799"/>
      <c r="P550" s="1799"/>
      <c r="Q550" s="1799"/>
      <c r="R550" s="1799"/>
      <c r="S550" s="1799"/>
      <c r="T550" s="1799"/>
      <c r="U550" s="1799"/>
      <c r="V550" s="1799"/>
      <c r="W550" s="1799"/>
      <c r="X550" s="1799"/>
      <c r="Y550" s="1799"/>
      <c r="Z550" s="1799"/>
    </row>
    <row r="551">
      <c r="A551" s="1799"/>
      <c r="B551" s="1799"/>
      <c r="C551" s="1799"/>
      <c r="D551" s="1812"/>
      <c r="E551" s="1799"/>
      <c r="F551" s="1813"/>
      <c r="G551" s="1814"/>
      <c r="H551" s="1799"/>
      <c r="I551" s="1799"/>
      <c r="J551" s="1799"/>
      <c r="K551" s="1799"/>
      <c r="L551" s="1799"/>
      <c r="M551" s="1799"/>
      <c r="N551" s="1799"/>
      <c r="O551" s="1799"/>
      <c r="P551" s="1799"/>
      <c r="Q551" s="1799"/>
      <c r="R551" s="1799"/>
      <c r="S551" s="1799"/>
      <c r="T551" s="1799"/>
      <c r="U551" s="1799"/>
      <c r="V551" s="1799"/>
      <c r="W551" s="1799"/>
      <c r="X551" s="1799"/>
      <c r="Y551" s="1799"/>
      <c r="Z551" s="1799"/>
    </row>
    <row r="552">
      <c r="A552" s="1799"/>
      <c r="B552" s="1799"/>
      <c r="C552" s="1799"/>
      <c r="D552" s="1812"/>
      <c r="E552" s="1799"/>
      <c r="F552" s="1813"/>
      <c r="G552" s="1814"/>
      <c r="H552" s="1799"/>
      <c r="I552" s="1799"/>
      <c r="J552" s="1799"/>
      <c r="K552" s="1799"/>
      <c r="L552" s="1799"/>
      <c r="M552" s="1799"/>
      <c r="N552" s="1799"/>
      <c r="O552" s="1799"/>
      <c r="P552" s="1799"/>
      <c r="Q552" s="1799"/>
      <c r="R552" s="1799"/>
      <c r="S552" s="1799"/>
      <c r="T552" s="1799"/>
      <c r="U552" s="1799"/>
      <c r="V552" s="1799"/>
      <c r="W552" s="1799"/>
      <c r="X552" s="1799"/>
      <c r="Y552" s="1799"/>
      <c r="Z552" s="1799"/>
    </row>
    <row r="553">
      <c r="A553" s="1799"/>
      <c r="B553" s="1799"/>
      <c r="C553" s="1799"/>
      <c r="D553" s="1812"/>
      <c r="E553" s="1799"/>
      <c r="F553" s="1813"/>
      <c r="G553" s="1814"/>
      <c r="H553" s="1799"/>
      <c r="I553" s="1799"/>
      <c r="J553" s="1799"/>
      <c r="K553" s="1799"/>
      <c r="L553" s="1799"/>
      <c r="M553" s="1799"/>
      <c r="N553" s="1799"/>
      <c r="O553" s="1799"/>
      <c r="P553" s="1799"/>
      <c r="Q553" s="1799"/>
      <c r="R553" s="1799"/>
      <c r="S553" s="1799"/>
      <c r="T553" s="1799"/>
      <c r="U553" s="1799"/>
      <c r="V553" s="1799"/>
      <c r="W553" s="1799"/>
      <c r="X553" s="1799"/>
      <c r="Y553" s="1799"/>
      <c r="Z553" s="1799"/>
    </row>
    <row r="554">
      <c r="A554" s="1799"/>
      <c r="B554" s="1799"/>
      <c r="C554" s="1799"/>
      <c r="D554" s="1812"/>
      <c r="E554" s="1799"/>
      <c r="F554" s="1813"/>
      <c r="G554" s="1814"/>
      <c r="H554" s="1799"/>
      <c r="I554" s="1799"/>
      <c r="J554" s="1799"/>
      <c r="K554" s="1799"/>
      <c r="L554" s="1799"/>
      <c r="M554" s="1799"/>
      <c r="N554" s="1799"/>
      <c r="O554" s="1799"/>
      <c r="P554" s="1799"/>
      <c r="Q554" s="1799"/>
      <c r="R554" s="1799"/>
      <c r="S554" s="1799"/>
      <c r="T554" s="1799"/>
      <c r="U554" s="1799"/>
      <c r="V554" s="1799"/>
      <c r="W554" s="1799"/>
      <c r="X554" s="1799"/>
      <c r="Y554" s="1799"/>
      <c r="Z554" s="1799"/>
    </row>
    <row r="555">
      <c r="A555" s="1799"/>
      <c r="B555" s="1799"/>
      <c r="C555" s="1799"/>
      <c r="D555" s="1812"/>
      <c r="E555" s="1799"/>
      <c r="F555" s="1813"/>
      <c r="G555" s="1814"/>
      <c r="H555" s="1799"/>
      <c r="I555" s="1799"/>
      <c r="J555" s="1799"/>
      <c r="K555" s="1799"/>
      <c r="L555" s="1799"/>
      <c r="M555" s="1799"/>
      <c r="N555" s="1799"/>
      <c r="O555" s="1799"/>
      <c r="P555" s="1799"/>
      <c r="Q555" s="1799"/>
      <c r="R555" s="1799"/>
      <c r="S555" s="1799"/>
      <c r="T555" s="1799"/>
      <c r="U555" s="1799"/>
      <c r="V555" s="1799"/>
      <c r="W555" s="1799"/>
      <c r="X555" s="1799"/>
      <c r="Y555" s="1799"/>
      <c r="Z555" s="1799"/>
    </row>
    <row r="556">
      <c r="A556" s="1799"/>
      <c r="B556" s="1799"/>
      <c r="C556" s="1799"/>
      <c r="D556" s="1812"/>
      <c r="E556" s="1799"/>
      <c r="F556" s="1813"/>
      <c r="G556" s="1814"/>
      <c r="H556" s="1799"/>
      <c r="I556" s="1799"/>
      <c r="J556" s="1799"/>
      <c r="K556" s="1799"/>
      <c r="L556" s="1799"/>
      <c r="M556" s="1799"/>
      <c r="N556" s="1799"/>
      <c r="O556" s="1799"/>
      <c r="P556" s="1799"/>
      <c r="Q556" s="1799"/>
      <c r="R556" s="1799"/>
      <c r="S556" s="1799"/>
      <c r="T556" s="1799"/>
      <c r="U556" s="1799"/>
      <c r="V556" s="1799"/>
      <c r="W556" s="1799"/>
      <c r="X556" s="1799"/>
      <c r="Y556" s="1799"/>
      <c r="Z556" s="1799"/>
    </row>
    <row r="557">
      <c r="A557" s="1799"/>
      <c r="B557" s="1799"/>
      <c r="C557" s="1799"/>
      <c r="D557" s="1812"/>
      <c r="E557" s="1799"/>
      <c r="F557" s="1813"/>
      <c r="G557" s="1814"/>
      <c r="H557" s="1799"/>
      <c r="I557" s="1799"/>
      <c r="J557" s="1799"/>
      <c r="K557" s="1799"/>
      <c r="L557" s="1799"/>
      <c r="M557" s="1799"/>
      <c r="N557" s="1799"/>
      <c r="O557" s="1799"/>
      <c r="P557" s="1799"/>
      <c r="Q557" s="1799"/>
      <c r="R557" s="1799"/>
      <c r="S557" s="1799"/>
      <c r="T557" s="1799"/>
      <c r="U557" s="1799"/>
      <c r="V557" s="1799"/>
      <c r="W557" s="1799"/>
      <c r="X557" s="1799"/>
      <c r="Y557" s="1799"/>
      <c r="Z557" s="1799"/>
    </row>
    <row r="558">
      <c r="A558" s="1799"/>
      <c r="B558" s="1799"/>
      <c r="C558" s="1799"/>
      <c r="D558" s="1812"/>
      <c r="E558" s="1799"/>
      <c r="F558" s="1813"/>
      <c r="G558" s="1814"/>
      <c r="H558" s="1799"/>
      <c r="I558" s="1799"/>
      <c r="J558" s="1799"/>
      <c r="K558" s="1799"/>
      <c r="L558" s="1799"/>
      <c r="M558" s="1799"/>
      <c r="N558" s="1799"/>
      <c r="O558" s="1799"/>
      <c r="P558" s="1799"/>
      <c r="Q558" s="1799"/>
      <c r="R558" s="1799"/>
      <c r="S558" s="1799"/>
      <c r="T558" s="1799"/>
      <c r="U558" s="1799"/>
      <c r="V558" s="1799"/>
      <c r="W558" s="1799"/>
      <c r="X558" s="1799"/>
      <c r="Y558" s="1799"/>
      <c r="Z558" s="1799"/>
    </row>
    <row r="559">
      <c r="A559" s="1799"/>
      <c r="B559" s="1799"/>
      <c r="C559" s="1799"/>
      <c r="D559" s="1812"/>
      <c r="E559" s="1799"/>
      <c r="F559" s="1813"/>
      <c r="G559" s="1814"/>
      <c r="H559" s="1799"/>
      <c r="I559" s="1799"/>
      <c r="J559" s="1799"/>
      <c r="K559" s="1799"/>
      <c r="L559" s="1799"/>
      <c r="M559" s="1799"/>
      <c r="N559" s="1799"/>
      <c r="O559" s="1799"/>
      <c r="P559" s="1799"/>
      <c r="Q559" s="1799"/>
      <c r="R559" s="1799"/>
      <c r="S559" s="1799"/>
      <c r="T559" s="1799"/>
      <c r="U559" s="1799"/>
      <c r="V559" s="1799"/>
      <c r="W559" s="1799"/>
      <c r="X559" s="1799"/>
      <c r="Y559" s="1799"/>
      <c r="Z559" s="1799"/>
    </row>
    <row r="560">
      <c r="A560" s="1799"/>
      <c r="B560" s="1799"/>
      <c r="C560" s="1799"/>
      <c r="D560" s="1812"/>
      <c r="E560" s="1799"/>
      <c r="F560" s="1813"/>
      <c r="G560" s="1814"/>
      <c r="H560" s="1799"/>
      <c r="I560" s="1799"/>
      <c r="J560" s="1799"/>
      <c r="K560" s="1799"/>
      <c r="L560" s="1799"/>
      <c r="M560" s="1799"/>
      <c r="N560" s="1799"/>
      <c r="O560" s="1799"/>
      <c r="P560" s="1799"/>
      <c r="Q560" s="1799"/>
      <c r="R560" s="1799"/>
      <c r="S560" s="1799"/>
      <c r="T560" s="1799"/>
      <c r="U560" s="1799"/>
      <c r="V560" s="1799"/>
      <c r="W560" s="1799"/>
      <c r="X560" s="1799"/>
      <c r="Y560" s="1799"/>
      <c r="Z560" s="1799"/>
    </row>
    <row r="561">
      <c r="A561" s="1799"/>
      <c r="B561" s="1799"/>
      <c r="C561" s="1799"/>
      <c r="D561" s="1812"/>
      <c r="E561" s="1799"/>
      <c r="F561" s="1813"/>
      <c r="G561" s="1814"/>
      <c r="H561" s="1799"/>
      <c r="I561" s="1799"/>
      <c r="J561" s="1799"/>
      <c r="K561" s="1799"/>
      <c r="L561" s="1799"/>
      <c r="M561" s="1799"/>
      <c r="N561" s="1799"/>
      <c r="O561" s="1799"/>
      <c r="P561" s="1799"/>
      <c r="Q561" s="1799"/>
      <c r="R561" s="1799"/>
      <c r="S561" s="1799"/>
      <c r="T561" s="1799"/>
      <c r="U561" s="1799"/>
      <c r="V561" s="1799"/>
      <c r="W561" s="1799"/>
      <c r="X561" s="1799"/>
      <c r="Y561" s="1799"/>
      <c r="Z561" s="1799"/>
    </row>
    <row r="562">
      <c r="A562" s="1799"/>
      <c r="B562" s="1799"/>
      <c r="C562" s="1799"/>
      <c r="D562" s="1812"/>
      <c r="E562" s="1799"/>
      <c r="F562" s="1813"/>
      <c r="G562" s="1814"/>
      <c r="H562" s="1799"/>
      <c r="I562" s="1799"/>
      <c r="J562" s="1799"/>
      <c r="K562" s="1799"/>
      <c r="L562" s="1799"/>
      <c r="M562" s="1799"/>
      <c r="N562" s="1799"/>
      <c r="O562" s="1799"/>
      <c r="P562" s="1799"/>
      <c r="Q562" s="1799"/>
      <c r="R562" s="1799"/>
      <c r="S562" s="1799"/>
      <c r="T562" s="1799"/>
      <c r="U562" s="1799"/>
      <c r="V562" s="1799"/>
      <c r="W562" s="1799"/>
      <c r="X562" s="1799"/>
      <c r="Y562" s="1799"/>
      <c r="Z562" s="1799"/>
    </row>
    <row r="563">
      <c r="A563" s="1799"/>
      <c r="B563" s="1799"/>
      <c r="C563" s="1799"/>
      <c r="D563" s="1812"/>
      <c r="E563" s="1799"/>
      <c r="F563" s="1813"/>
      <c r="G563" s="1814"/>
      <c r="H563" s="1799"/>
      <c r="I563" s="1799"/>
      <c r="J563" s="1799"/>
      <c r="K563" s="1799"/>
      <c r="L563" s="1799"/>
      <c r="M563" s="1799"/>
      <c r="N563" s="1799"/>
      <c r="O563" s="1799"/>
      <c r="P563" s="1799"/>
      <c r="Q563" s="1799"/>
      <c r="R563" s="1799"/>
      <c r="S563" s="1799"/>
      <c r="T563" s="1799"/>
      <c r="U563" s="1799"/>
      <c r="V563" s="1799"/>
      <c r="W563" s="1799"/>
      <c r="X563" s="1799"/>
      <c r="Y563" s="1799"/>
      <c r="Z563" s="1799"/>
    </row>
    <row r="564">
      <c r="A564" s="1799"/>
      <c r="B564" s="1799"/>
      <c r="C564" s="1799"/>
      <c r="D564" s="1812"/>
      <c r="E564" s="1799"/>
      <c r="F564" s="1813"/>
      <c r="G564" s="1814"/>
      <c r="H564" s="1799"/>
      <c r="I564" s="1799"/>
      <c r="J564" s="1799"/>
      <c r="K564" s="1799"/>
      <c r="L564" s="1799"/>
      <c r="M564" s="1799"/>
      <c r="N564" s="1799"/>
      <c r="O564" s="1799"/>
      <c r="P564" s="1799"/>
      <c r="Q564" s="1799"/>
      <c r="R564" s="1799"/>
      <c r="S564" s="1799"/>
      <c r="T564" s="1799"/>
      <c r="U564" s="1799"/>
      <c r="V564" s="1799"/>
      <c r="W564" s="1799"/>
      <c r="X564" s="1799"/>
      <c r="Y564" s="1799"/>
      <c r="Z564" s="1799"/>
    </row>
    <row r="565">
      <c r="A565" s="1799"/>
      <c r="B565" s="1799"/>
      <c r="C565" s="1799"/>
      <c r="D565" s="1812"/>
      <c r="E565" s="1799"/>
      <c r="F565" s="1813"/>
      <c r="G565" s="1814"/>
      <c r="H565" s="1799"/>
      <c r="I565" s="1799"/>
      <c r="J565" s="1799"/>
      <c r="K565" s="1799"/>
      <c r="L565" s="1799"/>
      <c r="M565" s="1799"/>
      <c r="N565" s="1799"/>
      <c r="O565" s="1799"/>
      <c r="P565" s="1799"/>
      <c r="Q565" s="1799"/>
      <c r="R565" s="1799"/>
      <c r="S565" s="1799"/>
      <c r="T565" s="1799"/>
      <c r="U565" s="1799"/>
      <c r="V565" s="1799"/>
      <c r="W565" s="1799"/>
      <c r="X565" s="1799"/>
      <c r="Y565" s="1799"/>
      <c r="Z565" s="1799"/>
    </row>
    <row r="566">
      <c r="A566" s="1799"/>
      <c r="B566" s="1799"/>
      <c r="C566" s="1799"/>
      <c r="D566" s="1812"/>
      <c r="E566" s="1799"/>
      <c r="F566" s="1813"/>
      <c r="G566" s="1814"/>
      <c r="H566" s="1799"/>
      <c r="I566" s="1799"/>
      <c r="J566" s="1799"/>
      <c r="K566" s="1799"/>
      <c r="L566" s="1799"/>
      <c r="M566" s="1799"/>
      <c r="N566" s="1799"/>
      <c r="O566" s="1799"/>
      <c r="P566" s="1799"/>
      <c r="Q566" s="1799"/>
      <c r="R566" s="1799"/>
      <c r="S566" s="1799"/>
      <c r="T566" s="1799"/>
      <c r="U566" s="1799"/>
      <c r="V566" s="1799"/>
      <c r="W566" s="1799"/>
      <c r="X566" s="1799"/>
      <c r="Y566" s="1799"/>
      <c r="Z566" s="1799"/>
    </row>
    <row r="567">
      <c r="A567" s="1799"/>
      <c r="B567" s="1799"/>
      <c r="C567" s="1799"/>
      <c r="D567" s="1812"/>
      <c r="E567" s="1799"/>
      <c r="F567" s="1813"/>
      <c r="G567" s="1814"/>
      <c r="H567" s="1799"/>
      <c r="I567" s="1799"/>
      <c r="J567" s="1799"/>
      <c r="K567" s="1799"/>
      <c r="L567" s="1799"/>
      <c r="M567" s="1799"/>
      <c r="N567" s="1799"/>
      <c r="O567" s="1799"/>
      <c r="P567" s="1799"/>
      <c r="Q567" s="1799"/>
      <c r="R567" s="1799"/>
      <c r="S567" s="1799"/>
      <c r="T567" s="1799"/>
      <c r="U567" s="1799"/>
      <c r="V567" s="1799"/>
      <c r="W567" s="1799"/>
      <c r="X567" s="1799"/>
      <c r="Y567" s="1799"/>
      <c r="Z567" s="1799"/>
    </row>
    <row r="568">
      <c r="A568" s="1799"/>
      <c r="B568" s="1799"/>
      <c r="C568" s="1799"/>
      <c r="D568" s="1812"/>
      <c r="E568" s="1799"/>
      <c r="F568" s="1813"/>
      <c r="G568" s="1814"/>
      <c r="H568" s="1799"/>
      <c r="I568" s="1799"/>
      <c r="J568" s="1799"/>
      <c r="K568" s="1799"/>
      <c r="L568" s="1799"/>
      <c r="M568" s="1799"/>
      <c r="N568" s="1799"/>
      <c r="O568" s="1799"/>
      <c r="P568" s="1799"/>
      <c r="Q568" s="1799"/>
      <c r="R568" s="1799"/>
      <c r="S568" s="1799"/>
      <c r="T568" s="1799"/>
      <c r="U568" s="1799"/>
      <c r="V568" s="1799"/>
      <c r="W568" s="1799"/>
      <c r="X568" s="1799"/>
      <c r="Y568" s="1799"/>
      <c r="Z568" s="1799"/>
    </row>
    <row r="569">
      <c r="A569" s="1799"/>
      <c r="B569" s="1799"/>
      <c r="C569" s="1799"/>
      <c r="D569" s="1812"/>
      <c r="E569" s="1799"/>
      <c r="F569" s="1813"/>
      <c r="G569" s="1814"/>
      <c r="H569" s="1799"/>
      <c r="I569" s="1799"/>
      <c r="J569" s="1799"/>
      <c r="K569" s="1799"/>
      <c r="L569" s="1799"/>
      <c r="M569" s="1799"/>
      <c r="N569" s="1799"/>
      <c r="O569" s="1799"/>
      <c r="P569" s="1799"/>
      <c r="Q569" s="1799"/>
      <c r="R569" s="1799"/>
      <c r="S569" s="1799"/>
      <c r="T569" s="1799"/>
      <c r="U569" s="1799"/>
      <c r="V569" s="1799"/>
      <c r="W569" s="1799"/>
      <c r="X569" s="1799"/>
      <c r="Y569" s="1799"/>
      <c r="Z569" s="1799"/>
    </row>
    <row r="570">
      <c r="A570" s="1799"/>
      <c r="B570" s="1799"/>
      <c r="C570" s="1799"/>
      <c r="D570" s="1812"/>
      <c r="E570" s="1799"/>
      <c r="F570" s="1813"/>
      <c r="G570" s="1814"/>
      <c r="H570" s="1799"/>
      <c r="I570" s="1799"/>
      <c r="J570" s="1799"/>
      <c r="K570" s="1799"/>
      <c r="L570" s="1799"/>
      <c r="M570" s="1799"/>
      <c r="N570" s="1799"/>
      <c r="O570" s="1799"/>
      <c r="P570" s="1799"/>
      <c r="Q570" s="1799"/>
      <c r="R570" s="1799"/>
      <c r="S570" s="1799"/>
      <c r="T570" s="1799"/>
      <c r="U570" s="1799"/>
      <c r="V570" s="1799"/>
      <c r="W570" s="1799"/>
      <c r="X570" s="1799"/>
      <c r="Y570" s="1799"/>
      <c r="Z570" s="1799"/>
    </row>
    <row r="571">
      <c r="A571" s="1799"/>
      <c r="B571" s="1799"/>
      <c r="C571" s="1799"/>
      <c r="D571" s="1812"/>
      <c r="E571" s="1799"/>
      <c r="F571" s="1813"/>
      <c r="G571" s="1814"/>
      <c r="H571" s="1799"/>
      <c r="I571" s="1799"/>
      <c r="J571" s="1799"/>
      <c r="K571" s="1799"/>
      <c r="L571" s="1799"/>
      <c r="M571" s="1799"/>
      <c r="N571" s="1799"/>
      <c r="O571" s="1799"/>
      <c r="P571" s="1799"/>
      <c r="Q571" s="1799"/>
      <c r="R571" s="1799"/>
      <c r="S571" s="1799"/>
      <c r="T571" s="1799"/>
      <c r="U571" s="1799"/>
      <c r="V571" s="1799"/>
      <c r="W571" s="1799"/>
      <c r="X571" s="1799"/>
      <c r="Y571" s="1799"/>
      <c r="Z571" s="1799"/>
    </row>
    <row r="572">
      <c r="A572" s="1799"/>
      <c r="B572" s="1799"/>
      <c r="C572" s="1799"/>
      <c r="D572" s="1812"/>
      <c r="E572" s="1799"/>
      <c r="F572" s="1813"/>
      <c r="G572" s="1814"/>
      <c r="H572" s="1799"/>
      <c r="I572" s="1799"/>
      <c r="J572" s="1799"/>
      <c r="K572" s="1799"/>
      <c r="L572" s="1799"/>
      <c r="M572" s="1799"/>
      <c r="N572" s="1799"/>
      <c r="O572" s="1799"/>
      <c r="P572" s="1799"/>
      <c r="Q572" s="1799"/>
      <c r="R572" s="1799"/>
      <c r="S572" s="1799"/>
      <c r="T572" s="1799"/>
      <c r="U572" s="1799"/>
      <c r="V572" s="1799"/>
      <c r="W572" s="1799"/>
      <c r="X572" s="1799"/>
      <c r="Y572" s="1799"/>
      <c r="Z572" s="1799"/>
    </row>
    <row r="573">
      <c r="A573" s="1799"/>
      <c r="B573" s="1799"/>
      <c r="C573" s="1799"/>
      <c r="D573" s="1812"/>
      <c r="E573" s="1799"/>
      <c r="F573" s="1813"/>
      <c r="G573" s="1814"/>
      <c r="H573" s="1799"/>
      <c r="I573" s="1799"/>
      <c r="J573" s="1799"/>
      <c r="K573" s="1799"/>
      <c r="L573" s="1799"/>
      <c r="M573" s="1799"/>
      <c r="N573" s="1799"/>
      <c r="O573" s="1799"/>
      <c r="P573" s="1799"/>
      <c r="Q573" s="1799"/>
      <c r="R573" s="1799"/>
      <c r="S573" s="1799"/>
      <c r="T573" s="1799"/>
      <c r="U573" s="1799"/>
      <c r="V573" s="1799"/>
      <c r="W573" s="1799"/>
      <c r="X573" s="1799"/>
      <c r="Y573" s="1799"/>
      <c r="Z573" s="1799"/>
    </row>
    <row r="574">
      <c r="A574" s="1799"/>
      <c r="B574" s="1799"/>
      <c r="C574" s="1799"/>
      <c r="D574" s="1812"/>
      <c r="E574" s="1799"/>
      <c r="F574" s="1813"/>
      <c r="G574" s="1814"/>
      <c r="H574" s="1799"/>
      <c r="I574" s="1799"/>
      <c r="J574" s="1799"/>
      <c r="K574" s="1799"/>
      <c r="L574" s="1799"/>
      <c r="M574" s="1799"/>
      <c r="N574" s="1799"/>
      <c r="O574" s="1799"/>
      <c r="P574" s="1799"/>
      <c r="Q574" s="1799"/>
      <c r="R574" s="1799"/>
      <c r="S574" s="1799"/>
      <c r="T574" s="1799"/>
      <c r="U574" s="1799"/>
      <c r="V574" s="1799"/>
      <c r="W574" s="1799"/>
      <c r="X574" s="1799"/>
      <c r="Y574" s="1799"/>
      <c r="Z574" s="1799"/>
    </row>
    <row r="575">
      <c r="A575" s="1799"/>
      <c r="B575" s="1799"/>
      <c r="C575" s="1799"/>
      <c r="D575" s="1812"/>
      <c r="E575" s="1799"/>
      <c r="F575" s="1813"/>
      <c r="G575" s="1814"/>
      <c r="H575" s="1799"/>
      <c r="I575" s="1799"/>
      <c r="J575" s="1799"/>
      <c r="K575" s="1799"/>
      <c r="L575" s="1799"/>
      <c r="M575" s="1799"/>
      <c r="N575" s="1799"/>
      <c r="O575" s="1799"/>
      <c r="P575" s="1799"/>
      <c r="Q575" s="1799"/>
      <c r="R575" s="1799"/>
      <c r="S575" s="1799"/>
      <c r="T575" s="1799"/>
      <c r="U575" s="1799"/>
      <c r="V575" s="1799"/>
      <c r="W575" s="1799"/>
      <c r="X575" s="1799"/>
      <c r="Y575" s="1799"/>
      <c r="Z575" s="1799"/>
    </row>
    <row r="576">
      <c r="A576" s="1799"/>
      <c r="B576" s="1799"/>
      <c r="C576" s="1799"/>
      <c r="D576" s="1812"/>
      <c r="E576" s="1799"/>
      <c r="F576" s="1813"/>
      <c r="G576" s="1814"/>
      <c r="H576" s="1799"/>
      <c r="I576" s="1799"/>
      <c r="J576" s="1799"/>
      <c r="K576" s="1799"/>
      <c r="L576" s="1799"/>
      <c r="M576" s="1799"/>
      <c r="N576" s="1799"/>
      <c r="O576" s="1799"/>
      <c r="P576" s="1799"/>
      <c r="Q576" s="1799"/>
      <c r="R576" s="1799"/>
      <c r="S576" s="1799"/>
      <c r="T576" s="1799"/>
      <c r="U576" s="1799"/>
      <c r="V576" s="1799"/>
      <c r="W576" s="1799"/>
      <c r="X576" s="1799"/>
      <c r="Y576" s="1799"/>
      <c r="Z576" s="1799"/>
    </row>
    <row r="577">
      <c r="A577" s="1799"/>
      <c r="B577" s="1799"/>
      <c r="C577" s="1799"/>
      <c r="D577" s="1812"/>
      <c r="E577" s="1799"/>
      <c r="F577" s="1813"/>
      <c r="G577" s="1814"/>
      <c r="H577" s="1799"/>
      <c r="I577" s="1799"/>
      <c r="J577" s="1799"/>
      <c r="K577" s="1799"/>
      <c r="L577" s="1799"/>
      <c r="M577" s="1799"/>
      <c r="N577" s="1799"/>
      <c r="O577" s="1799"/>
      <c r="P577" s="1799"/>
      <c r="Q577" s="1799"/>
      <c r="R577" s="1799"/>
      <c r="S577" s="1799"/>
      <c r="T577" s="1799"/>
      <c r="U577" s="1799"/>
      <c r="V577" s="1799"/>
      <c r="W577" s="1799"/>
      <c r="X577" s="1799"/>
      <c r="Y577" s="1799"/>
      <c r="Z577" s="1799"/>
    </row>
    <row r="578">
      <c r="A578" s="1799"/>
      <c r="B578" s="1799"/>
      <c r="C578" s="1799"/>
      <c r="D578" s="1812"/>
      <c r="E578" s="1799"/>
      <c r="F578" s="1813"/>
      <c r="G578" s="1814"/>
      <c r="H578" s="1799"/>
      <c r="I578" s="1799"/>
      <c r="J578" s="1799"/>
      <c r="K578" s="1799"/>
      <c r="L578" s="1799"/>
      <c r="M578" s="1799"/>
      <c r="N578" s="1799"/>
      <c r="O578" s="1799"/>
      <c r="P578" s="1799"/>
      <c r="Q578" s="1799"/>
      <c r="R578" s="1799"/>
      <c r="S578" s="1799"/>
      <c r="T578" s="1799"/>
      <c r="U578" s="1799"/>
      <c r="V578" s="1799"/>
      <c r="W578" s="1799"/>
      <c r="X578" s="1799"/>
      <c r="Y578" s="1799"/>
      <c r="Z578" s="1799"/>
    </row>
    <row r="579">
      <c r="A579" s="1799"/>
      <c r="B579" s="1799"/>
      <c r="C579" s="1799"/>
      <c r="D579" s="1812"/>
      <c r="E579" s="1799"/>
      <c r="F579" s="1813"/>
      <c r="G579" s="1814"/>
      <c r="H579" s="1799"/>
      <c r="I579" s="1799"/>
      <c r="J579" s="1799"/>
      <c r="K579" s="1799"/>
      <c r="L579" s="1799"/>
      <c r="M579" s="1799"/>
      <c r="N579" s="1799"/>
      <c r="O579" s="1799"/>
      <c r="P579" s="1799"/>
      <c r="Q579" s="1799"/>
      <c r="R579" s="1799"/>
      <c r="S579" s="1799"/>
      <c r="T579" s="1799"/>
      <c r="U579" s="1799"/>
      <c r="V579" s="1799"/>
      <c r="W579" s="1799"/>
      <c r="X579" s="1799"/>
      <c r="Y579" s="1799"/>
      <c r="Z579" s="1799"/>
    </row>
    <row r="580">
      <c r="A580" s="1799"/>
      <c r="B580" s="1799"/>
      <c r="C580" s="1799"/>
      <c r="D580" s="1812"/>
      <c r="E580" s="1799"/>
      <c r="F580" s="1813"/>
      <c r="G580" s="1814"/>
      <c r="H580" s="1799"/>
      <c r="I580" s="1799"/>
      <c r="J580" s="1799"/>
      <c r="K580" s="1799"/>
      <c r="L580" s="1799"/>
      <c r="M580" s="1799"/>
      <c r="N580" s="1799"/>
      <c r="O580" s="1799"/>
      <c r="P580" s="1799"/>
      <c r="Q580" s="1799"/>
      <c r="R580" s="1799"/>
      <c r="S580" s="1799"/>
      <c r="T580" s="1799"/>
      <c r="U580" s="1799"/>
      <c r="V580" s="1799"/>
      <c r="W580" s="1799"/>
      <c r="X580" s="1799"/>
      <c r="Y580" s="1799"/>
      <c r="Z580" s="1799"/>
    </row>
    <row r="581">
      <c r="A581" s="1799"/>
      <c r="B581" s="1799"/>
      <c r="C581" s="1799"/>
      <c r="D581" s="1812"/>
      <c r="E581" s="1799"/>
      <c r="F581" s="1813"/>
      <c r="G581" s="1814"/>
      <c r="H581" s="1799"/>
      <c r="I581" s="1799"/>
      <c r="J581" s="1799"/>
      <c r="K581" s="1799"/>
      <c r="L581" s="1799"/>
      <c r="M581" s="1799"/>
      <c r="N581" s="1799"/>
      <c r="O581" s="1799"/>
      <c r="P581" s="1799"/>
      <c r="Q581" s="1799"/>
      <c r="R581" s="1799"/>
      <c r="S581" s="1799"/>
      <c r="T581" s="1799"/>
      <c r="U581" s="1799"/>
      <c r="V581" s="1799"/>
      <c r="W581" s="1799"/>
      <c r="X581" s="1799"/>
      <c r="Y581" s="1799"/>
      <c r="Z581" s="1799"/>
    </row>
    <row r="582">
      <c r="A582" s="1799"/>
      <c r="B582" s="1799"/>
      <c r="C582" s="1799"/>
      <c r="D582" s="1812"/>
      <c r="E582" s="1799"/>
      <c r="F582" s="1813"/>
      <c r="G582" s="1814"/>
      <c r="H582" s="1799"/>
      <c r="I582" s="1799"/>
      <c r="J582" s="1799"/>
      <c r="K582" s="1799"/>
      <c r="L582" s="1799"/>
      <c r="M582" s="1799"/>
      <c r="N582" s="1799"/>
      <c r="O582" s="1799"/>
      <c r="P582" s="1799"/>
      <c r="Q582" s="1799"/>
      <c r="R582" s="1799"/>
      <c r="S582" s="1799"/>
      <c r="T582" s="1799"/>
      <c r="U582" s="1799"/>
      <c r="V582" s="1799"/>
      <c r="W582" s="1799"/>
      <c r="X582" s="1799"/>
      <c r="Y582" s="1799"/>
      <c r="Z582" s="1799"/>
    </row>
    <row r="583">
      <c r="A583" s="1799"/>
      <c r="B583" s="1799"/>
      <c r="C583" s="1799"/>
      <c r="D583" s="1812"/>
      <c r="E583" s="1799"/>
      <c r="F583" s="1813"/>
      <c r="G583" s="1814"/>
      <c r="H583" s="1799"/>
      <c r="I583" s="1799"/>
      <c r="J583" s="1799"/>
      <c r="K583" s="1799"/>
      <c r="L583" s="1799"/>
      <c r="M583" s="1799"/>
      <c r="N583" s="1799"/>
      <c r="O583" s="1799"/>
      <c r="P583" s="1799"/>
      <c r="Q583" s="1799"/>
      <c r="R583" s="1799"/>
      <c r="S583" s="1799"/>
      <c r="T583" s="1799"/>
      <c r="U583" s="1799"/>
      <c r="V583" s="1799"/>
      <c r="W583" s="1799"/>
      <c r="X583" s="1799"/>
      <c r="Y583" s="1799"/>
      <c r="Z583" s="1799"/>
    </row>
    <row r="584">
      <c r="A584" s="1799"/>
      <c r="B584" s="1799"/>
      <c r="C584" s="1799"/>
      <c r="D584" s="1812"/>
      <c r="E584" s="1799"/>
      <c r="F584" s="1813"/>
      <c r="G584" s="1814"/>
      <c r="H584" s="1799"/>
      <c r="I584" s="1799"/>
      <c r="J584" s="1799"/>
      <c r="K584" s="1799"/>
      <c r="L584" s="1799"/>
      <c r="M584" s="1799"/>
      <c r="N584" s="1799"/>
      <c r="O584" s="1799"/>
      <c r="P584" s="1799"/>
      <c r="Q584" s="1799"/>
      <c r="R584" s="1799"/>
      <c r="S584" s="1799"/>
      <c r="T584" s="1799"/>
      <c r="U584" s="1799"/>
      <c r="V584" s="1799"/>
      <c r="W584" s="1799"/>
      <c r="X584" s="1799"/>
      <c r="Y584" s="1799"/>
      <c r="Z584" s="1799"/>
    </row>
    <row r="585">
      <c r="A585" s="1799"/>
      <c r="B585" s="1799"/>
      <c r="C585" s="1799"/>
      <c r="D585" s="1812"/>
      <c r="E585" s="1799"/>
      <c r="F585" s="1813"/>
      <c r="G585" s="1814"/>
      <c r="H585" s="1799"/>
      <c r="I585" s="1799"/>
      <c r="J585" s="1799"/>
      <c r="K585" s="1799"/>
      <c r="L585" s="1799"/>
      <c r="M585" s="1799"/>
      <c r="N585" s="1799"/>
      <c r="O585" s="1799"/>
      <c r="P585" s="1799"/>
      <c r="Q585" s="1799"/>
      <c r="R585" s="1799"/>
      <c r="S585" s="1799"/>
      <c r="T585" s="1799"/>
      <c r="U585" s="1799"/>
      <c r="V585" s="1799"/>
      <c r="W585" s="1799"/>
      <c r="X585" s="1799"/>
      <c r="Y585" s="1799"/>
      <c r="Z585" s="1799"/>
    </row>
    <row r="586">
      <c r="A586" s="1799"/>
      <c r="B586" s="1799"/>
      <c r="C586" s="1799"/>
      <c r="D586" s="1812"/>
      <c r="E586" s="1799"/>
      <c r="F586" s="1813"/>
      <c r="G586" s="1814"/>
      <c r="H586" s="1799"/>
      <c r="I586" s="1799"/>
      <c r="J586" s="1799"/>
      <c r="K586" s="1799"/>
      <c r="L586" s="1799"/>
      <c r="M586" s="1799"/>
      <c r="N586" s="1799"/>
      <c r="O586" s="1799"/>
      <c r="P586" s="1799"/>
      <c r="Q586" s="1799"/>
      <c r="R586" s="1799"/>
      <c r="S586" s="1799"/>
      <c r="T586" s="1799"/>
      <c r="U586" s="1799"/>
      <c r="V586" s="1799"/>
      <c r="W586" s="1799"/>
      <c r="X586" s="1799"/>
      <c r="Y586" s="1799"/>
      <c r="Z586" s="1799"/>
    </row>
    <row r="587">
      <c r="A587" s="1799"/>
      <c r="B587" s="1799"/>
      <c r="C587" s="1799"/>
      <c r="D587" s="1812"/>
      <c r="E587" s="1799"/>
      <c r="F587" s="1813"/>
      <c r="G587" s="1814"/>
      <c r="H587" s="1799"/>
      <c r="I587" s="1799"/>
      <c r="J587" s="1799"/>
      <c r="K587" s="1799"/>
      <c r="L587" s="1799"/>
      <c r="M587" s="1799"/>
      <c r="N587" s="1799"/>
      <c r="O587" s="1799"/>
      <c r="P587" s="1799"/>
      <c r="Q587" s="1799"/>
      <c r="R587" s="1799"/>
      <c r="S587" s="1799"/>
      <c r="T587" s="1799"/>
      <c r="U587" s="1799"/>
      <c r="V587" s="1799"/>
      <c r="W587" s="1799"/>
      <c r="X587" s="1799"/>
      <c r="Y587" s="1799"/>
      <c r="Z587" s="1799"/>
    </row>
    <row r="588">
      <c r="A588" s="1799"/>
      <c r="B588" s="1799"/>
      <c r="C588" s="1799"/>
      <c r="D588" s="1812"/>
      <c r="E588" s="1799"/>
      <c r="F588" s="1813"/>
      <c r="G588" s="1814"/>
      <c r="H588" s="1799"/>
      <c r="I588" s="1799"/>
      <c r="J588" s="1799"/>
      <c r="K588" s="1799"/>
      <c r="L588" s="1799"/>
      <c r="M588" s="1799"/>
      <c r="N588" s="1799"/>
      <c r="O588" s="1799"/>
      <c r="P588" s="1799"/>
      <c r="Q588" s="1799"/>
      <c r="R588" s="1799"/>
      <c r="S588" s="1799"/>
      <c r="T588" s="1799"/>
      <c r="U588" s="1799"/>
      <c r="V588" s="1799"/>
      <c r="W588" s="1799"/>
      <c r="X588" s="1799"/>
      <c r="Y588" s="1799"/>
      <c r="Z588" s="1799"/>
    </row>
    <row r="589">
      <c r="A589" s="1799"/>
      <c r="B589" s="1799"/>
      <c r="C589" s="1799"/>
      <c r="D589" s="1812"/>
      <c r="E589" s="1799"/>
      <c r="F589" s="1813"/>
      <c r="G589" s="1814"/>
      <c r="H589" s="1799"/>
      <c r="I589" s="1799"/>
      <c r="J589" s="1799"/>
      <c r="K589" s="1799"/>
      <c r="L589" s="1799"/>
      <c r="M589" s="1799"/>
      <c r="N589" s="1799"/>
      <c r="O589" s="1799"/>
      <c r="P589" s="1799"/>
      <c r="Q589" s="1799"/>
      <c r="R589" s="1799"/>
      <c r="S589" s="1799"/>
      <c r="T589" s="1799"/>
      <c r="U589" s="1799"/>
      <c r="V589" s="1799"/>
      <c r="W589" s="1799"/>
      <c r="X589" s="1799"/>
      <c r="Y589" s="1799"/>
      <c r="Z589" s="1799"/>
    </row>
    <row r="590">
      <c r="A590" s="1799"/>
      <c r="B590" s="1799"/>
      <c r="C590" s="1799"/>
      <c r="D590" s="1812"/>
      <c r="E590" s="1799"/>
      <c r="F590" s="1813"/>
      <c r="G590" s="1814"/>
      <c r="H590" s="1799"/>
      <c r="I590" s="1799"/>
      <c r="J590" s="1799"/>
      <c r="K590" s="1799"/>
      <c r="L590" s="1799"/>
      <c r="M590" s="1799"/>
      <c r="N590" s="1799"/>
      <c r="O590" s="1799"/>
      <c r="P590" s="1799"/>
      <c r="Q590" s="1799"/>
      <c r="R590" s="1799"/>
      <c r="S590" s="1799"/>
      <c r="T590" s="1799"/>
      <c r="U590" s="1799"/>
      <c r="V590" s="1799"/>
      <c r="W590" s="1799"/>
      <c r="X590" s="1799"/>
      <c r="Y590" s="1799"/>
      <c r="Z590" s="1799"/>
    </row>
    <row r="591">
      <c r="A591" s="1799"/>
      <c r="B591" s="1799"/>
      <c r="C591" s="1799"/>
      <c r="D591" s="1812"/>
      <c r="E591" s="1799"/>
      <c r="F591" s="1813"/>
      <c r="G591" s="1814"/>
      <c r="H591" s="1799"/>
      <c r="I591" s="1799"/>
      <c r="J591" s="1799"/>
      <c r="K591" s="1799"/>
      <c r="L591" s="1799"/>
      <c r="M591" s="1799"/>
      <c r="N591" s="1799"/>
      <c r="O591" s="1799"/>
      <c r="P591" s="1799"/>
      <c r="Q591" s="1799"/>
      <c r="R591" s="1799"/>
      <c r="S591" s="1799"/>
      <c r="T591" s="1799"/>
      <c r="U591" s="1799"/>
      <c r="V591" s="1799"/>
      <c r="W591" s="1799"/>
      <c r="X591" s="1799"/>
      <c r="Y591" s="1799"/>
      <c r="Z591" s="1799"/>
    </row>
    <row r="592">
      <c r="A592" s="1799"/>
      <c r="B592" s="1799"/>
      <c r="C592" s="1799"/>
      <c r="D592" s="1812"/>
      <c r="E592" s="1799"/>
      <c r="F592" s="1813"/>
      <c r="G592" s="1814"/>
      <c r="H592" s="1799"/>
      <c r="I592" s="1799"/>
      <c r="J592" s="1799"/>
      <c r="K592" s="1799"/>
      <c r="L592" s="1799"/>
      <c r="M592" s="1799"/>
      <c r="N592" s="1799"/>
      <c r="O592" s="1799"/>
      <c r="P592" s="1799"/>
      <c r="Q592" s="1799"/>
      <c r="R592" s="1799"/>
      <c r="S592" s="1799"/>
      <c r="T592" s="1799"/>
      <c r="U592" s="1799"/>
      <c r="V592" s="1799"/>
      <c r="W592" s="1799"/>
      <c r="X592" s="1799"/>
      <c r="Y592" s="1799"/>
      <c r="Z592" s="1799"/>
    </row>
    <row r="593">
      <c r="A593" s="1799"/>
      <c r="B593" s="1799"/>
      <c r="C593" s="1799"/>
      <c r="D593" s="1812"/>
      <c r="E593" s="1799"/>
      <c r="F593" s="1813"/>
      <c r="G593" s="1814"/>
      <c r="H593" s="1799"/>
      <c r="I593" s="1799"/>
      <c r="J593" s="1799"/>
      <c r="K593" s="1799"/>
      <c r="L593" s="1799"/>
      <c r="M593" s="1799"/>
      <c r="N593" s="1799"/>
      <c r="O593" s="1799"/>
      <c r="P593" s="1799"/>
      <c r="Q593" s="1799"/>
      <c r="R593" s="1799"/>
      <c r="S593" s="1799"/>
      <c r="T593" s="1799"/>
      <c r="U593" s="1799"/>
      <c r="V593" s="1799"/>
      <c r="W593" s="1799"/>
      <c r="X593" s="1799"/>
      <c r="Y593" s="1799"/>
      <c r="Z593" s="1799"/>
    </row>
    <row r="594">
      <c r="A594" s="1799"/>
      <c r="B594" s="1799"/>
      <c r="C594" s="1799"/>
      <c r="D594" s="1812"/>
      <c r="E594" s="1799"/>
      <c r="F594" s="1813"/>
      <c r="G594" s="1814"/>
      <c r="H594" s="1799"/>
      <c r="I594" s="1799"/>
      <c r="J594" s="1799"/>
      <c r="K594" s="1799"/>
      <c r="L594" s="1799"/>
      <c r="M594" s="1799"/>
      <c r="N594" s="1799"/>
      <c r="O594" s="1799"/>
      <c r="P594" s="1799"/>
      <c r="Q594" s="1799"/>
      <c r="R594" s="1799"/>
      <c r="S594" s="1799"/>
      <c r="T594" s="1799"/>
      <c r="U594" s="1799"/>
      <c r="V594" s="1799"/>
      <c r="W594" s="1799"/>
      <c r="X594" s="1799"/>
      <c r="Y594" s="1799"/>
      <c r="Z594" s="1799"/>
    </row>
    <row r="595">
      <c r="A595" s="1799"/>
      <c r="B595" s="1799"/>
      <c r="C595" s="1799"/>
      <c r="D595" s="1812"/>
      <c r="E595" s="1799"/>
      <c r="F595" s="1813"/>
      <c r="G595" s="1814"/>
      <c r="H595" s="1799"/>
      <c r="I595" s="1799"/>
      <c r="J595" s="1799"/>
      <c r="K595" s="1799"/>
      <c r="L595" s="1799"/>
      <c r="M595" s="1799"/>
      <c r="N595" s="1799"/>
      <c r="O595" s="1799"/>
      <c r="P595" s="1799"/>
      <c r="Q595" s="1799"/>
      <c r="R595" s="1799"/>
      <c r="S595" s="1799"/>
      <c r="T595" s="1799"/>
      <c r="U595" s="1799"/>
      <c r="V595" s="1799"/>
      <c r="W595" s="1799"/>
      <c r="X595" s="1799"/>
      <c r="Y595" s="1799"/>
      <c r="Z595" s="1799"/>
    </row>
    <row r="596">
      <c r="A596" s="1799"/>
      <c r="B596" s="1799"/>
      <c r="C596" s="1799"/>
      <c r="D596" s="1812"/>
      <c r="E596" s="1799"/>
      <c r="F596" s="1813"/>
      <c r="G596" s="1814"/>
      <c r="H596" s="1799"/>
      <c r="I596" s="1799"/>
      <c r="J596" s="1799"/>
      <c r="K596" s="1799"/>
      <c r="L596" s="1799"/>
      <c r="M596" s="1799"/>
      <c r="N596" s="1799"/>
      <c r="O596" s="1799"/>
      <c r="P596" s="1799"/>
      <c r="Q596" s="1799"/>
      <c r="R596" s="1799"/>
      <c r="S596" s="1799"/>
      <c r="T596" s="1799"/>
      <c r="U596" s="1799"/>
      <c r="V596" s="1799"/>
      <c r="W596" s="1799"/>
      <c r="X596" s="1799"/>
      <c r="Y596" s="1799"/>
      <c r="Z596" s="1799"/>
    </row>
    <row r="597">
      <c r="A597" s="1799"/>
      <c r="B597" s="1799"/>
      <c r="C597" s="1799"/>
      <c r="D597" s="1812"/>
      <c r="E597" s="1799"/>
      <c r="F597" s="1813"/>
      <c r="G597" s="1814"/>
      <c r="H597" s="1799"/>
      <c r="I597" s="1799"/>
      <c r="J597" s="1799"/>
      <c r="K597" s="1799"/>
      <c r="L597" s="1799"/>
      <c r="M597" s="1799"/>
      <c r="N597" s="1799"/>
      <c r="O597" s="1799"/>
      <c r="P597" s="1799"/>
      <c r="Q597" s="1799"/>
      <c r="R597" s="1799"/>
      <c r="S597" s="1799"/>
      <c r="T597" s="1799"/>
      <c r="U597" s="1799"/>
      <c r="V597" s="1799"/>
      <c r="W597" s="1799"/>
      <c r="X597" s="1799"/>
      <c r="Y597" s="1799"/>
      <c r="Z597" s="1799"/>
    </row>
    <row r="598">
      <c r="A598" s="1799"/>
      <c r="B598" s="1799"/>
      <c r="C598" s="1799"/>
      <c r="D598" s="1812"/>
      <c r="E598" s="1799"/>
      <c r="F598" s="1813"/>
      <c r="G598" s="1814"/>
      <c r="H598" s="1799"/>
      <c r="I598" s="1799"/>
      <c r="J598" s="1799"/>
      <c r="K598" s="1799"/>
      <c r="L598" s="1799"/>
      <c r="M598" s="1799"/>
      <c r="N598" s="1799"/>
      <c r="O598" s="1799"/>
      <c r="P598" s="1799"/>
      <c r="Q598" s="1799"/>
      <c r="R598" s="1799"/>
      <c r="S598" s="1799"/>
      <c r="T598" s="1799"/>
      <c r="U598" s="1799"/>
      <c r="V598" s="1799"/>
      <c r="W598" s="1799"/>
      <c r="X598" s="1799"/>
      <c r="Y598" s="1799"/>
      <c r="Z598" s="1799"/>
    </row>
    <row r="599">
      <c r="A599" s="1799"/>
      <c r="B599" s="1799"/>
      <c r="C599" s="1799"/>
      <c r="D599" s="1812"/>
      <c r="E599" s="1799"/>
      <c r="F599" s="1813"/>
      <c r="G599" s="1814"/>
      <c r="H599" s="1799"/>
      <c r="I599" s="1799"/>
      <c r="J599" s="1799"/>
      <c r="K599" s="1799"/>
      <c r="L599" s="1799"/>
      <c r="M599" s="1799"/>
      <c r="N599" s="1799"/>
      <c r="O599" s="1799"/>
      <c r="P599" s="1799"/>
      <c r="Q599" s="1799"/>
      <c r="R599" s="1799"/>
      <c r="S599" s="1799"/>
      <c r="T599" s="1799"/>
      <c r="U599" s="1799"/>
      <c r="V599" s="1799"/>
      <c r="W599" s="1799"/>
      <c r="X599" s="1799"/>
      <c r="Y599" s="1799"/>
      <c r="Z599" s="1799"/>
    </row>
    <row r="600">
      <c r="A600" s="1799"/>
      <c r="B600" s="1799"/>
      <c r="C600" s="1799"/>
      <c r="D600" s="1812"/>
      <c r="E600" s="1799"/>
      <c r="F600" s="1813"/>
      <c r="G600" s="1814"/>
      <c r="H600" s="1799"/>
      <c r="I600" s="1799"/>
      <c r="J600" s="1799"/>
      <c r="K600" s="1799"/>
      <c r="L600" s="1799"/>
      <c r="M600" s="1799"/>
      <c r="N600" s="1799"/>
      <c r="O600" s="1799"/>
      <c r="P600" s="1799"/>
      <c r="Q600" s="1799"/>
      <c r="R600" s="1799"/>
      <c r="S600" s="1799"/>
      <c r="T600" s="1799"/>
      <c r="U600" s="1799"/>
      <c r="V600" s="1799"/>
      <c r="W600" s="1799"/>
      <c r="X600" s="1799"/>
      <c r="Y600" s="1799"/>
      <c r="Z600" s="1799"/>
    </row>
    <row r="601">
      <c r="A601" s="1799"/>
      <c r="B601" s="1799"/>
      <c r="C601" s="1799"/>
      <c r="D601" s="1812"/>
      <c r="E601" s="1799"/>
      <c r="F601" s="1813"/>
      <c r="G601" s="1814"/>
      <c r="H601" s="1799"/>
      <c r="I601" s="1799"/>
      <c r="J601" s="1799"/>
      <c r="K601" s="1799"/>
      <c r="L601" s="1799"/>
      <c r="M601" s="1799"/>
      <c r="N601" s="1799"/>
      <c r="O601" s="1799"/>
      <c r="P601" s="1799"/>
      <c r="Q601" s="1799"/>
      <c r="R601" s="1799"/>
      <c r="S601" s="1799"/>
      <c r="T601" s="1799"/>
      <c r="U601" s="1799"/>
      <c r="V601" s="1799"/>
      <c r="W601" s="1799"/>
      <c r="X601" s="1799"/>
      <c r="Y601" s="1799"/>
      <c r="Z601" s="1799"/>
    </row>
    <row r="602">
      <c r="A602" s="1799"/>
      <c r="B602" s="1799"/>
      <c r="C602" s="1799"/>
      <c r="D602" s="1812"/>
      <c r="E602" s="1799"/>
      <c r="F602" s="1813"/>
      <c r="G602" s="1814"/>
      <c r="H602" s="1799"/>
      <c r="I602" s="1799"/>
      <c r="J602" s="1799"/>
      <c r="K602" s="1799"/>
      <c r="L602" s="1799"/>
      <c r="M602" s="1799"/>
      <c r="N602" s="1799"/>
      <c r="O602" s="1799"/>
      <c r="P602" s="1799"/>
      <c r="Q602" s="1799"/>
      <c r="R602" s="1799"/>
      <c r="S602" s="1799"/>
      <c r="T602" s="1799"/>
      <c r="U602" s="1799"/>
      <c r="V602" s="1799"/>
      <c r="W602" s="1799"/>
      <c r="X602" s="1799"/>
      <c r="Y602" s="1799"/>
      <c r="Z602" s="1799"/>
    </row>
    <row r="603">
      <c r="A603" s="1799"/>
      <c r="B603" s="1799"/>
      <c r="C603" s="1799"/>
      <c r="D603" s="1812"/>
      <c r="E603" s="1799"/>
      <c r="F603" s="1813"/>
      <c r="G603" s="1814"/>
      <c r="H603" s="1799"/>
      <c r="I603" s="1799"/>
      <c r="J603" s="1799"/>
      <c r="K603" s="1799"/>
      <c r="L603" s="1799"/>
      <c r="M603" s="1799"/>
      <c r="N603" s="1799"/>
      <c r="O603" s="1799"/>
      <c r="P603" s="1799"/>
      <c r="Q603" s="1799"/>
      <c r="R603" s="1799"/>
      <c r="S603" s="1799"/>
      <c r="T603" s="1799"/>
      <c r="U603" s="1799"/>
      <c r="V603" s="1799"/>
      <c r="W603" s="1799"/>
      <c r="X603" s="1799"/>
      <c r="Y603" s="1799"/>
      <c r="Z603" s="1799"/>
    </row>
    <row r="604">
      <c r="A604" s="1799"/>
      <c r="B604" s="1799"/>
      <c r="C604" s="1799"/>
      <c r="D604" s="1812"/>
      <c r="E604" s="1799"/>
      <c r="F604" s="1813"/>
      <c r="G604" s="1814"/>
      <c r="H604" s="1799"/>
      <c r="I604" s="1799"/>
      <c r="J604" s="1799"/>
      <c r="K604" s="1799"/>
      <c r="L604" s="1799"/>
      <c r="M604" s="1799"/>
      <c r="N604" s="1799"/>
      <c r="O604" s="1799"/>
      <c r="P604" s="1799"/>
      <c r="Q604" s="1799"/>
      <c r="R604" s="1799"/>
      <c r="S604" s="1799"/>
      <c r="T604" s="1799"/>
      <c r="U604" s="1799"/>
      <c r="V604" s="1799"/>
      <c r="W604" s="1799"/>
      <c r="X604" s="1799"/>
      <c r="Y604" s="1799"/>
      <c r="Z604" s="1799"/>
    </row>
    <row r="605">
      <c r="A605" s="1799"/>
      <c r="B605" s="1799"/>
      <c r="C605" s="1799"/>
      <c r="D605" s="1812"/>
      <c r="E605" s="1799"/>
      <c r="F605" s="1813"/>
      <c r="G605" s="1814"/>
      <c r="H605" s="1799"/>
      <c r="I605" s="1799"/>
      <c r="J605" s="1799"/>
      <c r="K605" s="1799"/>
      <c r="L605" s="1799"/>
      <c r="M605" s="1799"/>
      <c r="N605" s="1799"/>
      <c r="O605" s="1799"/>
      <c r="P605" s="1799"/>
      <c r="Q605" s="1799"/>
      <c r="R605" s="1799"/>
      <c r="S605" s="1799"/>
      <c r="T605" s="1799"/>
      <c r="U605" s="1799"/>
      <c r="V605" s="1799"/>
      <c r="W605" s="1799"/>
      <c r="X605" s="1799"/>
      <c r="Y605" s="1799"/>
      <c r="Z605" s="1799"/>
    </row>
    <row r="606">
      <c r="A606" s="1799"/>
      <c r="B606" s="1799"/>
      <c r="C606" s="1799"/>
      <c r="D606" s="1812"/>
      <c r="E606" s="1799"/>
      <c r="F606" s="1813"/>
      <c r="G606" s="1814"/>
      <c r="H606" s="1799"/>
      <c r="I606" s="1799"/>
      <c r="J606" s="1799"/>
      <c r="K606" s="1799"/>
      <c r="L606" s="1799"/>
      <c r="M606" s="1799"/>
      <c r="N606" s="1799"/>
      <c r="O606" s="1799"/>
      <c r="P606" s="1799"/>
      <c r="Q606" s="1799"/>
      <c r="R606" s="1799"/>
      <c r="S606" s="1799"/>
      <c r="T606" s="1799"/>
      <c r="U606" s="1799"/>
      <c r="V606" s="1799"/>
      <c r="W606" s="1799"/>
      <c r="X606" s="1799"/>
      <c r="Y606" s="1799"/>
      <c r="Z606" s="1799"/>
    </row>
    <row r="607">
      <c r="A607" s="1799"/>
      <c r="B607" s="1799"/>
      <c r="C607" s="1799"/>
      <c r="D607" s="1812"/>
      <c r="E607" s="1799"/>
      <c r="F607" s="1813"/>
      <c r="G607" s="1814"/>
      <c r="H607" s="1799"/>
      <c r="I607" s="1799"/>
      <c r="J607" s="1799"/>
      <c r="K607" s="1799"/>
      <c r="L607" s="1799"/>
      <c r="M607" s="1799"/>
      <c r="N607" s="1799"/>
      <c r="O607" s="1799"/>
      <c r="P607" s="1799"/>
      <c r="Q607" s="1799"/>
      <c r="R607" s="1799"/>
      <c r="S607" s="1799"/>
      <c r="T607" s="1799"/>
      <c r="U607" s="1799"/>
      <c r="V607" s="1799"/>
      <c r="W607" s="1799"/>
      <c r="X607" s="1799"/>
      <c r="Y607" s="1799"/>
      <c r="Z607" s="1799"/>
    </row>
    <row r="608">
      <c r="A608" s="1799"/>
      <c r="B608" s="1799"/>
      <c r="C608" s="1799"/>
      <c r="D608" s="1812"/>
      <c r="E608" s="1799"/>
      <c r="F608" s="1813"/>
      <c r="G608" s="1814"/>
      <c r="H608" s="1799"/>
      <c r="I608" s="1799"/>
      <c r="J608" s="1799"/>
      <c r="K608" s="1799"/>
      <c r="L608" s="1799"/>
      <c r="M608" s="1799"/>
      <c r="N608" s="1799"/>
      <c r="O608" s="1799"/>
      <c r="P608" s="1799"/>
      <c r="Q608" s="1799"/>
      <c r="R608" s="1799"/>
      <c r="S608" s="1799"/>
      <c r="T608" s="1799"/>
      <c r="U608" s="1799"/>
      <c r="V608" s="1799"/>
      <c r="W608" s="1799"/>
      <c r="X608" s="1799"/>
      <c r="Y608" s="1799"/>
      <c r="Z608" s="1799"/>
    </row>
    <row r="609">
      <c r="A609" s="1799"/>
      <c r="B609" s="1799"/>
      <c r="C609" s="1799"/>
      <c r="D609" s="1812"/>
      <c r="E609" s="1799"/>
      <c r="F609" s="1813"/>
      <c r="G609" s="1814"/>
      <c r="H609" s="1799"/>
      <c r="I609" s="1799"/>
      <c r="J609" s="1799"/>
      <c r="K609" s="1799"/>
      <c r="L609" s="1799"/>
      <c r="M609" s="1799"/>
      <c r="N609" s="1799"/>
      <c r="O609" s="1799"/>
      <c r="P609" s="1799"/>
      <c r="Q609" s="1799"/>
      <c r="R609" s="1799"/>
      <c r="S609" s="1799"/>
      <c r="T609" s="1799"/>
      <c r="U609" s="1799"/>
      <c r="V609" s="1799"/>
      <c r="W609" s="1799"/>
      <c r="X609" s="1799"/>
      <c r="Y609" s="1799"/>
      <c r="Z609" s="1799"/>
    </row>
    <row r="610">
      <c r="A610" s="1799"/>
      <c r="B610" s="1799"/>
      <c r="C610" s="1799"/>
      <c r="D610" s="1812"/>
      <c r="E610" s="1799"/>
      <c r="F610" s="1813"/>
      <c r="G610" s="1814"/>
      <c r="H610" s="1799"/>
      <c r="I610" s="1799"/>
      <c r="J610" s="1799"/>
      <c r="K610" s="1799"/>
      <c r="L610" s="1799"/>
      <c r="M610" s="1799"/>
      <c r="N610" s="1799"/>
      <c r="O610" s="1799"/>
      <c r="P610" s="1799"/>
      <c r="Q610" s="1799"/>
      <c r="R610" s="1799"/>
      <c r="S610" s="1799"/>
      <c r="T610" s="1799"/>
      <c r="U610" s="1799"/>
      <c r="V610" s="1799"/>
      <c r="W610" s="1799"/>
      <c r="X610" s="1799"/>
      <c r="Y610" s="1799"/>
      <c r="Z610" s="1799"/>
    </row>
    <row r="611">
      <c r="A611" s="1799"/>
      <c r="B611" s="1799"/>
      <c r="C611" s="1799"/>
      <c r="D611" s="1812"/>
      <c r="E611" s="1799"/>
      <c r="F611" s="1813"/>
      <c r="G611" s="1814"/>
      <c r="H611" s="1799"/>
      <c r="I611" s="1799"/>
      <c r="J611" s="1799"/>
      <c r="K611" s="1799"/>
      <c r="L611" s="1799"/>
      <c r="M611" s="1799"/>
      <c r="N611" s="1799"/>
      <c r="O611" s="1799"/>
      <c r="P611" s="1799"/>
      <c r="Q611" s="1799"/>
      <c r="R611" s="1799"/>
      <c r="S611" s="1799"/>
      <c r="T611" s="1799"/>
      <c r="U611" s="1799"/>
      <c r="V611" s="1799"/>
      <c r="W611" s="1799"/>
      <c r="X611" s="1799"/>
      <c r="Y611" s="1799"/>
      <c r="Z611" s="1799"/>
    </row>
    <row r="612">
      <c r="A612" s="1799"/>
      <c r="B612" s="1799"/>
      <c r="C612" s="1799"/>
      <c r="D612" s="1812"/>
      <c r="E612" s="1799"/>
      <c r="F612" s="1813"/>
      <c r="G612" s="1814"/>
      <c r="H612" s="1799"/>
      <c r="I612" s="1799"/>
      <c r="J612" s="1799"/>
      <c r="K612" s="1799"/>
      <c r="L612" s="1799"/>
      <c r="M612" s="1799"/>
      <c r="N612" s="1799"/>
      <c r="O612" s="1799"/>
      <c r="P612" s="1799"/>
      <c r="Q612" s="1799"/>
      <c r="R612" s="1799"/>
      <c r="S612" s="1799"/>
      <c r="T612" s="1799"/>
      <c r="U612" s="1799"/>
      <c r="V612" s="1799"/>
      <c r="W612" s="1799"/>
      <c r="X612" s="1799"/>
      <c r="Y612" s="1799"/>
      <c r="Z612" s="1799"/>
    </row>
    <row r="613">
      <c r="A613" s="1799"/>
      <c r="B613" s="1799"/>
      <c r="C613" s="1799"/>
      <c r="D613" s="1812"/>
      <c r="E613" s="1799"/>
      <c r="F613" s="1813"/>
      <c r="G613" s="1814"/>
      <c r="H613" s="1799"/>
      <c r="I613" s="1799"/>
      <c r="J613" s="1799"/>
      <c r="K613" s="1799"/>
      <c r="L613" s="1799"/>
      <c r="M613" s="1799"/>
      <c r="N613" s="1799"/>
      <c r="O613" s="1799"/>
      <c r="P613" s="1799"/>
      <c r="Q613" s="1799"/>
      <c r="R613" s="1799"/>
      <c r="S613" s="1799"/>
      <c r="T613" s="1799"/>
      <c r="U613" s="1799"/>
      <c r="V613" s="1799"/>
      <c r="W613" s="1799"/>
      <c r="X613" s="1799"/>
      <c r="Y613" s="1799"/>
      <c r="Z613" s="1799"/>
    </row>
    <row r="614">
      <c r="A614" s="1799"/>
      <c r="B614" s="1799"/>
      <c r="C614" s="1799"/>
      <c r="D614" s="1812"/>
      <c r="E614" s="1799"/>
      <c r="F614" s="1813"/>
      <c r="G614" s="1814"/>
      <c r="H614" s="1799"/>
      <c r="I614" s="1799"/>
      <c r="J614" s="1799"/>
      <c r="K614" s="1799"/>
      <c r="L614" s="1799"/>
      <c r="M614" s="1799"/>
      <c r="N614" s="1799"/>
      <c r="O614" s="1799"/>
      <c r="P614" s="1799"/>
      <c r="Q614" s="1799"/>
      <c r="R614" s="1799"/>
      <c r="S614" s="1799"/>
      <c r="T614" s="1799"/>
      <c r="U614" s="1799"/>
      <c r="V614" s="1799"/>
      <c r="W614" s="1799"/>
      <c r="X614" s="1799"/>
      <c r="Y614" s="1799"/>
      <c r="Z614" s="1799"/>
    </row>
    <row r="615">
      <c r="A615" s="1799"/>
      <c r="B615" s="1799"/>
      <c r="C615" s="1799"/>
      <c r="D615" s="1812"/>
      <c r="E615" s="1799"/>
      <c r="F615" s="1813"/>
      <c r="G615" s="1814"/>
      <c r="H615" s="1799"/>
      <c r="I615" s="1799"/>
      <c r="J615" s="1799"/>
      <c r="K615" s="1799"/>
      <c r="L615" s="1799"/>
      <c r="M615" s="1799"/>
      <c r="N615" s="1799"/>
      <c r="O615" s="1799"/>
      <c r="P615" s="1799"/>
      <c r="Q615" s="1799"/>
      <c r="R615" s="1799"/>
      <c r="S615" s="1799"/>
      <c r="T615" s="1799"/>
      <c r="U615" s="1799"/>
      <c r="V615" s="1799"/>
      <c r="W615" s="1799"/>
      <c r="X615" s="1799"/>
      <c r="Y615" s="1799"/>
      <c r="Z615" s="1799"/>
    </row>
    <row r="616">
      <c r="A616" s="1799"/>
      <c r="B616" s="1799"/>
      <c r="C616" s="1799"/>
      <c r="D616" s="1812"/>
      <c r="E616" s="1799"/>
      <c r="F616" s="1813"/>
      <c r="G616" s="1814"/>
      <c r="H616" s="1799"/>
      <c r="I616" s="1799"/>
      <c r="J616" s="1799"/>
      <c r="K616" s="1799"/>
      <c r="L616" s="1799"/>
      <c r="M616" s="1799"/>
      <c r="N616" s="1799"/>
      <c r="O616" s="1799"/>
      <c r="P616" s="1799"/>
      <c r="Q616" s="1799"/>
      <c r="R616" s="1799"/>
      <c r="S616" s="1799"/>
      <c r="T616" s="1799"/>
      <c r="U616" s="1799"/>
      <c r="V616" s="1799"/>
      <c r="W616" s="1799"/>
      <c r="X616" s="1799"/>
      <c r="Y616" s="1799"/>
      <c r="Z616" s="1799"/>
    </row>
    <row r="617">
      <c r="A617" s="1799"/>
      <c r="B617" s="1799"/>
      <c r="C617" s="1799"/>
      <c r="D617" s="1812"/>
      <c r="E617" s="1799"/>
      <c r="F617" s="1813"/>
      <c r="G617" s="1814"/>
      <c r="H617" s="1799"/>
      <c r="I617" s="1799"/>
      <c r="J617" s="1799"/>
      <c r="K617" s="1799"/>
      <c r="L617" s="1799"/>
      <c r="M617" s="1799"/>
      <c r="N617" s="1799"/>
      <c r="O617" s="1799"/>
      <c r="P617" s="1799"/>
      <c r="Q617" s="1799"/>
      <c r="R617" s="1799"/>
      <c r="S617" s="1799"/>
      <c r="T617" s="1799"/>
      <c r="U617" s="1799"/>
      <c r="V617" s="1799"/>
      <c r="W617" s="1799"/>
      <c r="X617" s="1799"/>
      <c r="Y617" s="1799"/>
      <c r="Z617" s="1799"/>
    </row>
    <row r="618">
      <c r="A618" s="1799"/>
      <c r="B618" s="1799"/>
      <c r="C618" s="1799"/>
      <c r="D618" s="1812"/>
      <c r="E618" s="1799"/>
      <c r="F618" s="1813"/>
      <c r="G618" s="1814"/>
      <c r="H618" s="1799"/>
      <c r="I618" s="1799"/>
      <c r="J618" s="1799"/>
      <c r="K618" s="1799"/>
      <c r="L618" s="1799"/>
      <c r="M618" s="1799"/>
      <c r="N618" s="1799"/>
      <c r="O618" s="1799"/>
      <c r="P618" s="1799"/>
      <c r="Q618" s="1799"/>
      <c r="R618" s="1799"/>
      <c r="S618" s="1799"/>
      <c r="T618" s="1799"/>
      <c r="U618" s="1799"/>
      <c r="V618" s="1799"/>
      <c r="W618" s="1799"/>
      <c r="X618" s="1799"/>
      <c r="Y618" s="1799"/>
      <c r="Z618" s="1799"/>
    </row>
    <row r="619">
      <c r="A619" s="1799"/>
      <c r="B619" s="1799"/>
      <c r="C619" s="1799"/>
      <c r="D619" s="1812"/>
      <c r="E619" s="1799"/>
      <c r="F619" s="1813"/>
      <c r="G619" s="1814"/>
      <c r="H619" s="1799"/>
      <c r="I619" s="1799"/>
      <c r="J619" s="1799"/>
      <c r="K619" s="1799"/>
      <c r="L619" s="1799"/>
      <c r="M619" s="1799"/>
      <c r="N619" s="1799"/>
      <c r="O619" s="1799"/>
      <c r="P619" s="1799"/>
      <c r="Q619" s="1799"/>
      <c r="R619" s="1799"/>
      <c r="S619" s="1799"/>
      <c r="T619" s="1799"/>
      <c r="U619" s="1799"/>
      <c r="V619" s="1799"/>
      <c r="W619" s="1799"/>
      <c r="X619" s="1799"/>
      <c r="Y619" s="1799"/>
      <c r="Z619" s="1799"/>
    </row>
    <row r="620">
      <c r="A620" s="1799"/>
      <c r="B620" s="1799"/>
      <c r="C620" s="1799"/>
      <c r="D620" s="1812"/>
      <c r="E620" s="1799"/>
      <c r="F620" s="1813"/>
      <c r="G620" s="1814"/>
      <c r="H620" s="1799"/>
      <c r="I620" s="1799"/>
      <c r="J620" s="1799"/>
      <c r="K620" s="1799"/>
      <c r="L620" s="1799"/>
      <c r="M620" s="1799"/>
      <c r="N620" s="1799"/>
      <c r="O620" s="1799"/>
      <c r="P620" s="1799"/>
      <c r="Q620" s="1799"/>
      <c r="R620" s="1799"/>
      <c r="S620" s="1799"/>
      <c r="T620" s="1799"/>
      <c r="U620" s="1799"/>
      <c r="V620" s="1799"/>
      <c r="W620" s="1799"/>
      <c r="X620" s="1799"/>
      <c r="Y620" s="1799"/>
      <c r="Z620" s="1799"/>
    </row>
    <row r="621">
      <c r="A621" s="1799"/>
      <c r="B621" s="1799"/>
      <c r="C621" s="1799"/>
      <c r="D621" s="1812"/>
      <c r="E621" s="1799"/>
      <c r="F621" s="1813"/>
      <c r="G621" s="1814"/>
      <c r="H621" s="1799"/>
      <c r="I621" s="1799"/>
      <c r="J621" s="1799"/>
      <c r="K621" s="1799"/>
      <c r="L621" s="1799"/>
      <c r="M621" s="1799"/>
      <c r="N621" s="1799"/>
      <c r="O621" s="1799"/>
      <c r="P621" s="1799"/>
      <c r="Q621" s="1799"/>
      <c r="R621" s="1799"/>
      <c r="S621" s="1799"/>
      <c r="T621" s="1799"/>
      <c r="U621" s="1799"/>
      <c r="V621" s="1799"/>
      <c r="W621" s="1799"/>
      <c r="X621" s="1799"/>
      <c r="Y621" s="1799"/>
      <c r="Z621" s="1799"/>
    </row>
    <row r="622">
      <c r="A622" s="1799"/>
      <c r="B622" s="1799"/>
      <c r="C622" s="1799"/>
      <c r="D622" s="1812"/>
      <c r="E622" s="1799"/>
      <c r="F622" s="1813"/>
      <c r="G622" s="1814"/>
      <c r="H622" s="1799"/>
      <c r="I622" s="1799"/>
      <c r="J622" s="1799"/>
      <c r="K622" s="1799"/>
      <c r="L622" s="1799"/>
      <c r="M622" s="1799"/>
      <c r="N622" s="1799"/>
      <c r="O622" s="1799"/>
      <c r="P622" s="1799"/>
      <c r="Q622" s="1799"/>
      <c r="R622" s="1799"/>
      <c r="S622" s="1799"/>
      <c r="T622" s="1799"/>
      <c r="U622" s="1799"/>
      <c r="V622" s="1799"/>
      <c r="W622" s="1799"/>
      <c r="X622" s="1799"/>
      <c r="Y622" s="1799"/>
      <c r="Z622" s="1799"/>
    </row>
    <row r="623">
      <c r="A623" s="1799"/>
      <c r="B623" s="1799"/>
      <c r="C623" s="1799"/>
      <c r="D623" s="1812"/>
      <c r="E623" s="1799"/>
      <c r="F623" s="1813"/>
      <c r="G623" s="1814"/>
      <c r="H623" s="1799"/>
      <c r="I623" s="1799"/>
      <c r="J623" s="1799"/>
      <c r="K623" s="1799"/>
      <c r="L623" s="1799"/>
      <c r="M623" s="1799"/>
      <c r="N623" s="1799"/>
      <c r="O623" s="1799"/>
      <c r="P623" s="1799"/>
      <c r="Q623" s="1799"/>
      <c r="R623" s="1799"/>
      <c r="S623" s="1799"/>
      <c r="T623" s="1799"/>
      <c r="U623" s="1799"/>
      <c r="V623" s="1799"/>
      <c r="W623" s="1799"/>
      <c r="X623" s="1799"/>
      <c r="Y623" s="1799"/>
      <c r="Z623" s="1799"/>
    </row>
    <row r="624">
      <c r="A624" s="1799"/>
      <c r="B624" s="1799"/>
      <c r="C624" s="1799"/>
      <c r="D624" s="1812"/>
      <c r="E624" s="1799"/>
      <c r="F624" s="1813"/>
      <c r="G624" s="1814"/>
      <c r="H624" s="1799"/>
      <c r="I624" s="1799"/>
      <c r="J624" s="1799"/>
      <c r="K624" s="1799"/>
      <c r="L624" s="1799"/>
      <c r="M624" s="1799"/>
      <c r="N624" s="1799"/>
      <c r="O624" s="1799"/>
      <c r="P624" s="1799"/>
      <c r="Q624" s="1799"/>
      <c r="R624" s="1799"/>
      <c r="S624" s="1799"/>
      <c r="T624" s="1799"/>
      <c r="U624" s="1799"/>
      <c r="V624" s="1799"/>
      <c r="W624" s="1799"/>
      <c r="X624" s="1799"/>
      <c r="Y624" s="1799"/>
      <c r="Z624" s="1799"/>
    </row>
    <row r="625">
      <c r="A625" s="1799"/>
      <c r="B625" s="1799"/>
      <c r="C625" s="1799"/>
      <c r="D625" s="1812"/>
      <c r="E625" s="1799"/>
      <c r="F625" s="1813"/>
      <c r="G625" s="1814"/>
      <c r="H625" s="1799"/>
      <c r="I625" s="1799"/>
      <c r="J625" s="1799"/>
      <c r="K625" s="1799"/>
      <c r="L625" s="1799"/>
      <c r="M625" s="1799"/>
      <c r="N625" s="1799"/>
      <c r="O625" s="1799"/>
      <c r="P625" s="1799"/>
      <c r="Q625" s="1799"/>
      <c r="R625" s="1799"/>
      <c r="S625" s="1799"/>
      <c r="T625" s="1799"/>
      <c r="U625" s="1799"/>
      <c r="V625" s="1799"/>
      <c r="W625" s="1799"/>
      <c r="X625" s="1799"/>
      <c r="Y625" s="1799"/>
      <c r="Z625" s="1799"/>
    </row>
    <row r="626">
      <c r="A626" s="1799"/>
      <c r="B626" s="1799"/>
      <c r="C626" s="1799"/>
      <c r="D626" s="1812"/>
      <c r="E626" s="1799"/>
      <c r="F626" s="1813"/>
      <c r="G626" s="1814"/>
      <c r="H626" s="1799"/>
      <c r="I626" s="1799"/>
      <c r="J626" s="1799"/>
      <c r="K626" s="1799"/>
      <c r="L626" s="1799"/>
      <c r="M626" s="1799"/>
      <c r="N626" s="1799"/>
      <c r="O626" s="1799"/>
      <c r="P626" s="1799"/>
      <c r="Q626" s="1799"/>
      <c r="R626" s="1799"/>
      <c r="S626" s="1799"/>
      <c r="T626" s="1799"/>
      <c r="U626" s="1799"/>
      <c r="V626" s="1799"/>
      <c r="W626" s="1799"/>
      <c r="X626" s="1799"/>
      <c r="Y626" s="1799"/>
      <c r="Z626" s="1799"/>
    </row>
    <row r="627">
      <c r="A627" s="1799"/>
      <c r="B627" s="1799"/>
      <c r="C627" s="1799"/>
      <c r="D627" s="1812"/>
      <c r="E627" s="1799"/>
      <c r="F627" s="1813"/>
      <c r="G627" s="1814"/>
      <c r="H627" s="1799"/>
      <c r="I627" s="1799"/>
      <c r="J627" s="1799"/>
      <c r="K627" s="1799"/>
      <c r="L627" s="1799"/>
      <c r="M627" s="1799"/>
      <c r="N627" s="1799"/>
      <c r="O627" s="1799"/>
      <c r="P627" s="1799"/>
      <c r="Q627" s="1799"/>
      <c r="R627" s="1799"/>
      <c r="S627" s="1799"/>
      <c r="T627" s="1799"/>
      <c r="U627" s="1799"/>
      <c r="V627" s="1799"/>
      <c r="W627" s="1799"/>
      <c r="X627" s="1799"/>
      <c r="Y627" s="1799"/>
      <c r="Z627" s="1799"/>
    </row>
    <row r="628">
      <c r="A628" s="1799"/>
      <c r="B628" s="1799"/>
      <c r="C628" s="1799"/>
      <c r="D628" s="1812"/>
      <c r="E628" s="1799"/>
      <c r="F628" s="1813"/>
      <c r="G628" s="1814"/>
      <c r="H628" s="1799"/>
      <c r="I628" s="1799"/>
      <c r="J628" s="1799"/>
      <c r="K628" s="1799"/>
      <c r="L628" s="1799"/>
      <c r="M628" s="1799"/>
      <c r="N628" s="1799"/>
      <c r="O628" s="1799"/>
      <c r="P628" s="1799"/>
      <c r="Q628" s="1799"/>
      <c r="R628" s="1799"/>
      <c r="S628" s="1799"/>
      <c r="T628" s="1799"/>
      <c r="U628" s="1799"/>
      <c r="V628" s="1799"/>
      <c r="W628" s="1799"/>
      <c r="X628" s="1799"/>
      <c r="Y628" s="1799"/>
      <c r="Z628" s="1799"/>
    </row>
    <row r="629">
      <c r="A629" s="1799"/>
      <c r="B629" s="1799"/>
      <c r="C629" s="1799"/>
      <c r="D629" s="1812"/>
      <c r="E629" s="1799"/>
      <c r="F629" s="1813"/>
      <c r="G629" s="1814"/>
      <c r="H629" s="1799"/>
      <c r="I629" s="1799"/>
      <c r="J629" s="1799"/>
      <c r="K629" s="1799"/>
      <c r="L629" s="1799"/>
      <c r="M629" s="1799"/>
      <c r="N629" s="1799"/>
      <c r="O629" s="1799"/>
      <c r="P629" s="1799"/>
      <c r="Q629" s="1799"/>
      <c r="R629" s="1799"/>
      <c r="S629" s="1799"/>
      <c r="T629" s="1799"/>
      <c r="U629" s="1799"/>
      <c r="V629" s="1799"/>
      <c r="W629" s="1799"/>
      <c r="X629" s="1799"/>
      <c r="Y629" s="1799"/>
      <c r="Z629" s="1799"/>
    </row>
    <row r="630">
      <c r="A630" s="1799"/>
      <c r="B630" s="1799"/>
      <c r="C630" s="1799"/>
      <c r="D630" s="1812"/>
      <c r="E630" s="1799"/>
      <c r="F630" s="1813"/>
      <c r="G630" s="1814"/>
      <c r="H630" s="1799"/>
      <c r="I630" s="1799"/>
      <c r="J630" s="1799"/>
      <c r="K630" s="1799"/>
      <c r="L630" s="1799"/>
      <c r="M630" s="1799"/>
      <c r="N630" s="1799"/>
      <c r="O630" s="1799"/>
      <c r="P630" s="1799"/>
      <c r="Q630" s="1799"/>
      <c r="R630" s="1799"/>
      <c r="S630" s="1799"/>
      <c r="T630" s="1799"/>
      <c r="U630" s="1799"/>
      <c r="V630" s="1799"/>
      <c r="W630" s="1799"/>
      <c r="X630" s="1799"/>
      <c r="Y630" s="1799"/>
      <c r="Z630" s="1799"/>
    </row>
    <row r="631">
      <c r="A631" s="1799"/>
      <c r="B631" s="1799"/>
      <c r="C631" s="1799"/>
      <c r="D631" s="1812"/>
      <c r="E631" s="1799"/>
      <c r="F631" s="1813"/>
      <c r="G631" s="1814"/>
      <c r="H631" s="1799"/>
      <c r="I631" s="1799"/>
      <c r="J631" s="1799"/>
      <c r="K631" s="1799"/>
      <c r="L631" s="1799"/>
      <c r="M631" s="1799"/>
      <c r="N631" s="1799"/>
      <c r="O631" s="1799"/>
      <c r="P631" s="1799"/>
      <c r="Q631" s="1799"/>
      <c r="R631" s="1799"/>
      <c r="S631" s="1799"/>
      <c r="T631" s="1799"/>
      <c r="U631" s="1799"/>
      <c r="V631" s="1799"/>
      <c r="W631" s="1799"/>
      <c r="X631" s="1799"/>
      <c r="Y631" s="1799"/>
      <c r="Z631" s="1799"/>
    </row>
    <row r="632">
      <c r="A632" s="1799"/>
      <c r="B632" s="1799"/>
      <c r="C632" s="1799"/>
      <c r="D632" s="1812"/>
      <c r="E632" s="1799"/>
      <c r="F632" s="1813"/>
      <c r="G632" s="1814"/>
      <c r="H632" s="1799"/>
      <c r="I632" s="1799"/>
      <c r="J632" s="1799"/>
      <c r="K632" s="1799"/>
      <c r="L632" s="1799"/>
      <c r="M632" s="1799"/>
      <c r="N632" s="1799"/>
      <c r="O632" s="1799"/>
      <c r="P632" s="1799"/>
      <c r="Q632" s="1799"/>
      <c r="R632" s="1799"/>
      <c r="S632" s="1799"/>
      <c r="T632" s="1799"/>
      <c r="U632" s="1799"/>
      <c r="V632" s="1799"/>
      <c r="W632" s="1799"/>
      <c r="X632" s="1799"/>
      <c r="Y632" s="1799"/>
      <c r="Z632" s="1799"/>
    </row>
    <row r="633">
      <c r="A633" s="1799"/>
      <c r="B633" s="1799"/>
      <c r="C633" s="1799"/>
      <c r="D633" s="1812"/>
      <c r="E633" s="1799"/>
      <c r="F633" s="1813"/>
      <c r="G633" s="1814"/>
      <c r="H633" s="1799"/>
      <c r="I633" s="1799"/>
      <c r="J633" s="1799"/>
      <c r="K633" s="1799"/>
      <c r="L633" s="1799"/>
      <c r="M633" s="1799"/>
      <c r="N633" s="1799"/>
      <c r="O633" s="1799"/>
      <c r="P633" s="1799"/>
      <c r="Q633" s="1799"/>
      <c r="R633" s="1799"/>
      <c r="S633" s="1799"/>
      <c r="T633" s="1799"/>
      <c r="U633" s="1799"/>
      <c r="V633" s="1799"/>
      <c r="W633" s="1799"/>
      <c r="X633" s="1799"/>
      <c r="Y633" s="1799"/>
      <c r="Z633" s="1799"/>
    </row>
    <row r="634">
      <c r="A634" s="1799"/>
      <c r="B634" s="1799"/>
      <c r="C634" s="1799"/>
      <c r="D634" s="1812"/>
      <c r="E634" s="1799"/>
      <c r="F634" s="1813"/>
      <c r="G634" s="1814"/>
      <c r="H634" s="1799"/>
      <c r="I634" s="1799"/>
      <c r="J634" s="1799"/>
      <c r="K634" s="1799"/>
      <c r="L634" s="1799"/>
      <c r="M634" s="1799"/>
      <c r="N634" s="1799"/>
      <c r="O634" s="1799"/>
      <c r="P634" s="1799"/>
      <c r="Q634" s="1799"/>
      <c r="R634" s="1799"/>
      <c r="S634" s="1799"/>
      <c r="T634" s="1799"/>
      <c r="U634" s="1799"/>
      <c r="V634" s="1799"/>
      <c r="W634" s="1799"/>
      <c r="X634" s="1799"/>
      <c r="Y634" s="1799"/>
      <c r="Z634" s="1799"/>
    </row>
    <row r="635">
      <c r="A635" s="1799"/>
      <c r="B635" s="1799"/>
      <c r="C635" s="1799"/>
      <c r="D635" s="1812"/>
      <c r="E635" s="1799"/>
      <c r="F635" s="1813"/>
      <c r="G635" s="1814"/>
      <c r="H635" s="1799"/>
      <c r="I635" s="1799"/>
      <c r="J635" s="1799"/>
      <c r="K635" s="1799"/>
      <c r="L635" s="1799"/>
      <c r="M635" s="1799"/>
      <c r="N635" s="1799"/>
      <c r="O635" s="1799"/>
      <c r="P635" s="1799"/>
      <c r="Q635" s="1799"/>
      <c r="R635" s="1799"/>
      <c r="S635" s="1799"/>
      <c r="T635" s="1799"/>
      <c r="U635" s="1799"/>
      <c r="V635" s="1799"/>
      <c r="W635" s="1799"/>
      <c r="X635" s="1799"/>
      <c r="Y635" s="1799"/>
      <c r="Z635" s="1799"/>
    </row>
    <row r="636">
      <c r="A636" s="1799"/>
      <c r="B636" s="1799"/>
      <c r="C636" s="1799"/>
      <c r="D636" s="1812"/>
      <c r="E636" s="1799"/>
      <c r="F636" s="1813"/>
      <c r="G636" s="1814"/>
      <c r="H636" s="1799"/>
      <c r="I636" s="1799"/>
      <c r="J636" s="1799"/>
      <c r="K636" s="1799"/>
      <c r="L636" s="1799"/>
      <c r="M636" s="1799"/>
      <c r="N636" s="1799"/>
      <c r="O636" s="1799"/>
      <c r="P636" s="1799"/>
      <c r="Q636" s="1799"/>
      <c r="R636" s="1799"/>
      <c r="S636" s="1799"/>
      <c r="T636" s="1799"/>
      <c r="U636" s="1799"/>
      <c r="V636" s="1799"/>
      <c r="W636" s="1799"/>
      <c r="X636" s="1799"/>
      <c r="Y636" s="1799"/>
      <c r="Z636" s="1799"/>
    </row>
    <row r="637">
      <c r="A637" s="1799"/>
      <c r="B637" s="1799"/>
      <c r="C637" s="1799"/>
      <c r="D637" s="1812"/>
      <c r="E637" s="1799"/>
      <c r="F637" s="1813"/>
      <c r="G637" s="1814"/>
      <c r="H637" s="1799"/>
      <c r="I637" s="1799"/>
      <c r="J637" s="1799"/>
      <c r="K637" s="1799"/>
      <c r="L637" s="1799"/>
      <c r="M637" s="1799"/>
      <c r="N637" s="1799"/>
      <c r="O637" s="1799"/>
      <c r="P637" s="1799"/>
      <c r="Q637" s="1799"/>
      <c r="R637" s="1799"/>
      <c r="S637" s="1799"/>
      <c r="T637" s="1799"/>
      <c r="U637" s="1799"/>
      <c r="V637" s="1799"/>
      <c r="W637" s="1799"/>
      <c r="X637" s="1799"/>
      <c r="Y637" s="1799"/>
      <c r="Z637" s="1799"/>
    </row>
    <row r="638">
      <c r="A638" s="1799"/>
      <c r="B638" s="1799"/>
      <c r="C638" s="1799"/>
      <c r="D638" s="1812"/>
      <c r="E638" s="1799"/>
      <c r="F638" s="1813"/>
      <c r="G638" s="1814"/>
      <c r="H638" s="1799"/>
      <c r="I638" s="1799"/>
      <c r="J638" s="1799"/>
      <c r="K638" s="1799"/>
      <c r="L638" s="1799"/>
      <c r="M638" s="1799"/>
      <c r="N638" s="1799"/>
      <c r="O638" s="1799"/>
      <c r="P638" s="1799"/>
      <c r="Q638" s="1799"/>
      <c r="R638" s="1799"/>
      <c r="S638" s="1799"/>
      <c r="T638" s="1799"/>
      <c r="U638" s="1799"/>
      <c r="V638" s="1799"/>
      <c r="W638" s="1799"/>
      <c r="X638" s="1799"/>
      <c r="Y638" s="1799"/>
      <c r="Z638" s="1799"/>
    </row>
    <row r="639">
      <c r="A639" s="1799"/>
      <c r="B639" s="1799"/>
      <c r="C639" s="1799"/>
      <c r="D639" s="1812"/>
      <c r="E639" s="1799"/>
      <c r="F639" s="1813"/>
      <c r="G639" s="1814"/>
      <c r="H639" s="1799"/>
      <c r="I639" s="1799"/>
      <c r="J639" s="1799"/>
      <c r="K639" s="1799"/>
      <c r="L639" s="1799"/>
      <c r="M639" s="1799"/>
      <c r="N639" s="1799"/>
      <c r="O639" s="1799"/>
      <c r="P639" s="1799"/>
      <c r="Q639" s="1799"/>
      <c r="R639" s="1799"/>
      <c r="S639" s="1799"/>
      <c r="T639" s="1799"/>
      <c r="U639" s="1799"/>
      <c r="V639" s="1799"/>
      <c r="W639" s="1799"/>
      <c r="X639" s="1799"/>
      <c r="Y639" s="1799"/>
      <c r="Z639" s="1799"/>
    </row>
    <row r="640">
      <c r="A640" s="1799"/>
      <c r="B640" s="1799"/>
      <c r="C640" s="1799"/>
      <c r="D640" s="1812"/>
      <c r="E640" s="1799"/>
      <c r="F640" s="1813"/>
      <c r="G640" s="1814"/>
      <c r="H640" s="1799"/>
      <c r="I640" s="1799"/>
      <c r="J640" s="1799"/>
      <c r="K640" s="1799"/>
      <c r="L640" s="1799"/>
      <c r="M640" s="1799"/>
      <c r="N640" s="1799"/>
      <c r="O640" s="1799"/>
      <c r="P640" s="1799"/>
      <c r="Q640" s="1799"/>
      <c r="R640" s="1799"/>
      <c r="S640" s="1799"/>
      <c r="T640" s="1799"/>
      <c r="U640" s="1799"/>
      <c r="V640" s="1799"/>
      <c r="W640" s="1799"/>
      <c r="X640" s="1799"/>
      <c r="Y640" s="1799"/>
      <c r="Z640" s="1799"/>
    </row>
    <row r="641">
      <c r="A641" s="1799"/>
      <c r="B641" s="1799"/>
      <c r="C641" s="1799"/>
      <c r="D641" s="1812"/>
      <c r="E641" s="1799"/>
      <c r="F641" s="1813"/>
      <c r="G641" s="1814"/>
      <c r="H641" s="1799"/>
      <c r="I641" s="1799"/>
      <c r="J641" s="1799"/>
      <c r="K641" s="1799"/>
      <c r="L641" s="1799"/>
      <c r="M641" s="1799"/>
      <c r="N641" s="1799"/>
      <c r="O641" s="1799"/>
      <c r="P641" s="1799"/>
      <c r="Q641" s="1799"/>
      <c r="R641" s="1799"/>
      <c r="S641" s="1799"/>
      <c r="T641" s="1799"/>
      <c r="U641" s="1799"/>
      <c r="V641" s="1799"/>
      <c r="W641" s="1799"/>
      <c r="X641" s="1799"/>
      <c r="Y641" s="1799"/>
      <c r="Z641" s="1799"/>
    </row>
    <row r="642">
      <c r="A642" s="1799"/>
      <c r="B642" s="1799"/>
      <c r="C642" s="1799"/>
      <c r="D642" s="1812"/>
      <c r="E642" s="1799"/>
      <c r="F642" s="1813"/>
      <c r="G642" s="1814"/>
      <c r="H642" s="1799"/>
      <c r="I642" s="1799"/>
      <c r="J642" s="1799"/>
      <c r="K642" s="1799"/>
      <c r="L642" s="1799"/>
      <c r="M642" s="1799"/>
      <c r="N642" s="1799"/>
      <c r="O642" s="1799"/>
      <c r="P642" s="1799"/>
      <c r="Q642" s="1799"/>
      <c r="R642" s="1799"/>
      <c r="S642" s="1799"/>
      <c r="T642" s="1799"/>
      <c r="U642" s="1799"/>
      <c r="V642" s="1799"/>
      <c r="W642" s="1799"/>
      <c r="X642" s="1799"/>
      <c r="Y642" s="1799"/>
      <c r="Z642" s="1799"/>
    </row>
    <row r="643">
      <c r="A643" s="1799"/>
      <c r="B643" s="1799"/>
      <c r="C643" s="1799"/>
      <c r="D643" s="1812"/>
      <c r="E643" s="1799"/>
      <c r="F643" s="1813"/>
      <c r="G643" s="1814"/>
      <c r="H643" s="1799"/>
      <c r="I643" s="1799"/>
      <c r="J643" s="1799"/>
      <c r="K643" s="1799"/>
      <c r="L643" s="1799"/>
      <c r="M643" s="1799"/>
      <c r="N643" s="1799"/>
      <c r="O643" s="1799"/>
      <c r="P643" s="1799"/>
      <c r="Q643" s="1799"/>
      <c r="R643" s="1799"/>
      <c r="S643" s="1799"/>
      <c r="T643" s="1799"/>
      <c r="U643" s="1799"/>
      <c r="V643" s="1799"/>
      <c r="W643" s="1799"/>
      <c r="X643" s="1799"/>
      <c r="Y643" s="1799"/>
      <c r="Z643" s="1799"/>
    </row>
    <row r="644">
      <c r="A644" s="1799"/>
      <c r="B644" s="1799"/>
      <c r="C644" s="1799"/>
      <c r="D644" s="1812"/>
      <c r="E644" s="1799"/>
      <c r="F644" s="1813"/>
      <c r="G644" s="1814"/>
      <c r="H644" s="1799"/>
      <c r="I644" s="1799"/>
      <c r="J644" s="1799"/>
      <c r="K644" s="1799"/>
      <c r="L644" s="1799"/>
      <c r="M644" s="1799"/>
      <c r="N644" s="1799"/>
      <c r="O644" s="1799"/>
      <c r="P644" s="1799"/>
      <c r="Q644" s="1799"/>
      <c r="R644" s="1799"/>
      <c r="S644" s="1799"/>
      <c r="T644" s="1799"/>
      <c r="U644" s="1799"/>
      <c r="V644" s="1799"/>
      <c r="W644" s="1799"/>
      <c r="X644" s="1799"/>
      <c r="Y644" s="1799"/>
      <c r="Z644" s="1799"/>
    </row>
    <row r="645">
      <c r="A645" s="1799"/>
      <c r="B645" s="1799"/>
      <c r="C645" s="1799"/>
      <c r="D645" s="1812"/>
      <c r="E645" s="1799"/>
      <c r="F645" s="1813"/>
      <c r="G645" s="1814"/>
      <c r="H645" s="1799"/>
      <c r="I645" s="1799"/>
      <c r="J645" s="1799"/>
      <c r="K645" s="1799"/>
      <c r="L645" s="1799"/>
      <c r="M645" s="1799"/>
      <c r="N645" s="1799"/>
      <c r="O645" s="1799"/>
      <c r="P645" s="1799"/>
      <c r="Q645" s="1799"/>
      <c r="R645" s="1799"/>
      <c r="S645" s="1799"/>
      <c r="T645" s="1799"/>
      <c r="U645" s="1799"/>
      <c r="V645" s="1799"/>
      <c r="W645" s="1799"/>
      <c r="X645" s="1799"/>
      <c r="Y645" s="1799"/>
      <c r="Z645" s="1799"/>
    </row>
    <row r="646">
      <c r="A646" s="1799"/>
      <c r="B646" s="1799"/>
      <c r="C646" s="1799"/>
      <c r="D646" s="1812"/>
      <c r="E646" s="1799"/>
      <c r="F646" s="1813"/>
      <c r="G646" s="1814"/>
      <c r="H646" s="1799"/>
      <c r="I646" s="1799"/>
      <c r="J646" s="1799"/>
      <c r="K646" s="1799"/>
      <c r="L646" s="1799"/>
      <c r="M646" s="1799"/>
      <c r="N646" s="1799"/>
      <c r="O646" s="1799"/>
      <c r="P646" s="1799"/>
      <c r="Q646" s="1799"/>
      <c r="R646" s="1799"/>
      <c r="S646" s="1799"/>
      <c r="T646" s="1799"/>
      <c r="U646" s="1799"/>
      <c r="V646" s="1799"/>
      <c r="W646" s="1799"/>
      <c r="X646" s="1799"/>
      <c r="Y646" s="1799"/>
      <c r="Z646" s="1799"/>
    </row>
    <row r="647">
      <c r="A647" s="1799"/>
      <c r="B647" s="1799"/>
      <c r="C647" s="1799"/>
      <c r="D647" s="1812"/>
      <c r="E647" s="1799"/>
      <c r="F647" s="1813"/>
      <c r="G647" s="1814"/>
      <c r="H647" s="1799"/>
      <c r="I647" s="1799"/>
      <c r="J647" s="1799"/>
      <c r="K647" s="1799"/>
      <c r="L647" s="1799"/>
      <c r="M647" s="1799"/>
      <c r="N647" s="1799"/>
      <c r="O647" s="1799"/>
      <c r="P647" s="1799"/>
      <c r="Q647" s="1799"/>
      <c r="R647" s="1799"/>
      <c r="S647" s="1799"/>
      <c r="T647" s="1799"/>
      <c r="U647" s="1799"/>
      <c r="V647" s="1799"/>
      <c r="W647" s="1799"/>
      <c r="X647" s="1799"/>
      <c r="Y647" s="1799"/>
      <c r="Z647" s="1799"/>
    </row>
    <row r="648">
      <c r="A648" s="1799"/>
      <c r="B648" s="1799"/>
      <c r="C648" s="1799"/>
      <c r="D648" s="1812"/>
      <c r="E648" s="1799"/>
      <c r="F648" s="1813"/>
      <c r="G648" s="1814"/>
      <c r="H648" s="1799"/>
      <c r="I648" s="1799"/>
      <c r="J648" s="1799"/>
      <c r="K648" s="1799"/>
      <c r="L648" s="1799"/>
      <c r="M648" s="1799"/>
      <c r="N648" s="1799"/>
      <c r="O648" s="1799"/>
      <c r="P648" s="1799"/>
      <c r="Q648" s="1799"/>
      <c r="R648" s="1799"/>
      <c r="S648" s="1799"/>
      <c r="T648" s="1799"/>
      <c r="U648" s="1799"/>
      <c r="V648" s="1799"/>
      <c r="W648" s="1799"/>
      <c r="X648" s="1799"/>
      <c r="Y648" s="1799"/>
      <c r="Z648" s="1799"/>
    </row>
    <row r="649">
      <c r="A649" s="1799"/>
      <c r="B649" s="1799"/>
      <c r="C649" s="1799"/>
      <c r="D649" s="1812"/>
      <c r="E649" s="1799"/>
      <c r="F649" s="1813"/>
      <c r="G649" s="1814"/>
      <c r="H649" s="1799"/>
      <c r="I649" s="1799"/>
      <c r="J649" s="1799"/>
      <c r="K649" s="1799"/>
      <c r="L649" s="1799"/>
      <c r="M649" s="1799"/>
      <c r="N649" s="1799"/>
      <c r="O649" s="1799"/>
      <c r="P649" s="1799"/>
      <c r="Q649" s="1799"/>
      <c r="R649" s="1799"/>
      <c r="S649" s="1799"/>
      <c r="T649" s="1799"/>
      <c r="U649" s="1799"/>
      <c r="V649" s="1799"/>
      <c r="W649" s="1799"/>
      <c r="X649" s="1799"/>
      <c r="Y649" s="1799"/>
      <c r="Z649" s="1799"/>
    </row>
    <row r="650">
      <c r="A650" s="1799"/>
      <c r="B650" s="1799"/>
      <c r="C650" s="1799"/>
      <c r="D650" s="1812"/>
      <c r="E650" s="1799"/>
      <c r="F650" s="1813"/>
      <c r="G650" s="1814"/>
      <c r="H650" s="1799"/>
      <c r="I650" s="1799"/>
      <c r="J650" s="1799"/>
      <c r="K650" s="1799"/>
      <c r="L650" s="1799"/>
      <c r="M650" s="1799"/>
      <c r="N650" s="1799"/>
      <c r="O650" s="1799"/>
      <c r="P650" s="1799"/>
      <c r="Q650" s="1799"/>
      <c r="R650" s="1799"/>
      <c r="S650" s="1799"/>
      <c r="T650" s="1799"/>
      <c r="U650" s="1799"/>
      <c r="V650" s="1799"/>
      <c r="W650" s="1799"/>
      <c r="X650" s="1799"/>
      <c r="Y650" s="1799"/>
      <c r="Z650" s="1799"/>
    </row>
    <row r="651">
      <c r="A651" s="1799"/>
      <c r="B651" s="1799"/>
      <c r="C651" s="1799"/>
      <c r="D651" s="1812"/>
      <c r="E651" s="1799"/>
      <c r="F651" s="1813"/>
      <c r="G651" s="1814"/>
      <c r="H651" s="1799"/>
      <c r="I651" s="1799"/>
      <c r="J651" s="1799"/>
      <c r="K651" s="1799"/>
      <c r="L651" s="1799"/>
      <c r="M651" s="1799"/>
      <c r="N651" s="1799"/>
      <c r="O651" s="1799"/>
      <c r="P651" s="1799"/>
      <c r="Q651" s="1799"/>
      <c r="R651" s="1799"/>
      <c r="S651" s="1799"/>
      <c r="T651" s="1799"/>
      <c r="U651" s="1799"/>
      <c r="V651" s="1799"/>
      <c r="W651" s="1799"/>
      <c r="X651" s="1799"/>
      <c r="Y651" s="1799"/>
      <c r="Z651" s="1799"/>
    </row>
    <row r="652">
      <c r="A652" s="1799"/>
      <c r="B652" s="1799"/>
      <c r="C652" s="1799"/>
      <c r="D652" s="1812"/>
      <c r="E652" s="1799"/>
      <c r="F652" s="1813"/>
      <c r="G652" s="1814"/>
      <c r="H652" s="1799"/>
      <c r="I652" s="1799"/>
      <c r="J652" s="1799"/>
      <c r="K652" s="1799"/>
      <c r="L652" s="1799"/>
      <c r="M652" s="1799"/>
      <c r="N652" s="1799"/>
      <c r="O652" s="1799"/>
      <c r="P652" s="1799"/>
      <c r="Q652" s="1799"/>
      <c r="R652" s="1799"/>
      <c r="S652" s="1799"/>
      <c r="T652" s="1799"/>
      <c r="U652" s="1799"/>
      <c r="V652" s="1799"/>
      <c r="W652" s="1799"/>
      <c r="X652" s="1799"/>
      <c r="Y652" s="1799"/>
      <c r="Z652" s="1799"/>
    </row>
    <row r="653">
      <c r="A653" s="1799"/>
      <c r="B653" s="1799"/>
      <c r="C653" s="1799"/>
      <c r="D653" s="1812"/>
      <c r="E653" s="1799"/>
      <c r="F653" s="1813"/>
      <c r="G653" s="1814"/>
      <c r="H653" s="1799"/>
      <c r="I653" s="1799"/>
      <c r="J653" s="1799"/>
      <c r="K653" s="1799"/>
      <c r="L653" s="1799"/>
      <c r="M653" s="1799"/>
      <c r="N653" s="1799"/>
      <c r="O653" s="1799"/>
      <c r="P653" s="1799"/>
      <c r="Q653" s="1799"/>
      <c r="R653" s="1799"/>
      <c r="S653" s="1799"/>
      <c r="T653" s="1799"/>
      <c r="U653" s="1799"/>
      <c r="V653" s="1799"/>
      <c r="W653" s="1799"/>
      <c r="X653" s="1799"/>
      <c r="Y653" s="1799"/>
      <c r="Z653" s="1799"/>
    </row>
    <row r="654">
      <c r="A654" s="1799"/>
      <c r="B654" s="1799"/>
      <c r="C654" s="1799"/>
      <c r="D654" s="1812"/>
      <c r="E654" s="1799"/>
      <c r="F654" s="1813"/>
      <c r="G654" s="1814"/>
      <c r="H654" s="1799"/>
      <c r="I654" s="1799"/>
      <c r="J654" s="1799"/>
      <c r="K654" s="1799"/>
      <c r="L654" s="1799"/>
      <c r="M654" s="1799"/>
      <c r="N654" s="1799"/>
      <c r="O654" s="1799"/>
      <c r="P654" s="1799"/>
      <c r="Q654" s="1799"/>
      <c r="R654" s="1799"/>
      <c r="S654" s="1799"/>
      <c r="T654" s="1799"/>
      <c r="U654" s="1799"/>
      <c r="V654" s="1799"/>
      <c r="W654" s="1799"/>
      <c r="X654" s="1799"/>
      <c r="Y654" s="1799"/>
      <c r="Z654" s="1799"/>
    </row>
    <row r="655">
      <c r="A655" s="1799"/>
      <c r="B655" s="1799"/>
      <c r="C655" s="1799"/>
      <c r="D655" s="1812"/>
      <c r="E655" s="1799"/>
      <c r="F655" s="1813"/>
      <c r="G655" s="1814"/>
      <c r="H655" s="1799"/>
      <c r="I655" s="1799"/>
      <c r="J655" s="1799"/>
      <c r="K655" s="1799"/>
      <c r="L655" s="1799"/>
      <c r="M655" s="1799"/>
      <c r="N655" s="1799"/>
      <c r="O655" s="1799"/>
      <c r="P655" s="1799"/>
      <c r="Q655" s="1799"/>
      <c r="R655" s="1799"/>
      <c r="S655" s="1799"/>
      <c r="T655" s="1799"/>
      <c r="U655" s="1799"/>
      <c r="V655" s="1799"/>
      <c r="W655" s="1799"/>
      <c r="X655" s="1799"/>
      <c r="Y655" s="1799"/>
      <c r="Z655" s="1799"/>
    </row>
    <row r="656">
      <c r="A656" s="1799"/>
      <c r="B656" s="1799"/>
      <c r="C656" s="1799"/>
      <c r="D656" s="1812"/>
      <c r="E656" s="1799"/>
      <c r="F656" s="1813"/>
      <c r="G656" s="1814"/>
      <c r="H656" s="1799"/>
      <c r="I656" s="1799"/>
      <c r="J656" s="1799"/>
      <c r="K656" s="1799"/>
      <c r="L656" s="1799"/>
      <c r="M656" s="1799"/>
      <c r="N656" s="1799"/>
      <c r="O656" s="1799"/>
      <c r="P656" s="1799"/>
      <c r="Q656" s="1799"/>
      <c r="R656" s="1799"/>
      <c r="S656" s="1799"/>
      <c r="T656" s="1799"/>
      <c r="U656" s="1799"/>
      <c r="V656" s="1799"/>
      <c r="W656" s="1799"/>
      <c r="X656" s="1799"/>
      <c r="Y656" s="1799"/>
      <c r="Z656" s="1799"/>
    </row>
    <row r="657">
      <c r="A657" s="1799"/>
      <c r="B657" s="1799"/>
      <c r="C657" s="1799"/>
      <c r="D657" s="1812"/>
      <c r="E657" s="1799"/>
      <c r="F657" s="1813"/>
      <c r="G657" s="1814"/>
      <c r="H657" s="1799"/>
      <c r="I657" s="1799"/>
      <c r="J657" s="1799"/>
      <c r="K657" s="1799"/>
      <c r="L657" s="1799"/>
      <c r="M657" s="1799"/>
      <c r="N657" s="1799"/>
      <c r="O657" s="1799"/>
      <c r="P657" s="1799"/>
      <c r="Q657" s="1799"/>
      <c r="R657" s="1799"/>
      <c r="S657" s="1799"/>
      <c r="T657" s="1799"/>
      <c r="U657" s="1799"/>
      <c r="V657" s="1799"/>
      <c r="W657" s="1799"/>
      <c r="X657" s="1799"/>
      <c r="Y657" s="1799"/>
      <c r="Z657" s="1799"/>
    </row>
    <row r="658">
      <c r="A658" s="1799"/>
      <c r="B658" s="1799"/>
      <c r="C658" s="1799"/>
      <c r="D658" s="1812"/>
      <c r="E658" s="1799"/>
      <c r="F658" s="1813"/>
      <c r="G658" s="1814"/>
      <c r="H658" s="1799"/>
      <c r="I658" s="1799"/>
      <c r="J658" s="1799"/>
      <c r="K658" s="1799"/>
      <c r="L658" s="1799"/>
      <c r="M658" s="1799"/>
      <c r="N658" s="1799"/>
      <c r="O658" s="1799"/>
      <c r="P658" s="1799"/>
      <c r="Q658" s="1799"/>
      <c r="R658" s="1799"/>
      <c r="S658" s="1799"/>
      <c r="T658" s="1799"/>
      <c r="U658" s="1799"/>
      <c r="V658" s="1799"/>
      <c r="W658" s="1799"/>
      <c r="X658" s="1799"/>
      <c r="Y658" s="1799"/>
      <c r="Z658" s="1799"/>
    </row>
    <row r="659">
      <c r="A659" s="1799"/>
      <c r="B659" s="1799"/>
      <c r="C659" s="1799"/>
      <c r="D659" s="1812"/>
      <c r="E659" s="1799"/>
      <c r="F659" s="1813"/>
      <c r="G659" s="1814"/>
      <c r="H659" s="1799"/>
      <c r="I659" s="1799"/>
      <c r="J659" s="1799"/>
      <c r="K659" s="1799"/>
      <c r="L659" s="1799"/>
      <c r="M659" s="1799"/>
      <c r="N659" s="1799"/>
      <c r="O659" s="1799"/>
      <c r="P659" s="1799"/>
      <c r="Q659" s="1799"/>
      <c r="R659" s="1799"/>
      <c r="S659" s="1799"/>
      <c r="T659" s="1799"/>
      <c r="U659" s="1799"/>
      <c r="V659" s="1799"/>
      <c r="W659" s="1799"/>
      <c r="X659" s="1799"/>
      <c r="Y659" s="1799"/>
      <c r="Z659" s="1799"/>
    </row>
    <row r="660">
      <c r="A660" s="1799"/>
      <c r="B660" s="1799"/>
      <c r="C660" s="1799"/>
      <c r="D660" s="1812"/>
      <c r="E660" s="1799"/>
      <c r="F660" s="1813"/>
      <c r="G660" s="1814"/>
      <c r="H660" s="1799"/>
      <c r="I660" s="1799"/>
      <c r="J660" s="1799"/>
      <c r="K660" s="1799"/>
      <c r="L660" s="1799"/>
      <c r="M660" s="1799"/>
      <c r="N660" s="1799"/>
      <c r="O660" s="1799"/>
      <c r="P660" s="1799"/>
      <c r="Q660" s="1799"/>
      <c r="R660" s="1799"/>
      <c r="S660" s="1799"/>
      <c r="T660" s="1799"/>
      <c r="U660" s="1799"/>
      <c r="V660" s="1799"/>
      <c r="W660" s="1799"/>
      <c r="X660" s="1799"/>
      <c r="Y660" s="1799"/>
      <c r="Z660" s="1799"/>
    </row>
    <row r="661">
      <c r="A661" s="1799"/>
      <c r="B661" s="1799"/>
      <c r="C661" s="1799"/>
      <c r="D661" s="1812"/>
      <c r="E661" s="1799"/>
      <c r="F661" s="1813"/>
      <c r="G661" s="1814"/>
      <c r="H661" s="1799"/>
      <c r="I661" s="1799"/>
      <c r="J661" s="1799"/>
      <c r="K661" s="1799"/>
      <c r="L661" s="1799"/>
      <c r="M661" s="1799"/>
      <c r="N661" s="1799"/>
      <c r="O661" s="1799"/>
      <c r="P661" s="1799"/>
      <c r="Q661" s="1799"/>
      <c r="R661" s="1799"/>
      <c r="S661" s="1799"/>
      <c r="T661" s="1799"/>
      <c r="U661" s="1799"/>
      <c r="V661" s="1799"/>
      <c r="W661" s="1799"/>
      <c r="X661" s="1799"/>
      <c r="Y661" s="1799"/>
      <c r="Z661" s="1799"/>
    </row>
    <row r="662">
      <c r="A662" s="1799"/>
      <c r="B662" s="1799"/>
      <c r="C662" s="1799"/>
      <c r="D662" s="1812"/>
      <c r="E662" s="1799"/>
      <c r="F662" s="1813"/>
      <c r="G662" s="1814"/>
      <c r="H662" s="1799"/>
      <c r="I662" s="1799"/>
      <c r="J662" s="1799"/>
      <c r="K662" s="1799"/>
      <c r="L662" s="1799"/>
      <c r="M662" s="1799"/>
      <c r="N662" s="1799"/>
      <c r="O662" s="1799"/>
      <c r="P662" s="1799"/>
      <c r="Q662" s="1799"/>
      <c r="R662" s="1799"/>
      <c r="S662" s="1799"/>
      <c r="T662" s="1799"/>
      <c r="U662" s="1799"/>
      <c r="V662" s="1799"/>
      <c r="W662" s="1799"/>
      <c r="X662" s="1799"/>
      <c r="Y662" s="1799"/>
      <c r="Z662" s="1799"/>
    </row>
    <row r="663">
      <c r="A663" s="1799"/>
      <c r="B663" s="1799"/>
      <c r="C663" s="1799"/>
      <c r="D663" s="1812"/>
      <c r="E663" s="1799"/>
      <c r="F663" s="1813"/>
      <c r="G663" s="1814"/>
      <c r="H663" s="1799"/>
      <c r="I663" s="1799"/>
      <c r="J663" s="1799"/>
      <c r="K663" s="1799"/>
      <c r="L663" s="1799"/>
      <c r="M663" s="1799"/>
      <c r="N663" s="1799"/>
      <c r="O663" s="1799"/>
      <c r="P663" s="1799"/>
      <c r="Q663" s="1799"/>
      <c r="R663" s="1799"/>
      <c r="S663" s="1799"/>
      <c r="T663" s="1799"/>
      <c r="U663" s="1799"/>
      <c r="V663" s="1799"/>
      <c r="W663" s="1799"/>
      <c r="X663" s="1799"/>
      <c r="Y663" s="1799"/>
      <c r="Z663" s="1799"/>
    </row>
    <row r="664">
      <c r="A664" s="1799"/>
      <c r="B664" s="1799"/>
      <c r="C664" s="1799"/>
      <c r="D664" s="1812"/>
      <c r="E664" s="1799"/>
      <c r="F664" s="1813"/>
      <c r="G664" s="1814"/>
      <c r="H664" s="1799"/>
      <c r="I664" s="1799"/>
      <c r="J664" s="1799"/>
      <c r="K664" s="1799"/>
      <c r="L664" s="1799"/>
      <c r="M664" s="1799"/>
      <c r="N664" s="1799"/>
      <c r="O664" s="1799"/>
      <c r="P664" s="1799"/>
      <c r="Q664" s="1799"/>
      <c r="R664" s="1799"/>
      <c r="S664" s="1799"/>
      <c r="T664" s="1799"/>
      <c r="U664" s="1799"/>
      <c r="V664" s="1799"/>
      <c r="W664" s="1799"/>
      <c r="X664" s="1799"/>
      <c r="Y664" s="1799"/>
      <c r="Z664" s="1799"/>
    </row>
    <row r="665">
      <c r="A665" s="1799"/>
      <c r="B665" s="1799"/>
      <c r="C665" s="1799"/>
      <c r="D665" s="1812"/>
      <c r="E665" s="1799"/>
      <c r="F665" s="1813"/>
      <c r="G665" s="1814"/>
      <c r="H665" s="1799"/>
      <c r="I665" s="1799"/>
      <c r="J665" s="1799"/>
      <c r="K665" s="1799"/>
      <c r="L665" s="1799"/>
      <c r="M665" s="1799"/>
      <c r="N665" s="1799"/>
      <c r="O665" s="1799"/>
      <c r="P665" s="1799"/>
      <c r="Q665" s="1799"/>
      <c r="R665" s="1799"/>
      <c r="S665" s="1799"/>
      <c r="T665" s="1799"/>
      <c r="U665" s="1799"/>
      <c r="V665" s="1799"/>
      <c r="W665" s="1799"/>
      <c r="X665" s="1799"/>
      <c r="Y665" s="1799"/>
      <c r="Z665" s="1799"/>
    </row>
    <row r="666">
      <c r="A666" s="1799"/>
      <c r="B666" s="1799"/>
      <c r="C666" s="1799"/>
      <c r="D666" s="1812"/>
      <c r="E666" s="1799"/>
      <c r="F666" s="1813"/>
      <c r="G666" s="1814"/>
      <c r="H666" s="1799"/>
      <c r="I666" s="1799"/>
      <c r="J666" s="1799"/>
      <c r="K666" s="1799"/>
      <c r="L666" s="1799"/>
      <c r="M666" s="1799"/>
      <c r="N666" s="1799"/>
      <c r="O666" s="1799"/>
      <c r="P666" s="1799"/>
      <c r="Q666" s="1799"/>
      <c r="R666" s="1799"/>
      <c r="S666" s="1799"/>
      <c r="T666" s="1799"/>
      <c r="U666" s="1799"/>
      <c r="V666" s="1799"/>
      <c r="W666" s="1799"/>
      <c r="X666" s="1799"/>
      <c r="Y666" s="1799"/>
      <c r="Z666" s="1799"/>
    </row>
    <row r="667">
      <c r="A667" s="1799"/>
      <c r="B667" s="1799"/>
      <c r="C667" s="1799"/>
      <c r="D667" s="1812"/>
      <c r="E667" s="1799"/>
      <c r="F667" s="1813"/>
      <c r="G667" s="1814"/>
      <c r="H667" s="1799"/>
      <c r="I667" s="1799"/>
      <c r="J667" s="1799"/>
      <c r="K667" s="1799"/>
      <c r="L667" s="1799"/>
      <c r="M667" s="1799"/>
      <c r="N667" s="1799"/>
      <c r="O667" s="1799"/>
      <c r="P667" s="1799"/>
      <c r="Q667" s="1799"/>
      <c r="R667" s="1799"/>
      <c r="S667" s="1799"/>
      <c r="T667" s="1799"/>
      <c r="U667" s="1799"/>
      <c r="V667" s="1799"/>
      <c r="W667" s="1799"/>
      <c r="X667" s="1799"/>
      <c r="Y667" s="1799"/>
      <c r="Z667" s="1799"/>
    </row>
    <row r="668">
      <c r="A668" s="1799"/>
      <c r="B668" s="1799"/>
      <c r="C668" s="1799"/>
      <c r="D668" s="1812"/>
      <c r="E668" s="1799"/>
      <c r="F668" s="1813"/>
      <c r="G668" s="1814"/>
      <c r="H668" s="1799"/>
      <c r="I668" s="1799"/>
      <c r="J668" s="1799"/>
      <c r="K668" s="1799"/>
      <c r="L668" s="1799"/>
      <c r="M668" s="1799"/>
      <c r="N668" s="1799"/>
      <c r="O668" s="1799"/>
      <c r="P668" s="1799"/>
      <c r="Q668" s="1799"/>
      <c r="R668" s="1799"/>
      <c r="S668" s="1799"/>
      <c r="T668" s="1799"/>
      <c r="U668" s="1799"/>
      <c r="V668" s="1799"/>
      <c r="W668" s="1799"/>
      <c r="X668" s="1799"/>
      <c r="Y668" s="1799"/>
      <c r="Z668" s="1799"/>
    </row>
    <row r="669">
      <c r="A669" s="1799"/>
      <c r="B669" s="1799"/>
      <c r="C669" s="1799"/>
      <c r="D669" s="1812"/>
      <c r="E669" s="1799"/>
      <c r="F669" s="1813"/>
      <c r="G669" s="1814"/>
      <c r="H669" s="1799"/>
      <c r="I669" s="1799"/>
      <c r="J669" s="1799"/>
      <c r="K669" s="1799"/>
      <c r="L669" s="1799"/>
      <c r="M669" s="1799"/>
      <c r="N669" s="1799"/>
      <c r="O669" s="1799"/>
      <c r="P669" s="1799"/>
      <c r="Q669" s="1799"/>
      <c r="R669" s="1799"/>
      <c r="S669" s="1799"/>
      <c r="T669" s="1799"/>
      <c r="U669" s="1799"/>
      <c r="V669" s="1799"/>
      <c r="W669" s="1799"/>
      <c r="X669" s="1799"/>
      <c r="Y669" s="1799"/>
      <c r="Z669" s="1799"/>
    </row>
    <row r="670">
      <c r="A670" s="1799"/>
      <c r="B670" s="1799"/>
      <c r="C670" s="1799"/>
      <c r="D670" s="1812"/>
      <c r="E670" s="1799"/>
      <c r="F670" s="1813"/>
      <c r="G670" s="1814"/>
      <c r="H670" s="1799"/>
      <c r="I670" s="1799"/>
      <c r="J670" s="1799"/>
      <c r="K670" s="1799"/>
      <c r="L670" s="1799"/>
      <c r="M670" s="1799"/>
      <c r="N670" s="1799"/>
      <c r="O670" s="1799"/>
      <c r="P670" s="1799"/>
      <c r="Q670" s="1799"/>
      <c r="R670" s="1799"/>
      <c r="S670" s="1799"/>
      <c r="T670" s="1799"/>
      <c r="U670" s="1799"/>
      <c r="V670" s="1799"/>
      <c r="W670" s="1799"/>
      <c r="X670" s="1799"/>
      <c r="Y670" s="1799"/>
      <c r="Z670" s="1799"/>
    </row>
    <row r="671">
      <c r="A671" s="1799"/>
      <c r="B671" s="1799"/>
      <c r="C671" s="1799"/>
      <c r="D671" s="1812"/>
      <c r="E671" s="1799"/>
      <c r="F671" s="1813"/>
      <c r="G671" s="1814"/>
      <c r="H671" s="1799"/>
      <c r="I671" s="1799"/>
      <c r="J671" s="1799"/>
      <c r="K671" s="1799"/>
      <c r="L671" s="1799"/>
      <c r="M671" s="1799"/>
      <c r="N671" s="1799"/>
      <c r="O671" s="1799"/>
      <c r="P671" s="1799"/>
      <c r="Q671" s="1799"/>
      <c r="R671" s="1799"/>
      <c r="S671" s="1799"/>
      <c r="T671" s="1799"/>
      <c r="U671" s="1799"/>
      <c r="V671" s="1799"/>
      <c r="W671" s="1799"/>
      <c r="X671" s="1799"/>
      <c r="Y671" s="1799"/>
      <c r="Z671" s="1799"/>
    </row>
    <row r="672">
      <c r="A672" s="1799"/>
      <c r="B672" s="1799"/>
      <c r="C672" s="1799"/>
      <c r="D672" s="1812"/>
      <c r="E672" s="1799"/>
      <c r="F672" s="1813"/>
      <c r="G672" s="1814"/>
      <c r="H672" s="1799"/>
      <c r="I672" s="1799"/>
      <c r="J672" s="1799"/>
      <c r="K672" s="1799"/>
      <c r="L672" s="1799"/>
      <c r="M672" s="1799"/>
      <c r="N672" s="1799"/>
      <c r="O672" s="1799"/>
      <c r="P672" s="1799"/>
      <c r="Q672" s="1799"/>
      <c r="R672" s="1799"/>
      <c r="S672" s="1799"/>
      <c r="T672" s="1799"/>
      <c r="U672" s="1799"/>
      <c r="V672" s="1799"/>
      <c r="W672" s="1799"/>
      <c r="X672" s="1799"/>
      <c r="Y672" s="1799"/>
      <c r="Z672" s="1799"/>
    </row>
    <row r="673">
      <c r="A673" s="1799"/>
      <c r="B673" s="1799"/>
      <c r="C673" s="1799"/>
      <c r="D673" s="1812"/>
      <c r="E673" s="1799"/>
      <c r="F673" s="1813"/>
      <c r="G673" s="1814"/>
      <c r="H673" s="1799"/>
      <c r="I673" s="1799"/>
      <c r="J673" s="1799"/>
      <c r="K673" s="1799"/>
      <c r="L673" s="1799"/>
      <c r="M673" s="1799"/>
      <c r="N673" s="1799"/>
      <c r="O673" s="1799"/>
      <c r="P673" s="1799"/>
      <c r="Q673" s="1799"/>
      <c r="R673" s="1799"/>
      <c r="S673" s="1799"/>
      <c r="T673" s="1799"/>
      <c r="U673" s="1799"/>
      <c r="V673" s="1799"/>
      <c r="W673" s="1799"/>
      <c r="X673" s="1799"/>
      <c r="Y673" s="1799"/>
      <c r="Z673" s="1799"/>
    </row>
    <row r="674">
      <c r="A674" s="1799"/>
      <c r="B674" s="1799"/>
      <c r="C674" s="1799"/>
      <c r="D674" s="1812"/>
      <c r="E674" s="1799"/>
      <c r="F674" s="1813"/>
      <c r="G674" s="1814"/>
      <c r="H674" s="1799"/>
      <c r="I674" s="1799"/>
      <c r="J674" s="1799"/>
      <c r="K674" s="1799"/>
      <c r="L674" s="1799"/>
      <c r="M674" s="1799"/>
      <c r="N674" s="1799"/>
      <c r="O674" s="1799"/>
      <c r="P674" s="1799"/>
      <c r="Q674" s="1799"/>
      <c r="R674" s="1799"/>
      <c r="S674" s="1799"/>
      <c r="T674" s="1799"/>
      <c r="U674" s="1799"/>
      <c r="V674" s="1799"/>
      <c r="W674" s="1799"/>
      <c r="X674" s="1799"/>
      <c r="Y674" s="1799"/>
      <c r="Z674" s="1799"/>
    </row>
    <row r="675">
      <c r="A675" s="1799"/>
      <c r="B675" s="1799"/>
      <c r="C675" s="1799"/>
      <c r="D675" s="1812"/>
      <c r="E675" s="1799"/>
      <c r="F675" s="1813"/>
      <c r="G675" s="1814"/>
      <c r="H675" s="1799"/>
      <c r="I675" s="1799"/>
      <c r="J675" s="1799"/>
      <c r="K675" s="1799"/>
      <c r="L675" s="1799"/>
      <c r="M675" s="1799"/>
      <c r="N675" s="1799"/>
      <c r="O675" s="1799"/>
      <c r="P675" s="1799"/>
      <c r="Q675" s="1799"/>
      <c r="R675" s="1799"/>
      <c r="S675" s="1799"/>
      <c r="T675" s="1799"/>
      <c r="U675" s="1799"/>
      <c r="V675" s="1799"/>
      <c r="W675" s="1799"/>
      <c r="X675" s="1799"/>
      <c r="Y675" s="1799"/>
      <c r="Z675" s="1799"/>
    </row>
    <row r="676">
      <c r="A676" s="1799"/>
      <c r="B676" s="1799"/>
      <c r="C676" s="1799"/>
      <c r="D676" s="1812"/>
      <c r="E676" s="1799"/>
      <c r="F676" s="1813"/>
      <c r="G676" s="1814"/>
      <c r="H676" s="1799"/>
      <c r="I676" s="1799"/>
      <c r="J676" s="1799"/>
      <c r="K676" s="1799"/>
      <c r="L676" s="1799"/>
      <c r="M676" s="1799"/>
      <c r="N676" s="1799"/>
      <c r="O676" s="1799"/>
      <c r="P676" s="1799"/>
      <c r="Q676" s="1799"/>
      <c r="R676" s="1799"/>
      <c r="S676" s="1799"/>
      <c r="T676" s="1799"/>
      <c r="U676" s="1799"/>
      <c r="V676" s="1799"/>
      <c r="W676" s="1799"/>
      <c r="X676" s="1799"/>
      <c r="Y676" s="1799"/>
      <c r="Z676" s="1799"/>
    </row>
    <row r="677">
      <c r="A677" s="1799"/>
      <c r="B677" s="1799"/>
      <c r="C677" s="1799"/>
      <c r="D677" s="1812"/>
      <c r="E677" s="1799"/>
      <c r="F677" s="1813"/>
      <c r="G677" s="1814"/>
      <c r="H677" s="1799"/>
      <c r="I677" s="1799"/>
      <c r="J677" s="1799"/>
      <c r="K677" s="1799"/>
      <c r="L677" s="1799"/>
      <c r="M677" s="1799"/>
      <c r="N677" s="1799"/>
      <c r="O677" s="1799"/>
      <c r="P677" s="1799"/>
      <c r="Q677" s="1799"/>
      <c r="R677" s="1799"/>
      <c r="S677" s="1799"/>
      <c r="T677" s="1799"/>
      <c r="U677" s="1799"/>
      <c r="V677" s="1799"/>
      <c r="W677" s="1799"/>
      <c r="X677" s="1799"/>
      <c r="Y677" s="1799"/>
      <c r="Z677" s="1799"/>
    </row>
    <row r="678">
      <c r="A678" s="1799"/>
      <c r="B678" s="1799"/>
      <c r="C678" s="1799"/>
      <c r="D678" s="1812"/>
      <c r="E678" s="1799"/>
      <c r="F678" s="1813"/>
      <c r="G678" s="1814"/>
      <c r="H678" s="1799"/>
      <c r="I678" s="1799"/>
      <c r="J678" s="1799"/>
      <c r="K678" s="1799"/>
      <c r="L678" s="1799"/>
      <c r="M678" s="1799"/>
      <c r="N678" s="1799"/>
      <c r="O678" s="1799"/>
      <c r="P678" s="1799"/>
      <c r="Q678" s="1799"/>
      <c r="R678" s="1799"/>
      <c r="S678" s="1799"/>
      <c r="T678" s="1799"/>
      <c r="U678" s="1799"/>
      <c r="V678" s="1799"/>
      <c r="W678" s="1799"/>
      <c r="X678" s="1799"/>
      <c r="Y678" s="1799"/>
      <c r="Z678" s="1799"/>
    </row>
    <row r="679">
      <c r="A679" s="1799"/>
      <c r="B679" s="1799"/>
      <c r="C679" s="1799"/>
      <c r="D679" s="1812"/>
      <c r="E679" s="1799"/>
      <c r="F679" s="1813"/>
      <c r="G679" s="1814"/>
      <c r="H679" s="1799"/>
      <c r="I679" s="1799"/>
      <c r="J679" s="1799"/>
      <c r="K679" s="1799"/>
      <c r="L679" s="1799"/>
      <c r="M679" s="1799"/>
      <c r="N679" s="1799"/>
      <c r="O679" s="1799"/>
      <c r="P679" s="1799"/>
      <c r="Q679" s="1799"/>
      <c r="R679" s="1799"/>
      <c r="S679" s="1799"/>
      <c r="T679" s="1799"/>
      <c r="U679" s="1799"/>
      <c r="V679" s="1799"/>
      <c r="W679" s="1799"/>
      <c r="X679" s="1799"/>
      <c r="Y679" s="1799"/>
      <c r="Z679" s="1799"/>
    </row>
    <row r="680">
      <c r="A680" s="1799"/>
      <c r="B680" s="1799"/>
      <c r="C680" s="1799"/>
      <c r="D680" s="1812"/>
      <c r="E680" s="1799"/>
      <c r="F680" s="1813"/>
      <c r="G680" s="1814"/>
      <c r="H680" s="1799"/>
      <c r="I680" s="1799"/>
      <c r="J680" s="1799"/>
      <c r="K680" s="1799"/>
      <c r="L680" s="1799"/>
      <c r="M680" s="1799"/>
      <c r="N680" s="1799"/>
      <c r="O680" s="1799"/>
      <c r="P680" s="1799"/>
      <c r="Q680" s="1799"/>
      <c r="R680" s="1799"/>
      <c r="S680" s="1799"/>
      <c r="T680" s="1799"/>
      <c r="U680" s="1799"/>
      <c r="V680" s="1799"/>
      <c r="W680" s="1799"/>
      <c r="X680" s="1799"/>
      <c r="Y680" s="1799"/>
      <c r="Z680" s="1799"/>
    </row>
    <row r="681">
      <c r="A681" s="1799"/>
      <c r="B681" s="1799"/>
      <c r="C681" s="1799"/>
      <c r="D681" s="1812"/>
      <c r="E681" s="1799"/>
      <c r="F681" s="1813"/>
      <c r="G681" s="1814"/>
      <c r="H681" s="1799"/>
      <c r="I681" s="1799"/>
      <c r="J681" s="1799"/>
      <c r="K681" s="1799"/>
      <c r="L681" s="1799"/>
      <c r="M681" s="1799"/>
      <c r="N681" s="1799"/>
      <c r="O681" s="1799"/>
      <c r="P681" s="1799"/>
      <c r="Q681" s="1799"/>
      <c r="R681" s="1799"/>
      <c r="S681" s="1799"/>
      <c r="T681" s="1799"/>
      <c r="U681" s="1799"/>
      <c r="V681" s="1799"/>
      <c r="W681" s="1799"/>
      <c r="X681" s="1799"/>
      <c r="Y681" s="1799"/>
      <c r="Z681" s="1799"/>
    </row>
    <row r="682">
      <c r="A682" s="1799"/>
      <c r="B682" s="1799"/>
      <c r="C682" s="1799"/>
      <c r="D682" s="1812"/>
      <c r="E682" s="1799"/>
      <c r="F682" s="1813"/>
      <c r="G682" s="1814"/>
      <c r="H682" s="1799"/>
      <c r="I682" s="1799"/>
      <c r="J682" s="1799"/>
      <c r="K682" s="1799"/>
      <c r="L682" s="1799"/>
      <c r="M682" s="1799"/>
      <c r="N682" s="1799"/>
      <c r="O682" s="1799"/>
      <c r="P682" s="1799"/>
      <c r="Q682" s="1799"/>
      <c r="R682" s="1799"/>
      <c r="S682" s="1799"/>
      <c r="T682" s="1799"/>
      <c r="U682" s="1799"/>
      <c r="V682" s="1799"/>
      <c r="W682" s="1799"/>
      <c r="X682" s="1799"/>
      <c r="Y682" s="1799"/>
      <c r="Z682" s="1799"/>
    </row>
    <row r="683">
      <c r="A683" s="1799"/>
      <c r="B683" s="1799"/>
      <c r="C683" s="1799"/>
      <c r="D683" s="1812"/>
      <c r="E683" s="1799"/>
      <c r="F683" s="1813"/>
      <c r="G683" s="1814"/>
      <c r="H683" s="1799"/>
      <c r="I683" s="1799"/>
      <c r="J683" s="1799"/>
      <c r="K683" s="1799"/>
      <c r="L683" s="1799"/>
      <c r="M683" s="1799"/>
      <c r="N683" s="1799"/>
      <c r="O683" s="1799"/>
      <c r="P683" s="1799"/>
      <c r="Q683" s="1799"/>
      <c r="R683" s="1799"/>
      <c r="S683" s="1799"/>
      <c r="T683" s="1799"/>
      <c r="U683" s="1799"/>
      <c r="V683" s="1799"/>
      <c r="W683" s="1799"/>
      <c r="X683" s="1799"/>
      <c r="Y683" s="1799"/>
      <c r="Z683" s="1799"/>
    </row>
    <row r="684">
      <c r="A684" s="1799"/>
      <c r="B684" s="1799"/>
      <c r="C684" s="1799"/>
      <c r="D684" s="1812"/>
      <c r="E684" s="1799"/>
      <c r="F684" s="1813"/>
      <c r="G684" s="1814"/>
      <c r="H684" s="1799"/>
      <c r="I684" s="1799"/>
      <c r="J684" s="1799"/>
      <c r="K684" s="1799"/>
      <c r="L684" s="1799"/>
      <c r="M684" s="1799"/>
      <c r="N684" s="1799"/>
      <c r="O684" s="1799"/>
      <c r="P684" s="1799"/>
      <c r="Q684" s="1799"/>
      <c r="R684" s="1799"/>
      <c r="S684" s="1799"/>
      <c r="T684" s="1799"/>
      <c r="U684" s="1799"/>
      <c r="V684" s="1799"/>
      <c r="W684" s="1799"/>
      <c r="X684" s="1799"/>
      <c r="Y684" s="1799"/>
      <c r="Z684" s="1799"/>
    </row>
    <row r="685">
      <c r="A685" s="1799"/>
      <c r="B685" s="1799"/>
      <c r="C685" s="1799"/>
      <c r="D685" s="1812"/>
      <c r="E685" s="1799"/>
      <c r="F685" s="1813"/>
      <c r="G685" s="1814"/>
      <c r="H685" s="1799"/>
      <c r="I685" s="1799"/>
      <c r="J685" s="1799"/>
      <c r="K685" s="1799"/>
      <c r="L685" s="1799"/>
      <c r="M685" s="1799"/>
      <c r="N685" s="1799"/>
      <c r="O685" s="1799"/>
      <c r="P685" s="1799"/>
      <c r="Q685" s="1799"/>
      <c r="R685" s="1799"/>
      <c r="S685" s="1799"/>
      <c r="T685" s="1799"/>
      <c r="U685" s="1799"/>
      <c r="V685" s="1799"/>
      <c r="W685" s="1799"/>
      <c r="X685" s="1799"/>
      <c r="Y685" s="1799"/>
      <c r="Z685" s="1799"/>
    </row>
    <row r="686">
      <c r="A686" s="1799"/>
      <c r="B686" s="1799"/>
      <c r="C686" s="1799"/>
      <c r="D686" s="1812"/>
      <c r="E686" s="1799"/>
      <c r="F686" s="1813"/>
      <c r="G686" s="1814"/>
      <c r="H686" s="1799"/>
      <c r="I686" s="1799"/>
      <c r="J686" s="1799"/>
      <c r="K686" s="1799"/>
      <c r="L686" s="1799"/>
      <c r="M686" s="1799"/>
      <c r="N686" s="1799"/>
      <c r="O686" s="1799"/>
      <c r="P686" s="1799"/>
      <c r="Q686" s="1799"/>
      <c r="R686" s="1799"/>
      <c r="S686" s="1799"/>
      <c r="T686" s="1799"/>
      <c r="U686" s="1799"/>
      <c r="V686" s="1799"/>
      <c r="W686" s="1799"/>
      <c r="X686" s="1799"/>
      <c r="Y686" s="1799"/>
      <c r="Z686" s="1799"/>
    </row>
    <row r="687">
      <c r="A687" s="1799"/>
      <c r="B687" s="1799"/>
      <c r="C687" s="1799"/>
      <c r="D687" s="1812"/>
      <c r="E687" s="1799"/>
      <c r="F687" s="1813"/>
      <c r="G687" s="1814"/>
      <c r="H687" s="1799"/>
      <c r="I687" s="1799"/>
      <c r="J687" s="1799"/>
      <c r="K687" s="1799"/>
      <c r="L687" s="1799"/>
      <c r="M687" s="1799"/>
      <c r="N687" s="1799"/>
      <c r="O687" s="1799"/>
      <c r="P687" s="1799"/>
      <c r="Q687" s="1799"/>
      <c r="R687" s="1799"/>
      <c r="S687" s="1799"/>
      <c r="T687" s="1799"/>
      <c r="U687" s="1799"/>
      <c r="V687" s="1799"/>
      <c r="W687" s="1799"/>
      <c r="X687" s="1799"/>
      <c r="Y687" s="1799"/>
      <c r="Z687" s="1799"/>
    </row>
    <row r="688">
      <c r="A688" s="1799"/>
      <c r="B688" s="1799"/>
      <c r="C688" s="1799"/>
      <c r="D688" s="1812"/>
      <c r="E688" s="1799"/>
      <c r="F688" s="1813"/>
      <c r="G688" s="1814"/>
      <c r="H688" s="1799"/>
      <c r="I688" s="1799"/>
      <c r="J688" s="1799"/>
      <c r="K688" s="1799"/>
      <c r="L688" s="1799"/>
      <c r="M688" s="1799"/>
      <c r="N688" s="1799"/>
      <c r="O688" s="1799"/>
      <c r="P688" s="1799"/>
      <c r="Q688" s="1799"/>
      <c r="R688" s="1799"/>
      <c r="S688" s="1799"/>
      <c r="T688" s="1799"/>
      <c r="U688" s="1799"/>
      <c r="V688" s="1799"/>
      <c r="W688" s="1799"/>
      <c r="X688" s="1799"/>
      <c r="Y688" s="1799"/>
      <c r="Z688" s="1799"/>
    </row>
    <row r="689">
      <c r="A689" s="1799"/>
      <c r="B689" s="1799"/>
      <c r="C689" s="1799"/>
      <c r="D689" s="1812"/>
      <c r="E689" s="1799"/>
      <c r="F689" s="1813"/>
      <c r="G689" s="1814"/>
      <c r="H689" s="1799"/>
      <c r="I689" s="1799"/>
      <c r="J689" s="1799"/>
      <c r="K689" s="1799"/>
      <c r="L689" s="1799"/>
      <c r="M689" s="1799"/>
      <c r="N689" s="1799"/>
      <c r="O689" s="1799"/>
      <c r="P689" s="1799"/>
      <c r="Q689" s="1799"/>
      <c r="R689" s="1799"/>
      <c r="S689" s="1799"/>
      <c r="T689" s="1799"/>
      <c r="U689" s="1799"/>
      <c r="V689" s="1799"/>
      <c r="W689" s="1799"/>
      <c r="X689" s="1799"/>
      <c r="Y689" s="1799"/>
      <c r="Z689" s="1799"/>
    </row>
    <row r="690">
      <c r="A690" s="1799"/>
      <c r="B690" s="1799"/>
      <c r="C690" s="1799"/>
      <c r="D690" s="1812"/>
      <c r="E690" s="1799"/>
      <c r="F690" s="1813"/>
      <c r="G690" s="1814"/>
      <c r="H690" s="1799"/>
      <c r="I690" s="1799"/>
      <c r="J690" s="1799"/>
      <c r="K690" s="1799"/>
      <c r="L690" s="1799"/>
      <c r="M690" s="1799"/>
      <c r="N690" s="1799"/>
      <c r="O690" s="1799"/>
      <c r="P690" s="1799"/>
      <c r="Q690" s="1799"/>
      <c r="R690" s="1799"/>
      <c r="S690" s="1799"/>
      <c r="T690" s="1799"/>
      <c r="U690" s="1799"/>
      <c r="V690" s="1799"/>
      <c r="W690" s="1799"/>
      <c r="X690" s="1799"/>
      <c r="Y690" s="1799"/>
      <c r="Z690" s="1799"/>
    </row>
    <row r="691">
      <c r="A691" s="1799"/>
      <c r="B691" s="1799"/>
      <c r="C691" s="1799"/>
      <c r="D691" s="1812"/>
      <c r="E691" s="1799"/>
      <c r="F691" s="1813"/>
      <c r="G691" s="1814"/>
      <c r="H691" s="1799"/>
      <c r="I691" s="1799"/>
      <c r="J691" s="1799"/>
      <c r="K691" s="1799"/>
      <c r="L691" s="1799"/>
      <c r="M691" s="1799"/>
      <c r="N691" s="1799"/>
      <c r="O691" s="1799"/>
      <c r="P691" s="1799"/>
      <c r="Q691" s="1799"/>
      <c r="R691" s="1799"/>
      <c r="S691" s="1799"/>
      <c r="T691" s="1799"/>
      <c r="U691" s="1799"/>
      <c r="V691" s="1799"/>
      <c r="W691" s="1799"/>
      <c r="X691" s="1799"/>
      <c r="Y691" s="1799"/>
      <c r="Z691" s="1799"/>
    </row>
    <row r="692">
      <c r="A692" s="1799"/>
      <c r="B692" s="1799"/>
      <c r="C692" s="1799"/>
      <c r="D692" s="1812"/>
      <c r="E692" s="1799"/>
      <c r="F692" s="1813"/>
      <c r="G692" s="1814"/>
      <c r="H692" s="1799"/>
      <c r="I692" s="1799"/>
      <c r="J692" s="1799"/>
      <c r="K692" s="1799"/>
      <c r="L692" s="1799"/>
      <c r="M692" s="1799"/>
      <c r="N692" s="1799"/>
      <c r="O692" s="1799"/>
      <c r="P692" s="1799"/>
      <c r="Q692" s="1799"/>
      <c r="R692" s="1799"/>
      <c r="S692" s="1799"/>
      <c r="T692" s="1799"/>
      <c r="U692" s="1799"/>
      <c r="V692" s="1799"/>
      <c r="W692" s="1799"/>
      <c r="X692" s="1799"/>
      <c r="Y692" s="1799"/>
      <c r="Z692" s="1799"/>
    </row>
    <row r="693">
      <c r="A693" s="1799"/>
      <c r="B693" s="1799"/>
      <c r="C693" s="1799"/>
      <c r="D693" s="1812"/>
      <c r="E693" s="1799"/>
      <c r="F693" s="1813"/>
      <c r="G693" s="1814"/>
      <c r="H693" s="1799"/>
      <c r="I693" s="1799"/>
      <c r="J693" s="1799"/>
      <c r="K693" s="1799"/>
      <c r="L693" s="1799"/>
      <c r="M693" s="1799"/>
      <c r="N693" s="1799"/>
      <c r="O693" s="1799"/>
      <c r="P693" s="1799"/>
      <c r="Q693" s="1799"/>
      <c r="R693" s="1799"/>
      <c r="S693" s="1799"/>
      <c r="T693" s="1799"/>
      <c r="U693" s="1799"/>
      <c r="V693" s="1799"/>
      <c r="W693" s="1799"/>
      <c r="X693" s="1799"/>
      <c r="Y693" s="1799"/>
      <c r="Z693" s="1799"/>
    </row>
    <row r="694">
      <c r="A694" s="1799"/>
      <c r="B694" s="1799"/>
      <c r="C694" s="1799"/>
      <c r="D694" s="1812"/>
      <c r="E694" s="1799"/>
      <c r="F694" s="1813"/>
      <c r="G694" s="1814"/>
      <c r="H694" s="1799"/>
      <c r="I694" s="1799"/>
      <c r="J694" s="1799"/>
      <c r="K694" s="1799"/>
      <c r="L694" s="1799"/>
      <c r="M694" s="1799"/>
      <c r="N694" s="1799"/>
      <c r="O694" s="1799"/>
      <c r="P694" s="1799"/>
      <c r="Q694" s="1799"/>
      <c r="R694" s="1799"/>
      <c r="S694" s="1799"/>
      <c r="T694" s="1799"/>
      <c r="U694" s="1799"/>
      <c r="V694" s="1799"/>
      <c r="W694" s="1799"/>
      <c r="X694" s="1799"/>
      <c r="Y694" s="1799"/>
      <c r="Z694" s="1799"/>
    </row>
    <row r="695">
      <c r="A695" s="1799"/>
      <c r="B695" s="1799"/>
      <c r="C695" s="1799"/>
      <c r="D695" s="1812"/>
      <c r="E695" s="1799"/>
      <c r="F695" s="1813"/>
      <c r="G695" s="1814"/>
      <c r="H695" s="1799"/>
      <c r="I695" s="1799"/>
      <c r="J695" s="1799"/>
      <c r="K695" s="1799"/>
      <c r="L695" s="1799"/>
      <c r="M695" s="1799"/>
      <c r="N695" s="1799"/>
      <c r="O695" s="1799"/>
      <c r="P695" s="1799"/>
      <c r="Q695" s="1799"/>
      <c r="R695" s="1799"/>
      <c r="S695" s="1799"/>
      <c r="T695" s="1799"/>
      <c r="U695" s="1799"/>
      <c r="V695" s="1799"/>
      <c r="W695" s="1799"/>
      <c r="X695" s="1799"/>
      <c r="Y695" s="1799"/>
      <c r="Z695" s="1799"/>
    </row>
    <row r="696">
      <c r="A696" s="1799"/>
      <c r="B696" s="1799"/>
      <c r="C696" s="1799"/>
      <c r="D696" s="1812"/>
      <c r="E696" s="1799"/>
      <c r="F696" s="1813"/>
      <c r="G696" s="1814"/>
      <c r="H696" s="1799"/>
      <c r="I696" s="1799"/>
      <c r="J696" s="1799"/>
      <c r="K696" s="1799"/>
      <c r="L696" s="1799"/>
      <c r="M696" s="1799"/>
      <c r="N696" s="1799"/>
      <c r="O696" s="1799"/>
      <c r="P696" s="1799"/>
      <c r="Q696" s="1799"/>
      <c r="R696" s="1799"/>
      <c r="S696" s="1799"/>
      <c r="T696" s="1799"/>
      <c r="U696" s="1799"/>
      <c r="V696" s="1799"/>
      <c r="W696" s="1799"/>
      <c r="X696" s="1799"/>
      <c r="Y696" s="1799"/>
      <c r="Z696" s="1799"/>
    </row>
    <row r="697">
      <c r="A697" s="1799"/>
      <c r="B697" s="1799"/>
      <c r="C697" s="1799"/>
      <c r="D697" s="1812"/>
      <c r="E697" s="1799"/>
      <c r="F697" s="1813"/>
      <c r="G697" s="1814"/>
      <c r="H697" s="1799"/>
      <c r="I697" s="1799"/>
      <c r="J697" s="1799"/>
      <c r="K697" s="1799"/>
      <c r="L697" s="1799"/>
      <c r="M697" s="1799"/>
      <c r="N697" s="1799"/>
      <c r="O697" s="1799"/>
      <c r="P697" s="1799"/>
      <c r="Q697" s="1799"/>
      <c r="R697" s="1799"/>
      <c r="S697" s="1799"/>
      <c r="T697" s="1799"/>
      <c r="U697" s="1799"/>
      <c r="V697" s="1799"/>
      <c r="W697" s="1799"/>
      <c r="X697" s="1799"/>
      <c r="Y697" s="1799"/>
      <c r="Z697" s="1799"/>
    </row>
    <row r="698">
      <c r="A698" s="1799"/>
      <c r="B698" s="1799"/>
      <c r="C698" s="1799"/>
      <c r="D698" s="1812"/>
      <c r="E698" s="1799"/>
      <c r="F698" s="1813"/>
      <c r="G698" s="1814"/>
      <c r="H698" s="1799"/>
      <c r="I698" s="1799"/>
      <c r="J698" s="1799"/>
      <c r="K698" s="1799"/>
      <c r="L698" s="1799"/>
      <c r="M698" s="1799"/>
      <c r="N698" s="1799"/>
      <c r="O698" s="1799"/>
      <c r="P698" s="1799"/>
      <c r="Q698" s="1799"/>
      <c r="R698" s="1799"/>
      <c r="S698" s="1799"/>
      <c r="T698" s="1799"/>
      <c r="U698" s="1799"/>
      <c r="V698" s="1799"/>
      <c r="W698" s="1799"/>
      <c r="X698" s="1799"/>
      <c r="Y698" s="1799"/>
      <c r="Z698" s="1799"/>
    </row>
    <row r="699">
      <c r="A699" s="1799"/>
      <c r="B699" s="1799"/>
      <c r="C699" s="1799"/>
      <c r="D699" s="1812"/>
      <c r="E699" s="1799"/>
      <c r="F699" s="1813"/>
      <c r="G699" s="1814"/>
      <c r="H699" s="1799"/>
      <c r="I699" s="1799"/>
      <c r="J699" s="1799"/>
      <c r="K699" s="1799"/>
      <c r="L699" s="1799"/>
      <c r="M699" s="1799"/>
      <c r="N699" s="1799"/>
      <c r="O699" s="1799"/>
      <c r="P699" s="1799"/>
      <c r="Q699" s="1799"/>
      <c r="R699" s="1799"/>
      <c r="S699" s="1799"/>
      <c r="T699" s="1799"/>
      <c r="U699" s="1799"/>
      <c r="V699" s="1799"/>
      <c r="W699" s="1799"/>
      <c r="X699" s="1799"/>
      <c r="Y699" s="1799"/>
      <c r="Z699" s="1799"/>
    </row>
    <row r="700">
      <c r="A700" s="1799"/>
      <c r="B700" s="1799"/>
      <c r="C700" s="1799"/>
      <c r="D700" s="1812"/>
      <c r="E700" s="1799"/>
      <c r="F700" s="1813"/>
      <c r="G700" s="1814"/>
      <c r="H700" s="1799"/>
      <c r="I700" s="1799"/>
      <c r="J700" s="1799"/>
      <c r="K700" s="1799"/>
      <c r="L700" s="1799"/>
      <c r="M700" s="1799"/>
      <c r="N700" s="1799"/>
      <c r="O700" s="1799"/>
      <c r="P700" s="1799"/>
      <c r="Q700" s="1799"/>
      <c r="R700" s="1799"/>
      <c r="S700" s="1799"/>
      <c r="T700" s="1799"/>
      <c r="U700" s="1799"/>
      <c r="V700" s="1799"/>
      <c r="W700" s="1799"/>
      <c r="X700" s="1799"/>
      <c r="Y700" s="1799"/>
      <c r="Z700" s="1799"/>
    </row>
    <row r="701">
      <c r="A701" s="1799"/>
      <c r="B701" s="1799"/>
      <c r="C701" s="1799"/>
      <c r="D701" s="1812"/>
      <c r="E701" s="1799"/>
      <c r="F701" s="1813"/>
      <c r="G701" s="1814"/>
      <c r="H701" s="1799"/>
      <c r="I701" s="1799"/>
      <c r="J701" s="1799"/>
      <c r="K701" s="1799"/>
      <c r="L701" s="1799"/>
      <c r="M701" s="1799"/>
      <c r="N701" s="1799"/>
      <c r="O701" s="1799"/>
      <c r="P701" s="1799"/>
      <c r="Q701" s="1799"/>
      <c r="R701" s="1799"/>
      <c r="S701" s="1799"/>
      <c r="T701" s="1799"/>
      <c r="U701" s="1799"/>
      <c r="V701" s="1799"/>
      <c r="W701" s="1799"/>
      <c r="X701" s="1799"/>
      <c r="Y701" s="1799"/>
      <c r="Z701" s="1799"/>
    </row>
    <row r="702">
      <c r="A702" s="1799"/>
      <c r="B702" s="1799"/>
      <c r="C702" s="1799"/>
      <c r="D702" s="1812"/>
      <c r="E702" s="1799"/>
      <c r="F702" s="1813"/>
      <c r="G702" s="1814"/>
      <c r="H702" s="1799"/>
      <c r="I702" s="1799"/>
      <c r="J702" s="1799"/>
      <c r="K702" s="1799"/>
      <c r="L702" s="1799"/>
      <c r="M702" s="1799"/>
      <c r="N702" s="1799"/>
      <c r="O702" s="1799"/>
      <c r="P702" s="1799"/>
      <c r="Q702" s="1799"/>
      <c r="R702" s="1799"/>
      <c r="S702" s="1799"/>
      <c r="T702" s="1799"/>
      <c r="U702" s="1799"/>
      <c r="V702" s="1799"/>
      <c r="W702" s="1799"/>
      <c r="X702" s="1799"/>
      <c r="Y702" s="1799"/>
      <c r="Z702" s="1799"/>
    </row>
    <row r="703">
      <c r="A703" s="1799"/>
      <c r="B703" s="1799"/>
      <c r="C703" s="1799"/>
      <c r="D703" s="1812"/>
      <c r="E703" s="1799"/>
      <c r="F703" s="1813"/>
      <c r="G703" s="1814"/>
      <c r="H703" s="1799"/>
      <c r="I703" s="1799"/>
      <c r="J703" s="1799"/>
      <c r="K703" s="1799"/>
      <c r="L703" s="1799"/>
      <c r="M703" s="1799"/>
      <c r="N703" s="1799"/>
      <c r="O703" s="1799"/>
      <c r="P703" s="1799"/>
      <c r="Q703" s="1799"/>
      <c r="R703" s="1799"/>
      <c r="S703" s="1799"/>
      <c r="T703" s="1799"/>
      <c r="U703" s="1799"/>
      <c r="V703" s="1799"/>
      <c r="W703" s="1799"/>
      <c r="X703" s="1799"/>
      <c r="Y703" s="1799"/>
      <c r="Z703" s="1799"/>
    </row>
    <row r="704">
      <c r="A704" s="1799"/>
      <c r="B704" s="1799"/>
      <c r="C704" s="1799"/>
      <c r="D704" s="1812"/>
      <c r="E704" s="1799"/>
      <c r="F704" s="1813"/>
      <c r="G704" s="1814"/>
      <c r="H704" s="1799"/>
      <c r="I704" s="1799"/>
      <c r="J704" s="1799"/>
      <c r="K704" s="1799"/>
      <c r="L704" s="1799"/>
      <c r="M704" s="1799"/>
      <c r="N704" s="1799"/>
      <c r="O704" s="1799"/>
      <c r="P704" s="1799"/>
      <c r="Q704" s="1799"/>
      <c r="R704" s="1799"/>
      <c r="S704" s="1799"/>
      <c r="T704" s="1799"/>
      <c r="U704" s="1799"/>
      <c r="V704" s="1799"/>
      <c r="W704" s="1799"/>
      <c r="X704" s="1799"/>
      <c r="Y704" s="1799"/>
      <c r="Z704" s="1799"/>
    </row>
    <row r="705">
      <c r="A705" s="1799"/>
      <c r="B705" s="1799"/>
      <c r="C705" s="1799"/>
      <c r="D705" s="1812"/>
      <c r="E705" s="1799"/>
      <c r="F705" s="1813"/>
      <c r="G705" s="1814"/>
      <c r="H705" s="1799"/>
      <c r="I705" s="1799"/>
      <c r="J705" s="1799"/>
      <c r="K705" s="1799"/>
      <c r="L705" s="1799"/>
      <c r="M705" s="1799"/>
      <c r="N705" s="1799"/>
      <c r="O705" s="1799"/>
      <c r="P705" s="1799"/>
      <c r="Q705" s="1799"/>
      <c r="R705" s="1799"/>
      <c r="S705" s="1799"/>
      <c r="T705" s="1799"/>
      <c r="U705" s="1799"/>
      <c r="V705" s="1799"/>
      <c r="W705" s="1799"/>
      <c r="X705" s="1799"/>
      <c r="Y705" s="1799"/>
      <c r="Z705" s="1799"/>
    </row>
    <row r="706">
      <c r="A706" s="1799"/>
      <c r="B706" s="1799"/>
      <c r="C706" s="1799"/>
      <c r="D706" s="1812"/>
      <c r="E706" s="1799"/>
      <c r="F706" s="1813"/>
      <c r="G706" s="1814"/>
      <c r="H706" s="1799"/>
      <c r="I706" s="1799"/>
      <c r="J706" s="1799"/>
      <c r="K706" s="1799"/>
      <c r="L706" s="1799"/>
      <c r="M706" s="1799"/>
      <c r="N706" s="1799"/>
      <c r="O706" s="1799"/>
      <c r="P706" s="1799"/>
      <c r="Q706" s="1799"/>
      <c r="R706" s="1799"/>
      <c r="S706" s="1799"/>
      <c r="T706" s="1799"/>
      <c r="U706" s="1799"/>
      <c r="V706" s="1799"/>
      <c r="W706" s="1799"/>
      <c r="X706" s="1799"/>
      <c r="Y706" s="1799"/>
      <c r="Z706" s="1799"/>
    </row>
    <row r="707">
      <c r="A707" s="1799"/>
      <c r="B707" s="1799"/>
      <c r="C707" s="1799"/>
      <c r="D707" s="1812"/>
      <c r="E707" s="1799"/>
      <c r="F707" s="1813"/>
      <c r="G707" s="1814"/>
      <c r="H707" s="1799"/>
      <c r="I707" s="1799"/>
      <c r="J707" s="1799"/>
      <c r="K707" s="1799"/>
      <c r="L707" s="1799"/>
      <c r="M707" s="1799"/>
      <c r="N707" s="1799"/>
      <c r="O707" s="1799"/>
      <c r="P707" s="1799"/>
      <c r="Q707" s="1799"/>
      <c r="R707" s="1799"/>
      <c r="S707" s="1799"/>
      <c r="T707" s="1799"/>
      <c r="U707" s="1799"/>
      <c r="V707" s="1799"/>
      <c r="W707" s="1799"/>
      <c r="X707" s="1799"/>
      <c r="Y707" s="1799"/>
      <c r="Z707" s="1799"/>
    </row>
    <row r="708">
      <c r="A708" s="1799"/>
      <c r="B708" s="1799"/>
      <c r="C708" s="1799"/>
      <c r="D708" s="1812"/>
      <c r="E708" s="1799"/>
      <c r="F708" s="1813"/>
      <c r="G708" s="1814"/>
      <c r="H708" s="1799"/>
      <c r="I708" s="1799"/>
      <c r="J708" s="1799"/>
      <c r="K708" s="1799"/>
      <c r="L708" s="1799"/>
      <c r="M708" s="1799"/>
      <c r="N708" s="1799"/>
      <c r="O708" s="1799"/>
      <c r="P708" s="1799"/>
      <c r="Q708" s="1799"/>
      <c r="R708" s="1799"/>
      <c r="S708" s="1799"/>
      <c r="T708" s="1799"/>
      <c r="U708" s="1799"/>
      <c r="V708" s="1799"/>
      <c r="W708" s="1799"/>
      <c r="X708" s="1799"/>
      <c r="Y708" s="1799"/>
      <c r="Z708" s="1799"/>
    </row>
    <row r="709">
      <c r="A709" s="1799"/>
      <c r="B709" s="1799"/>
      <c r="C709" s="1799"/>
      <c r="D709" s="1812"/>
      <c r="E709" s="1799"/>
      <c r="F709" s="1813"/>
      <c r="G709" s="1814"/>
      <c r="H709" s="1799"/>
      <c r="I709" s="1799"/>
      <c r="J709" s="1799"/>
      <c r="K709" s="1799"/>
      <c r="L709" s="1799"/>
      <c r="M709" s="1799"/>
      <c r="N709" s="1799"/>
      <c r="O709" s="1799"/>
      <c r="P709" s="1799"/>
      <c r="Q709" s="1799"/>
      <c r="R709" s="1799"/>
      <c r="S709" s="1799"/>
      <c r="T709" s="1799"/>
      <c r="U709" s="1799"/>
      <c r="V709" s="1799"/>
      <c r="W709" s="1799"/>
      <c r="X709" s="1799"/>
      <c r="Y709" s="1799"/>
      <c r="Z709" s="1799"/>
    </row>
    <row r="710">
      <c r="A710" s="1799"/>
      <c r="B710" s="1799"/>
      <c r="C710" s="1799"/>
      <c r="D710" s="1812"/>
      <c r="E710" s="1799"/>
      <c r="F710" s="1813"/>
      <c r="G710" s="1814"/>
      <c r="H710" s="1799"/>
      <c r="I710" s="1799"/>
      <c r="J710" s="1799"/>
      <c r="K710" s="1799"/>
      <c r="L710" s="1799"/>
      <c r="M710" s="1799"/>
      <c r="N710" s="1799"/>
      <c r="O710" s="1799"/>
      <c r="P710" s="1799"/>
      <c r="Q710" s="1799"/>
      <c r="R710" s="1799"/>
      <c r="S710" s="1799"/>
      <c r="T710" s="1799"/>
      <c r="U710" s="1799"/>
      <c r="V710" s="1799"/>
      <c r="W710" s="1799"/>
      <c r="X710" s="1799"/>
      <c r="Y710" s="1799"/>
      <c r="Z710" s="1799"/>
    </row>
    <row r="711">
      <c r="A711" s="1799"/>
      <c r="B711" s="1799"/>
      <c r="C711" s="1799"/>
      <c r="D711" s="1812"/>
      <c r="E711" s="1799"/>
      <c r="F711" s="1813"/>
      <c r="G711" s="1814"/>
      <c r="H711" s="1799"/>
      <c r="I711" s="1799"/>
      <c r="J711" s="1799"/>
      <c r="K711" s="1799"/>
      <c r="L711" s="1799"/>
      <c r="M711" s="1799"/>
      <c r="N711" s="1799"/>
      <c r="O711" s="1799"/>
      <c r="P711" s="1799"/>
      <c r="Q711" s="1799"/>
      <c r="R711" s="1799"/>
      <c r="S711" s="1799"/>
      <c r="T711" s="1799"/>
      <c r="U711" s="1799"/>
      <c r="V711" s="1799"/>
      <c r="W711" s="1799"/>
      <c r="X711" s="1799"/>
      <c r="Y711" s="1799"/>
      <c r="Z711" s="1799"/>
    </row>
    <row r="712">
      <c r="A712" s="1799"/>
      <c r="B712" s="1799"/>
      <c r="C712" s="1799"/>
      <c r="D712" s="1812"/>
      <c r="E712" s="1799"/>
      <c r="F712" s="1813"/>
      <c r="G712" s="1814"/>
      <c r="H712" s="1799"/>
      <c r="I712" s="1799"/>
      <c r="J712" s="1799"/>
      <c r="K712" s="1799"/>
      <c r="L712" s="1799"/>
      <c r="M712" s="1799"/>
      <c r="N712" s="1799"/>
      <c r="O712" s="1799"/>
      <c r="P712" s="1799"/>
      <c r="Q712" s="1799"/>
      <c r="R712" s="1799"/>
      <c r="S712" s="1799"/>
      <c r="T712" s="1799"/>
      <c r="U712" s="1799"/>
      <c r="V712" s="1799"/>
      <c r="W712" s="1799"/>
      <c r="X712" s="1799"/>
      <c r="Y712" s="1799"/>
      <c r="Z712" s="1799"/>
    </row>
    <row r="713">
      <c r="A713" s="1799"/>
      <c r="B713" s="1799"/>
      <c r="C713" s="1799"/>
      <c r="D713" s="1812"/>
      <c r="E713" s="1799"/>
      <c r="F713" s="1813"/>
      <c r="G713" s="1814"/>
      <c r="H713" s="1799"/>
      <c r="I713" s="1799"/>
      <c r="J713" s="1799"/>
      <c r="K713" s="1799"/>
      <c r="L713" s="1799"/>
      <c r="M713" s="1799"/>
      <c r="N713" s="1799"/>
      <c r="O713" s="1799"/>
      <c r="P713" s="1799"/>
      <c r="Q713" s="1799"/>
      <c r="R713" s="1799"/>
      <c r="S713" s="1799"/>
      <c r="T713" s="1799"/>
      <c r="U713" s="1799"/>
      <c r="V713" s="1799"/>
      <c r="W713" s="1799"/>
      <c r="X713" s="1799"/>
      <c r="Y713" s="1799"/>
      <c r="Z713" s="1799"/>
    </row>
    <row r="714">
      <c r="A714" s="1799"/>
      <c r="B714" s="1799"/>
      <c r="C714" s="1799"/>
      <c r="D714" s="1812"/>
      <c r="E714" s="1799"/>
      <c r="F714" s="1813"/>
      <c r="G714" s="1814"/>
      <c r="H714" s="1799"/>
      <c r="I714" s="1799"/>
      <c r="J714" s="1799"/>
      <c r="K714" s="1799"/>
      <c r="L714" s="1799"/>
      <c r="M714" s="1799"/>
      <c r="N714" s="1799"/>
      <c r="O714" s="1799"/>
      <c r="P714" s="1799"/>
      <c r="Q714" s="1799"/>
      <c r="R714" s="1799"/>
      <c r="S714" s="1799"/>
      <c r="T714" s="1799"/>
      <c r="U714" s="1799"/>
      <c r="V714" s="1799"/>
      <c r="W714" s="1799"/>
      <c r="X714" s="1799"/>
      <c r="Y714" s="1799"/>
      <c r="Z714" s="1799"/>
    </row>
    <row r="715">
      <c r="A715" s="1799"/>
      <c r="B715" s="1799"/>
      <c r="C715" s="1799"/>
      <c r="D715" s="1812"/>
      <c r="E715" s="1799"/>
      <c r="F715" s="1813"/>
      <c r="G715" s="1814"/>
      <c r="H715" s="1799"/>
      <c r="I715" s="1799"/>
      <c r="J715" s="1799"/>
      <c r="K715" s="1799"/>
      <c r="L715" s="1799"/>
      <c r="M715" s="1799"/>
      <c r="N715" s="1799"/>
      <c r="O715" s="1799"/>
      <c r="P715" s="1799"/>
      <c r="Q715" s="1799"/>
      <c r="R715" s="1799"/>
      <c r="S715" s="1799"/>
      <c r="T715" s="1799"/>
      <c r="U715" s="1799"/>
      <c r="V715" s="1799"/>
      <c r="W715" s="1799"/>
      <c r="X715" s="1799"/>
      <c r="Y715" s="1799"/>
      <c r="Z715" s="1799"/>
    </row>
    <row r="716">
      <c r="A716" s="1799"/>
      <c r="B716" s="1799"/>
      <c r="C716" s="1799"/>
      <c r="D716" s="1812"/>
      <c r="E716" s="1799"/>
      <c r="F716" s="1813"/>
      <c r="G716" s="1814"/>
      <c r="H716" s="1799"/>
      <c r="I716" s="1799"/>
      <c r="J716" s="1799"/>
      <c r="K716" s="1799"/>
      <c r="L716" s="1799"/>
      <c r="M716" s="1799"/>
      <c r="N716" s="1799"/>
      <c r="O716" s="1799"/>
      <c r="P716" s="1799"/>
      <c r="Q716" s="1799"/>
      <c r="R716" s="1799"/>
      <c r="S716" s="1799"/>
      <c r="T716" s="1799"/>
      <c r="U716" s="1799"/>
      <c r="V716" s="1799"/>
      <c r="W716" s="1799"/>
      <c r="X716" s="1799"/>
      <c r="Y716" s="1799"/>
      <c r="Z716" s="1799"/>
    </row>
    <row r="717">
      <c r="A717" s="1799"/>
      <c r="B717" s="1799"/>
      <c r="C717" s="1799"/>
      <c r="D717" s="1812"/>
      <c r="E717" s="1799"/>
      <c r="F717" s="1813"/>
      <c r="G717" s="1814"/>
      <c r="H717" s="1799"/>
      <c r="I717" s="1799"/>
      <c r="J717" s="1799"/>
      <c r="K717" s="1799"/>
      <c r="L717" s="1799"/>
      <c r="M717" s="1799"/>
      <c r="N717" s="1799"/>
      <c r="O717" s="1799"/>
      <c r="P717" s="1799"/>
      <c r="Q717" s="1799"/>
      <c r="R717" s="1799"/>
      <c r="S717" s="1799"/>
      <c r="T717" s="1799"/>
      <c r="U717" s="1799"/>
      <c r="V717" s="1799"/>
      <c r="W717" s="1799"/>
      <c r="X717" s="1799"/>
      <c r="Y717" s="1799"/>
      <c r="Z717" s="1799"/>
    </row>
    <row r="718">
      <c r="A718" s="1799"/>
      <c r="B718" s="1799"/>
      <c r="C718" s="1799"/>
      <c r="D718" s="1812"/>
      <c r="E718" s="1799"/>
      <c r="F718" s="1813"/>
      <c r="G718" s="1814"/>
      <c r="H718" s="1799"/>
      <c r="I718" s="1799"/>
      <c r="J718" s="1799"/>
      <c r="K718" s="1799"/>
      <c r="L718" s="1799"/>
      <c r="M718" s="1799"/>
      <c r="N718" s="1799"/>
      <c r="O718" s="1799"/>
      <c r="P718" s="1799"/>
      <c r="Q718" s="1799"/>
      <c r="R718" s="1799"/>
      <c r="S718" s="1799"/>
      <c r="T718" s="1799"/>
      <c r="U718" s="1799"/>
      <c r="V718" s="1799"/>
      <c r="W718" s="1799"/>
      <c r="X718" s="1799"/>
      <c r="Y718" s="1799"/>
      <c r="Z718" s="1799"/>
    </row>
    <row r="719">
      <c r="A719" s="1799"/>
      <c r="B719" s="1799"/>
      <c r="C719" s="1799"/>
      <c r="D719" s="1812"/>
      <c r="E719" s="1799"/>
      <c r="F719" s="1813"/>
      <c r="G719" s="1814"/>
      <c r="H719" s="1799"/>
      <c r="I719" s="1799"/>
      <c r="J719" s="1799"/>
      <c r="K719" s="1799"/>
      <c r="L719" s="1799"/>
      <c r="M719" s="1799"/>
      <c r="N719" s="1799"/>
      <c r="O719" s="1799"/>
      <c r="P719" s="1799"/>
      <c r="Q719" s="1799"/>
      <c r="R719" s="1799"/>
      <c r="S719" s="1799"/>
      <c r="T719" s="1799"/>
      <c r="U719" s="1799"/>
      <c r="V719" s="1799"/>
      <c r="W719" s="1799"/>
      <c r="X719" s="1799"/>
      <c r="Y719" s="1799"/>
      <c r="Z719" s="1799"/>
    </row>
    <row r="720">
      <c r="A720" s="1799"/>
      <c r="B720" s="1799"/>
      <c r="C720" s="1799"/>
      <c r="D720" s="1812"/>
      <c r="E720" s="1799"/>
      <c r="F720" s="1813"/>
      <c r="G720" s="1814"/>
      <c r="H720" s="1799"/>
      <c r="I720" s="1799"/>
      <c r="J720" s="1799"/>
      <c r="K720" s="1799"/>
      <c r="L720" s="1799"/>
      <c r="M720" s="1799"/>
      <c r="N720" s="1799"/>
      <c r="O720" s="1799"/>
      <c r="P720" s="1799"/>
      <c r="Q720" s="1799"/>
      <c r="R720" s="1799"/>
      <c r="S720" s="1799"/>
      <c r="T720" s="1799"/>
      <c r="U720" s="1799"/>
      <c r="V720" s="1799"/>
      <c r="W720" s="1799"/>
      <c r="X720" s="1799"/>
      <c r="Y720" s="1799"/>
      <c r="Z720" s="1799"/>
    </row>
    <row r="721">
      <c r="A721" s="1799"/>
      <c r="B721" s="1799"/>
      <c r="C721" s="1799"/>
      <c r="D721" s="1812"/>
      <c r="E721" s="1799"/>
      <c r="F721" s="1813"/>
      <c r="G721" s="1814"/>
      <c r="H721" s="1799"/>
      <c r="I721" s="1799"/>
      <c r="J721" s="1799"/>
      <c r="K721" s="1799"/>
      <c r="L721" s="1799"/>
      <c r="M721" s="1799"/>
      <c r="N721" s="1799"/>
      <c r="O721" s="1799"/>
      <c r="P721" s="1799"/>
      <c r="Q721" s="1799"/>
      <c r="R721" s="1799"/>
      <c r="S721" s="1799"/>
      <c r="T721" s="1799"/>
      <c r="U721" s="1799"/>
      <c r="V721" s="1799"/>
      <c r="W721" s="1799"/>
      <c r="X721" s="1799"/>
      <c r="Y721" s="1799"/>
      <c r="Z721" s="1799"/>
    </row>
    <row r="722">
      <c r="A722" s="1799"/>
      <c r="B722" s="1799"/>
      <c r="C722" s="1799"/>
      <c r="D722" s="1812"/>
      <c r="E722" s="1799"/>
      <c r="F722" s="1813"/>
      <c r="G722" s="1814"/>
      <c r="H722" s="1799"/>
      <c r="I722" s="1799"/>
      <c r="J722" s="1799"/>
      <c r="K722" s="1799"/>
      <c r="L722" s="1799"/>
      <c r="M722" s="1799"/>
      <c r="N722" s="1799"/>
      <c r="O722" s="1799"/>
      <c r="P722" s="1799"/>
      <c r="Q722" s="1799"/>
      <c r="R722" s="1799"/>
      <c r="S722" s="1799"/>
      <c r="T722" s="1799"/>
      <c r="U722" s="1799"/>
      <c r="V722" s="1799"/>
      <c r="W722" s="1799"/>
      <c r="X722" s="1799"/>
      <c r="Y722" s="1799"/>
      <c r="Z722" s="1799"/>
    </row>
    <row r="723">
      <c r="A723" s="1799"/>
      <c r="B723" s="1799"/>
      <c r="C723" s="1799"/>
      <c r="D723" s="1812"/>
      <c r="E723" s="1799"/>
      <c r="F723" s="1813"/>
      <c r="G723" s="1814"/>
      <c r="H723" s="1799"/>
      <c r="I723" s="1799"/>
      <c r="J723" s="1799"/>
      <c r="K723" s="1799"/>
      <c r="L723" s="1799"/>
      <c r="M723" s="1799"/>
      <c r="N723" s="1799"/>
      <c r="O723" s="1799"/>
      <c r="P723" s="1799"/>
      <c r="Q723" s="1799"/>
      <c r="R723" s="1799"/>
      <c r="S723" s="1799"/>
      <c r="T723" s="1799"/>
      <c r="U723" s="1799"/>
      <c r="V723" s="1799"/>
      <c r="W723" s="1799"/>
      <c r="X723" s="1799"/>
      <c r="Y723" s="1799"/>
      <c r="Z723" s="1799"/>
    </row>
    <row r="724">
      <c r="A724" s="1799"/>
      <c r="B724" s="1799"/>
      <c r="C724" s="1799"/>
      <c r="D724" s="1812"/>
      <c r="E724" s="1799"/>
      <c r="F724" s="1813"/>
      <c r="G724" s="1814"/>
      <c r="H724" s="1799"/>
      <c r="I724" s="1799"/>
      <c r="J724" s="1799"/>
      <c r="K724" s="1799"/>
      <c r="L724" s="1799"/>
      <c r="M724" s="1799"/>
      <c r="N724" s="1799"/>
      <c r="O724" s="1799"/>
      <c r="P724" s="1799"/>
      <c r="Q724" s="1799"/>
      <c r="R724" s="1799"/>
      <c r="S724" s="1799"/>
      <c r="T724" s="1799"/>
      <c r="U724" s="1799"/>
      <c r="V724" s="1799"/>
      <c r="W724" s="1799"/>
      <c r="X724" s="1799"/>
      <c r="Y724" s="1799"/>
      <c r="Z724" s="1799"/>
    </row>
    <row r="725">
      <c r="A725" s="1799"/>
      <c r="B725" s="1799"/>
      <c r="C725" s="1799"/>
      <c r="D725" s="1812"/>
      <c r="E725" s="1799"/>
      <c r="F725" s="1813"/>
      <c r="G725" s="1814"/>
      <c r="H725" s="1799"/>
      <c r="I725" s="1799"/>
      <c r="J725" s="1799"/>
      <c r="K725" s="1799"/>
      <c r="L725" s="1799"/>
      <c r="M725" s="1799"/>
      <c r="N725" s="1799"/>
      <c r="O725" s="1799"/>
      <c r="P725" s="1799"/>
      <c r="Q725" s="1799"/>
      <c r="R725" s="1799"/>
      <c r="S725" s="1799"/>
      <c r="T725" s="1799"/>
      <c r="U725" s="1799"/>
      <c r="V725" s="1799"/>
      <c r="W725" s="1799"/>
      <c r="X725" s="1799"/>
      <c r="Y725" s="1799"/>
      <c r="Z725" s="1799"/>
    </row>
    <row r="726">
      <c r="A726" s="1799"/>
      <c r="B726" s="1799"/>
      <c r="C726" s="1799"/>
      <c r="D726" s="1812"/>
      <c r="E726" s="1799"/>
      <c r="F726" s="1813"/>
      <c r="G726" s="1814"/>
      <c r="H726" s="1799"/>
      <c r="I726" s="1799"/>
      <c r="J726" s="1799"/>
      <c r="K726" s="1799"/>
      <c r="L726" s="1799"/>
      <c r="M726" s="1799"/>
      <c r="N726" s="1799"/>
      <c r="O726" s="1799"/>
      <c r="P726" s="1799"/>
      <c r="Q726" s="1799"/>
      <c r="R726" s="1799"/>
      <c r="S726" s="1799"/>
      <c r="T726" s="1799"/>
      <c r="U726" s="1799"/>
      <c r="V726" s="1799"/>
      <c r="W726" s="1799"/>
      <c r="X726" s="1799"/>
      <c r="Y726" s="1799"/>
      <c r="Z726" s="1799"/>
    </row>
    <row r="727">
      <c r="A727" s="1799"/>
      <c r="B727" s="1799"/>
      <c r="C727" s="1799"/>
      <c r="D727" s="1812"/>
      <c r="E727" s="1799"/>
      <c r="F727" s="1813"/>
      <c r="G727" s="1814"/>
      <c r="H727" s="1799"/>
      <c r="I727" s="1799"/>
      <c r="J727" s="1799"/>
      <c r="K727" s="1799"/>
      <c r="L727" s="1799"/>
      <c r="M727" s="1799"/>
      <c r="N727" s="1799"/>
      <c r="O727" s="1799"/>
      <c r="P727" s="1799"/>
      <c r="Q727" s="1799"/>
      <c r="R727" s="1799"/>
      <c r="S727" s="1799"/>
      <c r="T727" s="1799"/>
      <c r="U727" s="1799"/>
      <c r="V727" s="1799"/>
      <c r="W727" s="1799"/>
      <c r="X727" s="1799"/>
      <c r="Y727" s="1799"/>
      <c r="Z727" s="1799"/>
    </row>
    <row r="728">
      <c r="A728" s="1799"/>
      <c r="B728" s="1799"/>
      <c r="C728" s="1799"/>
      <c r="D728" s="1812"/>
      <c r="E728" s="1799"/>
      <c r="F728" s="1813"/>
      <c r="G728" s="1814"/>
      <c r="H728" s="1799"/>
      <c r="I728" s="1799"/>
      <c r="J728" s="1799"/>
      <c r="K728" s="1799"/>
      <c r="L728" s="1799"/>
      <c r="M728" s="1799"/>
      <c r="N728" s="1799"/>
      <c r="O728" s="1799"/>
      <c r="P728" s="1799"/>
      <c r="Q728" s="1799"/>
      <c r="R728" s="1799"/>
      <c r="S728" s="1799"/>
      <c r="T728" s="1799"/>
      <c r="U728" s="1799"/>
      <c r="V728" s="1799"/>
      <c r="W728" s="1799"/>
      <c r="X728" s="1799"/>
      <c r="Y728" s="1799"/>
      <c r="Z728" s="1799"/>
    </row>
    <row r="729">
      <c r="A729" s="1799"/>
      <c r="B729" s="1799"/>
      <c r="C729" s="1799"/>
      <c r="D729" s="1812"/>
      <c r="E729" s="1799"/>
      <c r="F729" s="1813"/>
      <c r="G729" s="1814"/>
      <c r="H729" s="1799"/>
      <c r="I729" s="1799"/>
      <c r="J729" s="1799"/>
      <c r="K729" s="1799"/>
      <c r="L729" s="1799"/>
      <c r="M729" s="1799"/>
      <c r="N729" s="1799"/>
      <c r="O729" s="1799"/>
      <c r="P729" s="1799"/>
      <c r="Q729" s="1799"/>
      <c r="R729" s="1799"/>
      <c r="S729" s="1799"/>
      <c r="T729" s="1799"/>
      <c r="U729" s="1799"/>
      <c r="V729" s="1799"/>
      <c r="W729" s="1799"/>
      <c r="X729" s="1799"/>
      <c r="Y729" s="1799"/>
      <c r="Z729" s="1799"/>
    </row>
    <row r="730">
      <c r="A730" s="1799"/>
      <c r="B730" s="1799"/>
      <c r="C730" s="1799"/>
      <c r="D730" s="1812"/>
      <c r="E730" s="1799"/>
      <c r="F730" s="1813"/>
      <c r="G730" s="1814"/>
      <c r="H730" s="1799"/>
      <c r="I730" s="1799"/>
      <c r="J730" s="1799"/>
      <c r="K730" s="1799"/>
      <c r="L730" s="1799"/>
      <c r="M730" s="1799"/>
      <c r="N730" s="1799"/>
      <c r="O730" s="1799"/>
      <c r="P730" s="1799"/>
      <c r="Q730" s="1799"/>
      <c r="R730" s="1799"/>
      <c r="S730" s="1799"/>
      <c r="T730" s="1799"/>
      <c r="U730" s="1799"/>
      <c r="V730" s="1799"/>
      <c r="W730" s="1799"/>
      <c r="X730" s="1799"/>
      <c r="Y730" s="1799"/>
      <c r="Z730" s="1799"/>
    </row>
    <row r="731">
      <c r="A731" s="1799"/>
      <c r="B731" s="1799"/>
      <c r="C731" s="1799"/>
      <c r="D731" s="1812"/>
      <c r="E731" s="1799"/>
      <c r="F731" s="1813"/>
      <c r="G731" s="1814"/>
      <c r="H731" s="1799"/>
      <c r="I731" s="1799"/>
      <c r="J731" s="1799"/>
      <c r="K731" s="1799"/>
      <c r="L731" s="1799"/>
      <c r="M731" s="1799"/>
      <c r="N731" s="1799"/>
      <c r="O731" s="1799"/>
      <c r="P731" s="1799"/>
      <c r="Q731" s="1799"/>
      <c r="R731" s="1799"/>
      <c r="S731" s="1799"/>
      <c r="T731" s="1799"/>
      <c r="U731" s="1799"/>
      <c r="V731" s="1799"/>
      <c r="W731" s="1799"/>
      <c r="X731" s="1799"/>
      <c r="Y731" s="1799"/>
      <c r="Z731" s="1799"/>
    </row>
    <row r="732">
      <c r="A732" s="1799"/>
      <c r="B732" s="1799"/>
      <c r="C732" s="1799"/>
      <c r="D732" s="1812"/>
      <c r="E732" s="1799"/>
      <c r="F732" s="1813"/>
      <c r="G732" s="1814"/>
      <c r="H732" s="1799"/>
      <c r="I732" s="1799"/>
      <c r="J732" s="1799"/>
      <c r="K732" s="1799"/>
      <c r="L732" s="1799"/>
      <c r="M732" s="1799"/>
      <c r="N732" s="1799"/>
      <c r="O732" s="1799"/>
      <c r="P732" s="1799"/>
      <c r="Q732" s="1799"/>
      <c r="R732" s="1799"/>
      <c r="S732" s="1799"/>
      <c r="T732" s="1799"/>
      <c r="U732" s="1799"/>
      <c r="V732" s="1799"/>
      <c r="W732" s="1799"/>
      <c r="X732" s="1799"/>
      <c r="Y732" s="1799"/>
      <c r="Z732" s="1799"/>
    </row>
    <row r="733">
      <c r="A733" s="1799"/>
      <c r="B733" s="1799"/>
      <c r="C733" s="1799"/>
      <c r="D733" s="1812"/>
      <c r="E733" s="1799"/>
      <c r="F733" s="1813"/>
      <c r="G733" s="1814"/>
      <c r="H733" s="1799"/>
      <c r="I733" s="1799"/>
      <c r="J733" s="1799"/>
      <c r="K733" s="1799"/>
      <c r="L733" s="1799"/>
      <c r="M733" s="1799"/>
      <c r="N733" s="1799"/>
      <c r="O733" s="1799"/>
      <c r="P733" s="1799"/>
      <c r="Q733" s="1799"/>
      <c r="R733" s="1799"/>
      <c r="S733" s="1799"/>
      <c r="T733" s="1799"/>
      <c r="U733" s="1799"/>
      <c r="V733" s="1799"/>
      <c r="W733" s="1799"/>
      <c r="X733" s="1799"/>
      <c r="Y733" s="1799"/>
      <c r="Z733" s="1799"/>
    </row>
    <row r="734">
      <c r="A734" s="1799"/>
      <c r="B734" s="1799"/>
      <c r="C734" s="1799"/>
      <c r="D734" s="1812"/>
      <c r="E734" s="1799"/>
      <c r="F734" s="1813"/>
      <c r="G734" s="1814"/>
      <c r="H734" s="1799"/>
      <c r="I734" s="1799"/>
      <c r="J734" s="1799"/>
      <c r="K734" s="1799"/>
      <c r="L734" s="1799"/>
      <c r="M734" s="1799"/>
      <c r="N734" s="1799"/>
      <c r="O734" s="1799"/>
      <c r="P734" s="1799"/>
      <c r="Q734" s="1799"/>
      <c r="R734" s="1799"/>
      <c r="S734" s="1799"/>
      <c r="T734" s="1799"/>
      <c r="U734" s="1799"/>
      <c r="V734" s="1799"/>
      <c r="W734" s="1799"/>
      <c r="X734" s="1799"/>
      <c r="Y734" s="1799"/>
      <c r="Z734" s="1799"/>
    </row>
    <row r="735">
      <c r="A735" s="1799"/>
      <c r="B735" s="1799"/>
      <c r="C735" s="1799"/>
      <c r="D735" s="1812"/>
      <c r="E735" s="1799"/>
      <c r="F735" s="1813"/>
      <c r="G735" s="1814"/>
      <c r="H735" s="1799"/>
      <c r="I735" s="1799"/>
      <c r="J735" s="1799"/>
      <c r="K735" s="1799"/>
      <c r="L735" s="1799"/>
      <c r="M735" s="1799"/>
      <c r="N735" s="1799"/>
      <c r="O735" s="1799"/>
      <c r="P735" s="1799"/>
      <c r="Q735" s="1799"/>
      <c r="R735" s="1799"/>
      <c r="S735" s="1799"/>
      <c r="T735" s="1799"/>
      <c r="U735" s="1799"/>
      <c r="V735" s="1799"/>
      <c r="W735" s="1799"/>
      <c r="X735" s="1799"/>
      <c r="Y735" s="1799"/>
      <c r="Z735" s="1799"/>
    </row>
    <row r="736">
      <c r="A736" s="1799"/>
      <c r="B736" s="1799"/>
      <c r="C736" s="1799"/>
      <c r="D736" s="1812"/>
      <c r="E736" s="1799"/>
      <c r="F736" s="1813"/>
      <c r="G736" s="1814"/>
      <c r="H736" s="1799"/>
      <c r="I736" s="1799"/>
      <c r="J736" s="1799"/>
      <c r="K736" s="1799"/>
      <c r="L736" s="1799"/>
      <c r="M736" s="1799"/>
      <c r="N736" s="1799"/>
      <c r="O736" s="1799"/>
      <c r="P736" s="1799"/>
      <c r="Q736" s="1799"/>
      <c r="R736" s="1799"/>
      <c r="S736" s="1799"/>
      <c r="T736" s="1799"/>
      <c r="U736" s="1799"/>
      <c r="V736" s="1799"/>
      <c r="W736" s="1799"/>
      <c r="X736" s="1799"/>
      <c r="Y736" s="1799"/>
      <c r="Z736" s="1799"/>
    </row>
    <row r="737">
      <c r="A737" s="1799"/>
      <c r="B737" s="1799"/>
      <c r="C737" s="1799"/>
      <c r="D737" s="1812"/>
      <c r="E737" s="1799"/>
      <c r="F737" s="1813"/>
      <c r="G737" s="1814"/>
      <c r="H737" s="1799"/>
      <c r="I737" s="1799"/>
      <c r="J737" s="1799"/>
      <c r="K737" s="1799"/>
      <c r="L737" s="1799"/>
      <c r="M737" s="1799"/>
      <c r="N737" s="1799"/>
      <c r="O737" s="1799"/>
      <c r="P737" s="1799"/>
      <c r="Q737" s="1799"/>
      <c r="R737" s="1799"/>
      <c r="S737" s="1799"/>
      <c r="T737" s="1799"/>
      <c r="U737" s="1799"/>
      <c r="V737" s="1799"/>
      <c r="W737" s="1799"/>
      <c r="X737" s="1799"/>
      <c r="Y737" s="1799"/>
      <c r="Z737" s="1799"/>
    </row>
    <row r="738">
      <c r="A738" s="1799"/>
      <c r="B738" s="1799"/>
      <c r="C738" s="1799"/>
      <c r="D738" s="1812"/>
      <c r="E738" s="1799"/>
      <c r="F738" s="1813"/>
      <c r="G738" s="1814"/>
      <c r="H738" s="1799"/>
      <c r="I738" s="1799"/>
      <c r="J738" s="1799"/>
      <c r="K738" s="1799"/>
      <c r="L738" s="1799"/>
      <c r="M738" s="1799"/>
      <c r="N738" s="1799"/>
      <c r="O738" s="1799"/>
      <c r="P738" s="1799"/>
      <c r="Q738" s="1799"/>
      <c r="R738" s="1799"/>
      <c r="S738" s="1799"/>
      <c r="T738" s="1799"/>
      <c r="U738" s="1799"/>
      <c r="V738" s="1799"/>
      <c r="W738" s="1799"/>
      <c r="X738" s="1799"/>
      <c r="Y738" s="1799"/>
      <c r="Z738" s="1799"/>
    </row>
    <row r="739">
      <c r="A739" s="1799"/>
      <c r="B739" s="1799"/>
      <c r="C739" s="1799"/>
      <c r="D739" s="1812"/>
      <c r="E739" s="1799"/>
      <c r="F739" s="1813"/>
      <c r="G739" s="1814"/>
      <c r="H739" s="1799"/>
      <c r="I739" s="1799"/>
      <c r="J739" s="1799"/>
      <c r="K739" s="1799"/>
      <c r="L739" s="1799"/>
      <c r="M739" s="1799"/>
      <c r="N739" s="1799"/>
      <c r="O739" s="1799"/>
      <c r="P739" s="1799"/>
      <c r="Q739" s="1799"/>
      <c r="R739" s="1799"/>
      <c r="S739" s="1799"/>
      <c r="T739" s="1799"/>
      <c r="U739" s="1799"/>
      <c r="V739" s="1799"/>
      <c r="W739" s="1799"/>
      <c r="X739" s="1799"/>
      <c r="Y739" s="1799"/>
      <c r="Z739" s="1799"/>
    </row>
    <row r="740">
      <c r="A740" s="1799"/>
      <c r="B740" s="1799"/>
      <c r="C740" s="1799"/>
      <c r="D740" s="1812"/>
      <c r="E740" s="1799"/>
      <c r="F740" s="1813"/>
      <c r="G740" s="1814"/>
      <c r="H740" s="1799"/>
      <c r="I740" s="1799"/>
      <c r="J740" s="1799"/>
      <c r="K740" s="1799"/>
      <c r="L740" s="1799"/>
      <c r="M740" s="1799"/>
      <c r="N740" s="1799"/>
      <c r="O740" s="1799"/>
      <c r="P740" s="1799"/>
      <c r="Q740" s="1799"/>
      <c r="R740" s="1799"/>
      <c r="S740" s="1799"/>
      <c r="T740" s="1799"/>
      <c r="U740" s="1799"/>
      <c r="V740" s="1799"/>
      <c r="W740" s="1799"/>
      <c r="X740" s="1799"/>
      <c r="Y740" s="1799"/>
      <c r="Z740" s="1799"/>
    </row>
    <row r="741">
      <c r="A741" s="1799"/>
      <c r="B741" s="1799"/>
      <c r="C741" s="1799"/>
      <c r="D741" s="1812"/>
      <c r="E741" s="1799"/>
      <c r="F741" s="1813"/>
      <c r="G741" s="1814"/>
      <c r="H741" s="1799"/>
      <c r="I741" s="1799"/>
      <c r="J741" s="1799"/>
      <c r="K741" s="1799"/>
      <c r="L741" s="1799"/>
      <c r="M741" s="1799"/>
      <c r="N741" s="1799"/>
      <c r="O741" s="1799"/>
      <c r="P741" s="1799"/>
      <c r="Q741" s="1799"/>
      <c r="R741" s="1799"/>
      <c r="S741" s="1799"/>
      <c r="T741" s="1799"/>
      <c r="U741" s="1799"/>
      <c r="V741" s="1799"/>
      <c r="W741" s="1799"/>
      <c r="X741" s="1799"/>
      <c r="Y741" s="1799"/>
      <c r="Z741" s="1799"/>
    </row>
    <row r="742">
      <c r="A742" s="1799"/>
      <c r="B742" s="1799"/>
      <c r="C742" s="1799"/>
      <c r="D742" s="1812"/>
      <c r="E742" s="1799"/>
      <c r="F742" s="1813"/>
      <c r="G742" s="1814"/>
      <c r="H742" s="1799"/>
      <c r="I742" s="1799"/>
      <c r="J742" s="1799"/>
      <c r="K742" s="1799"/>
      <c r="L742" s="1799"/>
      <c r="M742" s="1799"/>
      <c r="N742" s="1799"/>
      <c r="O742" s="1799"/>
      <c r="P742" s="1799"/>
      <c r="Q742" s="1799"/>
      <c r="R742" s="1799"/>
      <c r="S742" s="1799"/>
      <c r="T742" s="1799"/>
      <c r="U742" s="1799"/>
      <c r="V742" s="1799"/>
      <c r="W742" s="1799"/>
      <c r="X742" s="1799"/>
      <c r="Y742" s="1799"/>
      <c r="Z742" s="1799"/>
    </row>
    <row r="743">
      <c r="A743" s="1799"/>
      <c r="B743" s="1799"/>
      <c r="C743" s="1799"/>
      <c r="D743" s="1812"/>
      <c r="E743" s="1799"/>
      <c r="F743" s="1813"/>
      <c r="G743" s="1814"/>
      <c r="H743" s="1799"/>
      <c r="I743" s="1799"/>
      <c r="J743" s="1799"/>
      <c r="K743" s="1799"/>
      <c r="L743" s="1799"/>
      <c r="M743" s="1799"/>
      <c r="N743" s="1799"/>
      <c r="O743" s="1799"/>
      <c r="P743" s="1799"/>
      <c r="Q743" s="1799"/>
      <c r="R743" s="1799"/>
      <c r="S743" s="1799"/>
      <c r="T743" s="1799"/>
      <c r="U743" s="1799"/>
      <c r="V743" s="1799"/>
      <c r="W743" s="1799"/>
      <c r="X743" s="1799"/>
      <c r="Y743" s="1799"/>
      <c r="Z743" s="1799"/>
    </row>
    <row r="744">
      <c r="A744" s="1799"/>
      <c r="B744" s="1799"/>
      <c r="C744" s="1799"/>
      <c r="D744" s="1812"/>
      <c r="E744" s="1799"/>
      <c r="F744" s="1813"/>
      <c r="G744" s="1814"/>
      <c r="H744" s="1799"/>
      <c r="I744" s="1799"/>
      <c r="J744" s="1799"/>
      <c r="K744" s="1799"/>
      <c r="L744" s="1799"/>
      <c r="M744" s="1799"/>
      <c r="N744" s="1799"/>
      <c r="O744" s="1799"/>
      <c r="P744" s="1799"/>
      <c r="Q744" s="1799"/>
      <c r="R744" s="1799"/>
      <c r="S744" s="1799"/>
      <c r="T744" s="1799"/>
      <c r="U744" s="1799"/>
      <c r="V744" s="1799"/>
      <c r="W744" s="1799"/>
      <c r="X744" s="1799"/>
      <c r="Y744" s="1799"/>
      <c r="Z744" s="1799"/>
    </row>
    <row r="745">
      <c r="A745" s="1799"/>
      <c r="B745" s="1799"/>
      <c r="C745" s="1799"/>
      <c r="D745" s="1812"/>
      <c r="E745" s="1799"/>
      <c r="F745" s="1813"/>
      <c r="G745" s="1814"/>
      <c r="H745" s="1799"/>
      <c r="I745" s="1799"/>
      <c r="J745" s="1799"/>
      <c r="K745" s="1799"/>
      <c r="L745" s="1799"/>
      <c r="M745" s="1799"/>
      <c r="N745" s="1799"/>
      <c r="O745" s="1799"/>
      <c r="P745" s="1799"/>
      <c r="Q745" s="1799"/>
      <c r="R745" s="1799"/>
      <c r="S745" s="1799"/>
      <c r="T745" s="1799"/>
      <c r="U745" s="1799"/>
      <c r="V745" s="1799"/>
      <c r="W745" s="1799"/>
      <c r="X745" s="1799"/>
      <c r="Y745" s="1799"/>
      <c r="Z745" s="1799"/>
    </row>
    <row r="746">
      <c r="A746" s="1799"/>
      <c r="B746" s="1799"/>
      <c r="C746" s="1799"/>
      <c r="D746" s="1812"/>
      <c r="E746" s="1799"/>
      <c r="F746" s="1813"/>
      <c r="G746" s="1814"/>
      <c r="H746" s="1799"/>
      <c r="I746" s="1799"/>
      <c r="J746" s="1799"/>
      <c r="K746" s="1799"/>
      <c r="L746" s="1799"/>
      <c r="M746" s="1799"/>
      <c r="N746" s="1799"/>
      <c r="O746" s="1799"/>
      <c r="P746" s="1799"/>
      <c r="Q746" s="1799"/>
      <c r="R746" s="1799"/>
      <c r="S746" s="1799"/>
      <c r="T746" s="1799"/>
      <c r="U746" s="1799"/>
      <c r="V746" s="1799"/>
      <c r="W746" s="1799"/>
      <c r="X746" s="1799"/>
      <c r="Y746" s="1799"/>
      <c r="Z746" s="1799"/>
    </row>
    <row r="747">
      <c r="A747" s="1799"/>
      <c r="B747" s="1799"/>
      <c r="C747" s="1799"/>
      <c r="D747" s="1812"/>
      <c r="E747" s="1799"/>
      <c r="F747" s="1813"/>
      <c r="G747" s="1814"/>
      <c r="H747" s="1799"/>
      <c r="I747" s="1799"/>
      <c r="J747" s="1799"/>
      <c r="K747" s="1799"/>
      <c r="L747" s="1799"/>
      <c r="M747" s="1799"/>
      <c r="N747" s="1799"/>
      <c r="O747" s="1799"/>
      <c r="P747" s="1799"/>
      <c r="Q747" s="1799"/>
      <c r="R747" s="1799"/>
      <c r="S747" s="1799"/>
      <c r="T747" s="1799"/>
      <c r="U747" s="1799"/>
      <c r="V747" s="1799"/>
      <c r="W747" s="1799"/>
      <c r="X747" s="1799"/>
      <c r="Y747" s="1799"/>
      <c r="Z747" s="1799"/>
    </row>
    <row r="748">
      <c r="A748" s="1799"/>
      <c r="B748" s="1799"/>
      <c r="C748" s="1799"/>
      <c r="D748" s="1812"/>
      <c r="E748" s="1799"/>
      <c r="F748" s="1813"/>
      <c r="G748" s="1814"/>
      <c r="H748" s="1799"/>
      <c r="I748" s="1799"/>
      <c r="J748" s="1799"/>
      <c r="K748" s="1799"/>
      <c r="L748" s="1799"/>
      <c r="M748" s="1799"/>
      <c r="N748" s="1799"/>
      <c r="O748" s="1799"/>
      <c r="P748" s="1799"/>
      <c r="Q748" s="1799"/>
      <c r="R748" s="1799"/>
      <c r="S748" s="1799"/>
      <c r="T748" s="1799"/>
      <c r="U748" s="1799"/>
      <c r="V748" s="1799"/>
      <c r="W748" s="1799"/>
      <c r="X748" s="1799"/>
      <c r="Y748" s="1799"/>
      <c r="Z748" s="1799"/>
    </row>
    <row r="749">
      <c r="A749" s="1799"/>
      <c r="B749" s="1799"/>
      <c r="C749" s="1799"/>
      <c r="D749" s="1812"/>
      <c r="E749" s="1799"/>
      <c r="F749" s="1813"/>
      <c r="G749" s="1814"/>
      <c r="H749" s="1799"/>
      <c r="I749" s="1799"/>
      <c r="J749" s="1799"/>
      <c r="K749" s="1799"/>
      <c r="L749" s="1799"/>
      <c r="M749" s="1799"/>
      <c r="N749" s="1799"/>
      <c r="O749" s="1799"/>
      <c r="P749" s="1799"/>
      <c r="Q749" s="1799"/>
      <c r="R749" s="1799"/>
      <c r="S749" s="1799"/>
      <c r="T749" s="1799"/>
      <c r="U749" s="1799"/>
      <c r="V749" s="1799"/>
      <c r="W749" s="1799"/>
      <c r="X749" s="1799"/>
      <c r="Y749" s="1799"/>
      <c r="Z749" s="1799"/>
    </row>
    <row r="750">
      <c r="A750" s="1799"/>
      <c r="B750" s="1799"/>
      <c r="C750" s="1799"/>
      <c r="D750" s="1812"/>
      <c r="E750" s="1799"/>
      <c r="F750" s="1813"/>
      <c r="G750" s="1814"/>
      <c r="H750" s="1799"/>
      <c r="I750" s="1799"/>
      <c r="J750" s="1799"/>
      <c r="K750" s="1799"/>
      <c r="L750" s="1799"/>
      <c r="M750" s="1799"/>
      <c r="N750" s="1799"/>
      <c r="O750" s="1799"/>
      <c r="P750" s="1799"/>
      <c r="Q750" s="1799"/>
      <c r="R750" s="1799"/>
      <c r="S750" s="1799"/>
      <c r="T750" s="1799"/>
      <c r="U750" s="1799"/>
      <c r="V750" s="1799"/>
      <c r="W750" s="1799"/>
      <c r="X750" s="1799"/>
      <c r="Y750" s="1799"/>
      <c r="Z750" s="1799"/>
    </row>
    <row r="751">
      <c r="A751" s="1799"/>
      <c r="B751" s="1799"/>
      <c r="C751" s="1799"/>
      <c r="D751" s="1812"/>
      <c r="E751" s="1799"/>
      <c r="F751" s="1813"/>
      <c r="G751" s="1814"/>
      <c r="H751" s="1799"/>
      <c r="I751" s="1799"/>
      <c r="J751" s="1799"/>
      <c r="K751" s="1799"/>
      <c r="L751" s="1799"/>
      <c r="M751" s="1799"/>
      <c r="N751" s="1799"/>
      <c r="O751" s="1799"/>
      <c r="P751" s="1799"/>
      <c r="Q751" s="1799"/>
      <c r="R751" s="1799"/>
      <c r="S751" s="1799"/>
      <c r="T751" s="1799"/>
      <c r="U751" s="1799"/>
      <c r="V751" s="1799"/>
      <c r="W751" s="1799"/>
      <c r="X751" s="1799"/>
      <c r="Y751" s="1799"/>
      <c r="Z751" s="1799"/>
    </row>
    <row r="752">
      <c r="A752" s="1799"/>
      <c r="B752" s="1799"/>
      <c r="C752" s="1799"/>
      <c r="D752" s="1812"/>
      <c r="E752" s="1799"/>
      <c r="F752" s="1813"/>
      <c r="G752" s="1814"/>
      <c r="H752" s="1799"/>
      <c r="I752" s="1799"/>
      <c r="J752" s="1799"/>
      <c r="K752" s="1799"/>
      <c r="L752" s="1799"/>
      <c r="M752" s="1799"/>
      <c r="N752" s="1799"/>
      <c r="O752" s="1799"/>
      <c r="P752" s="1799"/>
      <c r="Q752" s="1799"/>
      <c r="R752" s="1799"/>
      <c r="S752" s="1799"/>
      <c r="T752" s="1799"/>
      <c r="U752" s="1799"/>
      <c r="V752" s="1799"/>
      <c r="W752" s="1799"/>
      <c r="X752" s="1799"/>
      <c r="Y752" s="1799"/>
      <c r="Z752" s="1799"/>
    </row>
    <row r="753">
      <c r="A753" s="1799"/>
      <c r="B753" s="1799"/>
      <c r="C753" s="1799"/>
      <c r="D753" s="1812"/>
      <c r="E753" s="1799"/>
      <c r="F753" s="1813"/>
      <c r="G753" s="1814"/>
      <c r="H753" s="1799"/>
      <c r="I753" s="1799"/>
      <c r="J753" s="1799"/>
      <c r="K753" s="1799"/>
      <c r="L753" s="1799"/>
      <c r="M753" s="1799"/>
      <c r="N753" s="1799"/>
      <c r="O753" s="1799"/>
      <c r="P753" s="1799"/>
      <c r="Q753" s="1799"/>
      <c r="R753" s="1799"/>
      <c r="S753" s="1799"/>
      <c r="T753" s="1799"/>
      <c r="U753" s="1799"/>
      <c r="V753" s="1799"/>
      <c r="W753" s="1799"/>
      <c r="X753" s="1799"/>
      <c r="Y753" s="1799"/>
      <c r="Z753" s="1799"/>
    </row>
    <row r="754">
      <c r="A754" s="1799"/>
      <c r="B754" s="1799"/>
      <c r="C754" s="1799"/>
      <c r="D754" s="1812"/>
      <c r="E754" s="1799"/>
      <c r="F754" s="1813"/>
      <c r="G754" s="1814"/>
      <c r="H754" s="1799"/>
      <c r="I754" s="1799"/>
      <c r="J754" s="1799"/>
      <c r="K754" s="1799"/>
      <c r="L754" s="1799"/>
      <c r="M754" s="1799"/>
      <c r="N754" s="1799"/>
      <c r="O754" s="1799"/>
      <c r="P754" s="1799"/>
      <c r="Q754" s="1799"/>
      <c r="R754" s="1799"/>
      <c r="S754" s="1799"/>
      <c r="T754" s="1799"/>
      <c r="U754" s="1799"/>
      <c r="V754" s="1799"/>
      <c r="W754" s="1799"/>
      <c r="X754" s="1799"/>
      <c r="Y754" s="1799"/>
      <c r="Z754" s="1799"/>
    </row>
    <row r="755">
      <c r="A755" s="1799"/>
      <c r="B755" s="1799"/>
      <c r="C755" s="1799"/>
      <c r="D755" s="1812"/>
      <c r="E755" s="1799"/>
      <c r="F755" s="1813"/>
      <c r="G755" s="1814"/>
      <c r="H755" s="1799"/>
      <c r="I755" s="1799"/>
      <c r="J755" s="1799"/>
      <c r="K755" s="1799"/>
      <c r="L755" s="1799"/>
      <c r="M755" s="1799"/>
      <c r="N755" s="1799"/>
      <c r="O755" s="1799"/>
      <c r="P755" s="1799"/>
      <c r="Q755" s="1799"/>
      <c r="R755" s="1799"/>
      <c r="S755" s="1799"/>
      <c r="T755" s="1799"/>
      <c r="U755" s="1799"/>
      <c r="V755" s="1799"/>
      <c r="W755" s="1799"/>
      <c r="X755" s="1799"/>
      <c r="Y755" s="1799"/>
      <c r="Z755" s="1799"/>
    </row>
    <row r="756">
      <c r="A756" s="1799"/>
      <c r="B756" s="1799"/>
      <c r="C756" s="1799"/>
      <c r="D756" s="1812"/>
      <c r="E756" s="1799"/>
      <c r="F756" s="1813"/>
      <c r="G756" s="1814"/>
      <c r="H756" s="1799"/>
      <c r="I756" s="1799"/>
      <c r="J756" s="1799"/>
      <c r="K756" s="1799"/>
      <c r="L756" s="1799"/>
      <c r="M756" s="1799"/>
      <c r="N756" s="1799"/>
      <c r="O756" s="1799"/>
      <c r="P756" s="1799"/>
      <c r="Q756" s="1799"/>
      <c r="R756" s="1799"/>
      <c r="S756" s="1799"/>
      <c r="T756" s="1799"/>
      <c r="U756" s="1799"/>
      <c r="V756" s="1799"/>
      <c r="W756" s="1799"/>
      <c r="X756" s="1799"/>
      <c r="Y756" s="1799"/>
      <c r="Z756" s="1799"/>
    </row>
    <row r="757">
      <c r="A757" s="1799"/>
      <c r="B757" s="1799"/>
      <c r="C757" s="1799"/>
      <c r="D757" s="1812"/>
      <c r="E757" s="1799"/>
      <c r="F757" s="1813"/>
      <c r="G757" s="1814"/>
      <c r="H757" s="1799"/>
      <c r="I757" s="1799"/>
      <c r="J757" s="1799"/>
      <c r="K757" s="1799"/>
      <c r="L757" s="1799"/>
      <c r="M757" s="1799"/>
      <c r="N757" s="1799"/>
      <c r="O757" s="1799"/>
      <c r="P757" s="1799"/>
      <c r="Q757" s="1799"/>
      <c r="R757" s="1799"/>
      <c r="S757" s="1799"/>
      <c r="T757" s="1799"/>
      <c r="U757" s="1799"/>
      <c r="V757" s="1799"/>
      <c r="W757" s="1799"/>
      <c r="X757" s="1799"/>
      <c r="Y757" s="1799"/>
      <c r="Z757" s="1799"/>
    </row>
    <row r="758">
      <c r="A758" s="1799"/>
      <c r="B758" s="1799"/>
      <c r="C758" s="1799"/>
      <c r="D758" s="1812"/>
      <c r="E758" s="1799"/>
      <c r="F758" s="1813"/>
      <c r="G758" s="1814"/>
      <c r="H758" s="1799"/>
      <c r="I758" s="1799"/>
      <c r="J758" s="1799"/>
      <c r="K758" s="1799"/>
      <c r="L758" s="1799"/>
      <c r="M758" s="1799"/>
      <c r="N758" s="1799"/>
      <c r="O758" s="1799"/>
      <c r="P758" s="1799"/>
      <c r="Q758" s="1799"/>
      <c r="R758" s="1799"/>
      <c r="S758" s="1799"/>
      <c r="T758" s="1799"/>
      <c r="U758" s="1799"/>
      <c r="V758" s="1799"/>
      <c r="W758" s="1799"/>
      <c r="X758" s="1799"/>
      <c r="Y758" s="1799"/>
      <c r="Z758" s="1799"/>
    </row>
    <row r="759">
      <c r="A759" s="1799"/>
      <c r="B759" s="1799"/>
      <c r="C759" s="1799"/>
      <c r="D759" s="1812"/>
      <c r="E759" s="1799"/>
      <c r="F759" s="1813"/>
      <c r="G759" s="1814"/>
      <c r="H759" s="1799"/>
      <c r="I759" s="1799"/>
      <c r="J759" s="1799"/>
      <c r="K759" s="1799"/>
      <c r="L759" s="1799"/>
      <c r="M759" s="1799"/>
      <c r="N759" s="1799"/>
      <c r="O759" s="1799"/>
      <c r="P759" s="1799"/>
      <c r="Q759" s="1799"/>
      <c r="R759" s="1799"/>
      <c r="S759" s="1799"/>
      <c r="T759" s="1799"/>
      <c r="U759" s="1799"/>
      <c r="V759" s="1799"/>
      <c r="W759" s="1799"/>
      <c r="X759" s="1799"/>
      <c r="Y759" s="1799"/>
      <c r="Z759" s="1799"/>
    </row>
    <row r="760">
      <c r="A760" s="1799"/>
      <c r="B760" s="1799"/>
      <c r="C760" s="1799"/>
      <c r="D760" s="1812"/>
      <c r="E760" s="1799"/>
      <c r="F760" s="1813"/>
      <c r="G760" s="1814"/>
      <c r="H760" s="1799"/>
      <c r="I760" s="1799"/>
      <c r="J760" s="1799"/>
      <c r="K760" s="1799"/>
      <c r="L760" s="1799"/>
      <c r="M760" s="1799"/>
      <c r="N760" s="1799"/>
      <c r="O760" s="1799"/>
      <c r="P760" s="1799"/>
      <c r="Q760" s="1799"/>
      <c r="R760" s="1799"/>
      <c r="S760" s="1799"/>
      <c r="T760" s="1799"/>
      <c r="U760" s="1799"/>
      <c r="V760" s="1799"/>
      <c r="W760" s="1799"/>
      <c r="X760" s="1799"/>
      <c r="Y760" s="1799"/>
      <c r="Z760" s="1799"/>
    </row>
    <row r="761">
      <c r="A761" s="1799"/>
      <c r="B761" s="1799"/>
      <c r="C761" s="1799"/>
      <c r="D761" s="1812"/>
      <c r="E761" s="1799"/>
      <c r="F761" s="1813"/>
      <c r="G761" s="1814"/>
      <c r="H761" s="1799"/>
      <c r="I761" s="1799"/>
      <c r="J761" s="1799"/>
      <c r="K761" s="1799"/>
      <c r="L761" s="1799"/>
      <c r="M761" s="1799"/>
      <c r="N761" s="1799"/>
      <c r="O761" s="1799"/>
      <c r="P761" s="1799"/>
      <c r="Q761" s="1799"/>
      <c r="R761" s="1799"/>
      <c r="S761" s="1799"/>
      <c r="T761" s="1799"/>
      <c r="U761" s="1799"/>
      <c r="V761" s="1799"/>
      <c r="W761" s="1799"/>
      <c r="X761" s="1799"/>
      <c r="Y761" s="1799"/>
      <c r="Z761" s="1799"/>
    </row>
    <row r="762">
      <c r="A762" s="1799"/>
      <c r="B762" s="1799"/>
      <c r="C762" s="1799"/>
      <c r="D762" s="1812"/>
      <c r="E762" s="1799"/>
      <c r="F762" s="1813"/>
      <c r="G762" s="1814"/>
      <c r="H762" s="1799"/>
      <c r="I762" s="1799"/>
      <c r="J762" s="1799"/>
      <c r="K762" s="1799"/>
      <c r="L762" s="1799"/>
      <c r="M762" s="1799"/>
      <c r="N762" s="1799"/>
      <c r="O762" s="1799"/>
      <c r="P762" s="1799"/>
      <c r="Q762" s="1799"/>
      <c r="R762" s="1799"/>
      <c r="S762" s="1799"/>
      <c r="T762" s="1799"/>
      <c r="U762" s="1799"/>
      <c r="V762" s="1799"/>
      <c r="W762" s="1799"/>
      <c r="X762" s="1799"/>
      <c r="Y762" s="1799"/>
      <c r="Z762" s="1799"/>
    </row>
    <row r="763">
      <c r="A763" s="1799"/>
      <c r="B763" s="1799"/>
      <c r="C763" s="1799"/>
      <c r="D763" s="1812"/>
      <c r="E763" s="1799"/>
      <c r="F763" s="1813"/>
      <c r="G763" s="1814"/>
      <c r="H763" s="1799"/>
      <c r="I763" s="1799"/>
      <c r="J763" s="1799"/>
      <c r="K763" s="1799"/>
      <c r="L763" s="1799"/>
      <c r="M763" s="1799"/>
      <c r="N763" s="1799"/>
      <c r="O763" s="1799"/>
      <c r="P763" s="1799"/>
      <c r="Q763" s="1799"/>
      <c r="R763" s="1799"/>
      <c r="S763" s="1799"/>
      <c r="T763" s="1799"/>
      <c r="U763" s="1799"/>
      <c r="V763" s="1799"/>
      <c r="W763" s="1799"/>
      <c r="X763" s="1799"/>
      <c r="Y763" s="1799"/>
      <c r="Z763" s="1799"/>
    </row>
    <row r="764">
      <c r="A764" s="1799"/>
      <c r="B764" s="1799"/>
      <c r="C764" s="1799"/>
      <c r="D764" s="1812"/>
      <c r="E764" s="1799"/>
      <c r="F764" s="1813"/>
      <c r="G764" s="1814"/>
      <c r="H764" s="1799"/>
      <c r="I764" s="1799"/>
      <c r="J764" s="1799"/>
      <c r="K764" s="1799"/>
      <c r="L764" s="1799"/>
      <c r="M764" s="1799"/>
      <c r="N764" s="1799"/>
      <c r="O764" s="1799"/>
      <c r="P764" s="1799"/>
      <c r="Q764" s="1799"/>
      <c r="R764" s="1799"/>
      <c r="S764" s="1799"/>
      <c r="T764" s="1799"/>
      <c r="U764" s="1799"/>
      <c r="V764" s="1799"/>
      <c r="W764" s="1799"/>
      <c r="X764" s="1799"/>
      <c r="Y764" s="1799"/>
      <c r="Z764" s="1799"/>
    </row>
    <row r="765">
      <c r="A765" s="1799"/>
      <c r="B765" s="1799"/>
      <c r="C765" s="1799"/>
      <c r="D765" s="1812"/>
      <c r="E765" s="1799"/>
      <c r="F765" s="1813"/>
      <c r="G765" s="1814"/>
      <c r="H765" s="1799"/>
      <c r="I765" s="1799"/>
      <c r="J765" s="1799"/>
      <c r="K765" s="1799"/>
      <c r="L765" s="1799"/>
      <c r="M765" s="1799"/>
      <c r="N765" s="1799"/>
      <c r="O765" s="1799"/>
      <c r="P765" s="1799"/>
      <c r="Q765" s="1799"/>
      <c r="R765" s="1799"/>
      <c r="S765" s="1799"/>
      <c r="T765" s="1799"/>
      <c r="U765" s="1799"/>
      <c r="V765" s="1799"/>
      <c r="W765" s="1799"/>
      <c r="X765" s="1799"/>
      <c r="Y765" s="1799"/>
      <c r="Z765" s="1799"/>
    </row>
    <row r="766">
      <c r="A766" s="1799"/>
      <c r="B766" s="1799"/>
      <c r="C766" s="1799"/>
      <c r="D766" s="1812"/>
      <c r="E766" s="1799"/>
      <c r="F766" s="1813"/>
      <c r="G766" s="1814"/>
      <c r="H766" s="1799"/>
      <c r="I766" s="1799"/>
      <c r="J766" s="1799"/>
      <c r="K766" s="1799"/>
      <c r="L766" s="1799"/>
      <c r="M766" s="1799"/>
      <c r="N766" s="1799"/>
      <c r="O766" s="1799"/>
      <c r="P766" s="1799"/>
      <c r="Q766" s="1799"/>
      <c r="R766" s="1799"/>
      <c r="S766" s="1799"/>
      <c r="T766" s="1799"/>
      <c r="U766" s="1799"/>
      <c r="V766" s="1799"/>
      <c r="W766" s="1799"/>
      <c r="X766" s="1799"/>
      <c r="Y766" s="1799"/>
      <c r="Z766" s="1799"/>
    </row>
    <row r="767">
      <c r="A767" s="1799"/>
      <c r="B767" s="1799"/>
      <c r="C767" s="1799"/>
      <c r="D767" s="1812"/>
      <c r="E767" s="1799"/>
      <c r="F767" s="1813"/>
      <c r="G767" s="1814"/>
      <c r="H767" s="1799"/>
      <c r="I767" s="1799"/>
      <c r="J767" s="1799"/>
      <c r="K767" s="1799"/>
      <c r="L767" s="1799"/>
      <c r="M767" s="1799"/>
      <c r="N767" s="1799"/>
      <c r="O767" s="1799"/>
      <c r="P767" s="1799"/>
      <c r="Q767" s="1799"/>
      <c r="R767" s="1799"/>
      <c r="S767" s="1799"/>
      <c r="T767" s="1799"/>
      <c r="U767" s="1799"/>
      <c r="V767" s="1799"/>
      <c r="W767" s="1799"/>
      <c r="X767" s="1799"/>
      <c r="Y767" s="1799"/>
      <c r="Z767" s="1799"/>
    </row>
    <row r="768">
      <c r="A768" s="1799"/>
      <c r="B768" s="1799"/>
      <c r="C768" s="1799"/>
      <c r="D768" s="1812"/>
      <c r="E768" s="1799"/>
      <c r="F768" s="1813"/>
      <c r="G768" s="1814"/>
      <c r="H768" s="1799"/>
      <c r="I768" s="1799"/>
      <c r="J768" s="1799"/>
      <c r="K768" s="1799"/>
      <c r="L768" s="1799"/>
      <c r="M768" s="1799"/>
      <c r="N768" s="1799"/>
      <c r="O768" s="1799"/>
      <c r="P768" s="1799"/>
      <c r="Q768" s="1799"/>
      <c r="R768" s="1799"/>
      <c r="S768" s="1799"/>
      <c r="T768" s="1799"/>
      <c r="U768" s="1799"/>
      <c r="V768" s="1799"/>
      <c r="W768" s="1799"/>
      <c r="X768" s="1799"/>
      <c r="Y768" s="1799"/>
      <c r="Z768" s="1799"/>
    </row>
    <row r="769">
      <c r="A769" s="1799"/>
      <c r="B769" s="1799"/>
      <c r="C769" s="1799"/>
      <c r="D769" s="1812"/>
      <c r="E769" s="1799"/>
      <c r="F769" s="1813"/>
      <c r="G769" s="1814"/>
      <c r="H769" s="1799"/>
      <c r="I769" s="1799"/>
      <c r="J769" s="1799"/>
      <c r="K769" s="1799"/>
      <c r="L769" s="1799"/>
      <c r="M769" s="1799"/>
      <c r="N769" s="1799"/>
      <c r="O769" s="1799"/>
      <c r="P769" s="1799"/>
      <c r="Q769" s="1799"/>
      <c r="R769" s="1799"/>
      <c r="S769" s="1799"/>
      <c r="T769" s="1799"/>
      <c r="U769" s="1799"/>
      <c r="V769" s="1799"/>
      <c r="W769" s="1799"/>
      <c r="X769" s="1799"/>
      <c r="Y769" s="1799"/>
      <c r="Z769" s="1799"/>
    </row>
    <row r="770">
      <c r="A770" s="1799"/>
      <c r="B770" s="1799"/>
      <c r="C770" s="1799"/>
      <c r="D770" s="1812"/>
      <c r="E770" s="1799"/>
      <c r="F770" s="1813"/>
      <c r="G770" s="1814"/>
      <c r="H770" s="1799"/>
      <c r="I770" s="1799"/>
      <c r="J770" s="1799"/>
      <c r="K770" s="1799"/>
      <c r="L770" s="1799"/>
      <c r="M770" s="1799"/>
      <c r="N770" s="1799"/>
      <c r="O770" s="1799"/>
      <c r="P770" s="1799"/>
      <c r="Q770" s="1799"/>
      <c r="R770" s="1799"/>
      <c r="S770" s="1799"/>
      <c r="T770" s="1799"/>
      <c r="U770" s="1799"/>
      <c r="V770" s="1799"/>
      <c r="W770" s="1799"/>
      <c r="X770" s="1799"/>
      <c r="Y770" s="1799"/>
      <c r="Z770" s="1799"/>
    </row>
    <row r="771">
      <c r="A771" s="1799"/>
      <c r="B771" s="1799"/>
      <c r="C771" s="1799"/>
      <c r="D771" s="1812"/>
      <c r="E771" s="1799"/>
      <c r="F771" s="1813"/>
      <c r="G771" s="1814"/>
      <c r="H771" s="1799"/>
      <c r="I771" s="1799"/>
      <c r="J771" s="1799"/>
      <c r="K771" s="1799"/>
      <c r="L771" s="1799"/>
      <c r="M771" s="1799"/>
      <c r="N771" s="1799"/>
      <c r="O771" s="1799"/>
      <c r="P771" s="1799"/>
      <c r="Q771" s="1799"/>
      <c r="R771" s="1799"/>
      <c r="S771" s="1799"/>
      <c r="T771" s="1799"/>
      <c r="U771" s="1799"/>
      <c r="V771" s="1799"/>
      <c r="W771" s="1799"/>
      <c r="X771" s="1799"/>
      <c r="Y771" s="1799"/>
      <c r="Z771" s="1799"/>
    </row>
    <row r="772">
      <c r="A772" s="1799"/>
      <c r="B772" s="1799"/>
      <c r="C772" s="1799"/>
      <c r="D772" s="1812"/>
      <c r="E772" s="1799"/>
      <c r="F772" s="1813"/>
      <c r="G772" s="1814"/>
      <c r="H772" s="1799"/>
      <c r="I772" s="1799"/>
      <c r="J772" s="1799"/>
      <c r="K772" s="1799"/>
      <c r="L772" s="1799"/>
      <c r="M772" s="1799"/>
      <c r="N772" s="1799"/>
      <c r="O772" s="1799"/>
      <c r="P772" s="1799"/>
      <c r="Q772" s="1799"/>
      <c r="R772" s="1799"/>
      <c r="S772" s="1799"/>
      <c r="T772" s="1799"/>
      <c r="U772" s="1799"/>
      <c r="V772" s="1799"/>
      <c r="W772" s="1799"/>
      <c r="X772" s="1799"/>
      <c r="Y772" s="1799"/>
      <c r="Z772" s="1799"/>
    </row>
    <row r="773">
      <c r="A773" s="1799"/>
      <c r="B773" s="1799"/>
      <c r="C773" s="1799"/>
      <c r="D773" s="1812"/>
      <c r="E773" s="1799"/>
      <c r="F773" s="1813"/>
      <c r="G773" s="1814"/>
      <c r="H773" s="1799"/>
      <c r="I773" s="1799"/>
      <c r="J773" s="1799"/>
      <c r="K773" s="1799"/>
      <c r="L773" s="1799"/>
      <c r="M773" s="1799"/>
      <c r="N773" s="1799"/>
      <c r="O773" s="1799"/>
      <c r="P773" s="1799"/>
      <c r="Q773" s="1799"/>
      <c r="R773" s="1799"/>
      <c r="S773" s="1799"/>
      <c r="T773" s="1799"/>
      <c r="U773" s="1799"/>
      <c r="V773" s="1799"/>
      <c r="W773" s="1799"/>
      <c r="X773" s="1799"/>
      <c r="Y773" s="1799"/>
      <c r="Z773" s="1799"/>
    </row>
    <row r="774">
      <c r="A774" s="1799"/>
      <c r="B774" s="1799"/>
      <c r="C774" s="1799"/>
      <c r="D774" s="1812"/>
      <c r="E774" s="1799"/>
      <c r="F774" s="1813"/>
      <c r="G774" s="1814"/>
      <c r="H774" s="1799"/>
      <c r="I774" s="1799"/>
      <c r="J774" s="1799"/>
      <c r="K774" s="1799"/>
      <c r="L774" s="1799"/>
      <c r="M774" s="1799"/>
      <c r="N774" s="1799"/>
      <c r="O774" s="1799"/>
      <c r="P774" s="1799"/>
      <c r="Q774" s="1799"/>
      <c r="R774" s="1799"/>
      <c r="S774" s="1799"/>
      <c r="T774" s="1799"/>
      <c r="U774" s="1799"/>
      <c r="V774" s="1799"/>
      <c r="W774" s="1799"/>
      <c r="X774" s="1799"/>
      <c r="Y774" s="1799"/>
      <c r="Z774" s="1799"/>
    </row>
    <row r="775">
      <c r="A775" s="1799"/>
      <c r="B775" s="1799"/>
      <c r="C775" s="1799"/>
      <c r="D775" s="1812"/>
      <c r="E775" s="1799"/>
      <c r="F775" s="1813"/>
      <c r="G775" s="1814"/>
      <c r="H775" s="1799"/>
      <c r="I775" s="1799"/>
      <c r="J775" s="1799"/>
      <c r="K775" s="1799"/>
      <c r="L775" s="1799"/>
      <c r="M775" s="1799"/>
      <c r="N775" s="1799"/>
      <c r="O775" s="1799"/>
      <c r="P775" s="1799"/>
      <c r="Q775" s="1799"/>
      <c r="R775" s="1799"/>
      <c r="S775" s="1799"/>
      <c r="T775" s="1799"/>
      <c r="U775" s="1799"/>
      <c r="V775" s="1799"/>
      <c r="W775" s="1799"/>
      <c r="X775" s="1799"/>
      <c r="Y775" s="1799"/>
      <c r="Z775" s="1799"/>
    </row>
    <row r="776">
      <c r="A776" s="1799"/>
      <c r="B776" s="1799"/>
      <c r="C776" s="1799"/>
      <c r="D776" s="1812"/>
      <c r="E776" s="1799"/>
      <c r="F776" s="1813"/>
      <c r="G776" s="1814"/>
      <c r="H776" s="1799"/>
      <c r="I776" s="1799"/>
      <c r="J776" s="1799"/>
      <c r="K776" s="1799"/>
      <c r="L776" s="1799"/>
      <c r="M776" s="1799"/>
      <c r="N776" s="1799"/>
      <c r="O776" s="1799"/>
      <c r="P776" s="1799"/>
      <c r="Q776" s="1799"/>
      <c r="R776" s="1799"/>
      <c r="S776" s="1799"/>
      <c r="T776" s="1799"/>
      <c r="U776" s="1799"/>
      <c r="V776" s="1799"/>
      <c r="W776" s="1799"/>
      <c r="X776" s="1799"/>
      <c r="Y776" s="1799"/>
      <c r="Z776" s="1799"/>
    </row>
    <row r="777">
      <c r="A777" s="1799"/>
      <c r="B777" s="1799"/>
      <c r="C777" s="1799"/>
      <c r="D777" s="1812"/>
      <c r="E777" s="1799"/>
      <c r="F777" s="1813"/>
      <c r="G777" s="1814"/>
      <c r="H777" s="1799"/>
      <c r="I777" s="1799"/>
      <c r="J777" s="1799"/>
      <c r="K777" s="1799"/>
      <c r="L777" s="1799"/>
      <c r="M777" s="1799"/>
      <c r="N777" s="1799"/>
      <c r="O777" s="1799"/>
      <c r="P777" s="1799"/>
      <c r="Q777" s="1799"/>
      <c r="R777" s="1799"/>
      <c r="S777" s="1799"/>
      <c r="T777" s="1799"/>
      <c r="U777" s="1799"/>
      <c r="V777" s="1799"/>
      <c r="W777" s="1799"/>
      <c r="X777" s="1799"/>
      <c r="Y777" s="1799"/>
      <c r="Z777" s="1799"/>
    </row>
    <row r="778">
      <c r="A778" s="1799"/>
      <c r="B778" s="1799"/>
      <c r="C778" s="1799"/>
      <c r="D778" s="1812"/>
      <c r="E778" s="1799"/>
      <c r="F778" s="1813"/>
      <c r="G778" s="1814"/>
      <c r="H778" s="1799"/>
      <c r="I778" s="1799"/>
      <c r="J778" s="1799"/>
      <c r="K778" s="1799"/>
      <c r="L778" s="1799"/>
      <c r="M778" s="1799"/>
      <c r="N778" s="1799"/>
      <c r="O778" s="1799"/>
      <c r="P778" s="1799"/>
      <c r="Q778" s="1799"/>
      <c r="R778" s="1799"/>
      <c r="S778" s="1799"/>
      <c r="T778" s="1799"/>
      <c r="U778" s="1799"/>
      <c r="V778" s="1799"/>
      <c r="W778" s="1799"/>
      <c r="X778" s="1799"/>
      <c r="Y778" s="1799"/>
      <c r="Z778" s="1799"/>
    </row>
    <row r="779">
      <c r="A779" s="1799"/>
      <c r="B779" s="1799"/>
      <c r="C779" s="1799"/>
      <c r="D779" s="1812"/>
      <c r="E779" s="1799"/>
      <c r="F779" s="1813"/>
      <c r="G779" s="1814"/>
      <c r="H779" s="1799"/>
      <c r="I779" s="1799"/>
      <c r="J779" s="1799"/>
      <c r="K779" s="1799"/>
      <c r="L779" s="1799"/>
      <c r="M779" s="1799"/>
      <c r="N779" s="1799"/>
      <c r="O779" s="1799"/>
      <c r="P779" s="1799"/>
      <c r="Q779" s="1799"/>
      <c r="R779" s="1799"/>
      <c r="S779" s="1799"/>
      <c r="T779" s="1799"/>
      <c r="U779" s="1799"/>
      <c r="V779" s="1799"/>
      <c r="W779" s="1799"/>
      <c r="X779" s="1799"/>
      <c r="Y779" s="1799"/>
      <c r="Z779" s="1799"/>
    </row>
    <row r="780">
      <c r="A780" s="1799"/>
      <c r="B780" s="1799"/>
      <c r="C780" s="1799"/>
      <c r="D780" s="1812"/>
      <c r="E780" s="1799"/>
      <c r="F780" s="1813"/>
      <c r="G780" s="1814"/>
      <c r="H780" s="1799"/>
      <c r="I780" s="1799"/>
      <c r="J780" s="1799"/>
      <c r="K780" s="1799"/>
      <c r="L780" s="1799"/>
      <c r="M780" s="1799"/>
      <c r="N780" s="1799"/>
      <c r="O780" s="1799"/>
      <c r="P780" s="1799"/>
      <c r="Q780" s="1799"/>
      <c r="R780" s="1799"/>
      <c r="S780" s="1799"/>
      <c r="T780" s="1799"/>
      <c r="U780" s="1799"/>
      <c r="V780" s="1799"/>
      <c r="W780" s="1799"/>
      <c r="X780" s="1799"/>
      <c r="Y780" s="1799"/>
      <c r="Z780" s="1799"/>
    </row>
    <row r="781">
      <c r="A781" s="1799"/>
      <c r="B781" s="1799"/>
      <c r="C781" s="1799"/>
      <c r="D781" s="1812"/>
      <c r="E781" s="1799"/>
      <c r="F781" s="1813"/>
      <c r="G781" s="1814"/>
      <c r="H781" s="1799"/>
      <c r="I781" s="1799"/>
      <c r="J781" s="1799"/>
      <c r="K781" s="1799"/>
      <c r="L781" s="1799"/>
      <c r="M781" s="1799"/>
      <c r="N781" s="1799"/>
      <c r="O781" s="1799"/>
      <c r="P781" s="1799"/>
      <c r="Q781" s="1799"/>
      <c r="R781" s="1799"/>
      <c r="S781" s="1799"/>
      <c r="T781" s="1799"/>
      <c r="U781" s="1799"/>
      <c r="V781" s="1799"/>
      <c r="W781" s="1799"/>
      <c r="X781" s="1799"/>
      <c r="Y781" s="1799"/>
      <c r="Z781" s="1799"/>
    </row>
    <row r="782">
      <c r="A782" s="1799"/>
      <c r="B782" s="1799"/>
      <c r="C782" s="1799"/>
      <c r="D782" s="1812"/>
      <c r="E782" s="1799"/>
      <c r="F782" s="1813"/>
      <c r="G782" s="1814"/>
      <c r="H782" s="1799"/>
      <c r="I782" s="1799"/>
      <c r="J782" s="1799"/>
      <c r="K782" s="1799"/>
      <c r="L782" s="1799"/>
      <c r="M782" s="1799"/>
      <c r="N782" s="1799"/>
      <c r="O782" s="1799"/>
      <c r="P782" s="1799"/>
      <c r="Q782" s="1799"/>
      <c r="R782" s="1799"/>
      <c r="S782" s="1799"/>
      <c r="T782" s="1799"/>
      <c r="U782" s="1799"/>
      <c r="V782" s="1799"/>
      <c r="W782" s="1799"/>
      <c r="X782" s="1799"/>
      <c r="Y782" s="1799"/>
      <c r="Z782" s="1799"/>
    </row>
    <row r="783">
      <c r="A783" s="1799"/>
      <c r="B783" s="1799"/>
      <c r="C783" s="1799"/>
      <c r="D783" s="1812"/>
      <c r="E783" s="1799"/>
      <c r="F783" s="1813"/>
      <c r="G783" s="1814"/>
      <c r="H783" s="1799"/>
      <c r="I783" s="1799"/>
      <c r="J783" s="1799"/>
      <c r="K783" s="1799"/>
      <c r="L783" s="1799"/>
      <c r="M783" s="1799"/>
      <c r="N783" s="1799"/>
      <c r="O783" s="1799"/>
      <c r="P783" s="1799"/>
      <c r="Q783" s="1799"/>
      <c r="R783" s="1799"/>
      <c r="S783" s="1799"/>
      <c r="T783" s="1799"/>
      <c r="U783" s="1799"/>
      <c r="V783" s="1799"/>
      <c r="W783" s="1799"/>
      <c r="X783" s="1799"/>
      <c r="Y783" s="1799"/>
      <c r="Z783" s="1799"/>
    </row>
    <row r="784">
      <c r="A784" s="1799"/>
      <c r="B784" s="1799"/>
      <c r="C784" s="1799"/>
      <c r="D784" s="1812"/>
      <c r="E784" s="1799"/>
      <c r="F784" s="1813"/>
      <c r="G784" s="1814"/>
      <c r="H784" s="1799"/>
      <c r="I784" s="1799"/>
      <c r="J784" s="1799"/>
      <c r="K784" s="1799"/>
      <c r="L784" s="1799"/>
      <c r="M784" s="1799"/>
      <c r="N784" s="1799"/>
      <c r="O784" s="1799"/>
      <c r="P784" s="1799"/>
      <c r="Q784" s="1799"/>
      <c r="R784" s="1799"/>
      <c r="S784" s="1799"/>
      <c r="T784" s="1799"/>
      <c r="U784" s="1799"/>
      <c r="V784" s="1799"/>
      <c r="W784" s="1799"/>
      <c r="X784" s="1799"/>
      <c r="Y784" s="1799"/>
      <c r="Z784" s="1799"/>
    </row>
    <row r="785">
      <c r="A785" s="1799"/>
      <c r="B785" s="1799"/>
      <c r="C785" s="1799"/>
      <c r="D785" s="1812"/>
      <c r="E785" s="1799"/>
      <c r="F785" s="1813"/>
      <c r="G785" s="1814"/>
      <c r="H785" s="1799"/>
      <c r="I785" s="1799"/>
      <c r="J785" s="1799"/>
      <c r="K785" s="1799"/>
      <c r="L785" s="1799"/>
      <c r="M785" s="1799"/>
      <c r="N785" s="1799"/>
      <c r="O785" s="1799"/>
      <c r="P785" s="1799"/>
      <c r="Q785" s="1799"/>
      <c r="R785" s="1799"/>
      <c r="S785" s="1799"/>
      <c r="T785" s="1799"/>
      <c r="U785" s="1799"/>
      <c r="V785" s="1799"/>
      <c r="W785" s="1799"/>
      <c r="X785" s="1799"/>
      <c r="Y785" s="1799"/>
      <c r="Z785" s="1799"/>
    </row>
    <row r="786">
      <c r="A786" s="1799"/>
      <c r="B786" s="1799"/>
      <c r="C786" s="1799"/>
      <c r="D786" s="1812"/>
      <c r="E786" s="1799"/>
      <c r="F786" s="1813"/>
      <c r="G786" s="1814"/>
      <c r="H786" s="1799"/>
      <c r="I786" s="1799"/>
      <c r="J786" s="1799"/>
      <c r="K786" s="1799"/>
      <c r="L786" s="1799"/>
      <c r="M786" s="1799"/>
      <c r="N786" s="1799"/>
      <c r="O786" s="1799"/>
      <c r="P786" s="1799"/>
      <c r="Q786" s="1799"/>
      <c r="R786" s="1799"/>
      <c r="S786" s="1799"/>
      <c r="T786" s="1799"/>
      <c r="U786" s="1799"/>
      <c r="V786" s="1799"/>
      <c r="W786" s="1799"/>
      <c r="X786" s="1799"/>
      <c r="Y786" s="1799"/>
      <c r="Z786" s="1799"/>
    </row>
    <row r="787">
      <c r="A787" s="1799"/>
      <c r="B787" s="1799"/>
      <c r="C787" s="1799"/>
      <c r="D787" s="1812"/>
      <c r="E787" s="1799"/>
      <c r="F787" s="1813"/>
      <c r="G787" s="1814"/>
      <c r="H787" s="1799"/>
      <c r="I787" s="1799"/>
      <c r="J787" s="1799"/>
      <c r="K787" s="1799"/>
      <c r="L787" s="1799"/>
      <c r="M787" s="1799"/>
      <c r="N787" s="1799"/>
      <c r="O787" s="1799"/>
      <c r="P787" s="1799"/>
      <c r="Q787" s="1799"/>
      <c r="R787" s="1799"/>
      <c r="S787" s="1799"/>
      <c r="T787" s="1799"/>
      <c r="U787" s="1799"/>
      <c r="V787" s="1799"/>
      <c r="W787" s="1799"/>
      <c r="X787" s="1799"/>
      <c r="Y787" s="1799"/>
      <c r="Z787" s="1799"/>
    </row>
    <row r="788">
      <c r="A788" s="1799"/>
      <c r="B788" s="1799"/>
      <c r="C788" s="1799"/>
      <c r="D788" s="1812"/>
      <c r="E788" s="1799"/>
      <c r="F788" s="1813"/>
      <c r="G788" s="1814"/>
      <c r="H788" s="1799"/>
      <c r="I788" s="1799"/>
      <c r="J788" s="1799"/>
      <c r="K788" s="1799"/>
      <c r="L788" s="1799"/>
      <c r="M788" s="1799"/>
      <c r="N788" s="1799"/>
      <c r="O788" s="1799"/>
      <c r="P788" s="1799"/>
      <c r="Q788" s="1799"/>
      <c r="R788" s="1799"/>
      <c r="S788" s="1799"/>
      <c r="T788" s="1799"/>
      <c r="U788" s="1799"/>
      <c r="V788" s="1799"/>
      <c r="W788" s="1799"/>
      <c r="X788" s="1799"/>
      <c r="Y788" s="1799"/>
      <c r="Z788" s="1799"/>
    </row>
    <row r="789">
      <c r="A789" s="1799"/>
      <c r="B789" s="1799"/>
      <c r="C789" s="1799"/>
      <c r="D789" s="1812"/>
      <c r="E789" s="1799"/>
      <c r="F789" s="1813"/>
      <c r="G789" s="1814"/>
      <c r="H789" s="1799"/>
      <c r="I789" s="1799"/>
      <c r="J789" s="1799"/>
      <c r="K789" s="1799"/>
      <c r="L789" s="1799"/>
      <c r="M789" s="1799"/>
      <c r="N789" s="1799"/>
      <c r="O789" s="1799"/>
      <c r="P789" s="1799"/>
      <c r="Q789" s="1799"/>
      <c r="R789" s="1799"/>
      <c r="S789" s="1799"/>
      <c r="T789" s="1799"/>
      <c r="U789" s="1799"/>
      <c r="V789" s="1799"/>
      <c r="W789" s="1799"/>
      <c r="X789" s="1799"/>
      <c r="Y789" s="1799"/>
      <c r="Z789" s="1799"/>
    </row>
    <row r="790">
      <c r="A790" s="1799"/>
      <c r="B790" s="1799"/>
      <c r="C790" s="1799"/>
      <c r="D790" s="1812"/>
      <c r="E790" s="1799"/>
      <c r="F790" s="1813"/>
      <c r="G790" s="1814"/>
      <c r="H790" s="1799"/>
      <c r="I790" s="1799"/>
      <c r="J790" s="1799"/>
      <c r="K790" s="1799"/>
      <c r="L790" s="1799"/>
      <c r="M790" s="1799"/>
      <c r="N790" s="1799"/>
      <c r="O790" s="1799"/>
      <c r="P790" s="1799"/>
      <c r="Q790" s="1799"/>
      <c r="R790" s="1799"/>
      <c r="S790" s="1799"/>
      <c r="T790" s="1799"/>
      <c r="U790" s="1799"/>
      <c r="V790" s="1799"/>
      <c r="W790" s="1799"/>
      <c r="X790" s="1799"/>
      <c r="Y790" s="1799"/>
      <c r="Z790" s="1799"/>
    </row>
    <row r="791">
      <c r="A791" s="1799"/>
      <c r="B791" s="1799"/>
      <c r="C791" s="1799"/>
      <c r="D791" s="1812"/>
      <c r="E791" s="1799"/>
      <c r="F791" s="1813"/>
      <c r="G791" s="1814"/>
      <c r="H791" s="1799"/>
      <c r="I791" s="1799"/>
      <c r="J791" s="1799"/>
      <c r="K791" s="1799"/>
      <c r="L791" s="1799"/>
      <c r="M791" s="1799"/>
      <c r="N791" s="1799"/>
      <c r="O791" s="1799"/>
      <c r="P791" s="1799"/>
      <c r="Q791" s="1799"/>
      <c r="R791" s="1799"/>
      <c r="S791" s="1799"/>
      <c r="T791" s="1799"/>
      <c r="U791" s="1799"/>
      <c r="V791" s="1799"/>
      <c r="W791" s="1799"/>
      <c r="X791" s="1799"/>
      <c r="Y791" s="1799"/>
      <c r="Z791" s="1799"/>
    </row>
    <row r="792">
      <c r="A792" s="1799"/>
      <c r="B792" s="1799"/>
      <c r="C792" s="1799"/>
      <c r="D792" s="1812"/>
      <c r="E792" s="1799"/>
      <c r="F792" s="1813"/>
      <c r="G792" s="1814"/>
      <c r="H792" s="1799"/>
      <c r="I792" s="1799"/>
      <c r="J792" s="1799"/>
      <c r="K792" s="1799"/>
      <c r="L792" s="1799"/>
      <c r="M792" s="1799"/>
      <c r="N792" s="1799"/>
      <c r="O792" s="1799"/>
      <c r="P792" s="1799"/>
      <c r="Q792" s="1799"/>
      <c r="R792" s="1799"/>
      <c r="S792" s="1799"/>
      <c r="T792" s="1799"/>
      <c r="U792" s="1799"/>
      <c r="V792" s="1799"/>
      <c r="W792" s="1799"/>
      <c r="X792" s="1799"/>
      <c r="Y792" s="1799"/>
      <c r="Z792" s="1799"/>
    </row>
    <row r="793">
      <c r="A793" s="1799"/>
      <c r="B793" s="1799"/>
      <c r="C793" s="1799"/>
      <c r="D793" s="1812"/>
      <c r="E793" s="1799"/>
      <c r="F793" s="1813"/>
      <c r="G793" s="1814"/>
      <c r="H793" s="1799"/>
      <c r="I793" s="1799"/>
      <c r="J793" s="1799"/>
      <c r="K793" s="1799"/>
      <c r="L793" s="1799"/>
      <c r="M793" s="1799"/>
      <c r="N793" s="1799"/>
      <c r="O793" s="1799"/>
      <c r="P793" s="1799"/>
      <c r="Q793" s="1799"/>
      <c r="R793" s="1799"/>
      <c r="S793" s="1799"/>
      <c r="T793" s="1799"/>
      <c r="U793" s="1799"/>
      <c r="V793" s="1799"/>
      <c r="W793" s="1799"/>
      <c r="X793" s="1799"/>
      <c r="Y793" s="1799"/>
      <c r="Z793" s="1799"/>
    </row>
    <row r="794">
      <c r="A794" s="1799"/>
      <c r="B794" s="1799"/>
      <c r="C794" s="1799"/>
      <c r="D794" s="1812"/>
      <c r="E794" s="1799"/>
      <c r="F794" s="1813"/>
      <c r="G794" s="1814"/>
      <c r="H794" s="1799"/>
      <c r="I794" s="1799"/>
      <c r="J794" s="1799"/>
      <c r="K794" s="1799"/>
      <c r="L794" s="1799"/>
      <c r="M794" s="1799"/>
      <c r="N794" s="1799"/>
      <c r="O794" s="1799"/>
      <c r="P794" s="1799"/>
      <c r="Q794" s="1799"/>
      <c r="R794" s="1799"/>
      <c r="S794" s="1799"/>
      <c r="T794" s="1799"/>
      <c r="U794" s="1799"/>
      <c r="V794" s="1799"/>
      <c r="W794" s="1799"/>
      <c r="X794" s="1799"/>
      <c r="Y794" s="1799"/>
      <c r="Z794" s="1799"/>
    </row>
    <row r="795">
      <c r="A795" s="1799"/>
      <c r="B795" s="1799"/>
      <c r="C795" s="1799"/>
      <c r="D795" s="1812"/>
      <c r="E795" s="1799"/>
      <c r="F795" s="1813"/>
      <c r="G795" s="1814"/>
      <c r="H795" s="1799"/>
      <c r="I795" s="1799"/>
      <c r="J795" s="1799"/>
      <c r="K795" s="1799"/>
      <c r="L795" s="1799"/>
      <c r="M795" s="1799"/>
      <c r="N795" s="1799"/>
      <c r="O795" s="1799"/>
      <c r="P795" s="1799"/>
      <c r="Q795" s="1799"/>
      <c r="R795" s="1799"/>
      <c r="S795" s="1799"/>
      <c r="T795" s="1799"/>
      <c r="U795" s="1799"/>
      <c r="V795" s="1799"/>
      <c r="W795" s="1799"/>
      <c r="X795" s="1799"/>
      <c r="Y795" s="1799"/>
      <c r="Z795" s="1799"/>
    </row>
    <row r="796">
      <c r="A796" s="1799"/>
      <c r="B796" s="1799"/>
      <c r="C796" s="1799"/>
      <c r="D796" s="1812"/>
      <c r="E796" s="1799"/>
      <c r="F796" s="1813"/>
      <c r="G796" s="1814"/>
      <c r="H796" s="1799"/>
      <c r="I796" s="1799"/>
      <c r="J796" s="1799"/>
      <c r="K796" s="1799"/>
      <c r="L796" s="1799"/>
      <c r="M796" s="1799"/>
      <c r="N796" s="1799"/>
      <c r="O796" s="1799"/>
      <c r="P796" s="1799"/>
      <c r="Q796" s="1799"/>
      <c r="R796" s="1799"/>
      <c r="S796" s="1799"/>
      <c r="T796" s="1799"/>
      <c r="U796" s="1799"/>
      <c r="V796" s="1799"/>
      <c r="W796" s="1799"/>
      <c r="X796" s="1799"/>
      <c r="Y796" s="1799"/>
      <c r="Z796" s="1799"/>
    </row>
    <row r="797">
      <c r="A797" s="1799"/>
      <c r="B797" s="1799"/>
      <c r="C797" s="1799"/>
      <c r="D797" s="1812"/>
      <c r="E797" s="1799"/>
      <c r="F797" s="1813"/>
      <c r="G797" s="1814"/>
      <c r="H797" s="1799"/>
      <c r="I797" s="1799"/>
      <c r="J797" s="1799"/>
      <c r="K797" s="1799"/>
      <c r="L797" s="1799"/>
      <c r="M797" s="1799"/>
      <c r="N797" s="1799"/>
      <c r="O797" s="1799"/>
      <c r="P797" s="1799"/>
      <c r="Q797" s="1799"/>
      <c r="R797" s="1799"/>
      <c r="S797" s="1799"/>
      <c r="T797" s="1799"/>
      <c r="U797" s="1799"/>
      <c r="V797" s="1799"/>
      <c r="W797" s="1799"/>
      <c r="X797" s="1799"/>
      <c r="Y797" s="1799"/>
      <c r="Z797" s="1799"/>
    </row>
    <row r="798">
      <c r="A798" s="1799"/>
      <c r="B798" s="1799"/>
      <c r="C798" s="1799"/>
      <c r="D798" s="1812"/>
      <c r="E798" s="1799"/>
      <c r="F798" s="1813"/>
      <c r="G798" s="1814"/>
      <c r="H798" s="1799"/>
      <c r="I798" s="1799"/>
      <c r="J798" s="1799"/>
      <c r="K798" s="1799"/>
      <c r="L798" s="1799"/>
      <c r="M798" s="1799"/>
      <c r="N798" s="1799"/>
      <c r="O798" s="1799"/>
      <c r="P798" s="1799"/>
      <c r="Q798" s="1799"/>
      <c r="R798" s="1799"/>
      <c r="S798" s="1799"/>
      <c r="T798" s="1799"/>
      <c r="U798" s="1799"/>
      <c r="V798" s="1799"/>
      <c r="W798" s="1799"/>
      <c r="X798" s="1799"/>
      <c r="Y798" s="1799"/>
      <c r="Z798" s="1799"/>
    </row>
    <row r="799">
      <c r="A799" s="1799"/>
      <c r="B799" s="1799"/>
      <c r="C799" s="1799"/>
      <c r="D799" s="1812"/>
      <c r="E799" s="1799"/>
      <c r="F799" s="1813"/>
      <c r="G799" s="1814"/>
      <c r="H799" s="1799"/>
      <c r="I799" s="1799"/>
      <c r="J799" s="1799"/>
      <c r="K799" s="1799"/>
      <c r="L799" s="1799"/>
      <c r="M799" s="1799"/>
      <c r="N799" s="1799"/>
      <c r="O799" s="1799"/>
      <c r="P799" s="1799"/>
      <c r="Q799" s="1799"/>
      <c r="R799" s="1799"/>
      <c r="S799" s="1799"/>
      <c r="T799" s="1799"/>
      <c r="U799" s="1799"/>
      <c r="V799" s="1799"/>
      <c r="W799" s="1799"/>
      <c r="X799" s="1799"/>
      <c r="Y799" s="1799"/>
      <c r="Z799" s="1799"/>
    </row>
    <row r="800">
      <c r="A800" s="1799"/>
      <c r="B800" s="1799"/>
      <c r="C800" s="1799"/>
      <c r="D800" s="1812"/>
      <c r="E800" s="1799"/>
      <c r="F800" s="1813"/>
      <c r="G800" s="1814"/>
      <c r="H800" s="1799"/>
      <c r="I800" s="1799"/>
      <c r="J800" s="1799"/>
      <c r="K800" s="1799"/>
      <c r="L800" s="1799"/>
      <c r="M800" s="1799"/>
      <c r="N800" s="1799"/>
      <c r="O800" s="1799"/>
      <c r="P800" s="1799"/>
      <c r="Q800" s="1799"/>
      <c r="R800" s="1799"/>
      <c r="S800" s="1799"/>
      <c r="T800" s="1799"/>
      <c r="U800" s="1799"/>
      <c r="V800" s="1799"/>
      <c r="W800" s="1799"/>
      <c r="X800" s="1799"/>
      <c r="Y800" s="1799"/>
      <c r="Z800" s="1799"/>
    </row>
    <row r="801">
      <c r="A801" s="1799"/>
      <c r="B801" s="1799"/>
      <c r="C801" s="1799"/>
      <c r="D801" s="1812"/>
      <c r="E801" s="1799"/>
      <c r="F801" s="1813"/>
      <c r="G801" s="1814"/>
      <c r="H801" s="1799"/>
      <c r="I801" s="1799"/>
      <c r="J801" s="1799"/>
      <c r="K801" s="1799"/>
      <c r="L801" s="1799"/>
      <c r="M801" s="1799"/>
      <c r="N801" s="1799"/>
      <c r="O801" s="1799"/>
      <c r="P801" s="1799"/>
      <c r="Q801" s="1799"/>
      <c r="R801" s="1799"/>
      <c r="S801" s="1799"/>
      <c r="T801" s="1799"/>
      <c r="U801" s="1799"/>
      <c r="V801" s="1799"/>
      <c r="W801" s="1799"/>
      <c r="X801" s="1799"/>
      <c r="Y801" s="1799"/>
      <c r="Z801" s="1799"/>
    </row>
    <row r="802">
      <c r="A802" s="1799"/>
      <c r="B802" s="1799"/>
      <c r="C802" s="1799"/>
      <c r="D802" s="1812"/>
      <c r="E802" s="1799"/>
      <c r="F802" s="1813"/>
      <c r="G802" s="1814"/>
      <c r="H802" s="1799"/>
      <c r="I802" s="1799"/>
      <c r="J802" s="1799"/>
      <c r="K802" s="1799"/>
      <c r="L802" s="1799"/>
      <c r="M802" s="1799"/>
      <c r="N802" s="1799"/>
      <c r="O802" s="1799"/>
      <c r="P802" s="1799"/>
      <c r="Q802" s="1799"/>
      <c r="R802" s="1799"/>
      <c r="S802" s="1799"/>
      <c r="T802" s="1799"/>
      <c r="U802" s="1799"/>
      <c r="V802" s="1799"/>
      <c r="W802" s="1799"/>
      <c r="X802" s="1799"/>
      <c r="Y802" s="1799"/>
      <c r="Z802" s="1799"/>
    </row>
    <row r="803">
      <c r="A803" s="1799"/>
      <c r="B803" s="1799"/>
      <c r="C803" s="1799"/>
      <c r="D803" s="1812"/>
      <c r="E803" s="1799"/>
      <c r="F803" s="1813"/>
      <c r="G803" s="1814"/>
      <c r="H803" s="1799"/>
      <c r="I803" s="1799"/>
      <c r="J803" s="1799"/>
      <c r="K803" s="1799"/>
      <c r="L803" s="1799"/>
      <c r="M803" s="1799"/>
      <c r="N803" s="1799"/>
      <c r="O803" s="1799"/>
      <c r="P803" s="1799"/>
      <c r="Q803" s="1799"/>
      <c r="R803" s="1799"/>
      <c r="S803" s="1799"/>
      <c r="T803" s="1799"/>
      <c r="U803" s="1799"/>
      <c r="V803" s="1799"/>
      <c r="W803" s="1799"/>
      <c r="X803" s="1799"/>
      <c r="Y803" s="1799"/>
      <c r="Z803" s="1799"/>
    </row>
    <row r="804">
      <c r="A804" s="1799"/>
      <c r="B804" s="1799"/>
      <c r="C804" s="1799"/>
      <c r="D804" s="1812"/>
      <c r="E804" s="1799"/>
      <c r="F804" s="1813"/>
      <c r="G804" s="1814"/>
      <c r="H804" s="1799"/>
      <c r="I804" s="1799"/>
      <c r="J804" s="1799"/>
      <c r="K804" s="1799"/>
      <c r="L804" s="1799"/>
      <c r="M804" s="1799"/>
      <c r="N804" s="1799"/>
      <c r="O804" s="1799"/>
      <c r="P804" s="1799"/>
      <c r="Q804" s="1799"/>
      <c r="R804" s="1799"/>
      <c r="S804" s="1799"/>
      <c r="T804" s="1799"/>
      <c r="U804" s="1799"/>
      <c r="V804" s="1799"/>
      <c r="W804" s="1799"/>
      <c r="X804" s="1799"/>
      <c r="Y804" s="1799"/>
      <c r="Z804" s="1799"/>
    </row>
    <row r="805">
      <c r="A805" s="1799"/>
      <c r="B805" s="1799"/>
      <c r="C805" s="1799"/>
      <c r="D805" s="1812"/>
      <c r="E805" s="1799"/>
      <c r="F805" s="1813"/>
      <c r="G805" s="1814"/>
      <c r="H805" s="1799"/>
      <c r="I805" s="1799"/>
      <c r="J805" s="1799"/>
      <c r="K805" s="1799"/>
      <c r="L805" s="1799"/>
      <c r="M805" s="1799"/>
      <c r="N805" s="1799"/>
      <c r="O805" s="1799"/>
      <c r="P805" s="1799"/>
      <c r="Q805" s="1799"/>
      <c r="R805" s="1799"/>
      <c r="S805" s="1799"/>
      <c r="T805" s="1799"/>
      <c r="U805" s="1799"/>
      <c r="V805" s="1799"/>
      <c r="W805" s="1799"/>
      <c r="X805" s="1799"/>
      <c r="Y805" s="1799"/>
      <c r="Z805" s="1799"/>
    </row>
    <row r="806">
      <c r="A806" s="1799"/>
      <c r="B806" s="1799"/>
      <c r="C806" s="1799"/>
      <c r="D806" s="1812"/>
      <c r="E806" s="1799"/>
      <c r="F806" s="1813"/>
      <c r="G806" s="1814"/>
      <c r="H806" s="1799"/>
      <c r="I806" s="1799"/>
      <c r="J806" s="1799"/>
      <c r="K806" s="1799"/>
      <c r="L806" s="1799"/>
      <c r="M806" s="1799"/>
      <c r="N806" s="1799"/>
      <c r="O806" s="1799"/>
      <c r="P806" s="1799"/>
      <c r="Q806" s="1799"/>
      <c r="R806" s="1799"/>
      <c r="S806" s="1799"/>
      <c r="T806" s="1799"/>
      <c r="U806" s="1799"/>
      <c r="V806" s="1799"/>
      <c r="W806" s="1799"/>
      <c r="X806" s="1799"/>
      <c r="Y806" s="1799"/>
      <c r="Z806" s="1799"/>
    </row>
    <row r="807">
      <c r="A807" s="1799"/>
      <c r="B807" s="1799"/>
      <c r="C807" s="1799"/>
      <c r="D807" s="1812"/>
      <c r="E807" s="1799"/>
      <c r="F807" s="1813"/>
      <c r="G807" s="1814"/>
      <c r="H807" s="1799"/>
      <c r="I807" s="1799"/>
      <c r="J807" s="1799"/>
      <c r="K807" s="1799"/>
      <c r="L807" s="1799"/>
      <c r="M807" s="1799"/>
      <c r="N807" s="1799"/>
      <c r="O807" s="1799"/>
      <c r="P807" s="1799"/>
      <c r="Q807" s="1799"/>
      <c r="R807" s="1799"/>
      <c r="S807" s="1799"/>
      <c r="T807" s="1799"/>
      <c r="U807" s="1799"/>
      <c r="V807" s="1799"/>
      <c r="W807" s="1799"/>
      <c r="X807" s="1799"/>
      <c r="Y807" s="1799"/>
      <c r="Z807" s="1799"/>
    </row>
    <row r="808">
      <c r="A808" s="1799"/>
      <c r="B808" s="1799"/>
      <c r="C808" s="1799"/>
      <c r="D808" s="1812"/>
      <c r="E808" s="1799"/>
      <c r="F808" s="1813"/>
      <c r="G808" s="1814"/>
      <c r="H808" s="1799"/>
      <c r="I808" s="1799"/>
      <c r="J808" s="1799"/>
      <c r="K808" s="1799"/>
      <c r="L808" s="1799"/>
      <c r="M808" s="1799"/>
      <c r="N808" s="1799"/>
      <c r="O808" s="1799"/>
      <c r="P808" s="1799"/>
      <c r="Q808" s="1799"/>
      <c r="R808" s="1799"/>
      <c r="S808" s="1799"/>
      <c r="T808" s="1799"/>
      <c r="U808" s="1799"/>
      <c r="V808" s="1799"/>
      <c r="W808" s="1799"/>
      <c r="X808" s="1799"/>
      <c r="Y808" s="1799"/>
      <c r="Z808" s="1799"/>
    </row>
    <row r="809">
      <c r="A809" s="1799"/>
      <c r="B809" s="1799"/>
      <c r="C809" s="1799"/>
      <c r="D809" s="1812"/>
      <c r="E809" s="1799"/>
      <c r="F809" s="1813"/>
      <c r="G809" s="1814"/>
      <c r="H809" s="1799"/>
      <c r="I809" s="1799"/>
      <c r="J809" s="1799"/>
      <c r="K809" s="1799"/>
      <c r="L809" s="1799"/>
      <c r="M809" s="1799"/>
      <c r="N809" s="1799"/>
      <c r="O809" s="1799"/>
      <c r="P809" s="1799"/>
      <c r="Q809" s="1799"/>
      <c r="R809" s="1799"/>
      <c r="S809" s="1799"/>
      <c r="T809" s="1799"/>
      <c r="U809" s="1799"/>
      <c r="V809" s="1799"/>
      <c r="W809" s="1799"/>
      <c r="X809" s="1799"/>
      <c r="Y809" s="1799"/>
      <c r="Z809" s="1799"/>
    </row>
    <row r="810">
      <c r="A810" s="1799"/>
      <c r="B810" s="1799"/>
      <c r="C810" s="1799"/>
      <c r="D810" s="1812"/>
      <c r="E810" s="1799"/>
      <c r="F810" s="1813"/>
      <c r="G810" s="1814"/>
      <c r="H810" s="1799"/>
      <c r="I810" s="1799"/>
      <c r="J810" s="1799"/>
      <c r="K810" s="1799"/>
      <c r="L810" s="1799"/>
      <c r="M810" s="1799"/>
      <c r="N810" s="1799"/>
      <c r="O810" s="1799"/>
      <c r="P810" s="1799"/>
      <c r="Q810" s="1799"/>
      <c r="R810" s="1799"/>
      <c r="S810" s="1799"/>
      <c r="T810" s="1799"/>
      <c r="U810" s="1799"/>
      <c r="V810" s="1799"/>
      <c r="W810" s="1799"/>
      <c r="X810" s="1799"/>
      <c r="Y810" s="1799"/>
      <c r="Z810" s="1799"/>
    </row>
    <row r="811">
      <c r="A811" s="1799"/>
      <c r="B811" s="1799"/>
      <c r="C811" s="1799"/>
      <c r="D811" s="1812"/>
      <c r="E811" s="1799"/>
      <c r="F811" s="1813"/>
      <c r="G811" s="1814"/>
      <c r="H811" s="1799"/>
      <c r="I811" s="1799"/>
      <c r="J811" s="1799"/>
      <c r="K811" s="1799"/>
      <c r="L811" s="1799"/>
      <c r="M811" s="1799"/>
      <c r="N811" s="1799"/>
      <c r="O811" s="1799"/>
      <c r="P811" s="1799"/>
      <c r="Q811" s="1799"/>
      <c r="R811" s="1799"/>
      <c r="S811" s="1799"/>
      <c r="T811" s="1799"/>
      <c r="U811" s="1799"/>
      <c r="V811" s="1799"/>
      <c r="W811" s="1799"/>
      <c r="X811" s="1799"/>
      <c r="Y811" s="1799"/>
      <c r="Z811" s="1799"/>
    </row>
    <row r="812">
      <c r="A812" s="1799"/>
      <c r="B812" s="1799"/>
      <c r="C812" s="1799"/>
      <c r="D812" s="1812"/>
      <c r="E812" s="1799"/>
      <c r="F812" s="1813"/>
      <c r="G812" s="1814"/>
      <c r="H812" s="1799"/>
      <c r="I812" s="1799"/>
      <c r="J812" s="1799"/>
      <c r="K812" s="1799"/>
      <c r="L812" s="1799"/>
      <c r="M812" s="1799"/>
      <c r="N812" s="1799"/>
      <c r="O812" s="1799"/>
      <c r="P812" s="1799"/>
      <c r="Q812" s="1799"/>
      <c r="R812" s="1799"/>
      <c r="S812" s="1799"/>
      <c r="T812" s="1799"/>
      <c r="U812" s="1799"/>
      <c r="V812" s="1799"/>
      <c r="W812" s="1799"/>
      <c r="X812" s="1799"/>
      <c r="Y812" s="1799"/>
      <c r="Z812" s="1799"/>
    </row>
    <row r="813">
      <c r="A813" s="1799"/>
      <c r="B813" s="1799"/>
      <c r="C813" s="1799"/>
      <c r="D813" s="1812"/>
      <c r="E813" s="1799"/>
      <c r="F813" s="1813"/>
      <c r="G813" s="1814"/>
      <c r="H813" s="1799"/>
      <c r="I813" s="1799"/>
      <c r="J813" s="1799"/>
      <c r="K813" s="1799"/>
      <c r="L813" s="1799"/>
      <c r="M813" s="1799"/>
      <c r="N813" s="1799"/>
      <c r="O813" s="1799"/>
      <c r="P813" s="1799"/>
      <c r="Q813" s="1799"/>
      <c r="R813" s="1799"/>
      <c r="S813" s="1799"/>
      <c r="T813" s="1799"/>
      <c r="U813" s="1799"/>
      <c r="V813" s="1799"/>
      <c r="W813" s="1799"/>
      <c r="X813" s="1799"/>
      <c r="Y813" s="1799"/>
      <c r="Z813" s="1799"/>
    </row>
    <row r="814">
      <c r="A814" s="1799"/>
      <c r="B814" s="1799"/>
      <c r="C814" s="1799"/>
      <c r="D814" s="1812"/>
      <c r="E814" s="1799"/>
      <c r="F814" s="1813"/>
      <c r="G814" s="1814"/>
      <c r="H814" s="1799"/>
      <c r="I814" s="1799"/>
      <c r="J814" s="1799"/>
      <c r="K814" s="1799"/>
      <c r="L814" s="1799"/>
      <c r="M814" s="1799"/>
      <c r="N814" s="1799"/>
      <c r="O814" s="1799"/>
      <c r="P814" s="1799"/>
      <c r="Q814" s="1799"/>
      <c r="R814" s="1799"/>
      <c r="S814" s="1799"/>
      <c r="T814" s="1799"/>
      <c r="U814" s="1799"/>
      <c r="V814" s="1799"/>
      <c r="W814" s="1799"/>
      <c r="X814" s="1799"/>
      <c r="Y814" s="1799"/>
      <c r="Z814" s="1799"/>
    </row>
    <row r="815">
      <c r="A815" s="1799"/>
      <c r="B815" s="1799"/>
      <c r="C815" s="1799"/>
      <c r="D815" s="1812"/>
      <c r="E815" s="1799"/>
      <c r="F815" s="1813"/>
      <c r="G815" s="1814"/>
      <c r="H815" s="1799"/>
      <c r="I815" s="1799"/>
      <c r="J815" s="1799"/>
      <c r="K815" s="1799"/>
      <c r="L815" s="1799"/>
      <c r="M815" s="1799"/>
      <c r="N815" s="1799"/>
      <c r="O815" s="1799"/>
      <c r="P815" s="1799"/>
      <c r="Q815" s="1799"/>
      <c r="R815" s="1799"/>
      <c r="S815" s="1799"/>
      <c r="T815" s="1799"/>
      <c r="U815" s="1799"/>
      <c r="V815" s="1799"/>
      <c r="W815" s="1799"/>
      <c r="X815" s="1799"/>
      <c r="Y815" s="1799"/>
      <c r="Z815" s="1799"/>
    </row>
    <row r="816">
      <c r="A816" s="1799"/>
      <c r="B816" s="1799"/>
      <c r="C816" s="1799"/>
      <c r="D816" s="1812"/>
      <c r="E816" s="1799"/>
      <c r="F816" s="1813"/>
      <c r="G816" s="1814"/>
      <c r="H816" s="1799"/>
      <c r="I816" s="1799"/>
      <c r="J816" s="1799"/>
      <c r="K816" s="1799"/>
      <c r="L816" s="1799"/>
      <c r="M816" s="1799"/>
      <c r="N816" s="1799"/>
      <c r="O816" s="1799"/>
      <c r="P816" s="1799"/>
      <c r="Q816" s="1799"/>
      <c r="R816" s="1799"/>
      <c r="S816" s="1799"/>
      <c r="T816" s="1799"/>
      <c r="U816" s="1799"/>
      <c r="V816" s="1799"/>
      <c r="W816" s="1799"/>
      <c r="X816" s="1799"/>
      <c r="Y816" s="1799"/>
      <c r="Z816" s="1799"/>
    </row>
    <row r="817">
      <c r="A817" s="1799"/>
      <c r="B817" s="1799"/>
      <c r="C817" s="1799"/>
      <c r="D817" s="1812"/>
      <c r="E817" s="1799"/>
      <c r="F817" s="1813"/>
      <c r="G817" s="1814"/>
      <c r="H817" s="1799"/>
      <c r="I817" s="1799"/>
      <c r="J817" s="1799"/>
      <c r="K817" s="1799"/>
      <c r="L817" s="1799"/>
      <c r="M817" s="1799"/>
      <c r="N817" s="1799"/>
      <c r="O817" s="1799"/>
      <c r="P817" s="1799"/>
      <c r="Q817" s="1799"/>
      <c r="R817" s="1799"/>
      <c r="S817" s="1799"/>
      <c r="T817" s="1799"/>
      <c r="U817" s="1799"/>
      <c r="V817" s="1799"/>
      <c r="W817" s="1799"/>
      <c r="X817" s="1799"/>
      <c r="Y817" s="1799"/>
      <c r="Z817" s="1799"/>
    </row>
    <row r="818">
      <c r="A818" s="1799"/>
      <c r="B818" s="1799"/>
      <c r="C818" s="1799"/>
      <c r="D818" s="1812"/>
      <c r="E818" s="1799"/>
      <c r="F818" s="1813"/>
      <c r="G818" s="1814"/>
      <c r="H818" s="1799"/>
      <c r="I818" s="1799"/>
      <c r="J818" s="1799"/>
      <c r="K818" s="1799"/>
      <c r="L818" s="1799"/>
      <c r="M818" s="1799"/>
      <c r="N818" s="1799"/>
      <c r="O818" s="1799"/>
      <c r="P818" s="1799"/>
      <c r="Q818" s="1799"/>
      <c r="R818" s="1799"/>
      <c r="S818" s="1799"/>
      <c r="T818" s="1799"/>
      <c r="U818" s="1799"/>
      <c r="V818" s="1799"/>
      <c r="W818" s="1799"/>
      <c r="X818" s="1799"/>
      <c r="Y818" s="1799"/>
      <c r="Z818" s="1799"/>
    </row>
    <row r="819">
      <c r="A819" s="1799"/>
      <c r="B819" s="1799"/>
      <c r="C819" s="1799"/>
      <c r="D819" s="1812"/>
      <c r="E819" s="1799"/>
      <c r="F819" s="1813"/>
      <c r="G819" s="1814"/>
      <c r="H819" s="1799"/>
      <c r="I819" s="1799"/>
      <c r="J819" s="1799"/>
      <c r="K819" s="1799"/>
      <c r="L819" s="1799"/>
      <c r="M819" s="1799"/>
      <c r="N819" s="1799"/>
      <c r="O819" s="1799"/>
      <c r="P819" s="1799"/>
      <c r="Q819" s="1799"/>
      <c r="R819" s="1799"/>
      <c r="S819" s="1799"/>
      <c r="T819" s="1799"/>
      <c r="U819" s="1799"/>
      <c r="V819" s="1799"/>
      <c r="W819" s="1799"/>
      <c r="X819" s="1799"/>
      <c r="Y819" s="1799"/>
      <c r="Z819" s="1799"/>
    </row>
    <row r="820">
      <c r="A820" s="1799"/>
      <c r="B820" s="1799"/>
      <c r="C820" s="1799"/>
      <c r="D820" s="1812"/>
      <c r="E820" s="1799"/>
      <c r="F820" s="1813"/>
      <c r="G820" s="1814"/>
      <c r="H820" s="1799"/>
      <c r="I820" s="1799"/>
      <c r="J820" s="1799"/>
      <c r="K820" s="1799"/>
      <c r="L820" s="1799"/>
      <c r="M820" s="1799"/>
      <c r="N820" s="1799"/>
      <c r="O820" s="1799"/>
      <c r="P820" s="1799"/>
      <c r="Q820" s="1799"/>
      <c r="R820" s="1799"/>
      <c r="S820" s="1799"/>
      <c r="T820" s="1799"/>
      <c r="U820" s="1799"/>
      <c r="V820" s="1799"/>
      <c r="W820" s="1799"/>
      <c r="X820" s="1799"/>
      <c r="Y820" s="1799"/>
      <c r="Z820" s="1799"/>
    </row>
    <row r="821">
      <c r="A821" s="1799"/>
      <c r="B821" s="1799"/>
      <c r="C821" s="1799"/>
      <c r="D821" s="1812"/>
      <c r="E821" s="1799"/>
      <c r="F821" s="1813"/>
      <c r="G821" s="1814"/>
      <c r="H821" s="1799"/>
      <c r="I821" s="1799"/>
      <c r="J821" s="1799"/>
      <c r="K821" s="1799"/>
      <c r="L821" s="1799"/>
      <c r="M821" s="1799"/>
      <c r="N821" s="1799"/>
      <c r="O821" s="1799"/>
      <c r="P821" s="1799"/>
      <c r="Q821" s="1799"/>
      <c r="R821" s="1799"/>
      <c r="S821" s="1799"/>
      <c r="T821" s="1799"/>
      <c r="U821" s="1799"/>
      <c r="V821" s="1799"/>
      <c r="W821" s="1799"/>
      <c r="X821" s="1799"/>
      <c r="Y821" s="1799"/>
      <c r="Z821" s="1799"/>
    </row>
    <row r="822">
      <c r="A822" s="1799"/>
      <c r="B822" s="1799"/>
      <c r="C822" s="1799"/>
      <c r="D822" s="1812"/>
      <c r="E822" s="1799"/>
      <c r="F822" s="1813"/>
      <c r="G822" s="1814"/>
      <c r="H822" s="1799"/>
      <c r="I822" s="1799"/>
      <c r="J822" s="1799"/>
      <c r="K822" s="1799"/>
      <c r="L822" s="1799"/>
      <c r="M822" s="1799"/>
      <c r="N822" s="1799"/>
      <c r="O822" s="1799"/>
      <c r="P822" s="1799"/>
      <c r="Q822" s="1799"/>
      <c r="R822" s="1799"/>
      <c r="S822" s="1799"/>
      <c r="T822" s="1799"/>
      <c r="U822" s="1799"/>
      <c r="V822" s="1799"/>
      <c r="W822" s="1799"/>
      <c r="X822" s="1799"/>
      <c r="Y822" s="1799"/>
      <c r="Z822" s="1799"/>
    </row>
    <row r="823">
      <c r="A823" s="1799"/>
      <c r="B823" s="1799"/>
      <c r="C823" s="1799"/>
      <c r="D823" s="1812"/>
      <c r="E823" s="1799"/>
      <c r="F823" s="1813"/>
      <c r="G823" s="1814"/>
      <c r="H823" s="1799"/>
      <c r="I823" s="1799"/>
      <c r="J823" s="1799"/>
      <c r="K823" s="1799"/>
      <c r="L823" s="1799"/>
      <c r="M823" s="1799"/>
      <c r="N823" s="1799"/>
      <c r="O823" s="1799"/>
      <c r="P823" s="1799"/>
      <c r="Q823" s="1799"/>
      <c r="R823" s="1799"/>
      <c r="S823" s="1799"/>
      <c r="T823" s="1799"/>
      <c r="U823" s="1799"/>
      <c r="V823" s="1799"/>
      <c r="W823" s="1799"/>
      <c r="X823" s="1799"/>
      <c r="Y823" s="1799"/>
      <c r="Z823" s="1799"/>
    </row>
    <row r="824">
      <c r="A824" s="1799"/>
      <c r="B824" s="1799"/>
      <c r="C824" s="1799"/>
      <c r="D824" s="1812"/>
      <c r="E824" s="1799"/>
      <c r="F824" s="1813"/>
      <c r="G824" s="1814"/>
      <c r="H824" s="1799"/>
      <c r="I824" s="1799"/>
      <c r="J824" s="1799"/>
      <c r="K824" s="1799"/>
      <c r="L824" s="1799"/>
      <c r="M824" s="1799"/>
      <c r="N824" s="1799"/>
      <c r="O824" s="1799"/>
      <c r="P824" s="1799"/>
      <c r="Q824" s="1799"/>
      <c r="R824" s="1799"/>
      <c r="S824" s="1799"/>
      <c r="T824" s="1799"/>
      <c r="U824" s="1799"/>
      <c r="V824" s="1799"/>
      <c r="W824" s="1799"/>
      <c r="X824" s="1799"/>
      <c r="Y824" s="1799"/>
      <c r="Z824" s="1799"/>
    </row>
    <row r="825">
      <c r="A825" s="1799"/>
      <c r="B825" s="1799"/>
      <c r="C825" s="1799"/>
      <c r="D825" s="1812"/>
      <c r="E825" s="1799"/>
      <c r="F825" s="1813"/>
      <c r="G825" s="1814"/>
      <c r="H825" s="1799"/>
      <c r="I825" s="1799"/>
      <c r="J825" s="1799"/>
      <c r="K825" s="1799"/>
      <c r="L825" s="1799"/>
      <c r="M825" s="1799"/>
      <c r="N825" s="1799"/>
      <c r="O825" s="1799"/>
      <c r="P825" s="1799"/>
      <c r="Q825" s="1799"/>
      <c r="R825" s="1799"/>
      <c r="S825" s="1799"/>
      <c r="T825" s="1799"/>
      <c r="U825" s="1799"/>
      <c r="V825" s="1799"/>
      <c r="W825" s="1799"/>
      <c r="X825" s="1799"/>
      <c r="Y825" s="1799"/>
      <c r="Z825" s="1799"/>
    </row>
    <row r="826">
      <c r="A826" s="1799"/>
      <c r="B826" s="1799"/>
      <c r="C826" s="1799"/>
      <c r="D826" s="1812"/>
      <c r="E826" s="1799"/>
      <c r="F826" s="1813"/>
      <c r="G826" s="1814"/>
      <c r="H826" s="1799"/>
      <c r="I826" s="1799"/>
      <c r="J826" s="1799"/>
      <c r="K826" s="1799"/>
      <c r="L826" s="1799"/>
      <c r="M826" s="1799"/>
      <c r="N826" s="1799"/>
      <c r="O826" s="1799"/>
      <c r="P826" s="1799"/>
      <c r="Q826" s="1799"/>
      <c r="R826" s="1799"/>
      <c r="S826" s="1799"/>
      <c r="T826" s="1799"/>
      <c r="U826" s="1799"/>
      <c r="V826" s="1799"/>
      <c r="W826" s="1799"/>
      <c r="X826" s="1799"/>
      <c r="Y826" s="1799"/>
      <c r="Z826" s="1799"/>
    </row>
    <row r="827">
      <c r="A827" s="1799"/>
      <c r="B827" s="1799"/>
      <c r="C827" s="1799"/>
      <c r="D827" s="1812"/>
      <c r="E827" s="1799"/>
      <c r="F827" s="1813"/>
      <c r="G827" s="1814"/>
      <c r="H827" s="1799"/>
      <c r="I827" s="1799"/>
      <c r="J827" s="1799"/>
      <c r="K827" s="1799"/>
      <c r="L827" s="1799"/>
      <c r="M827" s="1799"/>
      <c r="N827" s="1799"/>
      <c r="O827" s="1799"/>
      <c r="P827" s="1799"/>
      <c r="Q827" s="1799"/>
      <c r="R827" s="1799"/>
      <c r="S827" s="1799"/>
      <c r="T827" s="1799"/>
      <c r="U827" s="1799"/>
      <c r="V827" s="1799"/>
      <c r="W827" s="1799"/>
      <c r="X827" s="1799"/>
      <c r="Y827" s="1799"/>
      <c r="Z827" s="1799"/>
    </row>
    <row r="828">
      <c r="A828" s="1799"/>
      <c r="B828" s="1799"/>
      <c r="C828" s="1799"/>
      <c r="D828" s="1812"/>
      <c r="E828" s="1799"/>
      <c r="F828" s="1813"/>
      <c r="G828" s="1814"/>
      <c r="H828" s="1799"/>
      <c r="I828" s="1799"/>
      <c r="J828" s="1799"/>
      <c r="K828" s="1799"/>
      <c r="L828" s="1799"/>
      <c r="M828" s="1799"/>
      <c r="N828" s="1799"/>
      <c r="O828" s="1799"/>
      <c r="P828" s="1799"/>
      <c r="Q828" s="1799"/>
      <c r="R828" s="1799"/>
      <c r="S828" s="1799"/>
      <c r="T828" s="1799"/>
      <c r="U828" s="1799"/>
      <c r="V828" s="1799"/>
      <c r="W828" s="1799"/>
      <c r="X828" s="1799"/>
      <c r="Y828" s="1799"/>
      <c r="Z828" s="1799"/>
    </row>
    <row r="829">
      <c r="A829" s="1799"/>
      <c r="B829" s="1799"/>
      <c r="C829" s="1799"/>
      <c r="D829" s="1812"/>
      <c r="E829" s="1799"/>
      <c r="F829" s="1813"/>
      <c r="G829" s="1814"/>
      <c r="H829" s="1799"/>
      <c r="I829" s="1799"/>
      <c r="J829" s="1799"/>
      <c r="K829" s="1799"/>
      <c r="L829" s="1799"/>
      <c r="M829" s="1799"/>
      <c r="N829" s="1799"/>
      <c r="O829" s="1799"/>
      <c r="P829" s="1799"/>
      <c r="Q829" s="1799"/>
      <c r="R829" s="1799"/>
      <c r="S829" s="1799"/>
      <c r="T829" s="1799"/>
      <c r="U829" s="1799"/>
      <c r="V829" s="1799"/>
      <c r="W829" s="1799"/>
      <c r="X829" s="1799"/>
      <c r="Y829" s="1799"/>
      <c r="Z829" s="1799"/>
    </row>
    <row r="830">
      <c r="A830" s="1799"/>
      <c r="B830" s="1799"/>
      <c r="C830" s="1799"/>
      <c r="D830" s="1812"/>
      <c r="E830" s="1799"/>
      <c r="F830" s="1813"/>
      <c r="G830" s="1814"/>
      <c r="H830" s="1799"/>
      <c r="I830" s="1799"/>
      <c r="J830" s="1799"/>
      <c r="K830" s="1799"/>
      <c r="L830" s="1799"/>
      <c r="M830" s="1799"/>
      <c r="N830" s="1799"/>
      <c r="O830" s="1799"/>
      <c r="P830" s="1799"/>
      <c r="Q830" s="1799"/>
      <c r="R830" s="1799"/>
      <c r="S830" s="1799"/>
      <c r="T830" s="1799"/>
      <c r="U830" s="1799"/>
      <c r="V830" s="1799"/>
      <c r="W830" s="1799"/>
      <c r="X830" s="1799"/>
      <c r="Y830" s="1799"/>
      <c r="Z830" s="1799"/>
    </row>
    <row r="831">
      <c r="A831" s="1799"/>
      <c r="B831" s="1799"/>
      <c r="C831" s="1799"/>
      <c r="D831" s="1812"/>
      <c r="E831" s="1799"/>
      <c r="F831" s="1813"/>
      <c r="G831" s="1814"/>
      <c r="H831" s="1799"/>
      <c r="I831" s="1799"/>
      <c r="J831" s="1799"/>
      <c r="K831" s="1799"/>
      <c r="L831" s="1799"/>
      <c r="M831" s="1799"/>
      <c r="N831" s="1799"/>
      <c r="O831" s="1799"/>
      <c r="P831" s="1799"/>
      <c r="Q831" s="1799"/>
      <c r="R831" s="1799"/>
      <c r="S831" s="1799"/>
      <c r="T831" s="1799"/>
      <c r="U831" s="1799"/>
      <c r="V831" s="1799"/>
      <c r="W831" s="1799"/>
      <c r="X831" s="1799"/>
      <c r="Y831" s="1799"/>
      <c r="Z831" s="1799"/>
    </row>
    <row r="832">
      <c r="A832" s="1799"/>
      <c r="B832" s="1799"/>
      <c r="C832" s="1799"/>
      <c r="D832" s="1812"/>
      <c r="E832" s="1799"/>
      <c r="F832" s="1813"/>
      <c r="G832" s="1814"/>
      <c r="H832" s="1799"/>
      <c r="I832" s="1799"/>
      <c r="J832" s="1799"/>
      <c r="K832" s="1799"/>
      <c r="L832" s="1799"/>
      <c r="M832" s="1799"/>
      <c r="N832" s="1799"/>
      <c r="O832" s="1799"/>
      <c r="P832" s="1799"/>
      <c r="Q832" s="1799"/>
      <c r="R832" s="1799"/>
      <c r="S832" s="1799"/>
      <c r="T832" s="1799"/>
      <c r="U832" s="1799"/>
      <c r="V832" s="1799"/>
      <c r="W832" s="1799"/>
      <c r="X832" s="1799"/>
      <c r="Y832" s="1799"/>
      <c r="Z832" s="1799"/>
    </row>
    <row r="833">
      <c r="A833" s="1799"/>
      <c r="B833" s="1799"/>
      <c r="C833" s="1799"/>
      <c r="D833" s="1812"/>
      <c r="E833" s="1799"/>
      <c r="F833" s="1813"/>
      <c r="G833" s="1814"/>
      <c r="H833" s="1799"/>
      <c r="I833" s="1799"/>
      <c r="J833" s="1799"/>
      <c r="K833" s="1799"/>
      <c r="L833" s="1799"/>
      <c r="M833" s="1799"/>
      <c r="N833" s="1799"/>
      <c r="O833" s="1799"/>
      <c r="P833" s="1799"/>
      <c r="Q833" s="1799"/>
      <c r="R833" s="1799"/>
      <c r="S833" s="1799"/>
      <c r="T833" s="1799"/>
      <c r="U833" s="1799"/>
      <c r="V833" s="1799"/>
      <c r="W833" s="1799"/>
      <c r="X833" s="1799"/>
      <c r="Y833" s="1799"/>
      <c r="Z833" s="1799"/>
    </row>
    <row r="834">
      <c r="A834" s="1799"/>
      <c r="B834" s="1799"/>
      <c r="C834" s="1799"/>
      <c r="D834" s="1812"/>
      <c r="E834" s="1799"/>
      <c r="F834" s="1813"/>
      <c r="G834" s="1814"/>
      <c r="H834" s="1799"/>
      <c r="I834" s="1799"/>
      <c r="J834" s="1799"/>
      <c r="K834" s="1799"/>
      <c r="L834" s="1799"/>
      <c r="M834" s="1799"/>
      <c r="N834" s="1799"/>
      <c r="O834" s="1799"/>
      <c r="P834" s="1799"/>
      <c r="Q834" s="1799"/>
      <c r="R834" s="1799"/>
      <c r="S834" s="1799"/>
      <c r="T834" s="1799"/>
      <c r="U834" s="1799"/>
      <c r="V834" s="1799"/>
      <c r="W834" s="1799"/>
      <c r="X834" s="1799"/>
      <c r="Y834" s="1799"/>
      <c r="Z834" s="1799"/>
    </row>
    <row r="835">
      <c r="A835" s="1799"/>
      <c r="B835" s="1799"/>
      <c r="C835" s="1799"/>
      <c r="D835" s="1812"/>
      <c r="E835" s="1799"/>
      <c r="F835" s="1813"/>
      <c r="G835" s="1814"/>
      <c r="H835" s="1799"/>
      <c r="I835" s="1799"/>
      <c r="J835" s="1799"/>
      <c r="K835" s="1799"/>
      <c r="L835" s="1799"/>
      <c r="M835" s="1799"/>
      <c r="N835" s="1799"/>
      <c r="O835" s="1799"/>
      <c r="P835" s="1799"/>
      <c r="Q835" s="1799"/>
      <c r="R835" s="1799"/>
      <c r="S835" s="1799"/>
      <c r="T835" s="1799"/>
      <c r="U835" s="1799"/>
      <c r="V835" s="1799"/>
      <c r="W835" s="1799"/>
      <c r="X835" s="1799"/>
      <c r="Y835" s="1799"/>
      <c r="Z835" s="1799"/>
    </row>
    <row r="836">
      <c r="A836" s="1799"/>
      <c r="B836" s="1799"/>
      <c r="C836" s="1799"/>
      <c r="D836" s="1812"/>
      <c r="E836" s="1799"/>
      <c r="F836" s="1813"/>
      <c r="G836" s="1814"/>
      <c r="H836" s="1799"/>
      <c r="I836" s="1799"/>
      <c r="J836" s="1799"/>
      <c r="K836" s="1799"/>
      <c r="L836" s="1799"/>
      <c r="M836" s="1799"/>
      <c r="N836" s="1799"/>
      <c r="O836" s="1799"/>
      <c r="P836" s="1799"/>
      <c r="Q836" s="1799"/>
      <c r="R836" s="1799"/>
      <c r="S836" s="1799"/>
      <c r="T836" s="1799"/>
      <c r="U836" s="1799"/>
      <c r="V836" s="1799"/>
      <c r="W836" s="1799"/>
      <c r="X836" s="1799"/>
      <c r="Y836" s="1799"/>
      <c r="Z836" s="1799"/>
    </row>
    <row r="837">
      <c r="A837" s="1799"/>
      <c r="B837" s="1799"/>
      <c r="C837" s="1799"/>
      <c r="D837" s="1812"/>
      <c r="E837" s="1799"/>
      <c r="F837" s="1813"/>
      <c r="G837" s="1814"/>
      <c r="H837" s="1799"/>
      <c r="I837" s="1799"/>
      <c r="J837" s="1799"/>
      <c r="K837" s="1799"/>
      <c r="L837" s="1799"/>
      <c r="M837" s="1799"/>
      <c r="N837" s="1799"/>
      <c r="O837" s="1799"/>
      <c r="P837" s="1799"/>
      <c r="Q837" s="1799"/>
      <c r="R837" s="1799"/>
      <c r="S837" s="1799"/>
      <c r="T837" s="1799"/>
      <c r="U837" s="1799"/>
      <c r="V837" s="1799"/>
      <c r="W837" s="1799"/>
      <c r="X837" s="1799"/>
      <c r="Y837" s="1799"/>
      <c r="Z837" s="1799"/>
    </row>
    <row r="838">
      <c r="A838" s="1799"/>
      <c r="B838" s="1799"/>
      <c r="C838" s="1799"/>
      <c r="D838" s="1812"/>
      <c r="E838" s="1799"/>
      <c r="F838" s="1813"/>
      <c r="G838" s="1814"/>
      <c r="H838" s="1799"/>
      <c r="I838" s="1799"/>
      <c r="J838" s="1799"/>
      <c r="K838" s="1799"/>
      <c r="L838" s="1799"/>
      <c r="M838" s="1799"/>
      <c r="N838" s="1799"/>
      <c r="O838" s="1799"/>
      <c r="P838" s="1799"/>
      <c r="Q838" s="1799"/>
      <c r="R838" s="1799"/>
      <c r="S838" s="1799"/>
      <c r="T838" s="1799"/>
      <c r="U838" s="1799"/>
      <c r="V838" s="1799"/>
      <c r="W838" s="1799"/>
      <c r="X838" s="1799"/>
      <c r="Y838" s="1799"/>
      <c r="Z838" s="1799"/>
    </row>
    <row r="839">
      <c r="A839" s="1799"/>
      <c r="B839" s="1799"/>
      <c r="C839" s="1799"/>
      <c r="D839" s="1812"/>
      <c r="E839" s="1799"/>
      <c r="F839" s="1813"/>
      <c r="G839" s="1814"/>
      <c r="H839" s="1799"/>
      <c r="I839" s="1799"/>
      <c r="J839" s="1799"/>
      <c r="K839" s="1799"/>
      <c r="L839" s="1799"/>
      <c r="M839" s="1799"/>
      <c r="N839" s="1799"/>
      <c r="O839" s="1799"/>
      <c r="P839" s="1799"/>
      <c r="Q839" s="1799"/>
      <c r="R839" s="1799"/>
      <c r="S839" s="1799"/>
      <c r="T839" s="1799"/>
      <c r="U839" s="1799"/>
      <c r="V839" s="1799"/>
      <c r="W839" s="1799"/>
      <c r="X839" s="1799"/>
      <c r="Y839" s="1799"/>
      <c r="Z839" s="1799"/>
    </row>
    <row r="840">
      <c r="A840" s="1799"/>
      <c r="B840" s="1799"/>
      <c r="C840" s="1799"/>
      <c r="D840" s="1812"/>
      <c r="E840" s="1799"/>
      <c r="F840" s="1813"/>
      <c r="G840" s="1814"/>
      <c r="H840" s="1799"/>
      <c r="I840" s="1799"/>
      <c r="J840" s="1799"/>
      <c r="K840" s="1799"/>
      <c r="L840" s="1799"/>
      <c r="M840" s="1799"/>
      <c r="N840" s="1799"/>
      <c r="O840" s="1799"/>
      <c r="P840" s="1799"/>
      <c r="Q840" s="1799"/>
      <c r="R840" s="1799"/>
      <c r="S840" s="1799"/>
      <c r="T840" s="1799"/>
      <c r="U840" s="1799"/>
      <c r="V840" s="1799"/>
      <c r="W840" s="1799"/>
      <c r="X840" s="1799"/>
      <c r="Y840" s="1799"/>
      <c r="Z840" s="1799"/>
    </row>
    <row r="841">
      <c r="A841" s="1799"/>
      <c r="B841" s="1799"/>
      <c r="C841" s="1799"/>
      <c r="D841" s="1812"/>
      <c r="E841" s="1799"/>
      <c r="F841" s="1813"/>
      <c r="G841" s="1814"/>
      <c r="H841" s="1799"/>
      <c r="I841" s="1799"/>
      <c r="J841" s="1799"/>
      <c r="K841" s="1799"/>
      <c r="L841" s="1799"/>
      <c r="M841" s="1799"/>
      <c r="N841" s="1799"/>
      <c r="O841" s="1799"/>
      <c r="P841" s="1799"/>
      <c r="Q841" s="1799"/>
      <c r="R841" s="1799"/>
      <c r="S841" s="1799"/>
      <c r="T841" s="1799"/>
      <c r="U841" s="1799"/>
      <c r="V841" s="1799"/>
      <c r="W841" s="1799"/>
      <c r="X841" s="1799"/>
      <c r="Y841" s="1799"/>
      <c r="Z841" s="1799"/>
    </row>
    <row r="842">
      <c r="A842" s="1799"/>
      <c r="B842" s="1799"/>
      <c r="C842" s="1799"/>
      <c r="D842" s="1812"/>
      <c r="E842" s="1799"/>
      <c r="F842" s="1813"/>
      <c r="G842" s="1814"/>
      <c r="H842" s="1799"/>
      <c r="I842" s="1799"/>
      <c r="J842" s="1799"/>
      <c r="K842" s="1799"/>
      <c r="L842" s="1799"/>
      <c r="M842" s="1799"/>
      <c r="N842" s="1799"/>
      <c r="O842" s="1799"/>
      <c r="P842" s="1799"/>
      <c r="Q842" s="1799"/>
      <c r="R842" s="1799"/>
      <c r="S842" s="1799"/>
      <c r="T842" s="1799"/>
      <c r="U842" s="1799"/>
      <c r="V842" s="1799"/>
      <c r="W842" s="1799"/>
      <c r="X842" s="1799"/>
      <c r="Y842" s="1799"/>
      <c r="Z842" s="1799"/>
    </row>
    <row r="843">
      <c r="A843" s="1799"/>
      <c r="B843" s="1799"/>
      <c r="C843" s="1799"/>
      <c r="D843" s="1812"/>
      <c r="E843" s="1799"/>
      <c r="F843" s="1813"/>
      <c r="G843" s="1814"/>
      <c r="H843" s="1799"/>
      <c r="I843" s="1799"/>
      <c r="J843" s="1799"/>
      <c r="K843" s="1799"/>
      <c r="L843" s="1799"/>
      <c r="M843" s="1799"/>
      <c r="N843" s="1799"/>
      <c r="O843" s="1799"/>
      <c r="P843" s="1799"/>
      <c r="Q843" s="1799"/>
      <c r="R843" s="1799"/>
      <c r="S843" s="1799"/>
      <c r="T843" s="1799"/>
      <c r="U843" s="1799"/>
      <c r="V843" s="1799"/>
      <c r="W843" s="1799"/>
      <c r="X843" s="1799"/>
      <c r="Y843" s="1799"/>
      <c r="Z843" s="1799"/>
    </row>
    <row r="844">
      <c r="A844" s="1799"/>
      <c r="B844" s="1799"/>
      <c r="C844" s="1799"/>
      <c r="D844" s="1812"/>
      <c r="E844" s="1799"/>
      <c r="F844" s="1813"/>
      <c r="G844" s="1814"/>
      <c r="H844" s="1799"/>
      <c r="I844" s="1799"/>
      <c r="J844" s="1799"/>
      <c r="K844" s="1799"/>
      <c r="L844" s="1799"/>
      <c r="M844" s="1799"/>
      <c r="N844" s="1799"/>
      <c r="O844" s="1799"/>
      <c r="P844" s="1799"/>
      <c r="Q844" s="1799"/>
      <c r="R844" s="1799"/>
      <c r="S844" s="1799"/>
      <c r="T844" s="1799"/>
      <c r="U844" s="1799"/>
      <c r="V844" s="1799"/>
      <c r="W844" s="1799"/>
      <c r="X844" s="1799"/>
      <c r="Y844" s="1799"/>
      <c r="Z844" s="1799"/>
    </row>
    <row r="845">
      <c r="A845" s="1799"/>
      <c r="B845" s="1799"/>
      <c r="C845" s="1799"/>
      <c r="D845" s="1812"/>
      <c r="E845" s="1799"/>
      <c r="F845" s="1813"/>
      <c r="G845" s="1814"/>
      <c r="H845" s="1799"/>
      <c r="I845" s="1799"/>
      <c r="J845" s="1799"/>
      <c r="K845" s="1799"/>
      <c r="L845" s="1799"/>
      <c r="M845" s="1799"/>
      <c r="N845" s="1799"/>
      <c r="O845" s="1799"/>
      <c r="P845" s="1799"/>
      <c r="Q845" s="1799"/>
      <c r="R845" s="1799"/>
      <c r="S845" s="1799"/>
      <c r="T845" s="1799"/>
      <c r="U845" s="1799"/>
      <c r="V845" s="1799"/>
      <c r="W845" s="1799"/>
      <c r="X845" s="1799"/>
      <c r="Y845" s="1799"/>
      <c r="Z845" s="1799"/>
    </row>
    <row r="846">
      <c r="A846" s="1799"/>
      <c r="B846" s="1799"/>
      <c r="C846" s="1799"/>
      <c r="D846" s="1812"/>
      <c r="E846" s="1799"/>
      <c r="F846" s="1813"/>
      <c r="G846" s="1814"/>
      <c r="H846" s="1799"/>
      <c r="I846" s="1799"/>
      <c r="J846" s="1799"/>
      <c r="K846" s="1799"/>
      <c r="L846" s="1799"/>
      <c r="M846" s="1799"/>
      <c r="N846" s="1799"/>
      <c r="O846" s="1799"/>
      <c r="P846" s="1799"/>
      <c r="Q846" s="1799"/>
      <c r="R846" s="1799"/>
      <c r="S846" s="1799"/>
      <c r="T846" s="1799"/>
      <c r="U846" s="1799"/>
      <c r="V846" s="1799"/>
      <c r="W846" s="1799"/>
      <c r="X846" s="1799"/>
      <c r="Y846" s="1799"/>
      <c r="Z846" s="1799"/>
    </row>
    <row r="847">
      <c r="A847" s="1799"/>
      <c r="B847" s="1799"/>
      <c r="C847" s="1799"/>
      <c r="D847" s="1812"/>
      <c r="E847" s="1799"/>
      <c r="F847" s="1813"/>
      <c r="G847" s="1814"/>
      <c r="H847" s="1799"/>
      <c r="I847" s="1799"/>
      <c r="J847" s="1799"/>
      <c r="K847" s="1799"/>
      <c r="L847" s="1799"/>
      <c r="M847" s="1799"/>
      <c r="N847" s="1799"/>
      <c r="O847" s="1799"/>
      <c r="P847" s="1799"/>
      <c r="Q847" s="1799"/>
      <c r="R847" s="1799"/>
      <c r="S847" s="1799"/>
      <c r="T847" s="1799"/>
      <c r="U847" s="1799"/>
      <c r="V847" s="1799"/>
      <c r="W847" s="1799"/>
      <c r="X847" s="1799"/>
      <c r="Y847" s="1799"/>
      <c r="Z847" s="1799"/>
    </row>
    <row r="848">
      <c r="A848" s="1799"/>
      <c r="B848" s="1799"/>
      <c r="C848" s="1799"/>
      <c r="D848" s="1812"/>
      <c r="E848" s="1799"/>
      <c r="F848" s="1813"/>
      <c r="G848" s="1814"/>
      <c r="H848" s="1799"/>
      <c r="I848" s="1799"/>
      <c r="J848" s="1799"/>
      <c r="K848" s="1799"/>
      <c r="L848" s="1799"/>
      <c r="M848" s="1799"/>
      <c r="N848" s="1799"/>
      <c r="O848" s="1799"/>
      <c r="P848" s="1799"/>
      <c r="Q848" s="1799"/>
      <c r="R848" s="1799"/>
      <c r="S848" s="1799"/>
      <c r="T848" s="1799"/>
      <c r="U848" s="1799"/>
      <c r="V848" s="1799"/>
      <c r="W848" s="1799"/>
      <c r="X848" s="1799"/>
      <c r="Y848" s="1799"/>
      <c r="Z848" s="1799"/>
    </row>
    <row r="849">
      <c r="A849" s="1799"/>
      <c r="B849" s="1799"/>
      <c r="C849" s="1799"/>
      <c r="D849" s="1812"/>
      <c r="E849" s="1799"/>
      <c r="F849" s="1813"/>
      <c r="G849" s="1814"/>
      <c r="H849" s="1799"/>
      <c r="I849" s="1799"/>
      <c r="J849" s="1799"/>
      <c r="K849" s="1799"/>
      <c r="L849" s="1799"/>
      <c r="M849" s="1799"/>
      <c r="N849" s="1799"/>
      <c r="O849" s="1799"/>
      <c r="P849" s="1799"/>
      <c r="Q849" s="1799"/>
      <c r="R849" s="1799"/>
      <c r="S849" s="1799"/>
      <c r="T849" s="1799"/>
      <c r="U849" s="1799"/>
      <c r="V849" s="1799"/>
      <c r="W849" s="1799"/>
      <c r="X849" s="1799"/>
      <c r="Y849" s="1799"/>
      <c r="Z849" s="1799"/>
    </row>
    <row r="850">
      <c r="A850" s="1799"/>
      <c r="B850" s="1799"/>
      <c r="C850" s="1799"/>
      <c r="D850" s="1812"/>
      <c r="E850" s="1799"/>
      <c r="F850" s="1813"/>
      <c r="G850" s="1814"/>
      <c r="H850" s="1799"/>
      <c r="I850" s="1799"/>
      <c r="J850" s="1799"/>
      <c r="K850" s="1799"/>
      <c r="L850" s="1799"/>
      <c r="M850" s="1799"/>
      <c r="N850" s="1799"/>
      <c r="O850" s="1799"/>
      <c r="P850" s="1799"/>
      <c r="Q850" s="1799"/>
      <c r="R850" s="1799"/>
      <c r="S850" s="1799"/>
      <c r="T850" s="1799"/>
      <c r="U850" s="1799"/>
      <c r="V850" s="1799"/>
      <c r="W850" s="1799"/>
      <c r="X850" s="1799"/>
      <c r="Y850" s="1799"/>
      <c r="Z850" s="1799"/>
    </row>
    <row r="851">
      <c r="A851" s="1799"/>
      <c r="B851" s="1799"/>
      <c r="C851" s="1799"/>
      <c r="D851" s="1812"/>
      <c r="E851" s="1799"/>
      <c r="F851" s="1813"/>
      <c r="G851" s="1814"/>
      <c r="H851" s="1799"/>
      <c r="I851" s="1799"/>
      <c r="J851" s="1799"/>
      <c r="K851" s="1799"/>
      <c r="L851" s="1799"/>
      <c r="M851" s="1799"/>
      <c r="N851" s="1799"/>
      <c r="O851" s="1799"/>
      <c r="P851" s="1799"/>
      <c r="Q851" s="1799"/>
      <c r="R851" s="1799"/>
      <c r="S851" s="1799"/>
      <c r="T851" s="1799"/>
      <c r="U851" s="1799"/>
      <c r="V851" s="1799"/>
      <c r="W851" s="1799"/>
      <c r="X851" s="1799"/>
      <c r="Y851" s="1799"/>
      <c r="Z851" s="1799"/>
    </row>
    <row r="852">
      <c r="A852" s="1799"/>
      <c r="B852" s="1799"/>
      <c r="C852" s="1799"/>
      <c r="D852" s="1812"/>
      <c r="E852" s="1799"/>
      <c r="F852" s="1813"/>
      <c r="G852" s="1814"/>
      <c r="H852" s="1799"/>
      <c r="I852" s="1799"/>
      <c r="J852" s="1799"/>
      <c r="K852" s="1799"/>
      <c r="L852" s="1799"/>
      <c r="M852" s="1799"/>
      <c r="N852" s="1799"/>
      <c r="O852" s="1799"/>
      <c r="P852" s="1799"/>
      <c r="Q852" s="1799"/>
      <c r="R852" s="1799"/>
      <c r="S852" s="1799"/>
      <c r="T852" s="1799"/>
      <c r="U852" s="1799"/>
      <c r="V852" s="1799"/>
      <c r="W852" s="1799"/>
      <c r="X852" s="1799"/>
      <c r="Y852" s="1799"/>
      <c r="Z852" s="1799"/>
    </row>
    <row r="853">
      <c r="A853" s="1799"/>
      <c r="B853" s="1799"/>
      <c r="C853" s="1799"/>
      <c r="D853" s="1812"/>
      <c r="E853" s="1799"/>
      <c r="F853" s="1813"/>
      <c r="G853" s="1814"/>
      <c r="H853" s="1799"/>
      <c r="I853" s="1799"/>
      <c r="J853" s="1799"/>
      <c r="K853" s="1799"/>
      <c r="L853" s="1799"/>
      <c r="M853" s="1799"/>
      <c r="N853" s="1799"/>
      <c r="O853" s="1799"/>
      <c r="P853" s="1799"/>
      <c r="Q853" s="1799"/>
      <c r="R853" s="1799"/>
      <c r="S853" s="1799"/>
      <c r="T853" s="1799"/>
      <c r="U853" s="1799"/>
      <c r="V853" s="1799"/>
      <c r="W853" s="1799"/>
      <c r="X853" s="1799"/>
      <c r="Y853" s="1799"/>
      <c r="Z853" s="1799"/>
    </row>
    <row r="854">
      <c r="A854" s="1799"/>
      <c r="B854" s="1799"/>
      <c r="C854" s="1799"/>
      <c r="D854" s="1812"/>
      <c r="E854" s="1799"/>
      <c r="F854" s="1813"/>
      <c r="G854" s="1814"/>
      <c r="H854" s="1799"/>
      <c r="I854" s="1799"/>
      <c r="J854" s="1799"/>
      <c r="K854" s="1799"/>
      <c r="L854" s="1799"/>
      <c r="M854" s="1799"/>
      <c r="N854" s="1799"/>
      <c r="O854" s="1799"/>
      <c r="P854" s="1799"/>
      <c r="Q854" s="1799"/>
      <c r="R854" s="1799"/>
      <c r="S854" s="1799"/>
      <c r="T854" s="1799"/>
      <c r="U854" s="1799"/>
      <c r="V854" s="1799"/>
      <c r="W854" s="1799"/>
      <c r="X854" s="1799"/>
      <c r="Y854" s="1799"/>
      <c r="Z854" s="1799"/>
    </row>
    <row r="855">
      <c r="A855" s="1799"/>
      <c r="B855" s="1799"/>
      <c r="C855" s="1799"/>
      <c r="D855" s="1812"/>
      <c r="E855" s="1799"/>
      <c r="F855" s="1813"/>
      <c r="G855" s="1814"/>
      <c r="H855" s="1799"/>
      <c r="I855" s="1799"/>
      <c r="J855" s="1799"/>
      <c r="K855" s="1799"/>
      <c r="L855" s="1799"/>
      <c r="M855" s="1799"/>
      <c r="N855" s="1799"/>
      <c r="O855" s="1799"/>
      <c r="P855" s="1799"/>
      <c r="Q855" s="1799"/>
      <c r="R855" s="1799"/>
      <c r="S855" s="1799"/>
      <c r="T855" s="1799"/>
      <c r="U855" s="1799"/>
      <c r="V855" s="1799"/>
      <c r="W855" s="1799"/>
      <c r="X855" s="1799"/>
      <c r="Y855" s="1799"/>
      <c r="Z855" s="1799"/>
    </row>
    <row r="856">
      <c r="A856" s="1799"/>
      <c r="B856" s="1799"/>
      <c r="C856" s="1799"/>
      <c r="D856" s="1812"/>
      <c r="E856" s="1799"/>
      <c r="F856" s="1813"/>
      <c r="G856" s="1814"/>
      <c r="H856" s="1799"/>
      <c r="I856" s="1799"/>
      <c r="J856" s="1799"/>
      <c r="K856" s="1799"/>
      <c r="L856" s="1799"/>
      <c r="M856" s="1799"/>
      <c r="N856" s="1799"/>
      <c r="O856" s="1799"/>
      <c r="P856" s="1799"/>
      <c r="Q856" s="1799"/>
      <c r="R856" s="1799"/>
      <c r="S856" s="1799"/>
      <c r="T856" s="1799"/>
      <c r="U856" s="1799"/>
      <c r="V856" s="1799"/>
      <c r="W856" s="1799"/>
      <c r="X856" s="1799"/>
      <c r="Y856" s="1799"/>
      <c r="Z856" s="1799"/>
    </row>
    <row r="857">
      <c r="A857" s="1799"/>
      <c r="B857" s="1799"/>
      <c r="C857" s="1799"/>
      <c r="D857" s="1812"/>
      <c r="E857" s="1799"/>
      <c r="F857" s="1813"/>
      <c r="G857" s="1814"/>
      <c r="H857" s="1799"/>
      <c r="I857" s="1799"/>
      <c r="J857" s="1799"/>
      <c r="K857" s="1799"/>
      <c r="L857" s="1799"/>
      <c r="M857" s="1799"/>
      <c r="N857" s="1799"/>
      <c r="O857" s="1799"/>
      <c r="P857" s="1799"/>
      <c r="Q857" s="1799"/>
      <c r="R857" s="1799"/>
      <c r="S857" s="1799"/>
      <c r="T857" s="1799"/>
      <c r="U857" s="1799"/>
      <c r="V857" s="1799"/>
      <c r="W857" s="1799"/>
      <c r="X857" s="1799"/>
      <c r="Y857" s="1799"/>
      <c r="Z857" s="1799"/>
    </row>
    <row r="858">
      <c r="A858" s="1799"/>
      <c r="B858" s="1799"/>
      <c r="C858" s="1799"/>
      <c r="D858" s="1812"/>
      <c r="E858" s="1799"/>
      <c r="F858" s="1813"/>
      <c r="G858" s="1814"/>
      <c r="H858" s="1799"/>
      <c r="I858" s="1799"/>
      <c r="J858" s="1799"/>
      <c r="K858" s="1799"/>
      <c r="L858" s="1799"/>
      <c r="M858" s="1799"/>
      <c r="N858" s="1799"/>
      <c r="O858" s="1799"/>
      <c r="P858" s="1799"/>
      <c r="Q858" s="1799"/>
      <c r="R858" s="1799"/>
      <c r="S858" s="1799"/>
      <c r="T858" s="1799"/>
      <c r="U858" s="1799"/>
      <c r="V858" s="1799"/>
      <c r="W858" s="1799"/>
      <c r="X858" s="1799"/>
      <c r="Y858" s="1799"/>
      <c r="Z858" s="1799"/>
    </row>
    <row r="859">
      <c r="A859" s="1799"/>
      <c r="B859" s="1799"/>
      <c r="C859" s="1799"/>
      <c r="D859" s="1812"/>
      <c r="E859" s="1799"/>
      <c r="F859" s="1813"/>
      <c r="G859" s="1814"/>
      <c r="H859" s="1799"/>
      <c r="I859" s="1799"/>
      <c r="J859" s="1799"/>
      <c r="K859" s="1799"/>
      <c r="L859" s="1799"/>
      <c r="M859" s="1799"/>
      <c r="N859" s="1799"/>
      <c r="O859" s="1799"/>
      <c r="P859" s="1799"/>
      <c r="Q859" s="1799"/>
      <c r="R859" s="1799"/>
      <c r="S859" s="1799"/>
      <c r="T859" s="1799"/>
      <c r="U859" s="1799"/>
      <c r="V859" s="1799"/>
      <c r="W859" s="1799"/>
      <c r="X859" s="1799"/>
      <c r="Y859" s="1799"/>
      <c r="Z859" s="1799"/>
    </row>
    <row r="860">
      <c r="A860" s="1799"/>
      <c r="B860" s="1799"/>
      <c r="C860" s="1799"/>
      <c r="D860" s="1812"/>
      <c r="E860" s="1799"/>
      <c r="F860" s="1813"/>
      <c r="G860" s="1814"/>
      <c r="H860" s="1799"/>
      <c r="I860" s="1799"/>
      <c r="J860" s="1799"/>
      <c r="K860" s="1799"/>
      <c r="L860" s="1799"/>
      <c r="M860" s="1799"/>
      <c r="N860" s="1799"/>
      <c r="O860" s="1799"/>
      <c r="P860" s="1799"/>
      <c r="Q860" s="1799"/>
      <c r="R860" s="1799"/>
      <c r="S860" s="1799"/>
      <c r="T860" s="1799"/>
      <c r="U860" s="1799"/>
      <c r="V860" s="1799"/>
      <c r="W860" s="1799"/>
      <c r="X860" s="1799"/>
      <c r="Y860" s="1799"/>
      <c r="Z860" s="1799"/>
    </row>
    <row r="861">
      <c r="A861" s="1799"/>
      <c r="B861" s="1799"/>
      <c r="C861" s="1799"/>
      <c r="D861" s="1812"/>
      <c r="E861" s="1799"/>
      <c r="F861" s="1813"/>
      <c r="G861" s="1814"/>
      <c r="H861" s="1799"/>
      <c r="I861" s="1799"/>
      <c r="J861" s="1799"/>
      <c r="K861" s="1799"/>
      <c r="L861" s="1799"/>
      <c r="M861" s="1799"/>
      <c r="N861" s="1799"/>
      <c r="O861" s="1799"/>
      <c r="P861" s="1799"/>
      <c r="Q861" s="1799"/>
      <c r="R861" s="1799"/>
      <c r="S861" s="1799"/>
      <c r="T861" s="1799"/>
      <c r="U861" s="1799"/>
      <c r="V861" s="1799"/>
      <c r="W861" s="1799"/>
      <c r="X861" s="1799"/>
      <c r="Y861" s="1799"/>
      <c r="Z861" s="1799"/>
    </row>
    <row r="862">
      <c r="A862" s="1799"/>
      <c r="B862" s="1799"/>
      <c r="C862" s="1799"/>
      <c r="D862" s="1812"/>
      <c r="E862" s="1799"/>
      <c r="F862" s="1813"/>
      <c r="G862" s="1814"/>
      <c r="H862" s="1799"/>
      <c r="I862" s="1799"/>
      <c r="J862" s="1799"/>
      <c r="K862" s="1799"/>
      <c r="L862" s="1799"/>
      <c r="M862" s="1799"/>
      <c r="N862" s="1799"/>
      <c r="O862" s="1799"/>
      <c r="P862" s="1799"/>
      <c r="Q862" s="1799"/>
      <c r="R862" s="1799"/>
      <c r="S862" s="1799"/>
      <c r="T862" s="1799"/>
      <c r="U862" s="1799"/>
      <c r="V862" s="1799"/>
      <c r="W862" s="1799"/>
      <c r="X862" s="1799"/>
      <c r="Y862" s="1799"/>
      <c r="Z862" s="1799"/>
    </row>
    <row r="863">
      <c r="A863" s="1799"/>
      <c r="B863" s="1799"/>
      <c r="C863" s="1799"/>
      <c r="D863" s="1812"/>
      <c r="E863" s="1799"/>
      <c r="F863" s="1813"/>
      <c r="G863" s="1814"/>
      <c r="H863" s="1799"/>
      <c r="I863" s="1799"/>
      <c r="J863" s="1799"/>
      <c r="K863" s="1799"/>
      <c r="L863" s="1799"/>
      <c r="M863" s="1799"/>
      <c r="N863" s="1799"/>
      <c r="O863" s="1799"/>
      <c r="P863" s="1799"/>
      <c r="Q863" s="1799"/>
      <c r="R863" s="1799"/>
      <c r="S863" s="1799"/>
      <c r="T863" s="1799"/>
      <c r="U863" s="1799"/>
      <c r="V863" s="1799"/>
      <c r="W863" s="1799"/>
      <c r="X863" s="1799"/>
      <c r="Y863" s="1799"/>
      <c r="Z863" s="1799"/>
    </row>
    <row r="864">
      <c r="A864" s="1799"/>
      <c r="B864" s="1799"/>
      <c r="C864" s="1799"/>
      <c r="D864" s="1812"/>
      <c r="E864" s="1799"/>
      <c r="F864" s="1813"/>
      <c r="G864" s="1814"/>
      <c r="H864" s="1799"/>
      <c r="I864" s="1799"/>
      <c r="J864" s="1799"/>
      <c r="K864" s="1799"/>
      <c r="L864" s="1799"/>
      <c r="M864" s="1799"/>
      <c r="N864" s="1799"/>
      <c r="O864" s="1799"/>
      <c r="P864" s="1799"/>
      <c r="Q864" s="1799"/>
      <c r="R864" s="1799"/>
      <c r="S864" s="1799"/>
      <c r="T864" s="1799"/>
      <c r="U864" s="1799"/>
      <c r="V864" s="1799"/>
      <c r="W864" s="1799"/>
      <c r="X864" s="1799"/>
      <c r="Y864" s="1799"/>
      <c r="Z864" s="1799"/>
    </row>
    <row r="865">
      <c r="A865" s="1799"/>
      <c r="B865" s="1799"/>
      <c r="C865" s="1799"/>
      <c r="D865" s="1812"/>
      <c r="E865" s="1799"/>
      <c r="F865" s="1813"/>
      <c r="G865" s="1814"/>
      <c r="H865" s="1799"/>
      <c r="I865" s="1799"/>
      <c r="J865" s="1799"/>
      <c r="K865" s="1799"/>
      <c r="L865" s="1799"/>
      <c r="M865" s="1799"/>
      <c r="N865" s="1799"/>
      <c r="O865" s="1799"/>
      <c r="P865" s="1799"/>
      <c r="Q865" s="1799"/>
      <c r="R865" s="1799"/>
      <c r="S865" s="1799"/>
      <c r="T865" s="1799"/>
      <c r="U865" s="1799"/>
      <c r="V865" s="1799"/>
      <c r="W865" s="1799"/>
      <c r="X865" s="1799"/>
      <c r="Y865" s="1799"/>
      <c r="Z865" s="1799"/>
    </row>
    <row r="866">
      <c r="A866" s="1799"/>
      <c r="B866" s="1799"/>
      <c r="C866" s="1799"/>
      <c r="D866" s="1812"/>
      <c r="E866" s="1799"/>
      <c r="F866" s="1813"/>
      <c r="G866" s="1814"/>
      <c r="H866" s="1799"/>
      <c r="I866" s="1799"/>
      <c r="J866" s="1799"/>
      <c r="K866" s="1799"/>
      <c r="L866" s="1799"/>
      <c r="M866" s="1799"/>
      <c r="N866" s="1799"/>
      <c r="O866" s="1799"/>
      <c r="P866" s="1799"/>
      <c r="Q866" s="1799"/>
      <c r="R866" s="1799"/>
      <c r="S866" s="1799"/>
      <c r="T866" s="1799"/>
      <c r="U866" s="1799"/>
      <c r="V866" s="1799"/>
      <c r="W866" s="1799"/>
      <c r="X866" s="1799"/>
      <c r="Y866" s="1799"/>
      <c r="Z866" s="1799"/>
    </row>
    <row r="867">
      <c r="A867" s="1799"/>
      <c r="B867" s="1799"/>
      <c r="C867" s="1799"/>
      <c r="D867" s="1812"/>
      <c r="E867" s="1799"/>
      <c r="F867" s="1813"/>
      <c r="G867" s="1814"/>
      <c r="H867" s="1799"/>
      <c r="I867" s="1799"/>
      <c r="J867" s="1799"/>
      <c r="K867" s="1799"/>
      <c r="L867" s="1799"/>
      <c r="M867" s="1799"/>
      <c r="N867" s="1799"/>
      <c r="O867" s="1799"/>
      <c r="P867" s="1799"/>
      <c r="Q867" s="1799"/>
      <c r="R867" s="1799"/>
      <c r="S867" s="1799"/>
      <c r="T867" s="1799"/>
      <c r="U867" s="1799"/>
      <c r="V867" s="1799"/>
      <c r="W867" s="1799"/>
      <c r="X867" s="1799"/>
      <c r="Y867" s="1799"/>
      <c r="Z867" s="1799"/>
    </row>
    <row r="868">
      <c r="A868" s="1799"/>
      <c r="B868" s="1799"/>
      <c r="C868" s="1799"/>
      <c r="D868" s="1812"/>
      <c r="E868" s="1799"/>
      <c r="F868" s="1813"/>
      <c r="G868" s="1814"/>
      <c r="H868" s="1799"/>
      <c r="I868" s="1799"/>
      <c r="J868" s="1799"/>
      <c r="K868" s="1799"/>
      <c r="L868" s="1799"/>
      <c r="M868" s="1799"/>
      <c r="N868" s="1799"/>
      <c r="O868" s="1799"/>
      <c r="P868" s="1799"/>
      <c r="Q868" s="1799"/>
      <c r="R868" s="1799"/>
      <c r="S868" s="1799"/>
      <c r="T868" s="1799"/>
      <c r="U868" s="1799"/>
      <c r="V868" s="1799"/>
      <c r="W868" s="1799"/>
      <c r="X868" s="1799"/>
      <c r="Y868" s="1799"/>
      <c r="Z868" s="1799"/>
    </row>
    <row r="869">
      <c r="A869" s="1799"/>
      <c r="B869" s="1799"/>
      <c r="C869" s="1799"/>
      <c r="D869" s="1812"/>
      <c r="E869" s="1799"/>
      <c r="F869" s="1813"/>
      <c r="G869" s="1814"/>
      <c r="H869" s="1799"/>
      <c r="I869" s="1799"/>
      <c r="J869" s="1799"/>
      <c r="K869" s="1799"/>
      <c r="L869" s="1799"/>
      <c r="M869" s="1799"/>
      <c r="N869" s="1799"/>
      <c r="O869" s="1799"/>
      <c r="P869" s="1799"/>
      <c r="Q869" s="1799"/>
      <c r="R869" s="1799"/>
      <c r="S869" s="1799"/>
      <c r="T869" s="1799"/>
      <c r="U869" s="1799"/>
      <c r="V869" s="1799"/>
      <c r="W869" s="1799"/>
      <c r="X869" s="1799"/>
      <c r="Y869" s="1799"/>
      <c r="Z869" s="1799"/>
    </row>
    <row r="870">
      <c r="A870" s="1799"/>
      <c r="B870" s="1799"/>
      <c r="C870" s="1799"/>
      <c r="D870" s="1812"/>
      <c r="E870" s="1799"/>
      <c r="F870" s="1813"/>
      <c r="G870" s="1814"/>
      <c r="H870" s="1799"/>
      <c r="I870" s="1799"/>
      <c r="J870" s="1799"/>
      <c r="K870" s="1799"/>
      <c r="L870" s="1799"/>
      <c r="M870" s="1799"/>
      <c r="N870" s="1799"/>
      <c r="O870" s="1799"/>
      <c r="P870" s="1799"/>
      <c r="Q870" s="1799"/>
      <c r="R870" s="1799"/>
      <c r="S870" s="1799"/>
      <c r="T870" s="1799"/>
      <c r="U870" s="1799"/>
      <c r="V870" s="1799"/>
      <c r="W870" s="1799"/>
      <c r="X870" s="1799"/>
      <c r="Y870" s="1799"/>
      <c r="Z870" s="1799"/>
    </row>
    <row r="871">
      <c r="A871" s="1799"/>
      <c r="B871" s="1799"/>
      <c r="C871" s="1799"/>
      <c r="D871" s="1812"/>
      <c r="E871" s="1799"/>
      <c r="F871" s="1813"/>
      <c r="G871" s="1814"/>
      <c r="H871" s="1799"/>
      <c r="I871" s="1799"/>
      <c r="J871" s="1799"/>
      <c r="K871" s="1799"/>
      <c r="L871" s="1799"/>
      <c r="M871" s="1799"/>
      <c r="N871" s="1799"/>
      <c r="O871" s="1799"/>
      <c r="P871" s="1799"/>
      <c r="Q871" s="1799"/>
      <c r="R871" s="1799"/>
      <c r="S871" s="1799"/>
      <c r="T871" s="1799"/>
      <c r="U871" s="1799"/>
      <c r="V871" s="1799"/>
      <c r="W871" s="1799"/>
      <c r="X871" s="1799"/>
      <c r="Y871" s="1799"/>
      <c r="Z871" s="1799"/>
    </row>
    <row r="872">
      <c r="A872" s="1799"/>
      <c r="B872" s="1799"/>
      <c r="C872" s="1799"/>
      <c r="D872" s="1812"/>
      <c r="E872" s="1799"/>
      <c r="F872" s="1813"/>
      <c r="G872" s="1814"/>
      <c r="H872" s="1799"/>
      <c r="I872" s="1799"/>
      <c r="J872" s="1799"/>
      <c r="K872" s="1799"/>
      <c r="L872" s="1799"/>
      <c r="M872" s="1799"/>
      <c r="N872" s="1799"/>
      <c r="O872" s="1799"/>
      <c r="P872" s="1799"/>
      <c r="Q872" s="1799"/>
      <c r="R872" s="1799"/>
      <c r="S872" s="1799"/>
      <c r="T872" s="1799"/>
      <c r="U872" s="1799"/>
      <c r="V872" s="1799"/>
      <c r="W872" s="1799"/>
      <c r="X872" s="1799"/>
      <c r="Y872" s="1799"/>
      <c r="Z872" s="1799"/>
    </row>
    <row r="873">
      <c r="A873" s="1799"/>
      <c r="B873" s="1799"/>
      <c r="C873" s="1799"/>
      <c r="D873" s="1812"/>
      <c r="E873" s="1799"/>
      <c r="F873" s="1813"/>
      <c r="G873" s="1814"/>
      <c r="H873" s="1799"/>
      <c r="I873" s="1799"/>
      <c r="J873" s="1799"/>
      <c r="K873" s="1799"/>
      <c r="L873" s="1799"/>
      <c r="M873" s="1799"/>
      <c r="N873" s="1799"/>
      <c r="O873" s="1799"/>
      <c r="P873" s="1799"/>
      <c r="Q873" s="1799"/>
      <c r="R873" s="1799"/>
      <c r="S873" s="1799"/>
      <c r="T873" s="1799"/>
      <c r="U873" s="1799"/>
      <c r="V873" s="1799"/>
      <c r="W873" s="1799"/>
      <c r="X873" s="1799"/>
      <c r="Y873" s="1799"/>
      <c r="Z873" s="1799"/>
    </row>
    <row r="874">
      <c r="A874" s="1799"/>
      <c r="B874" s="1799"/>
      <c r="C874" s="1799"/>
      <c r="D874" s="1812"/>
      <c r="E874" s="1799"/>
      <c r="F874" s="1813"/>
      <c r="G874" s="1814"/>
      <c r="H874" s="1799"/>
      <c r="I874" s="1799"/>
      <c r="J874" s="1799"/>
      <c r="K874" s="1799"/>
      <c r="L874" s="1799"/>
      <c r="M874" s="1799"/>
      <c r="N874" s="1799"/>
      <c r="O874" s="1799"/>
      <c r="P874" s="1799"/>
      <c r="Q874" s="1799"/>
      <c r="R874" s="1799"/>
      <c r="S874" s="1799"/>
      <c r="T874" s="1799"/>
      <c r="U874" s="1799"/>
      <c r="V874" s="1799"/>
      <c r="W874" s="1799"/>
      <c r="X874" s="1799"/>
      <c r="Y874" s="1799"/>
      <c r="Z874" s="1799"/>
    </row>
    <row r="875">
      <c r="A875" s="1799"/>
      <c r="B875" s="1799"/>
      <c r="C875" s="1799"/>
      <c r="D875" s="1812"/>
      <c r="E875" s="1799"/>
      <c r="F875" s="1813"/>
      <c r="G875" s="1814"/>
      <c r="H875" s="1799"/>
      <c r="I875" s="1799"/>
      <c r="J875" s="1799"/>
      <c r="K875" s="1799"/>
      <c r="L875" s="1799"/>
      <c r="M875" s="1799"/>
      <c r="N875" s="1799"/>
      <c r="O875" s="1799"/>
      <c r="P875" s="1799"/>
      <c r="Q875" s="1799"/>
      <c r="R875" s="1799"/>
      <c r="S875" s="1799"/>
      <c r="T875" s="1799"/>
      <c r="U875" s="1799"/>
      <c r="V875" s="1799"/>
      <c r="W875" s="1799"/>
      <c r="X875" s="1799"/>
      <c r="Y875" s="1799"/>
      <c r="Z875" s="1799"/>
    </row>
    <row r="876">
      <c r="A876" s="1799"/>
      <c r="B876" s="1799"/>
      <c r="C876" s="1799"/>
      <c r="D876" s="1812"/>
      <c r="E876" s="1799"/>
      <c r="F876" s="1813"/>
      <c r="G876" s="1814"/>
      <c r="H876" s="1799"/>
      <c r="I876" s="1799"/>
      <c r="J876" s="1799"/>
      <c r="K876" s="1799"/>
      <c r="L876" s="1799"/>
      <c r="M876" s="1799"/>
      <c r="N876" s="1799"/>
      <c r="O876" s="1799"/>
      <c r="P876" s="1799"/>
      <c r="Q876" s="1799"/>
      <c r="R876" s="1799"/>
      <c r="S876" s="1799"/>
      <c r="T876" s="1799"/>
      <c r="U876" s="1799"/>
      <c r="V876" s="1799"/>
      <c r="W876" s="1799"/>
      <c r="X876" s="1799"/>
      <c r="Y876" s="1799"/>
      <c r="Z876" s="1799"/>
    </row>
    <row r="877">
      <c r="A877" s="1799"/>
      <c r="B877" s="1799"/>
      <c r="C877" s="1799"/>
      <c r="D877" s="1812"/>
      <c r="E877" s="1799"/>
      <c r="F877" s="1813"/>
      <c r="G877" s="1814"/>
      <c r="H877" s="1799"/>
      <c r="I877" s="1799"/>
      <c r="J877" s="1799"/>
      <c r="K877" s="1799"/>
      <c r="L877" s="1799"/>
      <c r="M877" s="1799"/>
      <c r="N877" s="1799"/>
      <c r="O877" s="1799"/>
      <c r="P877" s="1799"/>
      <c r="Q877" s="1799"/>
      <c r="R877" s="1799"/>
      <c r="S877" s="1799"/>
      <c r="T877" s="1799"/>
      <c r="U877" s="1799"/>
      <c r="V877" s="1799"/>
      <c r="W877" s="1799"/>
      <c r="X877" s="1799"/>
      <c r="Y877" s="1799"/>
      <c r="Z877" s="1799"/>
    </row>
    <row r="878">
      <c r="A878" s="1799"/>
      <c r="B878" s="1799"/>
      <c r="C878" s="1799"/>
      <c r="D878" s="1812"/>
      <c r="E878" s="1799"/>
      <c r="F878" s="1813"/>
      <c r="G878" s="1814"/>
      <c r="H878" s="1799"/>
      <c r="I878" s="1799"/>
      <c r="J878" s="1799"/>
      <c r="K878" s="1799"/>
      <c r="L878" s="1799"/>
      <c r="M878" s="1799"/>
      <c r="N878" s="1799"/>
      <c r="O878" s="1799"/>
      <c r="P878" s="1799"/>
      <c r="Q878" s="1799"/>
      <c r="R878" s="1799"/>
      <c r="S878" s="1799"/>
      <c r="T878" s="1799"/>
      <c r="U878" s="1799"/>
      <c r="V878" s="1799"/>
      <c r="W878" s="1799"/>
      <c r="X878" s="1799"/>
      <c r="Y878" s="1799"/>
      <c r="Z878" s="1799"/>
    </row>
    <row r="879">
      <c r="A879" s="1799"/>
      <c r="B879" s="1799"/>
      <c r="C879" s="1799"/>
      <c r="D879" s="1812"/>
      <c r="E879" s="1799"/>
      <c r="F879" s="1813"/>
      <c r="G879" s="1814"/>
      <c r="H879" s="1799"/>
      <c r="I879" s="1799"/>
      <c r="J879" s="1799"/>
      <c r="K879" s="1799"/>
      <c r="L879" s="1799"/>
      <c r="M879" s="1799"/>
      <c r="N879" s="1799"/>
      <c r="O879" s="1799"/>
      <c r="P879" s="1799"/>
      <c r="Q879" s="1799"/>
      <c r="R879" s="1799"/>
      <c r="S879" s="1799"/>
      <c r="T879" s="1799"/>
      <c r="U879" s="1799"/>
      <c r="V879" s="1799"/>
      <c r="W879" s="1799"/>
      <c r="X879" s="1799"/>
      <c r="Y879" s="1799"/>
      <c r="Z879" s="1799"/>
    </row>
    <row r="880">
      <c r="A880" s="1799"/>
      <c r="B880" s="1799"/>
      <c r="C880" s="1799"/>
      <c r="D880" s="1812"/>
      <c r="E880" s="1799"/>
      <c r="F880" s="1813"/>
      <c r="G880" s="1814"/>
      <c r="H880" s="1799"/>
      <c r="I880" s="1799"/>
      <c r="J880" s="1799"/>
      <c r="K880" s="1799"/>
      <c r="L880" s="1799"/>
      <c r="M880" s="1799"/>
      <c r="N880" s="1799"/>
      <c r="O880" s="1799"/>
      <c r="P880" s="1799"/>
      <c r="Q880" s="1799"/>
      <c r="R880" s="1799"/>
      <c r="S880" s="1799"/>
      <c r="T880" s="1799"/>
      <c r="U880" s="1799"/>
      <c r="V880" s="1799"/>
      <c r="W880" s="1799"/>
      <c r="X880" s="1799"/>
      <c r="Y880" s="1799"/>
      <c r="Z880" s="1799"/>
    </row>
    <row r="881">
      <c r="A881" s="1799"/>
      <c r="B881" s="1799"/>
      <c r="C881" s="1799"/>
      <c r="D881" s="1812"/>
      <c r="E881" s="1799"/>
      <c r="F881" s="1813"/>
      <c r="G881" s="1814"/>
      <c r="H881" s="1799"/>
      <c r="I881" s="1799"/>
      <c r="J881" s="1799"/>
      <c r="K881" s="1799"/>
      <c r="L881" s="1799"/>
      <c r="M881" s="1799"/>
      <c r="N881" s="1799"/>
      <c r="O881" s="1799"/>
      <c r="P881" s="1799"/>
      <c r="Q881" s="1799"/>
      <c r="R881" s="1799"/>
      <c r="S881" s="1799"/>
      <c r="T881" s="1799"/>
      <c r="U881" s="1799"/>
      <c r="V881" s="1799"/>
      <c r="W881" s="1799"/>
      <c r="X881" s="1799"/>
      <c r="Y881" s="1799"/>
      <c r="Z881" s="1799"/>
    </row>
    <row r="882">
      <c r="A882" s="1799"/>
      <c r="B882" s="1799"/>
      <c r="C882" s="1799"/>
      <c r="D882" s="1812"/>
      <c r="E882" s="1799"/>
      <c r="F882" s="1813"/>
      <c r="G882" s="1814"/>
      <c r="H882" s="1799"/>
      <c r="I882" s="1799"/>
      <c r="J882" s="1799"/>
      <c r="K882" s="1799"/>
      <c r="L882" s="1799"/>
      <c r="M882" s="1799"/>
      <c r="N882" s="1799"/>
      <c r="O882" s="1799"/>
      <c r="P882" s="1799"/>
      <c r="Q882" s="1799"/>
      <c r="R882" s="1799"/>
      <c r="S882" s="1799"/>
      <c r="T882" s="1799"/>
      <c r="U882" s="1799"/>
      <c r="V882" s="1799"/>
      <c r="W882" s="1799"/>
      <c r="X882" s="1799"/>
      <c r="Y882" s="1799"/>
      <c r="Z882" s="1799"/>
    </row>
    <row r="883">
      <c r="A883" s="1799"/>
      <c r="B883" s="1799"/>
      <c r="C883" s="1799"/>
      <c r="D883" s="1812"/>
      <c r="E883" s="1799"/>
      <c r="F883" s="1813"/>
      <c r="G883" s="1814"/>
      <c r="H883" s="1799"/>
      <c r="I883" s="1799"/>
      <c r="J883" s="1799"/>
      <c r="K883" s="1799"/>
      <c r="L883" s="1799"/>
      <c r="M883" s="1799"/>
      <c r="N883" s="1799"/>
      <c r="O883" s="1799"/>
      <c r="P883" s="1799"/>
      <c r="Q883" s="1799"/>
      <c r="R883" s="1799"/>
      <c r="S883" s="1799"/>
      <c r="T883" s="1799"/>
      <c r="U883" s="1799"/>
      <c r="V883" s="1799"/>
      <c r="W883" s="1799"/>
      <c r="X883" s="1799"/>
      <c r="Y883" s="1799"/>
      <c r="Z883" s="1799"/>
    </row>
    <row r="884">
      <c r="A884" s="1799"/>
      <c r="B884" s="1799"/>
      <c r="C884" s="1799"/>
      <c r="D884" s="1812"/>
      <c r="E884" s="1799"/>
      <c r="F884" s="1813"/>
      <c r="G884" s="1814"/>
      <c r="H884" s="1799"/>
      <c r="I884" s="1799"/>
      <c r="J884" s="1799"/>
      <c r="K884" s="1799"/>
      <c r="L884" s="1799"/>
      <c r="M884" s="1799"/>
      <c r="N884" s="1799"/>
      <c r="O884" s="1799"/>
      <c r="P884" s="1799"/>
      <c r="Q884" s="1799"/>
      <c r="R884" s="1799"/>
      <c r="S884" s="1799"/>
      <c r="T884" s="1799"/>
      <c r="U884" s="1799"/>
      <c r="V884" s="1799"/>
      <c r="W884" s="1799"/>
      <c r="X884" s="1799"/>
      <c r="Y884" s="1799"/>
      <c r="Z884" s="1799"/>
    </row>
    <row r="885">
      <c r="A885" s="1799"/>
      <c r="B885" s="1799"/>
      <c r="C885" s="1799"/>
      <c r="D885" s="1812"/>
      <c r="E885" s="1799"/>
      <c r="F885" s="1813"/>
      <c r="G885" s="1814"/>
      <c r="H885" s="1799"/>
      <c r="I885" s="1799"/>
      <c r="J885" s="1799"/>
      <c r="K885" s="1799"/>
      <c r="L885" s="1799"/>
      <c r="M885" s="1799"/>
      <c r="N885" s="1799"/>
      <c r="O885" s="1799"/>
      <c r="P885" s="1799"/>
      <c r="Q885" s="1799"/>
      <c r="R885" s="1799"/>
      <c r="S885" s="1799"/>
      <c r="T885" s="1799"/>
      <c r="U885" s="1799"/>
      <c r="V885" s="1799"/>
      <c r="W885" s="1799"/>
      <c r="X885" s="1799"/>
      <c r="Y885" s="1799"/>
      <c r="Z885" s="1799"/>
    </row>
    <row r="886">
      <c r="A886" s="1799"/>
      <c r="B886" s="1799"/>
      <c r="C886" s="1799"/>
      <c r="D886" s="1812"/>
      <c r="E886" s="1799"/>
      <c r="F886" s="1813"/>
      <c r="G886" s="1814"/>
      <c r="H886" s="1799"/>
      <c r="I886" s="1799"/>
      <c r="J886" s="1799"/>
      <c r="K886" s="1799"/>
      <c r="L886" s="1799"/>
      <c r="M886" s="1799"/>
      <c r="N886" s="1799"/>
      <c r="O886" s="1799"/>
      <c r="P886" s="1799"/>
      <c r="Q886" s="1799"/>
      <c r="R886" s="1799"/>
      <c r="S886" s="1799"/>
      <c r="T886" s="1799"/>
      <c r="U886" s="1799"/>
      <c r="V886" s="1799"/>
      <c r="W886" s="1799"/>
      <c r="X886" s="1799"/>
      <c r="Y886" s="1799"/>
      <c r="Z886" s="1799"/>
    </row>
    <row r="887">
      <c r="A887" s="1799"/>
      <c r="B887" s="1799"/>
      <c r="C887" s="1799"/>
      <c r="D887" s="1812"/>
      <c r="E887" s="1799"/>
      <c r="F887" s="1813"/>
      <c r="G887" s="1814"/>
      <c r="H887" s="1799"/>
      <c r="I887" s="1799"/>
      <c r="J887" s="1799"/>
      <c r="K887" s="1799"/>
      <c r="L887" s="1799"/>
      <c r="M887" s="1799"/>
      <c r="N887" s="1799"/>
      <c r="O887" s="1799"/>
      <c r="P887" s="1799"/>
      <c r="Q887" s="1799"/>
      <c r="R887" s="1799"/>
      <c r="S887" s="1799"/>
      <c r="T887" s="1799"/>
      <c r="U887" s="1799"/>
      <c r="V887" s="1799"/>
      <c r="W887" s="1799"/>
      <c r="X887" s="1799"/>
      <c r="Y887" s="1799"/>
      <c r="Z887" s="1799"/>
    </row>
    <row r="888">
      <c r="A888" s="1799"/>
      <c r="B888" s="1799"/>
      <c r="C888" s="1799"/>
      <c r="D888" s="1812"/>
      <c r="E888" s="1799"/>
      <c r="F888" s="1813"/>
      <c r="G888" s="1814"/>
      <c r="H888" s="1799"/>
      <c r="I888" s="1799"/>
      <c r="J888" s="1799"/>
      <c r="K888" s="1799"/>
      <c r="L888" s="1799"/>
      <c r="M888" s="1799"/>
      <c r="N888" s="1799"/>
      <c r="O888" s="1799"/>
      <c r="P888" s="1799"/>
      <c r="Q888" s="1799"/>
      <c r="R888" s="1799"/>
      <c r="S888" s="1799"/>
      <c r="T888" s="1799"/>
      <c r="U888" s="1799"/>
      <c r="V888" s="1799"/>
      <c r="W888" s="1799"/>
      <c r="X888" s="1799"/>
      <c r="Y888" s="1799"/>
      <c r="Z888" s="1799"/>
    </row>
    <row r="889">
      <c r="A889" s="1799"/>
      <c r="B889" s="1799"/>
      <c r="C889" s="1799"/>
      <c r="D889" s="1812"/>
      <c r="E889" s="1799"/>
      <c r="F889" s="1813"/>
      <c r="G889" s="1814"/>
      <c r="H889" s="1799"/>
      <c r="I889" s="1799"/>
      <c r="J889" s="1799"/>
      <c r="K889" s="1799"/>
      <c r="L889" s="1799"/>
      <c r="M889" s="1799"/>
      <c r="N889" s="1799"/>
      <c r="O889" s="1799"/>
      <c r="P889" s="1799"/>
      <c r="Q889" s="1799"/>
      <c r="R889" s="1799"/>
      <c r="S889" s="1799"/>
      <c r="T889" s="1799"/>
      <c r="U889" s="1799"/>
      <c r="V889" s="1799"/>
      <c r="W889" s="1799"/>
      <c r="X889" s="1799"/>
      <c r="Y889" s="1799"/>
      <c r="Z889" s="1799"/>
    </row>
    <row r="890">
      <c r="A890" s="1799"/>
      <c r="B890" s="1799"/>
      <c r="C890" s="1799"/>
      <c r="D890" s="1812"/>
      <c r="E890" s="1799"/>
      <c r="F890" s="1813"/>
      <c r="G890" s="1814"/>
      <c r="H890" s="1799"/>
      <c r="I890" s="1799"/>
      <c r="J890" s="1799"/>
      <c r="K890" s="1799"/>
      <c r="L890" s="1799"/>
      <c r="M890" s="1799"/>
      <c r="N890" s="1799"/>
      <c r="O890" s="1799"/>
      <c r="P890" s="1799"/>
      <c r="Q890" s="1799"/>
      <c r="R890" s="1799"/>
      <c r="S890" s="1799"/>
      <c r="T890" s="1799"/>
      <c r="U890" s="1799"/>
      <c r="V890" s="1799"/>
      <c r="W890" s="1799"/>
      <c r="X890" s="1799"/>
      <c r="Y890" s="1799"/>
      <c r="Z890" s="1799"/>
    </row>
    <row r="891">
      <c r="A891" s="1799"/>
      <c r="B891" s="1799"/>
      <c r="C891" s="1799"/>
      <c r="D891" s="1812"/>
      <c r="E891" s="1799"/>
      <c r="F891" s="1813"/>
      <c r="G891" s="1814"/>
      <c r="H891" s="1799"/>
      <c r="I891" s="1799"/>
      <c r="J891" s="1799"/>
      <c r="K891" s="1799"/>
      <c r="L891" s="1799"/>
      <c r="M891" s="1799"/>
      <c r="N891" s="1799"/>
      <c r="O891" s="1799"/>
      <c r="P891" s="1799"/>
      <c r="Q891" s="1799"/>
      <c r="R891" s="1799"/>
      <c r="S891" s="1799"/>
      <c r="T891" s="1799"/>
      <c r="U891" s="1799"/>
      <c r="V891" s="1799"/>
      <c r="W891" s="1799"/>
      <c r="X891" s="1799"/>
      <c r="Y891" s="1799"/>
      <c r="Z891" s="1799"/>
    </row>
    <row r="892">
      <c r="A892" s="1799"/>
      <c r="B892" s="1799"/>
      <c r="C892" s="1799"/>
      <c r="D892" s="1812"/>
      <c r="E892" s="1799"/>
      <c r="F892" s="1813"/>
      <c r="G892" s="1814"/>
      <c r="H892" s="1799"/>
      <c r="I892" s="1799"/>
      <c r="J892" s="1799"/>
      <c r="K892" s="1799"/>
      <c r="L892" s="1799"/>
      <c r="M892" s="1799"/>
      <c r="N892" s="1799"/>
      <c r="O892" s="1799"/>
      <c r="P892" s="1799"/>
      <c r="Q892" s="1799"/>
      <c r="R892" s="1799"/>
      <c r="S892" s="1799"/>
      <c r="T892" s="1799"/>
      <c r="U892" s="1799"/>
      <c r="V892" s="1799"/>
      <c r="W892" s="1799"/>
      <c r="X892" s="1799"/>
      <c r="Y892" s="1799"/>
      <c r="Z892" s="1799"/>
    </row>
    <row r="893">
      <c r="A893" s="1799"/>
      <c r="B893" s="1799"/>
      <c r="C893" s="1799"/>
      <c r="D893" s="1812"/>
      <c r="E893" s="1799"/>
      <c r="F893" s="1813"/>
      <c r="G893" s="1814"/>
      <c r="H893" s="1799"/>
      <c r="I893" s="1799"/>
      <c r="J893" s="1799"/>
      <c r="K893" s="1799"/>
      <c r="L893" s="1799"/>
      <c r="M893" s="1799"/>
      <c r="N893" s="1799"/>
      <c r="O893" s="1799"/>
      <c r="P893" s="1799"/>
      <c r="Q893" s="1799"/>
      <c r="R893" s="1799"/>
      <c r="S893" s="1799"/>
      <c r="T893" s="1799"/>
      <c r="U893" s="1799"/>
      <c r="V893" s="1799"/>
      <c r="W893" s="1799"/>
      <c r="X893" s="1799"/>
      <c r="Y893" s="1799"/>
      <c r="Z893" s="1799"/>
    </row>
    <row r="894">
      <c r="A894" s="1799"/>
      <c r="B894" s="1799"/>
      <c r="C894" s="1799"/>
      <c r="D894" s="1812"/>
      <c r="E894" s="1799"/>
      <c r="F894" s="1813"/>
      <c r="G894" s="1814"/>
      <c r="H894" s="1799"/>
      <c r="I894" s="1799"/>
      <c r="J894" s="1799"/>
      <c r="K894" s="1799"/>
      <c r="L894" s="1799"/>
      <c r="M894" s="1799"/>
      <c r="N894" s="1799"/>
      <c r="O894" s="1799"/>
      <c r="P894" s="1799"/>
      <c r="Q894" s="1799"/>
      <c r="R894" s="1799"/>
      <c r="S894" s="1799"/>
      <c r="T894" s="1799"/>
      <c r="U894" s="1799"/>
      <c r="V894" s="1799"/>
      <c r="W894" s="1799"/>
      <c r="X894" s="1799"/>
      <c r="Y894" s="1799"/>
      <c r="Z894" s="1799"/>
    </row>
    <row r="895">
      <c r="A895" s="1799"/>
      <c r="B895" s="1799"/>
      <c r="C895" s="1799"/>
      <c r="D895" s="1812"/>
      <c r="E895" s="1799"/>
      <c r="F895" s="1813"/>
      <c r="G895" s="1814"/>
      <c r="H895" s="1799"/>
      <c r="I895" s="1799"/>
      <c r="J895" s="1799"/>
      <c r="K895" s="1799"/>
      <c r="L895" s="1799"/>
      <c r="M895" s="1799"/>
      <c r="N895" s="1799"/>
      <c r="O895" s="1799"/>
      <c r="P895" s="1799"/>
      <c r="Q895" s="1799"/>
      <c r="R895" s="1799"/>
      <c r="S895" s="1799"/>
      <c r="T895" s="1799"/>
      <c r="U895" s="1799"/>
      <c r="V895" s="1799"/>
      <c r="W895" s="1799"/>
      <c r="X895" s="1799"/>
      <c r="Y895" s="1799"/>
      <c r="Z895" s="1799"/>
    </row>
    <row r="896">
      <c r="A896" s="1799"/>
      <c r="B896" s="1799"/>
      <c r="C896" s="1799"/>
      <c r="D896" s="1812"/>
      <c r="E896" s="1799"/>
      <c r="F896" s="1813"/>
      <c r="G896" s="1814"/>
      <c r="H896" s="1799"/>
      <c r="I896" s="1799"/>
      <c r="J896" s="1799"/>
      <c r="K896" s="1799"/>
      <c r="L896" s="1799"/>
      <c r="M896" s="1799"/>
      <c r="N896" s="1799"/>
      <c r="O896" s="1799"/>
      <c r="P896" s="1799"/>
      <c r="Q896" s="1799"/>
      <c r="R896" s="1799"/>
      <c r="S896" s="1799"/>
      <c r="T896" s="1799"/>
      <c r="U896" s="1799"/>
      <c r="V896" s="1799"/>
      <c r="W896" s="1799"/>
      <c r="X896" s="1799"/>
      <c r="Y896" s="1799"/>
      <c r="Z896" s="1799"/>
    </row>
    <row r="897">
      <c r="A897" s="1799"/>
      <c r="B897" s="1799"/>
      <c r="C897" s="1799"/>
      <c r="D897" s="1812"/>
      <c r="E897" s="1799"/>
      <c r="F897" s="1813"/>
      <c r="G897" s="1814"/>
      <c r="H897" s="1799"/>
      <c r="I897" s="1799"/>
      <c r="J897" s="1799"/>
      <c r="K897" s="1799"/>
      <c r="L897" s="1799"/>
      <c r="M897" s="1799"/>
      <c r="N897" s="1799"/>
      <c r="O897" s="1799"/>
      <c r="P897" s="1799"/>
      <c r="Q897" s="1799"/>
      <c r="R897" s="1799"/>
      <c r="S897" s="1799"/>
      <c r="T897" s="1799"/>
      <c r="U897" s="1799"/>
      <c r="V897" s="1799"/>
      <c r="W897" s="1799"/>
      <c r="X897" s="1799"/>
      <c r="Y897" s="1799"/>
      <c r="Z897" s="1799"/>
    </row>
    <row r="898">
      <c r="A898" s="1799"/>
      <c r="B898" s="1799"/>
      <c r="C898" s="1799"/>
      <c r="D898" s="1812"/>
      <c r="E898" s="1799"/>
      <c r="F898" s="1813"/>
      <c r="G898" s="1814"/>
      <c r="H898" s="1799"/>
      <c r="I898" s="1799"/>
      <c r="J898" s="1799"/>
      <c r="K898" s="1799"/>
      <c r="L898" s="1799"/>
      <c r="M898" s="1799"/>
      <c r="N898" s="1799"/>
      <c r="O898" s="1799"/>
      <c r="P898" s="1799"/>
      <c r="Q898" s="1799"/>
      <c r="R898" s="1799"/>
      <c r="S898" s="1799"/>
      <c r="T898" s="1799"/>
      <c r="U898" s="1799"/>
      <c r="V898" s="1799"/>
      <c r="W898" s="1799"/>
      <c r="X898" s="1799"/>
      <c r="Y898" s="1799"/>
      <c r="Z898" s="1799"/>
    </row>
    <row r="899">
      <c r="A899" s="1799"/>
      <c r="B899" s="1799"/>
      <c r="C899" s="1799"/>
      <c r="D899" s="1812"/>
      <c r="E899" s="1799"/>
      <c r="F899" s="1813"/>
      <c r="G899" s="1814"/>
      <c r="H899" s="1799"/>
      <c r="I899" s="1799"/>
      <c r="J899" s="1799"/>
      <c r="K899" s="1799"/>
      <c r="L899" s="1799"/>
      <c r="M899" s="1799"/>
      <c r="N899" s="1799"/>
      <c r="O899" s="1799"/>
      <c r="P899" s="1799"/>
      <c r="Q899" s="1799"/>
      <c r="R899" s="1799"/>
      <c r="S899" s="1799"/>
      <c r="T899" s="1799"/>
      <c r="U899" s="1799"/>
      <c r="V899" s="1799"/>
      <c r="W899" s="1799"/>
      <c r="X899" s="1799"/>
      <c r="Y899" s="1799"/>
      <c r="Z899" s="1799"/>
    </row>
    <row r="900">
      <c r="A900" s="1799"/>
      <c r="B900" s="1799"/>
      <c r="C900" s="1799"/>
      <c r="D900" s="1812"/>
      <c r="E900" s="1799"/>
      <c r="F900" s="1813"/>
      <c r="G900" s="1814"/>
      <c r="H900" s="1799"/>
      <c r="I900" s="1799"/>
      <c r="J900" s="1799"/>
      <c r="K900" s="1799"/>
      <c r="L900" s="1799"/>
      <c r="M900" s="1799"/>
      <c r="N900" s="1799"/>
      <c r="O900" s="1799"/>
      <c r="P900" s="1799"/>
      <c r="Q900" s="1799"/>
      <c r="R900" s="1799"/>
      <c r="S900" s="1799"/>
      <c r="T900" s="1799"/>
      <c r="U900" s="1799"/>
      <c r="V900" s="1799"/>
      <c r="W900" s="1799"/>
      <c r="X900" s="1799"/>
      <c r="Y900" s="1799"/>
      <c r="Z900" s="1799"/>
    </row>
    <row r="901">
      <c r="A901" s="1799"/>
      <c r="B901" s="1799"/>
      <c r="C901" s="1799"/>
      <c r="D901" s="1812"/>
      <c r="E901" s="1799"/>
      <c r="F901" s="1813"/>
      <c r="G901" s="1814"/>
      <c r="H901" s="1799"/>
      <c r="I901" s="1799"/>
      <c r="J901" s="1799"/>
      <c r="K901" s="1799"/>
      <c r="L901" s="1799"/>
      <c r="M901" s="1799"/>
      <c r="N901" s="1799"/>
      <c r="O901" s="1799"/>
      <c r="P901" s="1799"/>
      <c r="Q901" s="1799"/>
      <c r="R901" s="1799"/>
      <c r="S901" s="1799"/>
      <c r="T901" s="1799"/>
      <c r="U901" s="1799"/>
      <c r="V901" s="1799"/>
      <c r="W901" s="1799"/>
      <c r="X901" s="1799"/>
      <c r="Y901" s="1799"/>
      <c r="Z901" s="1799"/>
    </row>
    <row r="902">
      <c r="A902" s="1799"/>
      <c r="B902" s="1799"/>
      <c r="C902" s="1799"/>
      <c r="D902" s="1812"/>
      <c r="E902" s="1799"/>
      <c r="F902" s="1813"/>
      <c r="G902" s="1814"/>
      <c r="H902" s="1799"/>
      <c r="I902" s="1799"/>
      <c r="J902" s="1799"/>
      <c r="K902" s="1799"/>
      <c r="L902" s="1799"/>
      <c r="M902" s="1799"/>
      <c r="N902" s="1799"/>
      <c r="O902" s="1799"/>
      <c r="P902" s="1799"/>
      <c r="Q902" s="1799"/>
      <c r="R902" s="1799"/>
      <c r="S902" s="1799"/>
      <c r="T902" s="1799"/>
      <c r="U902" s="1799"/>
      <c r="V902" s="1799"/>
      <c r="W902" s="1799"/>
      <c r="X902" s="1799"/>
      <c r="Y902" s="1799"/>
      <c r="Z902" s="1799"/>
    </row>
    <row r="903">
      <c r="A903" s="1799"/>
      <c r="B903" s="1799"/>
      <c r="C903" s="1799"/>
      <c r="D903" s="1812"/>
      <c r="E903" s="1799"/>
      <c r="F903" s="1813"/>
      <c r="G903" s="1814"/>
      <c r="H903" s="1799"/>
      <c r="I903" s="1799"/>
      <c r="J903" s="1799"/>
      <c r="K903" s="1799"/>
      <c r="L903" s="1799"/>
      <c r="M903" s="1799"/>
      <c r="N903" s="1799"/>
      <c r="O903" s="1799"/>
      <c r="P903" s="1799"/>
      <c r="Q903" s="1799"/>
      <c r="R903" s="1799"/>
      <c r="S903" s="1799"/>
      <c r="T903" s="1799"/>
      <c r="U903" s="1799"/>
      <c r="V903" s="1799"/>
      <c r="W903" s="1799"/>
      <c r="X903" s="1799"/>
      <c r="Y903" s="1799"/>
      <c r="Z903" s="1799"/>
    </row>
    <row r="904">
      <c r="A904" s="1799"/>
      <c r="B904" s="1799"/>
      <c r="C904" s="1799"/>
      <c r="D904" s="1812"/>
      <c r="E904" s="1799"/>
      <c r="F904" s="1813"/>
      <c r="G904" s="1814"/>
      <c r="H904" s="1799"/>
      <c r="I904" s="1799"/>
      <c r="J904" s="1799"/>
      <c r="K904" s="1799"/>
      <c r="L904" s="1799"/>
      <c r="M904" s="1799"/>
      <c r="N904" s="1799"/>
      <c r="O904" s="1799"/>
      <c r="P904" s="1799"/>
      <c r="Q904" s="1799"/>
      <c r="R904" s="1799"/>
      <c r="S904" s="1799"/>
      <c r="T904" s="1799"/>
      <c r="U904" s="1799"/>
      <c r="V904" s="1799"/>
      <c r="W904" s="1799"/>
      <c r="X904" s="1799"/>
      <c r="Y904" s="1799"/>
      <c r="Z904" s="1799"/>
    </row>
    <row r="905">
      <c r="A905" s="1799"/>
      <c r="B905" s="1799"/>
      <c r="C905" s="1799"/>
      <c r="D905" s="1812"/>
      <c r="E905" s="1799"/>
      <c r="F905" s="1813"/>
      <c r="G905" s="1814"/>
      <c r="H905" s="1799"/>
      <c r="I905" s="1799"/>
      <c r="J905" s="1799"/>
      <c r="K905" s="1799"/>
      <c r="L905" s="1799"/>
      <c r="M905" s="1799"/>
      <c r="N905" s="1799"/>
      <c r="O905" s="1799"/>
      <c r="P905" s="1799"/>
      <c r="Q905" s="1799"/>
      <c r="R905" s="1799"/>
      <c r="S905" s="1799"/>
      <c r="T905" s="1799"/>
      <c r="U905" s="1799"/>
      <c r="V905" s="1799"/>
      <c r="W905" s="1799"/>
      <c r="X905" s="1799"/>
      <c r="Y905" s="1799"/>
      <c r="Z905" s="1799"/>
    </row>
    <row r="906">
      <c r="A906" s="1799"/>
      <c r="B906" s="1799"/>
      <c r="C906" s="1799"/>
      <c r="D906" s="1812"/>
      <c r="E906" s="1799"/>
      <c r="F906" s="1813"/>
      <c r="G906" s="1814"/>
      <c r="H906" s="1799"/>
      <c r="I906" s="1799"/>
      <c r="J906" s="1799"/>
      <c r="K906" s="1799"/>
      <c r="L906" s="1799"/>
      <c r="M906" s="1799"/>
      <c r="N906" s="1799"/>
      <c r="O906" s="1799"/>
      <c r="P906" s="1799"/>
      <c r="Q906" s="1799"/>
      <c r="R906" s="1799"/>
      <c r="S906" s="1799"/>
      <c r="T906" s="1799"/>
      <c r="U906" s="1799"/>
      <c r="V906" s="1799"/>
      <c r="W906" s="1799"/>
      <c r="X906" s="1799"/>
      <c r="Y906" s="1799"/>
      <c r="Z906" s="1799"/>
    </row>
    <row r="907">
      <c r="A907" s="1799"/>
      <c r="B907" s="1799"/>
      <c r="C907" s="1799"/>
      <c r="D907" s="1812"/>
      <c r="E907" s="1799"/>
      <c r="F907" s="1813"/>
      <c r="G907" s="1814"/>
      <c r="H907" s="1799"/>
      <c r="I907" s="1799"/>
      <c r="J907" s="1799"/>
      <c r="K907" s="1799"/>
      <c r="L907" s="1799"/>
      <c r="M907" s="1799"/>
      <c r="N907" s="1799"/>
      <c r="O907" s="1799"/>
      <c r="P907" s="1799"/>
      <c r="Q907" s="1799"/>
      <c r="R907" s="1799"/>
      <c r="S907" s="1799"/>
      <c r="T907" s="1799"/>
      <c r="U907" s="1799"/>
      <c r="V907" s="1799"/>
      <c r="W907" s="1799"/>
      <c r="X907" s="1799"/>
      <c r="Y907" s="1799"/>
      <c r="Z907" s="1799"/>
    </row>
    <row r="908">
      <c r="A908" s="1799"/>
      <c r="B908" s="1799"/>
      <c r="C908" s="1799"/>
      <c r="D908" s="1812"/>
      <c r="E908" s="1799"/>
      <c r="F908" s="1813"/>
      <c r="G908" s="1814"/>
      <c r="H908" s="1799"/>
      <c r="I908" s="1799"/>
      <c r="J908" s="1799"/>
      <c r="K908" s="1799"/>
      <c r="L908" s="1799"/>
      <c r="M908" s="1799"/>
      <c r="N908" s="1799"/>
      <c r="O908" s="1799"/>
      <c r="P908" s="1799"/>
      <c r="Q908" s="1799"/>
      <c r="R908" s="1799"/>
      <c r="S908" s="1799"/>
      <c r="T908" s="1799"/>
      <c r="U908" s="1799"/>
      <c r="V908" s="1799"/>
      <c r="W908" s="1799"/>
      <c r="X908" s="1799"/>
      <c r="Y908" s="1799"/>
      <c r="Z908" s="1799"/>
    </row>
    <row r="909">
      <c r="A909" s="1799"/>
      <c r="B909" s="1799"/>
      <c r="C909" s="1799"/>
      <c r="D909" s="1812"/>
      <c r="E909" s="1799"/>
      <c r="F909" s="1813"/>
      <c r="G909" s="1814"/>
      <c r="H909" s="1799"/>
      <c r="I909" s="1799"/>
      <c r="J909" s="1799"/>
      <c r="K909" s="1799"/>
      <c r="L909" s="1799"/>
      <c r="M909" s="1799"/>
      <c r="N909" s="1799"/>
      <c r="O909" s="1799"/>
      <c r="P909" s="1799"/>
      <c r="Q909" s="1799"/>
      <c r="R909" s="1799"/>
      <c r="S909" s="1799"/>
      <c r="T909" s="1799"/>
      <c r="U909" s="1799"/>
      <c r="V909" s="1799"/>
      <c r="W909" s="1799"/>
      <c r="X909" s="1799"/>
      <c r="Y909" s="1799"/>
      <c r="Z909" s="1799"/>
    </row>
    <row r="910">
      <c r="A910" s="1799"/>
      <c r="B910" s="1799"/>
      <c r="C910" s="1799"/>
      <c r="D910" s="1812"/>
      <c r="E910" s="1799"/>
      <c r="F910" s="1813"/>
      <c r="G910" s="1814"/>
      <c r="H910" s="1799"/>
      <c r="I910" s="1799"/>
      <c r="J910" s="1799"/>
      <c r="K910" s="1799"/>
      <c r="L910" s="1799"/>
      <c r="M910" s="1799"/>
      <c r="N910" s="1799"/>
      <c r="O910" s="1799"/>
      <c r="P910" s="1799"/>
      <c r="Q910" s="1799"/>
      <c r="R910" s="1799"/>
      <c r="S910" s="1799"/>
      <c r="T910" s="1799"/>
      <c r="U910" s="1799"/>
      <c r="V910" s="1799"/>
      <c r="W910" s="1799"/>
      <c r="X910" s="1799"/>
      <c r="Y910" s="1799"/>
      <c r="Z910" s="1799"/>
    </row>
    <row r="911">
      <c r="A911" s="1799"/>
      <c r="B911" s="1799"/>
      <c r="C911" s="1799"/>
      <c r="D911" s="1812"/>
      <c r="E911" s="1799"/>
      <c r="F911" s="1813"/>
      <c r="G911" s="1814"/>
      <c r="H911" s="1799"/>
      <c r="I911" s="1799"/>
      <c r="J911" s="1799"/>
      <c r="K911" s="1799"/>
      <c r="L911" s="1799"/>
      <c r="M911" s="1799"/>
      <c r="N911" s="1799"/>
      <c r="O911" s="1799"/>
      <c r="P911" s="1799"/>
      <c r="Q911" s="1799"/>
      <c r="R911" s="1799"/>
      <c r="S911" s="1799"/>
      <c r="T911" s="1799"/>
      <c r="U911" s="1799"/>
      <c r="V911" s="1799"/>
      <c r="W911" s="1799"/>
      <c r="X911" s="1799"/>
      <c r="Y911" s="1799"/>
      <c r="Z911" s="1799"/>
    </row>
    <row r="912">
      <c r="A912" s="1799"/>
      <c r="B912" s="1799"/>
      <c r="C912" s="1799"/>
      <c r="D912" s="1812"/>
      <c r="E912" s="1799"/>
      <c r="F912" s="1813"/>
      <c r="G912" s="1814"/>
      <c r="H912" s="1799"/>
      <c r="I912" s="1799"/>
      <c r="J912" s="1799"/>
      <c r="K912" s="1799"/>
      <c r="L912" s="1799"/>
      <c r="M912" s="1799"/>
      <c r="N912" s="1799"/>
      <c r="O912" s="1799"/>
      <c r="P912" s="1799"/>
      <c r="Q912" s="1799"/>
      <c r="R912" s="1799"/>
      <c r="S912" s="1799"/>
      <c r="T912" s="1799"/>
      <c r="U912" s="1799"/>
      <c r="V912" s="1799"/>
      <c r="W912" s="1799"/>
      <c r="X912" s="1799"/>
      <c r="Y912" s="1799"/>
      <c r="Z912" s="1799"/>
    </row>
    <row r="913">
      <c r="A913" s="1799"/>
      <c r="B913" s="1799"/>
      <c r="C913" s="1799"/>
      <c r="D913" s="1812"/>
      <c r="E913" s="1799"/>
      <c r="F913" s="1813"/>
      <c r="G913" s="1814"/>
      <c r="H913" s="1799"/>
      <c r="I913" s="1799"/>
      <c r="J913" s="1799"/>
      <c r="K913" s="1799"/>
      <c r="L913" s="1799"/>
      <c r="M913" s="1799"/>
      <c r="N913" s="1799"/>
      <c r="O913" s="1799"/>
      <c r="P913" s="1799"/>
      <c r="Q913" s="1799"/>
      <c r="R913" s="1799"/>
      <c r="S913" s="1799"/>
      <c r="T913" s="1799"/>
      <c r="U913" s="1799"/>
      <c r="V913" s="1799"/>
      <c r="W913" s="1799"/>
      <c r="X913" s="1799"/>
      <c r="Y913" s="1799"/>
      <c r="Z913" s="1799"/>
    </row>
    <row r="914">
      <c r="A914" s="1799"/>
      <c r="B914" s="1799"/>
      <c r="C914" s="1799"/>
      <c r="D914" s="1812"/>
      <c r="E914" s="1799"/>
      <c r="F914" s="1813"/>
      <c r="G914" s="1814"/>
      <c r="H914" s="1799"/>
      <c r="I914" s="1799"/>
      <c r="J914" s="1799"/>
      <c r="K914" s="1799"/>
      <c r="L914" s="1799"/>
      <c r="M914" s="1799"/>
      <c r="N914" s="1799"/>
      <c r="O914" s="1799"/>
      <c r="P914" s="1799"/>
      <c r="Q914" s="1799"/>
      <c r="R914" s="1799"/>
      <c r="S914" s="1799"/>
      <c r="T914" s="1799"/>
      <c r="U914" s="1799"/>
      <c r="V914" s="1799"/>
      <c r="W914" s="1799"/>
      <c r="X914" s="1799"/>
      <c r="Y914" s="1799"/>
      <c r="Z914" s="1799"/>
    </row>
    <row r="915">
      <c r="A915" s="1799"/>
      <c r="B915" s="1799"/>
      <c r="C915" s="1799"/>
      <c r="D915" s="1812"/>
      <c r="E915" s="1799"/>
      <c r="F915" s="1813"/>
      <c r="G915" s="1814"/>
      <c r="H915" s="1799"/>
      <c r="I915" s="1799"/>
      <c r="J915" s="1799"/>
      <c r="K915" s="1799"/>
      <c r="L915" s="1799"/>
      <c r="M915" s="1799"/>
      <c r="N915" s="1799"/>
      <c r="O915" s="1799"/>
      <c r="P915" s="1799"/>
      <c r="Q915" s="1799"/>
      <c r="R915" s="1799"/>
      <c r="S915" s="1799"/>
      <c r="T915" s="1799"/>
      <c r="U915" s="1799"/>
      <c r="V915" s="1799"/>
      <c r="W915" s="1799"/>
      <c r="X915" s="1799"/>
      <c r="Y915" s="1799"/>
      <c r="Z915" s="1799"/>
    </row>
    <row r="916">
      <c r="A916" s="1799"/>
      <c r="B916" s="1799"/>
      <c r="C916" s="1799"/>
      <c r="D916" s="1812"/>
      <c r="E916" s="1799"/>
      <c r="F916" s="1813"/>
      <c r="G916" s="1814"/>
      <c r="H916" s="1799"/>
      <c r="I916" s="1799"/>
      <c r="J916" s="1799"/>
      <c r="K916" s="1799"/>
      <c r="L916" s="1799"/>
      <c r="M916" s="1799"/>
      <c r="N916" s="1799"/>
      <c r="O916" s="1799"/>
      <c r="P916" s="1799"/>
      <c r="Q916" s="1799"/>
      <c r="R916" s="1799"/>
      <c r="S916" s="1799"/>
      <c r="T916" s="1799"/>
      <c r="U916" s="1799"/>
      <c r="V916" s="1799"/>
      <c r="W916" s="1799"/>
      <c r="X916" s="1799"/>
      <c r="Y916" s="1799"/>
      <c r="Z916" s="1799"/>
    </row>
    <row r="917">
      <c r="A917" s="1799"/>
      <c r="B917" s="1799"/>
      <c r="C917" s="1799"/>
      <c r="D917" s="1812"/>
      <c r="E917" s="1799"/>
      <c r="F917" s="1813"/>
      <c r="G917" s="1814"/>
      <c r="H917" s="1799"/>
      <c r="I917" s="1799"/>
      <c r="J917" s="1799"/>
      <c r="K917" s="1799"/>
      <c r="L917" s="1799"/>
      <c r="M917" s="1799"/>
      <c r="N917" s="1799"/>
      <c r="O917" s="1799"/>
      <c r="P917" s="1799"/>
      <c r="Q917" s="1799"/>
      <c r="R917" s="1799"/>
      <c r="S917" s="1799"/>
      <c r="T917" s="1799"/>
      <c r="U917" s="1799"/>
      <c r="V917" s="1799"/>
      <c r="W917" s="1799"/>
      <c r="X917" s="1799"/>
      <c r="Y917" s="1799"/>
      <c r="Z917" s="1799"/>
    </row>
    <row r="918">
      <c r="A918" s="1799"/>
      <c r="B918" s="1799"/>
      <c r="C918" s="1799"/>
      <c r="D918" s="1812"/>
      <c r="E918" s="1799"/>
      <c r="F918" s="1813"/>
      <c r="G918" s="1814"/>
      <c r="H918" s="1799"/>
      <c r="I918" s="1799"/>
      <c r="J918" s="1799"/>
      <c r="K918" s="1799"/>
      <c r="L918" s="1799"/>
      <c r="M918" s="1799"/>
      <c r="N918" s="1799"/>
      <c r="O918" s="1799"/>
      <c r="P918" s="1799"/>
      <c r="Q918" s="1799"/>
      <c r="R918" s="1799"/>
      <c r="S918" s="1799"/>
      <c r="T918" s="1799"/>
      <c r="U918" s="1799"/>
      <c r="V918" s="1799"/>
      <c r="W918" s="1799"/>
      <c r="X918" s="1799"/>
      <c r="Y918" s="1799"/>
      <c r="Z918" s="1799"/>
    </row>
    <row r="919">
      <c r="A919" s="1799"/>
      <c r="B919" s="1799"/>
      <c r="C919" s="1799"/>
      <c r="D919" s="1812"/>
      <c r="E919" s="1799"/>
      <c r="F919" s="1813"/>
      <c r="G919" s="1814"/>
      <c r="H919" s="1799"/>
      <c r="I919" s="1799"/>
      <c r="J919" s="1799"/>
      <c r="K919" s="1799"/>
      <c r="L919" s="1799"/>
      <c r="M919" s="1799"/>
      <c r="N919" s="1799"/>
      <c r="O919" s="1799"/>
      <c r="P919" s="1799"/>
      <c r="Q919" s="1799"/>
      <c r="R919" s="1799"/>
      <c r="S919" s="1799"/>
      <c r="T919" s="1799"/>
      <c r="U919" s="1799"/>
      <c r="V919" s="1799"/>
      <c r="W919" s="1799"/>
      <c r="X919" s="1799"/>
      <c r="Y919" s="1799"/>
      <c r="Z919" s="1799"/>
    </row>
    <row r="920">
      <c r="A920" s="1799"/>
      <c r="B920" s="1799"/>
      <c r="C920" s="1799"/>
      <c r="D920" s="1812"/>
      <c r="E920" s="1799"/>
      <c r="F920" s="1813"/>
      <c r="G920" s="1814"/>
      <c r="H920" s="1799"/>
      <c r="I920" s="1799"/>
      <c r="J920" s="1799"/>
      <c r="K920" s="1799"/>
      <c r="L920" s="1799"/>
      <c r="M920" s="1799"/>
      <c r="N920" s="1799"/>
      <c r="O920" s="1799"/>
      <c r="P920" s="1799"/>
      <c r="Q920" s="1799"/>
      <c r="R920" s="1799"/>
      <c r="S920" s="1799"/>
      <c r="T920" s="1799"/>
      <c r="U920" s="1799"/>
      <c r="V920" s="1799"/>
      <c r="W920" s="1799"/>
      <c r="X920" s="1799"/>
      <c r="Y920" s="1799"/>
      <c r="Z920" s="1799"/>
    </row>
    <row r="921">
      <c r="A921" s="1799"/>
      <c r="B921" s="1799"/>
      <c r="C921" s="1799"/>
      <c r="D921" s="1812"/>
      <c r="E921" s="1799"/>
      <c r="F921" s="1813"/>
      <c r="G921" s="1814"/>
      <c r="H921" s="1799"/>
      <c r="I921" s="1799"/>
      <c r="J921" s="1799"/>
      <c r="K921" s="1799"/>
      <c r="L921" s="1799"/>
      <c r="M921" s="1799"/>
      <c r="N921" s="1799"/>
      <c r="O921" s="1799"/>
      <c r="P921" s="1799"/>
      <c r="Q921" s="1799"/>
      <c r="R921" s="1799"/>
      <c r="S921" s="1799"/>
      <c r="T921" s="1799"/>
      <c r="U921" s="1799"/>
      <c r="V921" s="1799"/>
      <c r="W921" s="1799"/>
      <c r="X921" s="1799"/>
      <c r="Y921" s="1799"/>
      <c r="Z921" s="1799"/>
    </row>
    <row r="922">
      <c r="A922" s="1799"/>
      <c r="B922" s="1799"/>
      <c r="C922" s="1799"/>
      <c r="D922" s="1812"/>
      <c r="E922" s="1799"/>
      <c r="F922" s="1813"/>
      <c r="G922" s="1814"/>
      <c r="H922" s="1799"/>
      <c r="I922" s="1799"/>
      <c r="J922" s="1799"/>
      <c r="K922" s="1799"/>
      <c r="L922" s="1799"/>
      <c r="M922" s="1799"/>
      <c r="N922" s="1799"/>
      <c r="O922" s="1799"/>
      <c r="P922" s="1799"/>
      <c r="Q922" s="1799"/>
      <c r="R922" s="1799"/>
      <c r="S922" s="1799"/>
      <c r="T922" s="1799"/>
      <c r="U922" s="1799"/>
      <c r="V922" s="1799"/>
      <c r="W922" s="1799"/>
      <c r="X922" s="1799"/>
      <c r="Y922" s="1799"/>
      <c r="Z922" s="1799"/>
    </row>
    <row r="923">
      <c r="A923" s="1799"/>
      <c r="B923" s="1799"/>
      <c r="C923" s="1799"/>
      <c r="D923" s="1812"/>
      <c r="E923" s="1799"/>
      <c r="F923" s="1813"/>
      <c r="G923" s="1814"/>
      <c r="H923" s="1799"/>
      <c r="I923" s="1799"/>
      <c r="J923" s="1799"/>
      <c r="K923" s="1799"/>
      <c r="L923" s="1799"/>
      <c r="M923" s="1799"/>
      <c r="N923" s="1799"/>
      <c r="O923" s="1799"/>
      <c r="P923" s="1799"/>
      <c r="Q923" s="1799"/>
      <c r="R923" s="1799"/>
      <c r="S923" s="1799"/>
      <c r="T923" s="1799"/>
      <c r="U923" s="1799"/>
      <c r="V923" s="1799"/>
      <c r="W923" s="1799"/>
      <c r="X923" s="1799"/>
      <c r="Y923" s="1799"/>
      <c r="Z923" s="1799"/>
    </row>
    <row r="924">
      <c r="A924" s="1799"/>
      <c r="B924" s="1799"/>
      <c r="C924" s="1799"/>
      <c r="D924" s="1812"/>
      <c r="E924" s="1799"/>
      <c r="F924" s="1813"/>
      <c r="G924" s="1814"/>
      <c r="H924" s="1799"/>
      <c r="I924" s="1799"/>
      <c r="J924" s="1799"/>
      <c r="K924" s="1799"/>
      <c r="L924" s="1799"/>
      <c r="M924" s="1799"/>
      <c r="N924" s="1799"/>
      <c r="O924" s="1799"/>
      <c r="P924" s="1799"/>
      <c r="Q924" s="1799"/>
      <c r="R924" s="1799"/>
      <c r="S924" s="1799"/>
      <c r="T924" s="1799"/>
      <c r="U924" s="1799"/>
      <c r="V924" s="1799"/>
      <c r="W924" s="1799"/>
      <c r="X924" s="1799"/>
      <c r="Y924" s="1799"/>
      <c r="Z924" s="1799"/>
    </row>
    <row r="925">
      <c r="A925" s="1799"/>
      <c r="B925" s="1799"/>
      <c r="C925" s="1799"/>
      <c r="D925" s="1812"/>
      <c r="E925" s="1799"/>
      <c r="F925" s="1813"/>
      <c r="G925" s="1814"/>
      <c r="H925" s="1799"/>
      <c r="I925" s="1799"/>
      <c r="J925" s="1799"/>
      <c r="K925" s="1799"/>
      <c r="L925" s="1799"/>
      <c r="M925" s="1799"/>
      <c r="N925" s="1799"/>
      <c r="O925" s="1799"/>
      <c r="P925" s="1799"/>
      <c r="Q925" s="1799"/>
      <c r="R925" s="1799"/>
      <c r="S925" s="1799"/>
      <c r="T925" s="1799"/>
      <c r="U925" s="1799"/>
      <c r="V925" s="1799"/>
      <c r="W925" s="1799"/>
      <c r="X925" s="1799"/>
      <c r="Y925" s="1799"/>
      <c r="Z925" s="1799"/>
    </row>
    <row r="926">
      <c r="A926" s="1799"/>
      <c r="B926" s="1799"/>
      <c r="C926" s="1799"/>
      <c r="D926" s="1812"/>
      <c r="E926" s="1799"/>
      <c r="F926" s="1813"/>
      <c r="G926" s="1814"/>
      <c r="H926" s="1799"/>
      <c r="I926" s="1799"/>
      <c r="J926" s="1799"/>
      <c r="K926" s="1799"/>
      <c r="L926" s="1799"/>
      <c r="M926" s="1799"/>
      <c r="N926" s="1799"/>
      <c r="O926" s="1799"/>
      <c r="P926" s="1799"/>
      <c r="Q926" s="1799"/>
      <c r="R926" s="1799"/>
      <c r="S926" s="1799"/>
      <c r="T926" s="1799"/>
      <c r="U926" s="1799"/>
      <c r="V926" s="1799"/>
      <c r="W926" s="1799"/>
      <c r="X926" s="1799"/>
      <c r="Y926" s="1799"/>
      <c r="Z926" s="1799"/>
    </row>
    <row r="927">
      <c r="A927" s="1799"/>
      <c r="B927" s="1799"/>
      <c r="C927" s="1799"/>
      <c r="D927" s="1812"/>
      <c r="E927" s="1799"/>
      <c r="F927" s="1813"/>
      <c r="G927" s="1814"/>
      <c r="H927" s="1799"/>
      <c r="I927" s="1799"/>
      <c r="J927" s="1799"/>
      <c r="K927" s="1799"/>
      <c r="L927" s="1799"/>
      <c r="M927" s="1799"/>
      <c r="N927" s="1799"/>
      <c r="O927" s="1799"/>
      <c r="P927" s="1799"/>
      <c r="Q927" s="1799"/>
      <c r="R927" s="1799"/>
      <c r="S927" s="1799"/>
      <c r="T927" s="1799"/>
      <c r="U927" s="1799"/>
      <c r="V927" s="1799"/>
      <c r="W927" s="1799"/>
      <c r="X927" s="1799"/>
      <c r="Y927" s="1799"/>
      <c r="Z927" s="1799"/>
    </row>
    <row r="928">
      <c r="A928" s="1799"/>
      <c r="B928" s="1799"/>
      <c r="C928" s="1799"/>
      <c r="D928" s="1812"/>
      <c r="E928" s="1799"/>
      <c r="F928" s="1813"/>
      <c r="G928" s="1814"/>
      <c r="H928" s="1799"/>
      <c r="I928" s="1799"/>
      <c r="J928" s="1799"/>
      <c r="K928" s="1799"/>
      <c r="L928" s="1799"/>
      <c r="M928" s="1799"/>
      <c r="N928" s="1799"/>
      <c r="O928" s="1799"/>
      <c r="P928" s="1799"/>
      <c r="Q928" s="1799"/>
      <c r="R928" s="1799"/>
      <c r="S928" s="1799"/>
      <c r="T928" s="1799"/>
      <c r="U928" s="1799"/>
      <c r="V928" s="1799"/>
      <c r="W928" s="1799"/>
      <c r="X928" s="1799"/>
      <c r="Y928" s="1799"/>
      <c r="Z928" s="1799"/>
    </row>
    <row r="929">
      <c r="A929" s="1799"/>
      <c r="B929" s="1799"/>
      <c r="C929" s="1799"/>
      <c r="D929" s="1812"/>
      <c r="E929" s="1799"/>
      <c r="F929" s="1813"/>
      <c r="G929" s="1814"/>
      <c r="H929" s="1799"/>
      <c r="I929" s="1799"/>
      <c r="J929" s="1799"/>
      <c r="K929" s="1799"/>
      <c r="L929" s="1799"/>
      <c r="M929" s="1799"/>
      <c r="N929" s="1799"/>
      <c r="O929" s="1799"/>
      <c r="P929" s="1799"/>
      <c r="Q929" s="1799"/>
      <c r="R929" s="1799"/>
      <c r="S929" s="1799"/>
      <c r="T929" s="1799"/>
      <c r="U929" s="1799"/>
      <c r="V929" s="1799"/>
      <c r="W929" s="1799"/>
      <c r="X929" s="1799"/>
      <c r="Y929" s="1799"/>
      <c r="Z929" s="1799"/>
    </row>
    <row r="930">
      <c r="A930" s="1799"/>
      <c r="B930" s="1799"/>
      <c r="C930" s="1799"/>
      <c r="D930" s="1812"/>
      <c r="E930" s="1799"/>
      <c r="F930" s="1813"/>
      <c r="G930" s="1814"/>
      <c r="H930" s="1799"/>
      <c r="I930" s="1799"/>
      <c r="J930" s="1799"/>
      <c r="K930" s="1799"/>
      <c r="L930" s="1799"/>
      <c r="M930" s="1799"/>
      <c r="N930" s="1799"/>
      <c r="O930" s="1799"/>
      <c r="P930" s="1799"/>
      <c r="Q930" s="1799"/>
      <c r="R930" s="1799"/>
      <c r="S930" s="1799"/>
      <c r="T930" s="1799"/>
      <c r="U930" s="1799"/>
      <c r="V930" s="1799"/>
      <c r="W930" s="1799"/>
      <c r="X930" s="1799"/>
      <c r="Y930" s="1799"/>
      <c r="Z930" s="1799"/>
    </row>
    <row r="931">
      <c r="A931" s="1799"/>
      <c r="B931" s="1799"/>
      <c r="C931" s="1799"/>
      <c r="D931" s="1812"/>
      <c r="E931" s="1799"/>
      <c r="F931" s="1813"/>
      <c r="G931" s="1814"/>
      <c r="H931" s="1799"/>
      <c r="I931" s="1799"/>
      <c r="J931" s="1799"/>
      <c r="K931" s="1799"/>
      <c r="L931" s="1799"/>
      <c r="M931" s="1799"/>
      <c r="N931" s="1799"/>
      <c r="O931" s="1799"/>
      <c r="P931" s="1799"/>
      <c r="Q931" s="1799"/>
      <c r="R931" s="1799"/>
      <c r="S931" s="1799"/>
      <c r="T931" s="1799"/>
      <c r="U931" s="1799"/>
      <c r="V931" s="1799"/>
      <c r="W931" s="1799"/>
      <c r="X931" s="1799"/>
      <c r="Y931" s="1799"/>
      <c r="Z931" s="1799"/>
    </row>
    <row r="932">
      <c r="A932" s="1799"/>
      <c r="B932" s="1799"/>
      <c r="C932" s="1799"/>
      <c r="D932" s="1812"/>
      <c r="E932" s="1799"/>
      <c r="F932" s="1813"/>
      <c r="G932" s="1814"/>
      <c r="H932" s="1799"/>
      <c r="I932" s="1799"/>
      <c r="J932" s="1799"/>
      <c r="K932" s="1799"/>
      <c r="L932" s="1799"/>
      <c r="M932" s="1799"/>
      <c r="N932" s="1799"/>
      <c r="O932" s="1799"/>
      <c r="P932" s="1799"/>
      <c r="Q932" s="1799"/>
      <c r="R932" s="1799"/>
      <c r="S932" s="1799"/>
      <c r="T932" s="1799"/>
      <c r="U932" s="1799"/>
      <c r="V932" s="1799"/>
      <c r="W932" s="1799"/>
      <c r="X932" s="1799"/>
      <c r="Y932" s="1799"/>
      <c r="Z932" s="1799"/>
    </row>
    <row r="933">
      <c r="A933" s="1799"/>
      <c r="B933" s="1799"/>
      <c r="C933" s="1799"/>
      <c r="D933" s="1812"/>
      <c r="E933" s="1799"/>
      <c r="F933" s="1813"/>
      <c r="G933" s="1814"/>
      <c r="H933" s="1799"/>
      <c r="I933" s="1799"/>
      <c r="J933" s="1799"/>
      <c r="K933" s="1799"/>
      <c r="L933" s="1799"/>
      <c r="M933" s="1799"/>
      <c r="N933" s="1799"/>
      <c r="O933" s="1799"/>
      <c r="P933" s="1799"/>
      <c r="Q933" s="1799"/>
      <c r="R933" s="1799"/>
      <c r="S933" s="1799"/>
      <c r="T933" s="1799"/>
      <c r="U933" s="1799"/>
      <c r="V933" s="1799"/>
      <c r="W933" s="1799"/>
      <c r="X933" s="1799"/>
      <c r="Y933" s="1799"/>
      <c r="Z933" s="1799"/>
    </row>
    <row r="934">
      <c r="A934" s="1799"/>
      <c r="B934" s="1799"/>
      <c r="C934" s="1799"/>
      <c r="D934" s="1812"/>
      <c r="E934" s="1799"/>
      <c r="F934" s="1813"/>
      <c r="G934" s="1814"/>
      <c r="H934" s="1799"/>
      <c r="I934" s="1799"/>
      <c r="J934" s="1799"/>
      <c r="K934" s="1799"/>
      <c r="L934" s="1799"/>
      <c r="M934" s="1799"/>
      <c r="N934" s="1799"/>
      <c r="O934" s="1799"/>
      <c r="P934" s="1799"/>
      <c r="Q934" s="1799"/>
      <c r="R934" s="1799"/>
      <c r="S934" s="1799"/>
      <c r="T934" s="1799"/>
      <c r="U934" s="1799"/>
      <c r="V934" s="1799"/>
      <c r="W934" s="1799"/>
      <c r="X934" s="1799"/>
      <c r="Y934" s="1799"/>
      <c r="Z934" s="1799"/>
    </row>
    <row r="935">
      <c r="A935" s="1799"/>
      <c r="B935" s="1799"/>
      <c r="C935" s="1799"/>
      <c r="D935" s="1812"/>
      <c r="E935" s="1799"/>
      <c r="F935" s="1813"/>
      <c r="G935" s="1814"/>
      <c r="H935" s="1799"/>
      <c r="I935" s="1799"/>
      <c r="J935" s="1799"/>
      <c r="K935" s="1799"/>
      <c r="L935" s="1799"/>
      <c r="M935" s="1799"/>
      <c r="N935" s="1799"/>
      <c r="O935" s="1799"/>
      <c r="P935" s="1799"/>
      <c r="Q935" s="1799"/>
      <c r="R935" s="1799"/>
      <c r="S935" s="1799"/>
      <c r="T935" s="1799"/>
      <c r="U935" s="1799"/>
      <c r="V935" s="1799"/>
      <c r="W935" s="1799"/>
      <c r="X935" s="1799"/>
      <c r="Y935" s="1799"/>
      <c r="Z935" s="1799"/>
    </row>
    <row r="936">
      <c r="A936" s="1799"/>
      <c r="B936" s="1799"/>
      <c r="C936" s="1799"/>
      <c r="D936" s="1812"/>
      <c r="E936" s="1799"/>
      <c r="F936" s="1813"/>
      <c r="G936" s="1814"/>
      <c r="H936" s="1799"/>
      <c r="I936" s="1799"/>
      <c r="J936" s="1799"/>
      <c r="K936" s="1799"/>
      <c r="L936" s="1799"/>
      <c r="M936" s="1799"/>
      <c r="N936" s="1799"/>
      <c r="O936" s="1799"/>
      <c r="P936" s="1799"/>
      <c r="Q936" s="1799"/>
      <c r="R936" s="1799"/>
      <c r="S936" s="1799"/>
      <c r="T936" s="1799"/>
      <c r="U936" s="1799"/>
      <c r="V936" s="1799"/>
      <c r="W936" s="1799"/>
      <c r="X936" s="1799"/>
      <c r="Y936" s="1799"/>
      <c r="Z936" s="1799"/>
    </row>
    <row r="937">
      <c r="A937" s="1799"/>
      <c r="B937" s="1799"/>
      <c r="C937" s="1799"/>
      <c r="D937" s="1812"/>
      <c r="E937" s="1799"/>
      <c r="F937" s="1813"/>
      <c r="G937" s="1814"/>
      <c r="H937" s="1799"/>
      <c r="I937" s="1799"/>
      <c r="J937" s="1799"/>
      <c r="K937" s="1799"/>
      <c r="L937" s="1799"/>
      <c r="M937" s="1799"/>
      <c r="N937" s="1799"/>
      <c r="O937" s="1799"/>
      <c r="P937" s="1799"/>
      <c r="Q937" s="1799"/>
      <c r="R937" s="1799"/>
      <c r="S937" s="1799"/>
      <c r="T937" s="1799"/>
      <c r="U937" s="1799"/>
      <c r="V937" s="1799"/>
      <c r="W937" s="1799"/>
      <c r="X937" s="1799"/>
      <c r="Y937" s="1799"/>
      <c r="Z937" s="1799"/>
    </row>
    <row r="938">
      <c r="A938" s="1799"/>
      <c r="B938" s="1799"/>
      <c r="C938" s="1799"/>
      <c r="D938" s="1812"/>
      <c r="E938" s="1799"/>
      <c r="F938" s="1813"/>
      <c r="G938" s="1814"/>
      <c r="H938" s="1799"/>
      <c r="I938" s="1799"/>
      <c r="J938" s="1799"/>
      <c r="K938" s="1799"/>
      <c r="L938" s="1799"/>
      <c r="M938" s="1799"/>
      <c r="N938" s="1799"/>
      <c r="O938" s="1799"/>
      <c r="P938" s="1799"/>
      <c r="Q938" s="1799"/>
      <c r="R938" s="1799"/>
      <c r="S938" s="1799"/>
      <c r="T938" s="1799"/>
      <c r="U938" s="1799"/>
      <c r="V938" s="1799"/>
      <c r="W938" s="1799"/>
      <c r="X938" s="1799"/>
      <c r="Y938" s="1799"/>
      <c r="Z938" s="1799"/>
    </row>
    <row r="939">
      <c r="A939" s="1799"/>
      <c r="B939" s="1799"/>
      <c r="C939" s="1799"/>
      <c r="D939" s="1812"/>
      <c r="E939" s="1799"/>
      <c r="F939" s="1813"/>
      <c r="G939" s="1814"/>
      <c r="H939" s="1799"/>
      <c r="I939" s="1799"/>
      <c r="J939" s="1799"/>
      <c r="K939" s="1799"/>
      <c r="L939" s="1799"/>
      <c r="M939" s="1799"/>
      <c r="N939" s="1799"/>
      <c r="O939" s="1799"/>
      <c r="P939" s="1799"/>
      <c r="Q939" s="1799"/>
      <c r="R939" s="1799"/>
      <c r="S939" s="1799"/>
      <c r="T939" s="1799"/>
      <c r="U939" s="1799"/>
      <c r="V939" s="1799"/>
      <c r="W939" s="1799"/>
      <c r="X939" s="1799"/>
      <c r="Y939" s="1799"/>
      <c r="Z939" s="1799"/>
    </row>
    <row r="940">
      <c r="A940" s="1799"/>
      <c r="B940" s="1799"/>
      <c r="C940" s="1799"/>
      <c r="D940" s="1812"/>
      <c r="E940" s="1799"/>
      <c r="F940" s="1813"/>
      <c r="G940" s="1814"/>
      <c r="H940" s="1799"/>
      <c r="I940" s="1799"/>
      <c r="J940" s="1799"/>
      <c r="K940" s="1799"/>
      <c r="L940" s="1799"/>
      <c r="M940" s="1799"/>
      <c r="N940" s="1799"/>
      <c r="O940" s="1799"/>
      <c r="P940" s="1799"/>
      <c r="Q940" s="1799"/>
      <c r="R940" s="1799"/>
      <c r="S940" s="1799"/>
      <c r="T940" s="1799"/>
      <c r="U940" s="1799"/>
      <c r="V940" s="1799"/>
      <c r="W940" s="1799"/>
      <c r="X940" s="1799"/>
      <c r="Y940" s="1799"/>
      <c r="Z940" s="1799"/>
    </row>
    <row r="941">
      <c r="A941" s="1799"/>
      <c r="B941" s="1799"/>
      <c r="C941" s="1799"/>
      <c r="D941" s="1812"/>
      <c r="E941" s="1799"/>
      <c r="F941" s="1813"/>
      <c r="G941" s="1814"/>
      <c r="H941" s="1799"/>
      <c r="I941" s="1799"/>
      <c r="J941" s="1799"/>
      <c r="K941" s="1799"/>
      <c r="L941" s="1799"/>
      <c r="M941" s="1799"/>
      <c r="N941" s="1799"/>
      <c r="O941" s="1799"/>
      <c r="P941" s="1799"/>
      <c r="Q941" s="1799"/>
      <c r="R941" s="1799"/>
      <c r="S941" s="1799"/>
      <c r="T941" s="1799"/>
      <c r="U941" s="1799"/>
      <c r="V941" s="1799"/>
      <c r="W941" s="1799"/>
      <c r="X941" s="1799"/>
      <c r="Y941" s="1799"/>
      <c r="Z941" s="1799"/>
    </row>
    <row r="942">
      <c r="A942" s="1799"/>
      <c r="B942" s="1799"/>
      <c r="C942" s="1799"/>
      <c r="D942" s="1812"/>
      <c r="E942" s="1799"/>
      <c r="F942" s="1813"/>
      <c r="G942" s="1814"/>
      <c r="H942" s="1799"/>
      <c r="I942" s="1799"/>
      <c r="J942" s="1799"/>
      <c r="K942" s="1799"/>
      <c r="L942" s="1799"/>
      <c r="M942" s="1799"/>
      <c r="N942" s="1799"/>
      <c r="O942" s="1799"/>
      <c r="P942" s="1799"/>
      <c r="Q942" s="1799"/>
      <c r="R942" s="1799"/>
      <c r="S942" s="1799"/>
      <c r="T942" s="1799"/>
      <c r="U942" s="1799"/>
      <c r="V942" s="1799"/>
      <c r="W942" s="1799"/>
      <c r="X942" s="1799"/>
      <c r="Y942" s="1799"/>
      <c r="Z942" s="1799"/>
    </row>
    <row r="943">
      <c r="A943" s="1799"/>
      <c r="B943" s="1799"/>
      <c r="C943" s="1799"/>
      <c r="D943" s="1812"/>
      <c r="E943" s="1799"/>
      <c r="F943" s="1813"/>
      <c r="G943" s="1814"/>
      <c r="H943" s="1799"/>
      <c r="I943" s="1799"/>
      <c r="J943" s="1799"/>
      <c r="K943" s="1799"/>
      <c r="L943" s="1799"/>
      <c r="M943" s="1799"/>
      <c r="N943" s="1799"/>
      <c r="O943" s="1799"/>
      <c r="P943" s="1799"/>
      <c r="Q943" s="1799"/>
      <c r="R943" s="1799"/>
      <c r="S943" s="1799"/>
      <c r="T943" s="1799"/>
      <c r="U943" s="1799"/>
      <c r="V943" s="1799"/>
      <c r="W943" s="1799"/>
      <c r="X943" s="1799"/>
      <c r="Y943" s="1799"/>
      <c r="Z943" s="1799"/>
    </row>
    <row r="944">
      <c r="A944" s="1799"/>
      <c r="B944" s="1799"/>
      <c r="C944" s="1799"/>
      <c r="D944" s="1812"/>
      <c r="E944" s="1799"/>
      <c r="F944" s="1813"/>
      <c r="G944" s="1814"/>
      <c r="H944" s="1799"/>
      <c r="I944" s="1799"/>
      <c r="J944" s="1799"/>
      <c r="K944" s="1799"/>
      <c r="L944" s="1799"/>
      <c r="M944" s="1799"/>
      <c r="N944" s="1799"/>
      <c r="O944" s="1799"/>
      <c r="P944" s="1799"/>
      <c r="Q944" s="1799"/>
      <c r="R944" s="1799"/>
      <c r="S944" s="1799"/>
      <c r="T944" s="1799"/>
      <c r="U944" s="1799"/>
      <c r="V944" s="1799"/>
      <c r="W944" s="1799"/>
      <c r="X944" s="1799"/>
      <c r="Y944" s="1799"/>
      <c r="Z944" s="1799"/>
    </row>
    <row r="945">
      <c r="A945" s="1799"/>
      <c r="B945" s="1799"/>
      <c r="C945" s="1799"/>
      <c r="D945" s="1812"/>
      <c r="E945" s="1799"/>
      <c r="F945" s="1813"/>
      <c r="G945" s="1814"/>
      <c r="H945" s="1799"/>
      <c r="I945" s="1799"/>
      <c r="J945" s="1799"/>
      <c r="K945" s="1799"/>
      <c r="L945" s="1799"/>
      <c r="M945" s="1799"/>
      <c r="N945" s="1799"/>
      <c r="O945" s="1799"/>
      <c r="P945" s="1799"/>
      <c r="Q945" s="1799"/>
      <c r="R945" s="1799"/>
      <c r="S945" s="1799"/>
      <c r="T945" s="1799"/>
      <c r="U945" s="1799"/>
      <c r="V945" s="1799"/>
      <c r="W945" s="1799"/>
      <c r="X945" s="1799"/>
      <c r="Y945" s="1799"/>
      <c r="Z945" s="1799"/>
    </row>
    <row r="946">
      <c r="A946" s="1799"/>
      <c r="B946" s="1799"/>
      <c r="C946" s="1799"/>
      <c r="D946" s="1812"/>
      <c r="E946" s="1799"/>
      <c r="F946" s="1813"/>
      <c r="G946" s="1814"/>
      <c r="H946" s="1799"/>
      <c r="I946" s="1799"/>
      <c r="J946" s="1799"/>
      <c r="K946" s="1799"/>
      <c r="L946" s="1799"/>
      <c r="M946" s="1799"/>
      <c r="N946" s="1799"/>
      <c r="O946" s="1799"/>
      <c r="P946" s="1799"/>
      <c r="Q946" s="1799"/>
      <c r="R946" s="1799"/>
      <c r="S946" s="1799"/>
      <c r="T946" s="1799"/>
      <c r="U946" s="1799"/>
      <c r="V946" s="1799"/>
      <c r="W946" s="1799"/>
      <c r="X946" s="1799"/>
      <c r="Y946" s="1799"/>
      <c r="Z946" s="1799"/>
    </row>
    <row r="947">
      <c r="A947" s="1799"/>
      <c r="B947" s="1799"/>
      <c r="C947" s="1799"/>
      <c r="D947" s="1812"/>
      <c r="E947" s="1799"/>
      <c r="F947" s="1813"/>
      <c r="G947" s="1814"/>
      <c r="H947" s="1799"/>
      <c r="I947" s="1799"/>
      <c r="J947" s="1799"/>
      <c r="K947" s="1799"/>
      <c r="L947" s="1799"/>
      <c r="M947" s="1799"/>
      <c r="N947" s="1799"/>
      <c r="O947" s="1799"/>
      <c r="P947" s="1799"/>
      <c r="Q947" s="1799"/>
      <c r="R947" s="1799"/>
      <c r="S947" s="1799"/>
      <c r="T947" s="1799"/>
      <c r="U947" s="1799"/>
      <c r="V947" s="1799"/>
      <c r="W947" s="1799"/>
      <c r="X947" s="1799"/>
      <c r="Y947" s="1799"/>
      <c r="Z947" s="1799"/>
    </row>
    <row r="948">
      <c r="A948" s="1799"/>
      <c r="B948" s="1799"/>
      <c r="C948" s="1799"/>
      <c r="D948" s="1812"/>
      <c r="E948" s="1799"/>
      <c r="F948" s="1813"/>
      <c r="G948" s="1814"/>
      <c r="H948" s="1799"/>
      <c r="I948" s="1799"/>
      <c r="J948" s="1799"/>
      <c r="K948" s="1799"/>
      <c r="L948" s="1799"/>
      <c r="M948" s="1799"/>
      <c r="N948" s="1799"/>
      <c r="O948" s="1799"/>
      <c r="P948" s="1799"/>
      <c r="Q948" s="1799"/>
      <c r="R948" s="1799"/>
      <c r="S948" s="1799"/>
      <c r="T948" s="1799"/>
      <c r="U948" s="1799"/>
      <c r="V948" s="1799"/>
      <c r="W948" s="1799"/>
      <c r="X948" s="1799"/>
      <c r="Y948" s="1799"/>
      <c r="Z948" s="1799"/>
    </row>
    <row r="949">
      <c r="A949" s="1799"/>
      <c r="B949" s="1799"/>
      <c r="C949" s="1799"/>
      <c r="D949" s="1812"/>
      <c r="E949" s="1799"/>
      <c r="F949" s="1813"/>
      <c r="G949" s="1814"/>
      <c r="H949" s="1799"/>
      <c r="I949" s="1799"/>
      <c r="J949" s="1799"/>
      <c r="K949" s="1799"/>
      <c r="L949" s="1799"/>
      <c r="M949" s="1799"/>
      <c r="N949" s="1799"/>
      <c r="O949" s="1799"/>
      <c r="P949" s="1799"/>
      <c r="Q949" s="1799"/>
      <c r="R949" s="1799"/>
      <c r="S949" s="1799"/>
      <c r="T949" s="1799"/>
      <c r="U949" s="1799"/>
      <c r="V949" s="1799"/>
      <c r="W949" s="1799"/>
      <c r="X949" s="1799"/>
      <c r="Y949" s="1799"/>
      <c r="Z949" s="1799"/>
    </row>
    <row r="950">
      <c r="A950" s="1799"/>
      <c r="B950" s="1799"/>
      <c r="C950" s="1799"/>
      <c r="D950" s="1812"/>
      <c r="E950" s="1799"/>
      <c r="F950" s="1813"/>
      <c r="G950" s="1814"/>
      <c r="H950" s="1799"/>
      <c r="I950" s="1799"/>
      <c r="J950" s="1799"/>
      <c r="K950" s="1799"/>
      <c r="L950" s="1799"/>
      <c r="M950" s="1799"/>
      <c r="N950" s="1799"/>
      <c r="O950" s="1799"/>
      <c r="P950" s="1799"/>
      <c r="Q950" s="1799"/>
      <c r="R950" s="1799"/>
      <c r="S950" s="1799"/>
      <c r="T950" s="1799"/>
      <c r="U950" s="1799"/>
      <c r="V950" s="1799"/>
      <c r="W950" s="1799"/>
      <c r="X950" s="1799"/>
      <c r="Y950" s="1799"/>
      <c r="Z950" s="1799"/>
    </row>
    <row r="951">
      <c r="A951" s="1799"/>
      <c r="B951" s="1799"/>
      <c r="C951" s="1799"/>
      <c r="D951" s="1812"/>
      <c r="E951" s="1799"/>
      <c r="F951" s="1813"/>
      <c r="G951" s="1814"/>
      <c r="H951" s="1799"/>
      <c r="I951" s="1799"/>
      <c r="J951" s="1799"/>
      <c r="K951" s="1799"/>
      <c r="L951" s="1799"/>
      <c r="M951" s="1799"/>
      <c r="N951" s="1799"/>
      <c r="O951" s="1799"/>
      <c r="P951" s="1799"/>
      <c r="Q951" s="1799"/>
      <c r="R951" s="1799"/>
      <c r="S951" s="1799"/>
      <c r="T951" s="1799"/>
      <c r="U951" s="1799"/>
      <c r="V951" s="1799"/>
      <c r="W951" s="1799"/>
      <c r="X951" s="1799"/>
      <c r="Y951" s="1799"/>
      <c r="Z951" s="1799"/>
    </row>
    <row r="952">
      <c r="A952" s="1799"/>
      <c r="B952" s="1799"/>
      <c r="C952" s="1799"/>
      <c r="D952" s="1812"/>
      <c r="E952" s="1799"/>
      <c r="F952" s="1813"/>
      <c r="G952" s="1814"/>
      <c r="H952" s="1799"/>
      <c r="I952" s="1799"/>
      <c r="J952" s="1799"/>
      <c r="K952" s="1799"/>
      <c r="L952" s="1799"/>
      <c r="M952" s="1799"/>
      <c r="N952" s="1799"/>
      <c r="O952" s="1799"/>
      <c r="P952" s="1799"/>
      <c r="Q952" s="1799"/>
      <c r="R952" s="1799"/>
      <c r="S952" s="1799"/>
      <c r="T952" s="1799"/>
      <c r="U952" s="1799"/>
      <c r="V952" s="1799"/>
      <c r="W952" s="1799"/>
      <c r="X952" s="1799"/>
      <c r="Y952" s="1799"/>
      <c r="Z952" s="1799"/>
    </row>
    <row r="953">
      <c r="A953" s="1799"/>
      <c r="B953" s="1799"/>
      <c r="C953" s="1799"/>
      <c r="D953" s="1812"/>
      <c r="E953" s="1799"/>
      <c r="F953" s="1813"/>
      <c r="G953" s="1814"/>
      <c r="H953" s="1799"/>
      <c r="I953" s="1799"/>
      <c r="J953" s="1799"/>
      <c r="K953" s="1799"/>
      <c r="L953" s="1799"/>
      <c r="M953" s="1799"/>
      <c r="N953" s="1799"/>
      <c r="O953" s="1799"/>
      <c r="P953" s="1799"/>
      <c r="Q953" s="1799"/>
      <c r="R953" s="1799"/>
      <c r="S953" s="1799"/>
      <c r="T953" s="1799"/>
      <c r="U953" s="1799"/>
      <c r="V953" s="1799"/>
      <c r="W953" s="1799"/>
      <c r="X953" s="1799"/>
      <c r="Y953" s="1799"/>
      <c r="Z953" s="1799"/>
    </row>
    <row r="954">
      <c r="A954" s="1799"/>
      <c r="B954" s="1799"/>
      <c r="C954" s="1799"/>
      <c r="D954" s="1812"/>
      <c r="E954" s="1799"/>
      <c r="F954" s="1813"/>
      <c r="G954" s="1814"/>
      <c r="H954" s="1799"/>
      <c r="I954" s="1799"/>
      <c r="J954" s="1799"/>
      <c r="K954" s="1799"/>
      <c r="L954" s="1799"/>
      <c r="M954" s="1799"/>
      <c r="N954" s="1799"/>
      <c r="O954" s="1799"/>
      <c r="P954" s="1799"/>
      <c r="Q954" s="1799"/>
      <c r="R954" s="1799"/>
      <c r="S954" s="1799"/>
      <c r="T954" s="1799"/>
      <c r="U954" s="1799"/>
      <c r="V954" s="1799"/>
      <c r="W954" s="1799"/>
      <c r="X954" s="1799"/>
      <c r="Y954" s="1799"/>
      <c r="Z954" s="1799"/>
    </row>
    <row r="955">
      <c r="A955" s="1799"/>
      <c r="B955" s="1799"/>
      <c r="C955" s="1799"/>
      <c r="D955" s="1812"/>
      <c r="E955" s="1799"/>
      <c r="F955" s="1813"/>
      <c r="G955" s="1814"/>
      <c r="H955" s="1799"/>
      <c r="I955" s="1799"/>
      <c r="J955" s="1799"/>
      <c r="K955" s="1799"/>
      <c r="L955" s="1799"/>
      <c r="M955" s="1799"/>
      <c r="N955" s="1799"/>
      <c r="O955" s="1799"/>
      <c r="P955" s="1799"/>
      <c r="Q955" s="1799"/>
      <c r="R955" s="1799"/>
      <c r="S955" s="1799"/>
      <c r="T955" s="1799"/>
      <c r="U955" s="1799"/>
      <c r="V955" s="1799"/>
      <c r="W955" s="1799"/>
      <c r="X955" s="1799"/>
      <c r="Y955" s="1799"/>
      <c r="Z955" s="1799"/>
    </row>
    <row r="956">
      <c r="A956" s="1799"/>
      <c r="B956" s="1799"/>
      <c r="C956" s="1799"/>
      <c r="D956" s="1812"/>
      <c r="E956" s="1799"/>
      <c r="F956" s="1813"/>
      <c r="G956" s="1814"/>
      <c r="H956" s="1799"/>
      <c r="I956" s="1799"/>
      <c r="J956" s="1799"/>
      <c r="K956" s="1799"/>
      <c r="L956" s="1799"/>
      <c r="M956" s="1799"/>
      <c r="N956" s="1799"/>
      <c r="O956" s="1799"/>
      <c r="P956" s="1799"/>
      <c r="Q956" s="1799"/>
      <c r="R956" s="1799"/>
      <c r="S956" s="1799"/>
      <c r="T956" s="1799"/>
      <c r="U956" s="1799"/>
      <c r="V956" s="1799"/>
      <c r="W956" s="1799"/>
      <c r="X956" s="1799"/>
      <c r="Y956" s="1799"/>
      <c r="Z956" s="1799"/>
    </row>
    <row r="957">
      <c r="A957" s="1799"/>
      <c r="B957" s="1799"/>
      <c r="C957" s="1799"/>
      <c r="D957" s="1812"/>
      <c r="E957" s="1799"/>
      <c r="F957" s="1813"/>
      <c r="G957" s="1814"/>
      <c r="H957" s="1799"/>
      <c r="I957" s="1799"/>
      <c r="J957" s="1799"/>
      <c r="K957" s="1799"/>
      <c r="L957" s="1799"/>
      <c r="M957" s="1799"/>
      <c r="N957" s="1799"/>
      <c r="O957" s="1799"/>
      <c r="P957" s="1799"/>
      <c r="Q957" s="1799"/>
      <c r="R957" s="1799"/>
      <c r="S957" s="1799"/>
      <c r="T957" s="1799"/>
      <c r="U957" s="1799"/>
      <c r="V957" s="1799"/>
      <c r="W957" s="1799"/>
      <c r="X957" s="1799"/>
      <c r="Y957" s="1799"/>
      <c r="Z957" s="1799"/>
    </row>
    <row r="958">
      <c r="A958" s="1799"/>
      <c r="B958" s="1799"/>
      <c r="C958" s="1799"/>
      <c r="D958" s="1812"/>
      <c r="E958" s="1799"/>
      <c r="F958" s="1813"/>
      <c r="G958" s="1814"/>
      <c r="H958" s="1799"/>
      <c r="I958" s="1799"/>
      <c r="J958" s="1799"/>
      <c r="K958" s="1799"/>
      <c r="L958" s="1799"/>
      <c r="M958" s="1799"/>
      <c r="N958" s="1799"/>
      <c r="O958" s="1799"/>
      <c r="P958" s="1799"/>
      <c r="Q958" s="1799"/>
      <c r="R958" s="1799"/>
      <c r="S958" s="1799"/>
      <c r="T958" s="1799"/>
      <c r="U958" s="1799"/>
      <c r="V958" s="1799"/>
      <c r="W958" s="1799"/>
      <c r="X958" s="1799"/>
      <c r="Y958" s="1799"/>
      <c r="Z958" s="1799"/>
    </row>
    <row r="959">
      <c r="A959" s="1799"/>
      <c r="B959" s="1799"/>
      <c r="C959" s="1799"/>
      <c r="D959" s="1812"/>
      <c r="E959" s="1799"/>
      <c r="F959" s="1813"/>
      <c r="G959" s="1814"/>
      <c r="H959" s="1799"/>
      <c r="I959" s="1799"/>
      <c r="J959" s="1799"/>
      <c r="K959" s="1799"/>
      <c r="L959" s="1799"/>
      <c r="M959" s="1799"/>
      <c r="N959" s="1799"/>
      <c r="O959" s="1799"/>
      <c r="P959" s="1799"/>
      <c r="Q959" s="1799"/>
      <c r="R959" s="1799"/>
      <c r="S959" s="1799"/>
      <c r="T959" s="1799"/>
      <c r="U959" s="1799"/>
      <c r="V959" s="1799"/>
      <c r="W959" s="1799"/>
      <c r="X959" s="1799"/>
      <c r="Y959" s="1799"/>
      <c r="Z959" s="1799"/>
    </row>
    <row r="960">
      <c r="A960" s="1799"/>
      <c r="B960" s="1799"/>
      <c r="C960" s="1799"/>
      <c r="D960" s="1812"/>
      <c r="E960" s="1799"/>
      <c r="F960" s="1813"/>
      <c r="G960" s="1814"/>
      <c r="H960" s="1799"/>
      <c r="I960" s="1799"/>
      <c r="J960" s="1799"/>
      <c r="K960" s="1799"/>
      <c r="L960" s="1799"/>
      <c r="M960" s="1799"/>
      <c r="N960" s="1799"/>
      <c r="O960" s="1799"/>
      <c r="P960" s="1799"/>
      <c r="Q960" s="1799"/>
      <c r="R960" s="1799"/>
      <c r="S960" s="1799"/>
      <c r="T960" s="1799"/>
      <c r="U960" s="1799"/>
      <c r="V960" s="1799"/>
      <c r="W960" s="1799"/>
      <c r="X960" s="1799"/>
      <c r="Y960" s="1799"/>
      <c r="Z960" s="1799"/>
    </row>
    <row r="961">
      <c r="A961" s="1799"/>
      <c r="B961" s="1799"/>
      <c r="C961" s="1799"/>
      <c r="D961" s="1812"/>
      <c r="E961" s="1799"/>
      <c r="F961" s="1813"/>
      <c r="G961" s="1814"/>
      <c r="H961" s="1799"/>
      <c r="I961" s="1799"/>
      <c r="J961" s="1799"/>
      <c r="K961" s="1799"/>
      <c r="L961" s="1799"/>
      <c r="M961" s="1799"/>
      <c r="N961" s="1799"/>
      <c r="O961" s="1799"/>
      <c r="P961" s="1799"/>
      <c r="Q961" s="1799"/>
      <c r="R961" s="1799"/>
      <c r="S961" s="1799"/>
      <c r="T961" s="1799"/>
      <c r="U961" s="1799"/>
      <c r="V961" s="1799"/>
      <c r="W961" s="1799"/>
      <c r="X961" s="1799"/>
      <c r="Y961" s="1799"/>
      <c r="Z961" s="1799"/>
    </row>
    <row r="962">
      <c r="A962" s="1799"/>
      <c r="B962" s="1799"/>
      <c r="C962" s="1799"/>
      <c r="D962" s="1812"/>
      <c r="E962" s="1799"/>
      <c r="F962" s="1813"/>
      <c r="G962" s="1814"/>
      <c r="H962" s="1799"/>
      <c r="I962" s="1799"/>
      <c r="J962" s="1799"/>
      <c r="K962" s="1799"/>
      <c r="L962" s="1799"/>
      <c r="M962" s="1799"/>
      <c r="N962" s="1799"/>
      <c r="O962" s="1799"/>
      <c r="P962" s="1799"/>
      <c r="Q962" s="1799"/>
      <c r="R962" s="1799"/>
      <c r="S962" s="1799"/>
      <c r="T962" s="1799"/>
      <c r="U962" s="1799"/>
      <c r="V962" s="1799"/>
      <c r="W962" s="1799"/>
      <c r="X962" s="1799"/>
      <c r="Y962" s="1799"/>
      <c r="Z962" s="1799"/>
    </row>
    <row r="963">
      <c r="A963" s="1799"/>
      <c r="B963" s="1799"/>
      <c r="C963" s="1799"/>
      <c r="D963" s="1812"/>
      <c r="E963" s="1799"/>
      <c r="F963" s="1813"/>
      <c r="G963" s="1814"/>
      <c r="H963" s="1799"/>
      <c r="I963" s="1799"/>
      <c r="J963" s="1799"/>
      <c r="K963" s="1799"/>
      <c r="L963" s="1799"/>
      <c r="M963" s="1799"/>
      <c r="N963" s="1799"/>
      <c r="O963" s="1799"/>
      <c r="P963" s="1799"/>
      <c r="Q963" s="1799"/>
      <c r="R963" s="1799"/>
      <c r="S963" s="1799"/>
      <c r="T963" s="1799"/>
      <c r="U963" s="1799"/>
      <c r="V963" s="1799"/>
      <c r="W963" s="1799"/>
      <c r="X963" s="1799"/>
      <c r="Y963" s="1799"/>
      <c r="Z963" s="1799"/>
    </row>
    <row r="964">
      <c r="A964" s="1799"/>
      <c r="B964" s="1799"/>
      <c r="C964" s="1799"/>
      <c r="D964" s="1812"/>
      <c r="E964" s="1799"/>
      <c r="F964" s="1813"/>
      <c r="G964" s="1814"/>
      <c r="H964" s="1799"/>
      <c r="I964" s="1799"/>
      <c r="J964" s="1799"/>
      <c r="K964" s="1799"/>
      <c r="L964" s="1799"/>
      <c r="M964" s="1799"/>
      <c r="N964" s="1799"/>
      <c r="O964" s="1799"/>
      <c r="P964" s="1799"/>
      <c r="Q964" s="1799"/>
      <c r="R964" s="1799"/>
      <c r="S964" s="1799"/>
      <c r="T964" s="1799"/>
      <c r="U964" s="1799"/>
      <c r="V964" s="1799"/>
      <c r="W964" s="1799"/>
      <c r="X964" s="1799"/>
      <c r="Y964" s="1799"/>
      <c r="Z964" s="1799"/>
    </row>
    <row r="965">
      <c r="A965" s="1799"/>
      <c r="B965" s="1799"/>
      <c r="C965" s="1799"/>
      <c r="D965" s="1812"/>
      <c r="E965" s="1799"/>
      <c r="F965" s="1813"/>
      <c r="G965" s="1814"/>
      <c r="H965" s="1799"/>
      <c r="I965" s="1799"/>
      <c r="J965" s="1799"/>
      <c r="K965" s="1799"/>
      <c r="L965" s="1799"/>
      <c r="M965" s="1799"/>
      <c r="N965" s="1799"/>
      <c r="O965" s="1799"/>
      <c r="P965" s="1799"/>
      <c r="Q965" s="1799"/>
      <c r="R965" s="1799"/>
      <c r="S965" s="1799"/>
      <c r="T965" s="1799"/>
      <c r="U965" s="1799"/>
      <c r="V965" s="1799"/>
      <c r="W965" s="1799"/>
      <c r="X965" s="1799"/>
      <c r="Y965" s="1799"/>
      <c r="Z965" s="1799"/>
    </row>
    <row r="966">
      <c r="A966" s="1799"/>
      <c r="B966" s="1799"/>
      <c r="C966" s="1799"/>
      <c r="D966" s="1812"/>
      <c r="E966" s="1799"/>
      <c r="F966" s="1813"/>
      <c r="G966" s="1814"/>
      <c r="H966" s="1799"/>
      <c r="I966" s="1799"/>
      <c r="J966" s="1799"/>
      <c r="K966" s="1799"/>
      <c r="L966" s="1799"/>
      <c r="M966" s="1799"/>
      <c r="N966" s="1799"/>
      <c r="O966" s="1799"/>
      <c r="P966" s="1799"/>
      <c r="Q966" s="1799"/>
      <c r="R966" s="1799"/>
      <c r="S966" s="1799"/>
      <c r="T966" s="1799"/>
      <c r="U966" s="1799"/>
      <c r="V966" s="1799"/>
      <c r="W966" s="1799"/>
      <c r="X966" s="1799"/>
      <c r="Y966" s="1799"/>
      <c r="Z966" s="1799"/>
    </row>
    <row r="967">
      <c r="A967" s="1799"/>
      <c r="B967" s="1799"/>
      <c r="C967" s="1799"/>
      <c r="D967" s="1812"/>
      <c r="E967" s="1799"/>
      <c r="F967" s="1813"/>
      <c r="G967" s="1814"/>
      <c r="H967" s="1799"/>
      <c r="I967" s="1799"/>
      <c r="J967" s="1799"/>
      <c r="K967" s="1799"/>
      <c r="L967" s="1799"/>
      <c r="M967" s="1799"/>
      <c r="N967" s="1799"/>
      <c r="O967" s="1799"/>
      <c r="P967" s="1799"/>
      <c r="Q967" s="1799"/>
      <c r="R967" s="1799"/>
      <c r="S967" s="1799"/>
      <c r="T967" s="1799"/>
      <c r="U967" s="1799"/>
      <c r="V967" s="1799"/>
      <c r="W967" s="1799"/>
      <c r="X967" s="1799"/>
      <c r="Y967" s="1799"/>
      <c r="Z967" s="1799"/>
    </row>
    <row r="968">
      <c r="A968" s="1799"/>
      <c r="B968" s="1799"/>
      <c r="C968" s="1799"/>
      <c r="D968" s="1812"/>
      <c r="E968" s="1799"/>
      <c r="F968" s="1813"/>
      <c r="G968" s="1814"/>
      <c r="H968" s="1799"/>
      <c r="I968" s="1799"/>
      <c r="J968" s="1799"/>
      <c r="K968" s="1799"/>
      <c r="L968" s="1799"/>
      <c r="M968" s="1799"/>
      <c r="N968" s="1799"/>
      <c r="O968" s="1799"/>
      <c r="P968" s="1799"/>
      <c r="Q968" s="1799"/>
      <c r="R968" s="1799"/>
      <c r="S968" s="1799"/>
      <c r="T968" s="1799"/>
      <c r="U968" s="1799"/>
      <c r="V968" s="1799"/>
      <c r="W968" s="1799"/>
      <c r="X968" s="1799"/>
      <c r="Y968" s="1799"/>
      <c r="Z968" s="1799"/>
    </row>
    <row r="969">
      <c r="A969" s="1799"/>
      <c r="B969" s="1799"/>
      <c r="C969" s="1799"/>
      <c r="D969" s="1812"/>
      <c r="E969" s="1799"/>
      <c r="F969" s="1813"/>
      <c r="G969" s="1814"/>
      <c r="H969" s="1799"/>
      <c r="I969" s="1799"/>
      <c r="J969" s="1799"/>
      <c r="K969" s="1799"/>
      <c r="L969" s="1799"/>
      <c r="M969" s="1799"/>
      <c r="N969" s="1799"/>
      <c r="O969" s="1799"/>
      <c r="P969" s="1799"/>
      <c r="Q969" s="1799"/>
      <c r="R969" s="1799"/>
      <c r="S969" s="1799"/>
      <c r="T969" s="1799"/>
      <c r="U969" s="1799"/>
      <c r="V969" s="1799"/>
      <c r="W969" s="1799"/>
      <c r="X969" s="1799"/>
      <c r="Y969" s="1799"/>
      <c r="Z969" s="1799"/>
    </row>
    <row r="970">
      <c r="A970" s="1799"/>
      <c r="B970" s="1799"/>
      <c r="C970" s="1799"/>
      <c r="D970" s="1812"/>
      <c r="E970" s="1799"/>
      <c r="F970" s="1813"/>
      <c r="G970" s="1814"/>
      <c r="H970" s="1799"/>
      <c r="I970" s="1799"/>
      <c r="J970" s="1799"/>
      <c r="K970" s="1799"/>
      <c r="L970" s="1799"/>
      <c r="M970" s="1799"/>
      <c r="N970" s="1799"/>
      <c r="O970" s="1799"/>
      <c r="P970" s="1799"/>
      <c r="Q970" s="1799"/>
      <c r="R970" s="1799"/>
      <c r="S970" s="1799"/>
      <c r="T970" s="1799"/>
      <c r="U970" s="1799"/>
      <c r="V970" s="1799"/>
      <c r="W970" s="1799"/>
      <c r="X970" s="1799"/>
      <c r="Y970" s="1799"/>
      <c r="Z970" s="1799"/>
    </row>
    <row r="971">
      <c r="A971" s="1799"/>
      <c r="B971" s="1799"/>
      <c r="C971" s="1799"/>
      <c r="D971" s="1812"/>
      <c r="E971" s="1799"/>
      <c r="F971" s="1813"/>
      <c r="G971" s="1814"/>
      <c r="H971" s="1799"/>
      <c r="I971" s="1799"/>
      <c r="J971" s="1799"/>
      <c r="K971" s="1799"/>
      <c r="L971" s="1799"/>
      <c r="M971" s="1799"/>
      <c r="N971" s="1799"/>
      <c r="O971" s="1799"/>
      <c r="P971" s="1799"/>
      <c r="Q971" s="1799"/>
      <c r="R971" s="1799"/>
      <c r="S971" s="1799"/>
      <c r="T971" s="1799"/>
      <c r="U971" s="1799"/>
      <c r="V971" s="1799"/>
      <c r="W971" s="1799"/>
      <c r="X971" s="1799"/>
      <c r="Y971" s="1799"/>
      <c r="Z971" s="1799"/>
    </row>
    <row r="972">
      <c r="A972" s="1799"/>
      <c r="B972" s="1799"/>
      <c r="C972" s="1799"/>
      <c r="D972" s="1812"/>
      <c r="E972" s="1799"/>
      <c r="F972" s="1813"/>
      <c r="G972" s="1814"/>
      <c r="H972" s="1799"/>
      <c r="I972" s="1799"/>
      <c r="J972" s="1799"/>
      <c r="K972" s="1799"/>
      <c r="L972" s="1799"/>
      <c r="M972" s="1799"/>
      <c r="N972" s="1799"/>
      <c r="O972" s="1799"/>
      <c r="P972" s="1799"/>
      <c r="Q972" s="1799"/>
      <c r="R972" s="1799"/>
      <c r="S972" s="1799"/>
      <c r="T972" s="1799"/>
      <c r="U972" s="1799"/>
      <c r="V972" s="1799"/>
      <c r="W972" s="1799"/>
      <c r="X972" s="1799"/>
      <c r="Y972" s="1799"/>
      <c r="Z972" s="1799"/>
    </row>
    <row r="973">
      <c r="A973" s="1799"/>
      <c r="B973" s="1799"/>
      <c r="C973" s="1799"/>
      <c r="D973" s="1812"/>
      <c r="E973" s="1799"/>
      <c r="F973" s="1813"/>
      <c r="G973" s="1814"/>
      <c r="H973" s="1799"/>
      <c r="I973" s="1799"/>
      <c r="J973" s="1799"/>
      <c r="K973" s="1799"/>
      <c r="L973" s="1799"/>
      <c r="M973" s="1799"/>
      <c r="N973" s="1799"/>
      <c r="O973" s="1799"/>
      <c r="P973" s="1799"/>
      <c r="Q973" s="1799"/>
      <c r="R973" s="1799"/>
      <c r="S973" s="1799"/>
      <c r="T973" s="1799"/>
      <c r="U973" s="1799"/>
      <c r="V973" s="1799"/>
      <c r="W973" s="1799"/>
      <c r="X973" s="1799"/>
      <c r="Y973" s="1799"/>
      <c r="Z973" s="1799"/>
    </row>
    <row r="974">
      <c r="A974" s="1799"/>
      <c r="B974" s="1799"/>
      <c r="C974" s="1799"/>
      <c r="D974" s="1812"/>
      <c r="E974" s="1799"/>
      <c r="F974" s="1813"/>
      <c r="G974" s="1814"/>
      <c r="H974" s="1799"/>
      <c r="I974" s="1799"/>
      <c r="J974" s="1799"/>
      <c r="K974" s="1799"/>
      <c r="L974" s="1799"/>
      <c r="M974" s="1799"/>
      <c r="N974" s="1799"/>
      <c r="O974" s="1799"/>
      <c r="P974" s="1799"/>
      <c r="Q974" s="1799"/>
      <c r="R974" s="1799"/>
      <c r="S974" s="1799"/>
      <c r="T974" s="1799"/>
      <c r="U974" s="1799"/>
      <c r="V974" s="1799"/>
      <c r="W974" s="1799"/>
      <c r="X974" s="1799"/>
      <c r="Y974" s="1799"/>
      <c r="Z974" s="1799"/>
    </row>
    <row r="975">
      <c r="A975" s="1799"/>
      <c r="B975" s="1799"/>
      <c r="C975" s="1799"/>
      <c r="D975" s="1812"/>
      <c r="E975" s="1799"/>
      <c r="F975" s="1813"/>
      <c r="G975" s="1814"/>
      <c r="H975" s="1799"/>
      <c r="I975" s="1799"/>
      <c r="J975" s="1799"/>
      <c r="K975" s="1799"/>
      <c r="L975" s="1799"/>
      <c r="M975" s="1799"/>
      <c r="N975" s="1799"/>
      <c r="O975" s="1799"/>
      <c r="P975" s="1799"/>
      <c r="Q975" s="1799"/>
      <c r="R975" s="1799"/>
      <c r="S975" s="1799"/>
      <c r="T975" s="1799"/>
      <c r="U975" s="1799"/>
      <c r="V975" s="1799"/>
      <c r="W975" s="1799"/>
      <c r="X975" s="1799"/>
      <c r="Y975" s="1799"/>
      <c r="Z975" s="1799"/>
    </row>
    <row r="976">
      <c r="A976" s="1799"/>
      <c r="B976" s="1799"/>
      <c r="C976" s="1799"/>
      <c r="D976" s="1812"/>
      <c r="E976" s="1799"/>
      <c r="F976" s="1813"/>
      <c r="G976" s="1814"/>
      <c r="H976" s="1799"/>
      <c r="I976" s="1799"/>
      <c r="J976" s="1799"/>
      <c r="K976" s="1799"/>
      <c r="L976" s="1799"/>
      <c r="M976" s="1799"/>
      <c r="N976" s="1799"/>
      <c r="O976" s="1799"/>
      <c r="P976" s="1799"/>
      <c r="Q976" s="1799"/>
      <c r="R976" s="1799"/>
      <c r="S976" s="1799"/>
      <c r="T976" s="1799"/>
      <c r="U976" s="1799"/>
      <c r="V976" s="1799"/>
      <c r="W976" s="1799"/>
      <c r="X976" s="1799"/>
      <c r="Y976" s="1799"/>
      <c r="Z976" s="1799"/>
    </row>
    <row r="977">
      <c r="A977" s="1799"/>
      <c r="B977" s="1799"/>
      <c r="C977" s="1799"/>
      <c r="D977" s="1812"/>
      <c r="E977" s="1799"/>
      <c r="F977" s="1813"/>
      <c r="G977" s="1814"/>
      <c r="H977" s="1799"/>
      <c r="I977" s="1799"/>
      <c r="J977" s="1799"/>
      <c r="K977" s="1799"/>
      <c r="L977" s="1799"/>
      <c r="M977" s="1799"/>
      <c r="N977" s="1799"/>
      <c r="O977" s="1799"/>
      <c r="P977" s="1799"/>
      <c r="Q977" s="1799"/>
      <c r="R977" s="1799"/>
      <c r="S977" s="1799"/>
      <c r="T977" s="1799"/>
      <c r="U977" s="1799"/>
      <c r="V977" s="1799"/>
      <c r="W977" s="1799"/>
      <c r="X977" s="1799"/>
      <c r="Y977" s="1799"/>
      <c r="Z977" s="1799"/>
    </row>
    <row r="978">
      <c r="A978" s="1799"/>
      <c r="B978" s="1799"/>
      <c r="C978" s="1799"/>
      <c r="D978" s="1812"/>
      <c r="E978" s="1799"/>
      <c r="F978" s="1813"/>
      <c r="G978" s="1814"/>
      <c r="H978" s="1799"/>
      <c r="I978" s="1799"/>
      <c r="J978" s="1799"/>
      <c r="K978" s="1799"/>
      <c r="L978" s="1799"/>
      <c r="M978" s="1799"/>
      <c r="N978" s="1799"/>
      <c r="O978" s="1799"/>
      <c r="P978" s="1799"/>
      <c r="Q978" s="1799"/>
      <c r="R978" s="1799"/>
      <c r="S978" s="1799"/>
      <c r="T978" s="1799"/>
      <c r="U978" s="1799"/>
      <c r="V978" s="1799"/>
      <c r="W978" s="1799"/>
      <c r="X978" s="1799"/>
      <c r="Y978" s="1799"/>
      <c r="Z978" s="1799"/>
    </row>
    <row r="979">
      <c r="A979" s="1799"/>
      <c r="B979" s="1799"/>
      <c r="C979" s="1799"/>
      <c r="D979" s="1812"/>
      <c r="E979" s="1799"/>
      <c r="F979" s="1813"/>
      <c r="G979" s="1814"/>
      <c r="H979" s="1799"/>
      <c r="I979" s="1799"/>
      <c r="J979" s="1799"/>
      <c r="K979" s="1799"/>
      <c r="L979" s="1799"/>
      <c r="M979" s="1799"/>
      <c r="N979" s="1799"/>
      <c r="O979" s="1799"/>
      <c r="P979" s="1799"/>
      <c r="Q979" s="1799"/>
      <c r="R979" s="1799"/>
      <c r="S979" s="1799"/>
      <c r="T979" s="1799"/>
      <c r="U979" s="1799"/>
      <c r="V979" s="1799"/>
      <c r="W979" s="1799"/>
      <c r="X979" s="1799"/>
      <c r="Y979" s="1799"/>
      <c r="Z979" s="1799"/>
    </row>
    <row r="980">
      <c r="A980" s="1799"/>
      <c r="B980" s="1799"/>
      <c r="C980" s="1799"/>
      <c r="D980" s="1812"/>
      <c r="E980" s="1799"/>
      <c r="F980" s="1813"/>
      <c r="G980" s="1814"/>
      <c r="H980" s="1799"/>
      <c r="I980" s="1799"/>
      <c r="J980" s="1799"/>
      <c r="K980" s="1799"/>
      <c r="L980" s="1799"/>
      <c r="M980" s="1799"/>
      <c r="N980" s="1799"/>
      <c r="O980" s="1799"/>
      <c r="P980" s="1799"/>
      <c r="Q980" s="1799"/>
      <c r="R980" s="1799"/>
      <c r="S980" s="1799"/>
      <c r="T980" s="1799"/>
      <c r="U980" s="1799"/>
      <c r="V980" s="1799"/>
      <c r="W980" s="1799"/>
      <c r="X980" s="1799"/>
      <c r="Y980" s="1799"/>
      <c r="Z980" s="1799"/>
    </row>
    <row r="981">
      <c r="A981" s="1799"/>
      <c r="B981" s="1799"/>
      <c r="C981" s="1799"/>
      <c r="D981" s="1812"/>
      <c r="E981" s="1799"/>
      <c r="F981" s="1813"/>
      <c r="G981" s="1814"/>
      <c r="H981" s="1799"/>
      <c r="I981" s="1799"/>
      <c r="J981" s="1799"/>
      <c r="K981" s="1799"/>
      <c r="L981" s="1799"/>
      <c r="M981" s="1799"/>
      <c r="N981" s="1799"/>
      <c r="O981" s="1799"/>
      <c r="P981" s="1799"/>
      <c r="Q981" s="1799"/>
      <c r="R981" s="1799"/>
      <c r="S981" s="1799"/>
      <c r="T981" s="1799"/>
      <c r="U981" s="1799"/>
      <c r="V981" s="1799"/>
      <c r="W981" s="1799"/>
      <c r="X981" s="1799"/>
      <c r="Y981" s="1799"/>
      <c r="Z981" s="1799"/>
    </row>
    <row r="982">
      <c r="A982" s="1799"/>
      <c r="B982" s="1799"/>
      <c r="C982" s="1799"/>
      <c r="D982" s="1812"/>
      <c r="E982" s="1799"/>
      <c r="F982" s="1813"/>
      <c r="G982" s="1814"/>
      <c r="H982" s="1799"/>
      <c r="I982" s="1799"/>
      <c r="J982" s="1799"/>
      <c r="K982" s="1799"/>
      <c r="L982" s="1799"/>
      <c r="M982" s="1799"/>
      <c r="N982" s="1799"/>
      <c r="O982" s="1799"/>
      <c r="P982" s="1799"/>
      <c r="Q982" s="1799"/>
      <c r="R982" s="1799"/>
      <c r="S982" s="1799"/>
      <c r="T982" s="1799"/>
      <c r="U982" s="1799"/>
      <c r="V982" s="1799"/>
      <c r="W982" s="1799"/>
      <c r="X982" s="1799"/>
      <c r="Y982" s="1799"/>
      <c r="Z982" s="1799"/>
    </row>
    <row r="983">
      <c r="A983" s="1799"/>
      <c r="B983" s="1799"/>
      <c r="C983" s="1799"/>
      <c r="D983" s="1812"/>
      <c r="E983" s="1799"/>
      <c r="F983" s="1813"/>
      <c r="G983" s="1814"/>
      <c r="H983" s="1799"/>
      <c r="I983" s="1799"/>
      <c r="J983" s="1799"/>
      <c r="K983" s="1799"/>
      <c r="L983" s="1799"/>
      <c r="M983" s="1799"/>
      <c r="N983" s="1799"/>
      <c r="O983" s="1799"/>
      <c r="P983" s="1799"/>
      <c r="Q983" s="1799"/>
      <c r="R983" s="1799"/>
      <c r="S983" s="1799"/>
      <c r="T983" s="1799"/>
      <c r="U983" s="1799"/>
      <c r="V983" s="1799"/>
      <c r="W983" s="1799"/>
      <c r="X983" s="1799"/>
      <c r="Y983" s="1799"/>
      <c r="Z983" s="1799"/>
    </row>
    <row r="984">
      <c r="A984" s="1799"/>
      <c r="B984" s="1799"/>
      <c r="C984" s="1799"/>
      <c r="D984" s="1812"/>
      <c r="E984" s="1799"/>
      <c r="F984" s="1813"/>
      <c r="G984" s="1814"/>
      <c r="H984" s="1799"/>
      <c r="I984" s="1799"/>
      <c r="J984" s="1799"/>
      <c r="K984" s="1799"/>
      <c r="L984" s="1799"/>
      <c r="M984" s="1799"/>
      <c r="N984" s="1799"/>
      <c r="O984" s="1799"/>
      <c r="P984" s="1799"/>
      <c r="Q984" s="1799"/>
      <c r="R984" s="1799"/>
      <c r="S984" s="1799"/>
      <c r="T984" s="1799"/>
      <c r="U984" s="1799"/>
      <c r="V984" s="1799"/>
      <c r="W984" s="1799"/>
      <c r="X984" s="1799"/>
      <c r="Y984" s="1799"/>
      <c r="Z984" s="1799"/>
    </row>
    <row r="985">
      <c r="A985" s="1799"/>
      <c r="B985" s="1799"/>
      <c r="C985" s="1799"/>
      <c r="D985" s="1812"/>
      <c r="E985" s="1799"/>
      <c r="F985" s="1813"/>
      <c r="G985" s="1814"/>
      <c r="H985" s="1799"/>
      <c r="I985" s="1799"/>
      <c r="J985" s="1799"/>
      <c r="K985" s="1799"/>
      <c r="L985" s="1799"/>
      <c r="M985" s="1799"/>
      <c r="N985" s="1799"/>
      <c r="O985" s="1799"/>
      <c r="P985" s="1799"/>
      <c r="Q985" s="1799"/>
      <c r="R985" s="1799"/>
      <c r="S985" s="1799"/>
      <c r="T985" s="1799"/>
      <c r="U985" s="1799"/>
      <c r="V985" s="1799"/>
      <c r="W985" s="1799"/>
      <c r="X985" s="1799"/>
      <c r="Y985" s="1799"/>
      <c r="Z985" s="1799"/>
    </row>
    <row r="986">
      <c r="A986" s="1799"/>
      <c r="B986" s="1799"/>
      <c r="C986" s="1799"/>
      <c r="D986" s="1812"/>
      <c r="E986" s="1799"/>
      <c r="F986" s="1813"/>
      <c r="G986" s="1814"/>
      <c r="H986" s="1799"/>
      <c r="I986" s="1799"/>
      <c r="J986" s="1799"/>
      <c r="K986" s="1799"/>
      <c r="L986" s="1799"/>
      <c r="M986" s="1799"/>
      <c r="N986" s="1799"/>
      <c r="O986" s="1799"/>
      <c r="P986" s="1799"/>
      <c r="Q986" s="1799"/>
      <c r="R986" s="1799"/>
      <c r="S986" s="1799"/>
      <c r="T986" s="1799"/>
      <c r="U986" s="1799"/>
      <c r="V986" s="1799"/>
      <c r="W986" s="1799"/>
      <c r="X986" s="1799"/>
      <c r="Y986" s="1799"/>
      <c r="Z986" s="1799"/>
    </row>
    <row r="987">
      <c r="A987" s="1799"/>
      <c r="B987" s="1799"/>
      <c r="C987" s="1799"/>
      <c r="D987" s="1812"/>
      <c r="E987" s="1799"/>
      <c r="F987" s="1813"/>
      <c r="G987" s="1814"/>
      <c r="H987" s="1799"/>
      <c r="I987" s="1799"/>
      <c r="J987" s="1799"/>
      <c r="K987" s="1799"/>
      <c r="L987" s="1799"/>
      <c r="M987" s="1799"/>
      <c r="N987" s="1799"/>
      <c r="O987" s="1799"/>
      <c r="P987" s="1799"/>
      <c r="Q987" s="1799"/>
      <c r="R987" s="1799"/>
      <c r="S987" s="1799"/>
      <c r="T987" s="1799"/>
      <c r="U987" s="1799"/>
      <c r="V987" s="1799"/>
      <c r="W987" s="1799"/>
      <c r="X987" s="1799"/>
      <c r="Y987" s="1799"/>
      <c r="Z987" s="1799"/>
    </row>
    <row r="988">
      <c r="A988" s="1799"/>
      <c r="B988" s="1799"/>
      <c r="C988" s="1799"/>
      <c r="D988" s="1812"/>
      <c r="E988" s="1799"/>
      <c r="F988" s="1813"/>
      <c r="G988" s="1814"/>
      <c r="H988" s="1799"/>
      <c r="I988" s="1799"/>
      <c r="J988" s="1799"/>
      <c r="K988" s="1799"/>
      <c r="L988" s="1799"/>
      <c r="M988" s="1799"/>
      <c r="N988" s="1799"/>
      <c r="O988" s="1799"/>
      <c r="P988" s="1799"/>
      <c r="Q988" s="1799"/>
      <c r="R988" s="1799"/>
      <c r="S988" s="1799"/>
      <c r="T988" s="1799"/>
      <c r="U988" s="1799"/>
      <c r="V988" s="1799"/>
      <c r="W988" s="1799"/>
      <c r="X988" s="1799"/>
      <c r="Y988" s="1799"/>
      <c r="Z988" s="1799"/>
    </row>
    <row r="989">
      <c r="A989" s="1799"/>
      <c r="B989" s="1799"/>
      <c r="C989" s="1799"/>
      <c r="D989" s="1812"/>
      <c r="E989" s="1799"/>
      <c r="F989" s="1813"/>
      <c r="G989" s="1814"/>
      <c r="H989" s="1799"/>
      <c r="I989" s="1799"/>
      <c r="J989" s="1799"/>
      <c r="K989" s="1799"/>
      <c r="L989" s="1799"/>
      <c r="M989" s="1799"/>
      <c r="N989" s="1799"/>
      <c r="O989" s="1799"/>
      <c r="P989" s="1799"/>
      <c r="Q989" s="1799"/>
      <c r="R989" s="1799"/>
      <c r="S989" s="1799"/>
      <c r="T989" s="1799"/>
      <c r="U989" s="1799"/>
      <c r="V989" s="1799"/>
      <c r="W989" s="1799"/>
      <c r="X989" s="1799"/>
      <c r="Y989" s="1799"/>
      <c r="Z989" s="1799"/>
    </row>
    <row r="990">
      <c r="A990" s="1799"/>
      <c r="B990" s="1799"/>
      <c r="C990" s="1799"/>
      <c r="D990" s="1812"/>
      <c r="E990" s="1799"/>
      <c r="F990" s="1813"/>
      <c r="G990" s="1814"/>
      <c r="H990" s="1799"/>
      <c r="I990" s="1799"/>
      <c r="J990" s="1799"/>
      <c r="K990" s="1799"/>
      <c r="L990" s="1799"/>
      <c r="M990" s="1799"/>
      <c r="N990" s="1799"/>
      <c r="O990" s="1799"/>
      <c r="P990" s="1799"/>
      <c r="Q990" s="1799"/>
      <c r="R990" s="1799"/>
      <c r="S990" s="1799"/>
      <c r="T990" s="1799"/>
      <c r="U990" s="1799"/>
      <c r="V990" s="1799"/>
      <c r="W990" s="1799"/>
      <c r="X990" s="1799"/>
      <c r="Y990" s="1799"/>
      <c r="Z990" s="1799"/>
    </row>
    <row r="991">
      <c r="A991" s="1799"/>
      <c r="B991" s="1799"/>
      <c r="C991" s="1799"/>
      <c r="D991" s="1812"/>
      <c r="E991" s="1799"/>
      <c r="F991" s="1813"/>
      <c r="G991" s="1814"/>
      <c r="H991" s="1799"/>
      <c r="I991" s="1799"/>
      <c r="J991" s="1799"/>
      <c r="K991" s="1799"/>
      <c r="L991" s="1799"/>
      <c r="M991" s="1799"/>
      <c r="N991" s="1799"/>
      <c r="O991" s="1799"/>
      <c r="P991" s="1799"/>
      <c r="Q991" s="1799"/>
      <c r="R991" s="1799"/>
      <c r="S991" s="1799"/>
      <c r="T991" s="1799"/>
      <c r="U991" s="1799"/>
      <c r="V991" s="1799"/>
      <c r="W991" s="1799"/>
      <c r="X991" s="1799"/>
      <c r="Y991" s="1799"/>
      <c r="Z991" s="1799"/>
    </row>
    <row r="992">
      <c r="A992" s="1799"/>
      <c r="B992" s="1799"/>
      <c r="C992" s="1799"/>
      <c r="D992" s="1812"/>
      <c r="E992" s="1799"/>
      <c r="F992" s="1813"/>
      <c r="G992" s="1814"/>
      <c r="H992" s="1799"/>
      <c r="I992" s="1799"/>
      <c r="J992" s="1799"/>
      <c r="K992" s="1799"/>
      <c r="L992" s="1799"/>
      <c r="M992" s="1799"/>
      <c r="N992" s="1799"/>
      <c r="O992" s="1799"/>
      <c r="P992" s="1799"/>
      <c r="Q992" s="1799"/>
      <c r="R992" s="1799"/>
      <c r="S992" s="1799"/>
      <c r="T992" s="1799"/>
      <c r="U992" s="1799"/>
      <c r="V992" s="1799"/>
      <c r="W992" s="1799"/>
      <c r="X992" s="1799"/>
      <c r="Y992" s="1799"/>
      <c r="Z992" s="1799"/>
    </row>
    <row r="993">
      <c r="A993" s="1799"/>
      <c r="B993" s="1799"/>
      <c r="C993" s="1799"/>
      <c r="D993" s="1812"/>
      <c r="E993" s="1799"/>
      <c r="F993" s="1813"/>
      <c r="G993" s="1814"/>
      <c r="H993" s="1799"/>
      <c r="I993" s="1799"/>
      <c r="J993" s="1799"/>
      <c r="K993" s="1799"/>
      <c r="L993" s="1799"/>
      <c r="M993" s="1799"/>
      <c r="N993" s="1799"/>
      <c r="O993" s="1799"/>
      <c r="P993" s="1799"/>
      <c r="Q993" s="1799"/>
      <c r="R993" s="1799"/>
      <c r="S993" s="1799"/>
      <c r="T993" s="1799"/>
      <c r="U993" s="1799"/>
      <c r="V993" s="1799"/>
      <c r="W993" s="1799"/>
      <c r="X993" s="1799"/>
      <c r="Y993" s="1799"/>
      <c r="Z993" s="1799"/>
    </row>
    <row r="994">
      <c r="A994" s="1799"/>
      <c r="B994" s="1799"/>
      <c r="C994" s="1799"/>
      <c r="D994" s="1812"/>
      <c r="E994" s="1799"/>
      <c r="F994" s="1813"/>
      <c r="G994" s="1814"/>
      <c r="H994" s="1799"/>
      <c r="I994" s="1799"/>
      <c r="J994" s="1799"/>
      <c r="K994" s="1799"/>
      <c r="L994" s="1799"/>
      <c r="M994" s="1799"/>
      <c r="N994" s="1799"/>
      <c r="O994" s="1799"/>
      <c r="P994" s="1799"/>
      <c r="Q994" s="1799"/>
      <c r="R994" s="1799"/>
      <c r="S994" s="1799"/>
      <c r="T994" s="1799"/>
      <c r="U994" s="1799"/>
      <c r="V994" s="1799"/>
      <c r="W994" s="1799"/>
      <c r="X994" s="1799"/>
      <c r="Y994" s="1799"/>
      <c r="Z994" s="1799"/>
    </row>
    <row r="995">
      <c r="A995" s="1799"/>
      <c r="B995" s="1799"/>
      <c r="C995" s="1799"/>
      <c r="D995" s="1812"/>
      <c r="E995" s="1799"/>
      <c r="F995" s="1813"/>
      <c r="G995" s="1814"/>
      <c r="H995" s="1799"/>
      <c r="I995" s="1799"/>
      <c r="J995" s="1799"/>
      <c r="K995" s="1799"/>
      <c r="L995" s="1799"/>
      <c r="M995" s="1799"/>
      <c r="N995" s="1799"/>
      <c r="O995" s="1799"/>
      <c r="P995" s="1799"/>
      <c r="Q995" s="1799"/>
      <c r="R995" s="1799"/>
      <c r="S995" s="1799"/>
      <c r="T995" s="1799"/>
      <c r="U995" s="1799"/>
      <c r="V995" s="1799"/>
      <c r="W995" s="1799"/>
      <c r="X995" s="1799"/>
      <c r="Y995" s="1799"/>
      <c r="Z995" s="1799"/>
    </row>
    <row r="996">
      <c r="A996" s="1799"/>
      <c r="B996" s="1799"/>
      <c r="C996" s="1799"/>
      <c r="D996" s="1812"/>
      <c r="E996" s="1799"/>
      <c r="F996" s="1813"/>
      <c r="G996" s="1814"/>
      <c r="H996" s="1799"/>
      <c r="I996" s="1799"/>
      <c r="J996" s="1799"/>
      <c r="K996" s="1799"/>
      <c r="L996" s="1799"/>
      <c r="M996" s="1799"/>
      <c r="N996" s="1799"/>
      <c r="O996" s="1799"/>
      <c r="P996" s="1799"/>
      <c r="Q996" s="1799"/>
      <c r="R996" s="1799"/>
      <c r="S996" s="1799"/>
      <c r="T996" s="1799"/>
      <c r="U996" s="1799"/>
      <c r="V996" s="1799"/>
      <c r="W996" s="1799"/>
      <c r="X996" s="1799"/>
      <c r="Y996" s="1799"/>
      <c r="Z996" s="1799"/>
    </row>
    <row r="997">
      <c r="A997" s="1799"/>
      <c r="B997" s="1799"/>
      <c r="C997" s="1799"/>
      <c r="D997" s="1812"/>
      <c r="E997" s="1799"/>
      <c r="F997" s="1813"/>
      <c r="G997" s="1814"/>
      <c r="H997" s="1799"/>
      <c r="I997" s="1799"/>
      <c r="J997" s="1799"/>
      <c r="K997" s="1799"/>
      <c r="L997" s="1799"/>
      <c r="M997" s="1799"/>
      <c r="N997" s="1799"/>
      <c r="O997" s="1799"/>
      <c r="P997" s="1799"/>
      <c r="Q997" s="1799"/>
      <c r="R997" s="1799"/>
      <c r="S997" s="1799"/>
      <c r="T997" s="1799"/>
      <c r="U997" s="1799"/>
      <c r="V997" s="1799"/>
      <c r="W997" s="1799"/>
      <c r="X997" s="1799"/>
      <c r="Y997" s="1799"/>
      <c r="Z997" s="1799"/>
    </row>
    <row r="998">
      <c r="A998" s="1799"/>
      <c r="B998" s="1799"/>
      <c r="C998" s="1799"/>
      <c r="D998" s="1812"/>
      <c r="E998" s="1799"/>
      <c r="F998" s="1813"/>
      <c r="G998" s="1814"/>
      <c r="H998" s="1799"/>
      <c r="I998" s="1799"/>
      <c r="J998" s="1799"/>
      <c r="K998" s="1799"/>
      <c r="L998" s="1799"/>
      <c r="M998" s="1799"/>
      <c r="N998" s="1799"/>
      <c r="O998" s="1799"/>
      <c r="P998" s="1799"/>
      <c r="Q998" s="1799"/>
      <c r="R998" s="1799"/>
      <c r="S998" s="1799"/>
      <c r="T998" s="1799"/>
      <c r="U998" s="1799"/>
      <c r="V998" s="1799"/>
      <c r="W998" s="1799"/>
      <c r="X998" s="1799"/>
      <c r="Y998" s="1799"/>
      <c r="Z998" s="1799"/>
    </row>
    <row r="999">
      <c r="A999" s="1799"/>
      <c r="B999" s="1799"/>
      <c r="C999" s="1799"/>
      <c r="D999" s="1812"/>
      <c r="E999" s="1799"/>
      <c r="F999" s="1813"/>
      <c r="G999" s="1814"/>
      <c r="H999" s="1799"/>
      <c r="I999" s="1799"/>
      <c r="J999" s="1799"/>
      <c r="K999" s="1799"/>
      <c r="L999" s="1799"/>
      <c r="M999" s="1799"/>
      <c r="N999" s="1799"/>
      <c r="O999" s="1799"/>
      <c r="P999" s="1799"/>
      <c r="Q999" s="1799"/>
      <c r="R999" s="1799"/>
      <c r="S999" s="1799"/>
      <c r="T999" s="1799"/>
      <c r="U999" s="1799"/>
      <c r="V999" s="1799"/>
      <c r="W999" s="1799"/>
      <c r="X999" s="1799"/>
      <c r="Y999" s="1799"/>
      <c r="Z999" s="1799"/>
    </row>
    <row r="1000">
      <c r="A1000" s="1799"/>
      <c r="B1000" s="1799"/>
      <c r="C1000" s="1799"/>
      <c r="D1000" s="1812"/>
      <c r="E1000" s="1799"/>
      <c r="F1000" s="1813"/>
      <c r="G1000" s="1814"/>
      <c r="H1000" s="1799"/>
      <c r="I1000" s="1799"/>
      <c r="J1000" s="1799"/>
      <c r="K1000" s="1799"/>
      <c r="L1000" s="1799"/>
      <c r="M1000" s="1799"/>
      <c r="N1000" s="1799"/>
      <c r="O1000" s="1799"/>
      <c r="P1000" s="1799"/>
      <c r="Q1000" s="1799"/>
      <c r="R1000" s="1799"/>
      <c r="S1000" s="1799"/>
      <c r="T1000" s="1799"/>
      <c r="U1000" s="1799"/>
      <c r="V1000" s="1799"/>
      <c r="W1000" s="1799"/>
      <c r="X1000" s="1799"/>
      <c r="Y1000" s="1799"/>
      <c r="Z1000" s="1799"/>
    </row>
    <row r="1001">
      <c r="A1001" s="1799"/>
      <c r="B1001" s="1799"/>
      <c r="C1001" s="1799"/>
      <c r="D1001" s="1812"/>
      <c r="E1001" s="1799"/>
      <c r="F1001" s="1813"/>
      <c r="G1001" s="1814"/>
      <c r="H1001" s="1799"/>
      <c r="I1001" s="1799"/>
      <c r="J1001" s="1799"/>
      <c r="K1001" s="1799"/>
      <c r="L1001" s="1799"/>
      <c r="M1001" s="1799"/>
      <c r="N1001" s="1799"/>
      <c r="O1001" s="1799"/>
      <c r="P1001" s="1799"/>
      <c r="Q1001" s="1799"/>
      <c r="R1001" s="1799"/>
      <c r="S1001" s="1799"/>
      <c r="T1001" s="1799"/>
      <c r="U1001" s="1799"/>
      <c r="V1001" s="1799"/>
      <c r="W1001" s="1799"/>
      <c r="X1001" s="1799"/>
      <c r="Y1001" s="1799"/>
      <c r="Z1001" s="1799"/>
    </row>
  </sheetData>
  <hyperlinks>
    <hyperlink r:id="rId1" ref="E3"/>
    <hyperlink r:id="rId2" ref="D14"/>
  </hyperlinks>
  <drawing r:id="rId3"/>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88"/>
    <col customWidth="1" min="2" max="3" width="19.13"/>
    <col customWidth="1" min="5" max="5" width="6.88"/>
    <col customWidth="1" min="9" max="9" width="5.13"/>
    <col customWidth="1" min="10" max="10" width="20.25"/>
    <col customWidth="1" min="11" max="11" width="6.38"/>
    <col customWidth="1" min="12" max="12" width="19.88"/>
    <col customWidth="1" min="14" max="14" width="4.88"/>
    <col customWidth="1" min="15" max="15" width="16.75"/>
    <col customWidth="1" min="18" max="18" width="5.75"/>
    <col customWidth="1" min="19" max="19" width="16.38"/>
    <col customWidth="1" min="22" max="22" width="6.13"/>
  </cols>
  <sheetData>
    <row r="1">
      <c r="A1" s="1668" t="s">
        <v>14764</v>
      </c>
      <c r="B1" s="1670" t="s">
        <v>15554</v>
      </c>
      <c r="C1" s="1670" t="s">
        <v>15554</v>
      </c>
      <c r="D1" s="1816"/>
      <c r="E1" s="1668" t="s">
        <v>2792</v>
      </c>
      <c r="F1" s="1670" t="s">
        <v>15554</v>
      </c>
      <c r="G1" s="1670" t="s">
        <v>15554</v>
      </c>
      <c r="H1" s="1684"/>
      <c r="I1" s="1668" t="s">
        <v>2793</v>
      </c>
      <c r="J1" s="1817" t="s">
        <v>15555</v>
      </c>
      <c r="K1" s="1818"/>
      <c r="L1" s="1670" t="s">
        <v>15556</v>
      </c>
      <c r="M1" s="1819"/>
      <c r="N1" s="1668" t="s">
        <v>4</v>
      </c>
      <c r="O1" s="1817" t="s">
        <v>15555</v>
      </c>
      <c r="P1" s="1670" t="s">
        <v>12417</v>
      </c>
      <c r="Q1" s="1668"/>
      <c r="R1" s="1668" t="s">
        <v>5</v>
      </c>
      <c r="S1" s="1817" t="s">
        <v>15555</v>
      </c>
      <c r="T1" s="1670" t="s">
        <v>12417</v>
      </c>
      <c r="V1" s="1668" t="s">
        <v>6</v>
      </c>
      <c r="W1" s="1817" t="s">
        <v>15555</v>
      </c>
      <c r="X1" s="1670" t="s">
        <v>12417</v>
      </c>
      <c r="Y1" s="1684"/>
      <c r="Z1" s="1684"/>
      <c r="AA1" s="1684"/>
      <c r="AB1" s="1684"/>
      <c r="AC1" s="1684"/>
      <c r="AD1" s="1684"/>
      <c r="AE1" s="1684"/>
    </row>
    <row r="2">
      <c r="A2" s="1684"/>
      <c r="B2" s="1670" t="s">
        <v>15557</v>
      </c>
      <c r="C2" s="1670" t="s">
        <v>15557</v>
      </c>
      <c r="D2" s="1816"/>
      <c r="E2" s="1684"/>
      <c r="F2" s="1670" t="s">
        <v>15558</v>
      </c>
      <c r="G2" s="1670" t="s">
        <v>15558</v>
      </c>
      <c r="H2" s="1684"/>
      <c r="I2" s="1684"/>
      <c r="J2" s="1670" t="s">
        <v>15559</v>
      </c>
      <c r="K2" s="951"/>
      <c r="L2" s="1670" t="s">
        <v>15560</v>
      </c>
      <c r="M2" s="1819"/>
      <c r="N2" s="1684"/>
      <c r="O2" s="1670" t="s">
        <v>15559</v>
      </c>
      <c r="P2" s="1670" t="s">
        <v>15560</v>
      </c>
      <c r="R2" s="1684"/>
      <c r="S2" s="1670" t="s">
        <v>15559</v>
      </c>
      <c r="T2" s="1670" t="s">
        <v>15560</v>
      </c>
      <c r="V2" s="1684"/>
      <c r="W2" s="1670" t="s">
        <v>15559</v>
      </c>
      <c r="X2" s="1670" t="s">
        <v>15561</v>
      </c>
      <c r="Y2" s="1684"/>
      <c r="Z2" s="1684"/>
      <c r="AA2" s="1684"/>
      <c r="AB2" s="1684"/>
      <c r="AC2" s="1684"/>
      <c r="AD2" s="1684"/>
      <c r="AE2" s="1684"/>
    </row>
    <row r="3">
      <c r="D3" s="1420"/>
      <c r="I3" s="953"/>
      <c r="J3" s="953"/>
      <c r="K3" s="951"/>
      <c r="L3" s="953"/>
      <c r="M3" s="1819"/>
      <c r="O3" s="953"/>
      <c r="P3" s="953"/>
    </row>
    <row r="4">
      <c r="A4" s="953">
        <v>1.0</v>
      </c>
      <c r="B4" s="692" t="s">
        <v>15562</v>
      </c>
      <c r="C4" s="1820" t="s">
        <v>15563</v>
      </c>
      <c r="D4" s="1820"/>
      <c r="E4" s="953">
        <v>1.0</v>
      </c>
      <c r="F4" s="1438" t="s">
        <v>15564</v>
      </c>
      <c r="G4" s="1438" t="s">
        <v>15565</v>
      </c>
      <c r="H4" s="1438"/>
      <c r="I4" s="953">
        <v>1.0</v>
      </c>
      <c r="J4" s="953"/>
      <c r="K4" s="951"/>
      <c r="L4" s="1821" t="s">
        <v>15566</v>
      </c>
      <c r="M4" s="1822"/>
      <c r="N4" s="953">
        <v>1.0</v>
      </c>
      <c r="O4" s="953" t="s">
        <v>15567</v>
      </c>
      <c r="P4" s="953" t="s">
        <v>12706</v>
      </c>
      <c r="R4" s="953">
        <v>1.0</v>
      </c>
      <c r="S4" s="953" t="s">
        <v>15568</v>
      </c>
      <c r="T4" s="1823" t="s">
        <v>15569</v>
      </c>
      <c r="V4" s="953">
        <v>1.0</v>
      </c>
      <c r="W4" s="953" t="s">
        <v>15570</v>
      </c>
      <c r="X4" s="1823" t="s">
        <v>15571</v>
      </c>
    </row>
    <row r="5">
      <c r="A5" s="953">
        <v>2.0</v>
      </c>
      <c r="B5" s="692" t="s">
        <v>15572</v>
      </c>
      <c r="C5" s="1820" t="s">
        <v>15573</v>
      </c>
      <c r="D5" s="1820"/>
      <c r="E5" s="953">
        <v>2.0</v>
      </c>
      <c r="F5" s="1438" t="s">
        <v>14900</v>
      </c>
      <c r="G5" s="1438" t="s">
        <v>15574</v>
      </c>
      <c r="H5" s="1438"/>
      <c r="I5" s="953">
        <v>2.0</v>
      </c>
      <c r="J5" s="1547" t="s">
        <v>15575</v>
      </c>
      <c r="K5" s="951" t="s">
        <v>15576</v>
      </c>
      <c r="L5" s="1821" t="s">
        <v>15577</v>
      </c>
      <c r="M5" s="1822" t="s">
        <v>15578</v>
      </c>
      <c r="N5" s="953">
        <v>2.0</v>
      </c>
      <c r="O5" s="953" t="s">
        <v>15579</v>
      </c>
      <c r="P5" s="953" t="s">
        <v>12820</v>
      </c>
      <c r="R5" s="953">
        <v>2.0</v>
      </c>
      <c r="S5" s="953" t="s">
        <v>15580</v>
      </c>
      <c r="T5" s="1823" t="s">
        <v>15581</v>
      </c>
      <c r="V5" s="953">
        <v>2.0</v>
      </c>
      <c r="W5" s="953" t="s">
        <v>15582</v>
      </c>
      <c r="X5" s="1823" t="s">
        <v>12655</v>
      </c>
    </row>
    <row r="6">
      <c r="A6" s="953">
        <v>3.0</v>
      </c>
      <c r="B6" s="692" t="s">
        <v>15583</v>
      </c>
      <c r="C6" s="1820" t="s">
        <v>15584</v>
      </c>
      <c r="D6" s="1820"/>
      <c r="E6" s="953">
        <v>3.0</v>
      </c>
      <c r="F6" s="1438" t="s">
        <v>15585</v>
      </c>
      <c r="G6" s="1438" t="s">
        <v>15586</v>
      </c>
      <c r="H6" s="1438"/>
      <c r="I6" s="953">
        <v>3.0</v>
      </c>
      <c r="J6" s="1547" t="s">
        <v>15587</v>
      </c>
      <c r="K6" s="951" t="s">
        <v>15576</v>
      </c>
      <c r="L6" s="1821" t="s">
        <v>15588</v>
      </c>
      <c r="M6" s="1822" t="s">
        <v>15578</v>
      </c>
      <c r="N6" s="953">
        <v>3.0</v>
      </c>
      <c r="O6" s="953" t="s">
        <v>15589</v>
      </c>
      <c r="P6" s="953" t="s">
        <v>15590</v>
      </c>
      <c r="R6" s="953">
        <v>3.0</v>
      </c>
      <c r="T6" s="1823" t="s">
        <v>15591</v>
      </c>
      <c r="V6" s="953">
        <v>3.0</v>
      </c>
      <c r="W6" s="953" t="s">
        <v>15592</v>
      </c>
      <c r="X6" s="1823" t="s">
        <v>15593</v>
      </c>
    </row>
    <row r="7">
      <c r="A7" s="953">
        <v>4.0</v>
      </c>
      <c r="B7" s="692" t="s">
        <v>15594</v>
      </c>
      <c r="C7" s="1820" t="s">
        <v>15595</v>
      </c>
      <c r="D7" s="1820"/>
      <c r="E7" s="953">
        <v>4.0</v>
      </c>
      <c r="F7" s="1438" t="s">
        <v>12004</v>
      </c>
      <c r="G7" s="1438" t="s">
        <v>15596</v>
      </c>
      <c r="H7" s="1438"/>
      <c r="I7" s="953">
        <v>4.0</v>
      </c>
      <c r="J7" s="1547" t="s">
        <v>15597</v>
      </c>
      <c r="K7" s="951" t="s">
        <v>15576</v>
      </c>
      <c r="L7" s="1821" t="s">
        <v>15598</v>
      </c>
      <c r="M7" s="1822" t="s">
        <v>15578</v>
      </c>
      <c r="N7" s="953">
        <v>4.0</v>
      </c>
      <c r="O7" s="953" t="s">
        <v>12711</v>
      </c>
      <c r="P7" s="953" t="s">
        <v>15599</v>
      </c>
      <c r="R7" s="953">
        <v>4.0</v>
      </c>
      <c r="T7" s="1823" t="s">
        <v>15600</v>
      </c>
      <c r="V7" s="953">
        <v>4.0</v>
      </c>
      <c r="W7" s="953" t="s">
        <v>15601</v>
      </c>
      <c r="X7" s="1823" t="s">
        <v>15602</v>
      </c>
    </row>
    <row r="8">
      <c r="A8" s="953">
        <v>5.0</v>
      </c>
      <c r="B8" s="692" t="s">
        <v>15603</v>
      </c>
      <c r="C8" s="1820" t="s">
        <v>15604</v>
      </c>
      <c r="D8" s="1820"/>
      <c r="E8" s="953">
        <v>5.0</v>
      </c>
      <c r="F8" s="1438" t="s">
        <v>15605</v>
      </c>
      <c r="G8" s="1438" t="s">
        <v>15606</v>
      </c>
      <c r="H8" s="1438"/>
      <c r="I8" s="953">
        <v>5.0</v>
      </c>
      <c r="J8" s="1547" t="s">
        <v>15607</v>
      </c>
      <c r="K8" s="951" t="s">
        <v>15576</v>
      </c>
      <c r="L8" s="1821" t="s">
        <v>15608</v>
      </c>
      <c r="M8" s="1822" t="s">
        <v>15578</v>
      </c>
      <c r="N8" s="953">
        <v>5.0</v>
      </c>
      <c r="O8" s="953" t="s">
        <v>15609</v>
      </c>
      <c r="P8" s="953" t="s">
        <v>15610</v>
      </c>
      <c r="R8" s="953">
        <v>5.0</v>
      </c>
      <c r="T8" s="1823" t="s">
        <v>15611</v>
      </c>
      <c r="V8" s="953">
        <v>5.0</v>
      </c>
      <c r="X8" s="1823" t="s">
        <v>15612</v>
      </c>
    </row>
    <row r="9">
      <c r="A9" s="953">
        <v>6.0</v>
      </c>
      <c r="B9" s="692" t="s">
        <v>15613</v>
      </c>
      <c r="C9" s="1820" t="s">
        <v>15614</v>
      </c>
      <c r="D9" s="1820"/>
      <c r="E9" s="953">
        <v>6.0</v>
      </c>
      <c r="F9" s="1438" t="s">
        <v>15615</v>
      </c>
      <c r="G9" s="1438" t="s">
        <v>15616</v>
      </c>
      <c r="H9" s="1438"/>
      <c r="I9" s="953">
        <v>6.0</v>
      </c>
      <c r="J9" s="1547" t="s">
        <v>12031</v>
      </c>
      <c r="K9" s="951" t="s">
        <v>15576</v>
      </c>
      <c r="L9" s="1821" t="s">
        <v>15617</v>
      </c>
      <c r="M9" s="1822" t="s">
        <v>15578</v>
      </c>
      <c r="N9" s="953">
        <v>6.0</v>
      </c>
      <c r="O9" s="953" t="s">
        <v>15618</v>
      </c>
      <c r="P9" s="953" t="s">
        <v>15619</v>
      </c>
      <c r="R9" s="953">
        <v>6.0</v>
      </c>
      <c r="T9" s="1823" t="s">
        <v>15620</v>
      </c>
      <c r="V9" s="953">
        <v>6.0</v>
      </c>
      <c r="X9" s="1823" t="s">
        <v>12645</v>
      </c>
    </row>
    <row r="10">
      <c r="A10" s="953">
        <v>7.0</v>
      </c>
      <c r="B10" s="692" t="s">
        <v>15621</v>
      </c>
      <c r="C10" s="1820" t="s">
        <v>15622</v>
      </c>
      <c r="D10" s="1820"/>
      <c r="E10" s="953">
        <v>7.0</v>
      </c>
      <c r="F10" s="1438" t="s">
        <v>15623</v>
      </c>
      <c r="G10" s="1438" t="s">
        <v>15624</v>
      </c>
      <c r="H10" s="1438"/>
      <c r="I10" s="953">
        <v>7.0</v>
      </c>
      <c r="J10" s="1547" t="s">
        <v>15625</v>
      </c>
      <c r="K10" s="951" t="s">
        <v>15576</v>
      </c>
      <c r="L10" s="1821" t="s">
        <v>15626</v>
      </c>
      <c r="M10" s="1822" t="s">
        <v>15578</v>
      </c>
      <c r="N10" s="953">
        <v>7.0</v>
      </c>
      <c r="O10" s="953" t="s">
        <v>15627</v>
      </c>
      <c r="P10" s="953" t="s">
        <v>15628</v>
      </c>
      <c r="R10" s="953">
        <v>7.0</v>
      </c>
      <c r="T10" s="1823" t="s">
        <v>15629</v>
      </c>
      <c r="V10" s="953">
        <v>7.0</v>
      </c>
      <c r="X10" s="1823" t="s">
        <v>15630</v>
      </c>
    </row>
    <row r="11">
      <c r="A11" s="953">
        <v>8.0</v>
      </c>
      <c r="B11" s="692" t="s">
        <v>15631</v>
      </c>
      <c r="C11" s="1820" t="s">
        <v>15632</v>
      </c>
      <c r="D11" s="1820"/>
      <c r="E11" s="953">
        <v>8.0</v>
      </c>
      <c r="F11" s="1438" t="s">
        <v>15633</v>
      </c>
      <c r="G11" s="1438" t="s">
        <v>15634</v>
      </c>
      <c r="H11" s="1438"/>
      <c r="I11" s="953">
        <v>8.0</v>
      </c>
      <c r="J11" s="1547" t="s">
        <v>15635</v>
      </c>
      <c r="K11" s="951" t="s">
        <v>15576</v>
      </c>
      <c r="L11" s="1821" t="s">
        <v>15636</v>
      </c>
      <c r="M11" s="1822" t="s">
        <v>15578</v>
      </c>
      <c r="N11" s="953">
        <v>8.0</v>
      </c>
      <c r="O11" s="953" t="s">
        <v>15637</v>
      </c>
      <c r="P11" s="953" t="s">
        <v>12669</v>
      </c>
      <c r="R11" s="953">
        <v>8.0</v>
      </c>
      <c r="T11" s="1823" t="s">
        <v>15638</v>
      </c>
      <c r="V11" s="953">
        <v>8.0</v>
      </c>
      <c r="X11" s="1823" t="s">
        <v>15639</v>
      </c>
    </row>
    <row r="12">
      <c r="A12" s="953">
        <v>9.0</v>
      </c>
      <c r="B12" s="692" t="s">
        <v>15640</v>
      </c>
      <c r="C12" s="1820" t="s">
        <v>15641</v>
      </c>
      <c r="D12" s="1820"/>
      <c r="E12" s="953">
        <v>9.0</v>
      </c>
      <c r="F12" s="1438" t="s">
        <v>15642</v>
      </c>
      <c r="G12" s="1438" t="s">
        <v>15643</v>
      </c>
      <c r="H12" s="1438"/>
      <c r="I12" s="953">
        <v>9.0</v>
      </c>
      <c r="J12" s="1547" t="s">
        <v>15644</v>
      </c>
      <c r="K12" s="951" t="s">
        <v>15576</v>
      </c>
      <c r="L12" s="1821" t="s">
        <v>15645</v>
      </c>
      <c r="M12" s="1822" t="s">
        <v>15578</v>
      </c>
      <c r="N12" s="953">
        <v>9.0</v>
      </c>
      <c r="O12" s="953" t="s">
        <v>15646</v>
      </c>
      <c r="P12" s="953" t="s">
        <v>15647</v>
      </c>
      <c r="R12" s="953">
        <v>9.0</v>
      </c>
      <c r="T12" s="1823" t="s">
        <v>15648</v>
      </c>
      <c r="V12" s="953">
        <v>9.0</v>
      </c>
      <c r="X12" s="1823" t="s">
        <v>15649</v>
      </c>
    </row>
    <row r="13">
      <c r="A13" s="953">
        <v>10.0</v>
      </c>
      <c r="B13" s="692" t="s">
        <v>15650</v>
      </c>
      <c r="C13" s="1820" t="s">
        <v>15651</v>
      </c>
      <c r="D13" s="1820"/>
      <c r="E13" s="953">
        <v>10.0</v>
      </c>
      <c r="F13" s="1438" t="s">
        <v>15652</v>
      </c>
      <c r="G13" s="1438" t="s">
        <v>15653</v>
      </c>
      <c r="H13" s="1438"/>
      <c r="I13" s="953">
        <v>10.0</v>
      </c>
      <c r="J13" s="1547" t="s">
        <v>15654</v>
      </c>
      <c r="K13" s="951" t="s">
        <v>15576</v>
      </c>
      <c r="L13" s="1821" t="s">
        <v>15655</v>
      </c>
      <c r="M13" s="1822" t="s">
        <v>15578</v>
      </c>
      <c r="N13" s="953">
        <v>10.0</v>
      </c>
      <c r="O13" s="953" t="s">
        <v>15656</v>
      </c>
      <c r="P13" s="953" t="s">
        <v>15657</v>
      </c>
      <c r="R13" s="953">
        <v>10.0</v>
      </c>
      <c r="T13" s="1823" t="s">
        <v>15658</v>
      </c>
      <c r="V13" s="953">
        <v>10.0</v>
      </c>
      <c r="X13" s="1823" t="s">
        <v>12616</v>
      </c>
    </row>
    <row r="14">
      <c r="A14" s="953">
        <v>11.0</v>
      </c>
      <c r="B14" s="692" t="s">
        <v>15659</v>
      </c>
      <c r="C14" s="1820" t="s">
        <v>15660</v>
      </c>
      <c r="D14" s="1820"/>
      <c r="E14" s="953">
        <v>11.0</v>
      </c>
      <c r="F14" s="1438" t="s">
        <v>15661</v>
      </c>
      <c r="G14" s="1438" t="s">
        <v>12229</v>
      </c>
      <c r="H14" s="1438"/>
      <c r="I14" s="953">
        <v>11.0</v>
      </c>
      <c r="J14" s="1547" t="s">
        <v>15662</v>
      </c>
      <c r="K14" s="951" t="s">
        <v>15576</v>
      </c>
      <c r="L14" s="1821" t="s">
        <v>11999</v>
      </c>
      <c r="M14" s="1822" t="s">
        <v>15578</v>
      </c>
      <c r="N14" s="953">
        <v>11.0</v>
      </c>
      <c r="O14" s="953" t="s">
        <v>15663</v>
      </c>
      <c r="R14" s="953">
        <v>11.0</v>
      </c>
      <c r="T14" s="1823" t="s">
        <v>15664</v>
      </c>
      <c r="V14" s="953">
        <v>11.0</v>
      </c>
      <c r="X14" s="1823" t="s">
        <v>15665</v>
      </c>
    </row>
    <row r="15">
      <c r="A15" s="953">
        <v>12.0</v>
      </c>
      <c r="B15" s="692" t="s">
        <v>15666</v>
      </c>
      <c r="C15" s="1820" t="s">
        <v>15667</v>
      </c>
      <c r="D15" s="1820"/>
      <c r="E15" s="953">
        <v>12.0</v>
      </c>
      <c r="F15" s="1438" t="s">
        <v>15668</v>
      </c>
      <c r="G15" s="1438" t="s">
        <v>15669</v>
      </c>
      <c r="H15" s="1438"/>
      <c r="I15" s="953">
        <v>12.0</v>
      </c>
      <c r="J15" s="1547" t="s">
        <v>15670</v>
      </c>
      <c r="K15" s="951" t="s">
        <v>15576</v>
      </c>
      <c r="L15" s="1821" t="s">
        <v>15671</v>
      </c>
      <c r="M15" s="1822" t="s">
        <v>15578</v>
      </c>
      <c r="N15" s="953">
        <v>12.0</v>
      </c>
      <c r="O15" s="953" t="s">
        <v>12831</v>
      </c>
      <c r="R15" s="953">
        <v>12.0</v>
      </c>
      <c r="T15" s="1823" t="s">
        <v>15672</v>
      </c>
      <c r="V15" s="953">
        <v>12.0</v>
      </c>
      <c r="X15" s="1823" t="s">
        <v>15673</v>
      </c>
    </row>
    <row r="16">
      <c r="A16" s="953">
        <v>13.0</v>
      </c>
      <c r="B16" s="692" t="s">
        <v>15674</v>
      </c>
      <c r="C16" s="1820" t="s">
        <v>15675</v>
      </c>
      <c r="D16" s="1820"/>
      <c r="E16" s="953">
        <v>13.0</v>
      </c>
      <c r="F16" s="1438" t="s">
        <v>15676</v>
      </c>
      <c r="G16" s="1824" t="s">
        <v>15677</v>
      </c>
      <c r="H16" s="1438"/>
      <c r="I16" s="953">
        <v>13.0</v>
      </c>
      <c r="J16" s="1547" t="s">
        <v>15678</v>
      </c>
      <c r="K16" s="951" t="s">
        <v>15576</v>
      </c>
      <c r="L16" s="1821" t="s">
        <v>15679</v>
      </c>
      <c r="M16" s="1822" t="s">
        <v>15578</v>
      </c>
      <c r="N16" s="953"/>
      <c r="R16" s="953">
        <v>13.0</v>
      </c>
      <c r="T16" s="1823" t="s">
        <v>15680</v>
      </c>
    </row>
    <row r="17">
      <c r="A17" s="953">
        <v>14.0</v>
      </c>
      <c r="B17" s="692" t="s">
        <v>12734</v>
      </c>
      <c r="C17" s="1820" t="s">
        <v>15681</v>
      </c>
      <c r="D17" s="1820"/>
      <c r="E17" s="953">
        <v>14.0</v>
      </c>
      <c r="F17" s="1438" t="s">
        <v>15682</v>
      </c>
      <c r="G17" s="1438" t="s">
        <v>15683</v>
      </c>
      <c r="H17" s="1438"/>
      <c r="I17" s="953">
        <v>14.0</v>
      </c>
      <c r="J17" s="1825" t="s">
        <v>15684</v>
      </c>
      <c r="K17" s="951" t="s">
        <v>15685</v>
      </c>
      <c r="L17" s="1821" t="s">
        <v>15686</v>
      </c>
      <c r="M17" s="1822" t="s">
        <v>15578</v>
      </c>
      <c r="R17" s="953">
        <v>14.0</v>
      </c>
      <c r="T17" s="1823" t="s">
        <v>15687</v>
      </c>
    </row>
    <row r="18">
      <c r="A18" s="953">
        <v>15.0</v>
      </c>
      <c r="C18" s="1820" t="s">
        <v>15688</v>
      </c>
      <c r="D18" s="1820"/>
      <c r="E18" s="953">
        <v>15.0</v>
      </c>
      <c r="F18" s="1438" t="s">
        <v>15689</v>
      </c>
      <c r="G18" s="1438" t="s">
        <v>12009</v>
      </c>
      <c r="H18" s="1438"/>
      <c r="I18" s="953">
        <v>15.0</v>
      </c>
      <c r="J18" s="1825" t="s">
        <v>15690</v>
      </c>
      <c r="K18" s="951" t="s">
        <v>15685</v>
      </c>
      <c r="L18" s="1826" t="s">
        <v>15691</v>
      </c>
      <c r="M18" s="1827" t="s">
        <v>15692</v>
      </c>
      <c r="R18" s="953">
        <v>15.0</v>
      </c>
      <c r="T18" s="1823" t="s">
        <v>15693</v>
      </c>
    </row>
    <row r="19">
      <c r="D19" s="1420"/>
      <c r="E19" s="953">
        <v>16.0</v>
      </c>
      <c r="F19" s="1438" t="s">
        <v>12792</v>
      </c>
      <c r="G19" s="1438" t="s">
        <v>15694</v>
      </c>
      <c r="H19" s="1438"/>
      <c r="I19" s="953">
        <v>16.0</v>
      </c>
      <c r="J19" s="1825" t="s">
        <v>15695</v>
      </c>
      <c r="K19" s="951" t="s">
        <v>15685</v>
      </c>
      <c r="L19" s="1826" t="s">
        <v>15696</v>
      </c>
      <c r="M19" s="1827" t="s">
        <v>15692</v>
      </c>
      <c r="R19" s="953">
        <v>16.0</v>
      </c>
      <c r="T19" s="1823" t="s">
        <v>15697</v>
      </c>
    </row>
    <row r="20">
      <c r="D20" s="1420"/>
      <c r="E20" s="953">
        <v>17.0</v>
      </c>
      <c r="F20" s="1438" t="s">
        <v>15698</v>
      </c>
      <c r="G20" s="1438" t="s">
        <v>15699</v>
      </c>
      <c r="H20" s="1420"/>
      <c r="I20" s="953">
        <v>17.0</v>
      </c>
      <c r="J20" s="1825" t="s">
        <v>15700</v>
      </c>
      <c r="K20" s="951" t="s">
        <v>15685</v>
      </c>
      <c r="L20" s="1826" t="s">
        <v>15701</v>
      </c>
      <c r="M20" s="1827" t="s">
        <v>15692</v>
      </c>
      <c r="R20" s="953">
        <v>17.0</v>
      </c>
      <c r="T20" s="1823" t="s">
        <v>15702</v>
      </c>
      <c r="X20" s="1823"/>
    </row>
    <row r="21">
      <c r="D21" s="1420"/>
      <c r="G21" s="1438" t="s">
        <v>221</v>
      </c>
      <c r="H21" s="1420"/>
      <c r="I21" s="953">
        <v>18.0</v>
      </c>
      <c r="J21" s="1825" t="s">
        <v>15703</v>
      </c>
      <c r="K21" s="951" t="s">
        <v>15685</v>
      </c>
      <c r="L21" s="1826" t="s">
        <v>15704</v>
      </c>
      <c r="M21" s="1827" t="s">
        <v>15692</v>
      </c>
      <c r="R21" s="953">
        <v>18.0</v>
      </c>
      <c r="T21" s="1823" t="s">
        <v>15705</v>
      </c>
    </row>
    <row r="22">
      <c r="D22" s="1420"/>
      <c r="G22" s="1438" t="s">
        <v>221</v>
      </c>
      <c r="I22" s="953">
        <v>19.0</v>
      </c>
      <c r="J22" s="1825" t="s">
        <v>15706</v>
      </c>
      <c r="K22" s="951" t="s">
        <v>15685</v>
      </c>
      <c r="L22" s="1826" t="s">
        <v>15707</v>
      </c>
      <c r="M22" s="1827" t="s">
        <v>15692</v>
      </c>
      <c r="R22" s="953">
        <v>19.0</v>
      </c>
      <c r="T22" s="1823" t="s">
        <v>15708</v>
      </c>
    </row>
    <row r="23">
      <c r="D23" s="1420"/>
      <c r="I23" s="953">
        <v>20.0</v>
      </c>
      <c r="J23" s="1825" t="s">
        <v>15709</v>
      </c>
      <c r="K23" s="951" t="s">
        <v>15685</v>
      </c>
      <c r="L23" s="1826" t="s">
        <v>15710</v>
      </c>
      <c r="M23" s="1827" t="s">
        <v>15692</v>
      </c>
      <c r="R23" s="953">
        <v>20.0</v>
      </c>
      <c r="T23" s="1823" t="s">
        <v>15711</v>
      </c>
      <c r="X23" s="1823"/>
    </row>
    <row r="24">
      <c r="D24" s="1420"/>
      <c r="I24" s="953">
        <v>21.0</v>
      </c>
      <c r="J24" s="1825" t="s">
        <v>12634</v>
      </c>
      <c r="K24" s="951" t="s">
        <v>15685</v>
      </c>
      <c r="L24" s="1826" t="s">
        <v>15712</v>
      </c>
      <c r="M24" s="1827" t="s">
        <v>15692</v>
      </c>
      <c r="X24" s="1823"/>
    </row>
    <row r="25">
      <c r="D25" s="1420"/>
      <c r="I25" s="953">
        <v>22.0</v>
      </c>
      <c r="J25" s="1825" t="s">
        <v>15713</v>
      </c>
      <c r="K25" s="951" t="s">
        <v>15685</v>
      </c>
      <c r="L25" s="1826" t="s">
        <v>15714</v>
      </c>
      <c r="M25" s="1827" t="s">
        <v>15692</v>
      </c>
    </row>
    <row r="26">
      <c r="D26" s="1420"/>
      <c r="I26" s="953">
        <v>23.0</v>
      </c>
      <c r="J26" s="1825" t="s">
        <v>15715</v>
      </c>
      <c r="K26" s="951" t="s">
        <v>15685</v>
      </c>
      <c r="L26" s="1826" t="s">
        <v>15716</v>
      </c>
      <c r="M26" s="1827" t="s">
        <v>15692</v>
      </c>
    </row>
    <row r="27">
      <c r="D27" s="1420"/>
      <c r="I27" s="953">
        <v>24.0</v>
      </c>
      <c r="J27" s="953" t="s">
        <v>15717</v>
      </c>
      <c r="K27" s="1533"/>
      <c r="L27" s="1826" t="s">
        <v>15718</v>
      </c>
      <c r="M27" s="1827" t="s">
        <v>15692</v>
      </c>
    </row>
    <row r="28">
      <c r="D28" s="1420"/>
      <c r="I28" s="953">
        <v>25.0</v>
      </c>
      <c r="J28" s="953" t="s">
        <v>15719</v>
      </c>
      <c r="K28" s="1533"/>
      <c r="L28" s="1826" t="s">
        <v>15720</v>
      </c>
      <c r="M28" s="1827" t="s">
        <v>15692</v>
      </c>
    </row>
    <row r="29">
      <c r="D29" s="1420"/>
      <c r="I29" s="953">
        <v>26.0</v>
      </c>
      <c r="K29" s="1533"/>
      <c r="L29" s="1826" t="s">
        <v>15721</v>
      </c>
      <c r="M29" s="1827" t="s">
        <v>15692</v>
      </c>
    </row>
    <row r="30">
      <c r="D30" s="1420"/>
      <c r="I30" s="953">
        <v>27.0</v>
      </c>
      <c r="K30" s="1533"/>
      <c r="L30" s="1826" t="s">
        <v>15722</v>
      </c>
      <c r="M30" s="1827" t="s">
        <v>15692</v>
      </c>
    </row>
    <row r="31">
      <c r="D31" s="1420"/>
      <c r="I31" s="953">
        <v>28.0</v>
      </c>
      <c r="K31" s="1533"/>
      <c r="L31" s="1826" t="s">
        <v>12703</v>
      </c>
      <c r="M31" s="1827" t="s">
        <v>15692</v>
      </c>
    </row>
    <row r="32">
      <c r="D32" s="1420"/>
      <c r="K32" s="1533"/>
      <c r="M32" s="1828"/>
    </row>
    <row r="33">
      <c r="D33" s="1420"/>
      <c r="K33" s="1533"/>
      <c r="M33" s="1829"/>
    </row>
    <row r="34">
      <c r="D34" s="1420"/>
      <c r="K34" s="1533"/>
      <c r="M34" s="1828"/>
    </row>
    <row r="35">
      <c r="D35" s="1420"/>
      <c r="K35" s="1533"/>
      <c r="M35" s="1828"/>
    </row>
    <row r="36">
      <c r="D36" s="1420"/>
      <c r="K36" s="1533"/>
      <c r="M36" s="1829"/>
    </row>
    <row r="37">
      <c r="D37" s="1420"/>
      <c r="K37" s="1533"/>
      <c r="M37" s="1828"/>
    </row>
    <row r="38">
      <c r="D38" s="1420"/>
      <c r="K38" s="1533"/>
      <c r="M38" s="1828"/>
    </row>
    <row r="39">
      <c r="D39" s="1420"/>
      <c r="K39" s="1533"/>
      <c r="M39" s="1828"/>
    </row>
    <row r="40">
      <c r="D40" s="1420"/>
      <c r="K40" s="1533"/>
      <c r="M40" s="1829"/>
    </row>
    <row r="41">
      <c r="D41" s="1420"/>
      <c r="K41" s="1533"/>
      <c r="M41" s="1828"/>
    </row>
    <row r="42">
      <c r="D42" s="1420"/>
      <c r="K42" s="1533"/>
      <c r="M42" s="1829"/>
    </row>
    <row r="43">
      <c r="D43" s="1420"/>
      <c r="K43" s="1533"/>
      <c r="M43" s="1828"/>
    </row>
    <row r="44">
      <c r="D44" s="1420"/>
      <c r="K44" s="1533"/>
      <c r="M44" s="1828"/>
    </row>
    <row r="45">
      <c r="D45" s="1420"/>
      <c r="K45" s="1533"/>
      <c r="M45" s="1828"/>
    </row>
    <row r="46">
      <c r="D46" s="1420"/>
      <c r="K46" s="1533"/>
      <c r="M46" s="1828"/>
    </row>
    <row r="47">
      <c r="D47" s="1420"/>
      <c r="K47" s="1533"/>
      <c r="M47" s="1828"/>
    </row>
    <row r="48">
      <c r="D48" s="1420"/>
      <c r="K48" s="1533"/>
      <c r="M48" s="1828"/>
    </row>
    <row r="49">
      <c r="D49" s="1420"/>
      <c r="K49" s="1533"/>
      <c r="M49" s="1828"/>
    </row>
    <row r="50">
      <c r="D50" s="1420"/>
      <c r="K50" s="1533"/>
      <c r="M50" s="1828"/>
    </row>
    <row r="51">
      <c r="D51" s="1420"/>
      <c r="K51" s="1533"/>
      <c r="M51" s="1828"/>
    </row>
    <row r="52">
      <c r="D52" s="1420"/>
      <c r="K52" s="1533"/>
      <c r="M52" s="1828"/>
    </row>
    <row r="53">
      <c r="D53" s="1420"/>
      <c r="K53" s="1533"/>
      <c r="M53" s="1828"/>
    </row>
    <row r="54">
      <c r="D54" s="1420"/>
      <c r="K54" s="1533"/>
      <c r="M54" s="1828"/>
    </row>
    <row r="55">
      <c r="D55" s="1420"/>
      <c r="K55" s="1533"/>
      <c r="M55" s="1828"/>
    </row>
    <row r="56">
      <c r="D56" s="1420"/>
      <c r="K56" s="1533"/>
      <c r="M56" s="1819"/>
    </row>
    <row r="57">
      <c r="D57" s="1420"/>
      <c r="K57" s="1533"/>
      <c r="M57" s="1819"/>
    </row>
    <row r="58">
      <c r="D58" s="1420"/>
      <c r="K58" s="1533"/>
      <c r="M58" s="1819"/>
    </row>
    <row r="59">
      <c r="D59" s="1420"/>
      <c r="K59" s="1533"/>
      <c r="M59" s="1819"/>
    </row>
    <row r="60">
      <c r="D60" s="1420"/>
      <c r="K60" s="1533"/>
      <c r="M60" s="1819"/>
    </row>
    <row r="61">
      <c r="D61" s="1420"/>
      <c r="K61" s="1533"/>
      <c r="M61" s="1819"/>
    </row>
    <row r="62">
      <c r="D62" s="1420"/>
      <c r="K62" s="1533"/>
      <c r="M62" s="1819"/>
    </row>
    <row r="63">
      <c r="D63" s="1420"/>
      <c r="K63" s="1533"/>
      <c r="M63" s="1819"/>
    </row>
    <row r="64">
      <c r="D64" s="1420"/>
      <c r="K64" s="1533"/>
      <c r="M64" s="1819"/>
    </row>
    <row r="65">
      <c r="D65" s="1420"/>
      <c r="K65" s="1533"/>
      <c r="M65" s="1819"/>
    </row>
    <row r="66">
      <c r="D66" s="1420"/>
      <c r="K66" s="1533"/>
      <c r="M66" s="1819"/>
    </row>
    <row r="67">
      <c r="D67" s="1420"/>
      <c r="K67" s="1533"/>
      <c r="M67" s="1819"/>
    </row>
    <row r="68">
      <c r="D68" s="1420"/>
      <c r="K68" s="1533"/>
      <c r="M68" s="1819"/>
    </row>
    <row r="69">
      <c r="D69" s="1420"/>
      <c r="K69" s="1533"/>
      <c r="M69" s="1819"/>
    </row>
    <row r="70">
      <c r="D70" s="1420"/>
      <c r="K70" s="1533"/>
      <c r="M70" s="1819"/>
    </row>
    <row r="71">
      <c r="D71" s="1420"/>
      <c r="K71" s="1533"/>
      <c r="M71" s="1819"/>
    </row>
    <row r="72">
      <c r="D72" s="1420"/>
      <c r="K72" s="1533"/>
      <c r="M72" s="1819"/>
    </row>
    <row r="73">
      <c r="D73" s="1420"/>
      <c r="K73" s="1533"/>
      <c r="M73" s="1819"/>
    </row>
    <row r="74">
      <c r="D74" s="1420"/>
      <c r="K74" s="1533"/>
      <c r="M74" s="1819"/>
    </row>
    <row r="75">
      <c r="D75" s="1420"/>
      <c r="K75" s="1533"/>
      <c r="M75" s="1819"/>
    </row>
    <row r="76">
      <c r="D76" s="1420"/>
      <c r="K76" s="1533"/>
      <c r="M76" s="1819"/>
    </row>
    <row r="77">
      <c r="D77" s="1420"/>
      <c r="K77" s="1533"/>
      <c r="M77" s="1819"/>
    </row>
    <row r="78">
      <c r="D78" s="1420"/>
      <c r="K78" s="1533"/>
      <c r="M78" s="1819"/>
    </row>
    <row r="79">
      <c r="D79" s="1420"/>
      <c r="K79" s="1533"/>
      <c r="M79" s="1819"/>
    </row>
    <row r="80">
      <c r="D80" s="1420"/>
      <c r="K80" s="1533"/>
      <c r="M80" s="1819"/>
    </row>
    <row r="81">
      <c r="D81" s="1420"/>
      <c r="K81" s="1533"/>
      <c r="M81" s="1819"/>
    </row>
    <row r="82">
      <c r="D82" s="1420"/>
      <c r="K82" s="1533"/>
      <c r="M82" s="1819"/>
    </row>
    <row r="83">
      <c r="D83" s="1420"/>
      <c r="K83" s="1533"/>
      <c r="M83" s="1819"/>
    </row>
    <row r="84">
      <c r="D84" s="1420"/>
      <c r="K84" s="1533"/>
      <c r="M84" s="1819"/>
    </row>
    <row r="85">
      <c r="D85" s="1420"/>
      <c r="K85" s="1533"/>
      <c r="M85" s="1819"/>
    </row>
    <row r="86">
      <c r="D86" s="1420"/>
      <c r="K86" s="1533"/>
      <c r="M86" s="1819"/>
    </row>
    <row r="87">
      <c r="D87" s="1420"/>
      <c r="K87" s="1533"/>
      <c r="M87" s="1819"/>
    </row>
    <row r="88">
      <c r="D88" s="1420"/>
      <c r="K88" s="1533"/>
      <c r="M88" s="1819"/>
    </row>
    <row r="89">
      <c r="D89" s="1420"/>
      <c r="K89" s="1533"/>
      <c r="M89" s="1819"/>
    </row>
    <row r="90">
      <c r="D90" s="1420"/>
      <c r="K90" s="1533"/>
      <c r="M90" s="1819"/>
    </row>
    <row r="91">
      <c r="D91" s="1420"/>
      <c r="K91" s="1533"/>
      <c r="M91" s="1819"/>
    </row>
    <row r="92">
      <c r="D92" s="1420"/>
      <c r="K92" s="1533"/>
      <c r="M92" s="1819"/>
    </row>
    <row r="93">
      <c r="D93" s="1420"/>
      <c r="K93" s="1533"/>
      <c r="M93" s="1819"/>
    </row>
    <row r="94">
      <c r="D94" s="1420"/>
      <c r="K94" s="1533"/>
      <c r="M94" s="1819"/>
    </row>
    <row r="95">
      <c r="D95" s="1420"/>
      <c r="K95" s="1533"/>
      <c r="M95" s="1819"/>
    </row>
    <row r="96">
      <c r="D96" s="1420"/>
      <c r="K96" s="1533"/>
      <c r="M96" s="1819"/>
    </row>
    <row r="97">
      <c r="D97" s="1420"/>
      <c r="K97" s="1533"/>
      <c r="M97" s="1819"/>
    </row>
    <row r="98">
      <c r="D98" s="1420"/>
      <c r="K98" s="1533"/>
      <c r="M98" s="1819"/>
    </row>
    <row r="99">
      <c r="D99" s="1420"/>
      <c r="K99" s="1533"/>
      <c r="M99" s="1819"/>
    </row>
    <row r="100">
      <c r="D100" s="1420"/>
      <c r="K100" s="1533"/>
      <c r="M100" s="1819"/>
    </row>
    <row r="101">
      <c r="D101" s="1420"/>
      <c r="K101" s="1533"/>
      <c r="M101" s="1819"/>
    </row>
    <row r="102">
      <c r="D102" s="1420"/>
      <c r="K102" s="1533"/>
      <c r="M102" s="1819"/>
    </row>
    <row r="103">
      <c r="D103" s="1420"/>
      <c r="K103" s="1533"/>
      <c r="M103" s="1819"/>
    </row>
    <row r="104">
      <c r="D104" s="1420"/>
      <c r="K104" s="1533"/>
      <c r="M104" s="1819"/>
    </row>
    <row r="105">
      <c r="D105" s="1420"/>
      <c r="K105" s="1533"/>
      <c r="M105" s="1819"/>
    </row>
    <row r="106">
      <c r="D106" s="1420"/>
      <c r="K106" s="1533"/>
      <c r="M106" s="1819"/>
    </row>
    <row r="107">
      <c r="D107" s="1420"/>
      <c r="K107" s="1533"/>
      <c r="M107" s="1819"/>
    </row>
    <row r="108">
      <c r="D108" s="1420"/>
      <c r="K108" s="1533"/>
      <c r="M108" s="1819"/>
    </row>
    <row r="109">
      <c r="D109" s="1420"/>
      <c r="K109" s="1533"/>
      <c r="M109" s="1819"/>
    </row>
    <row r="110">
      <c r="D110" s="1420"/>
      <c r="K110" s="1533"/>
      <c r="M110" s="1819"/>
    </row>
    <row r="111">
      <c r="D111" s="1420"/>
      <c r="K111" s="1533"/>
      <c r="M111" s="1819"/>
    </row>
    <row r="112">
      <c r="D112" s="1420"/>
      <c r="K112" s="1533"/>
      <c r="M112" s="1819"/>
    </row>
    <row r="113">
      <c r="D113" s="1420"/>
      <c r="K113" s="1533"/>
      <c r="M113" s="1819"/>
    </row>
    <row r="114">
      <c r="D114" s="1420"/>
      <c r="K114" s="1533"/>
      <c r="M114" s="1819"/>
    </row>
    <row r="115">
      <c r="D115" s="1420"/>
      <c r="K115" s="1533"/>
      <c r="M115" s="1819"/>
    </row>
    <row r="116">
      <c r="D116" s="1420"/>
      <c r="K116" s="1533"/>
      <c r="M116" s="1819"/>
    </row>
    <row r="117">
      <c r="D117" s="1420"/>
      <c r="K117" s="1533"/>
      <c r="M117" s="1819"/>
    </row>
    <row r="118">
      <c r="D118" s="1420"/>
      <c r="K118" s="1533"/>
      <c r="M118" s="1819"/>
    </row>
    <row r="119">
      <c r="D119" s="1420"/>
      <c r="K119" s="1533"/>
      <c r="M119" s="1819"/>
    </row>
    <row r="120">
      <c r="D120" s="1420"/>
      <c r="K120" s="1533"/>
      <c r="M120" s="1819"/>
    </row>
    <row r="121">
      <c r="D121" s="1420"/>
      <c r="K121" s="1533"/>
      <c r="M121" s="1819"/>
    </row>
    <row r="122">
      <c r="D122" s="1420"/>
      <c r="K122" s="1533"/>
      <c r="M122" s="1819"/>
    </row>
    <row r="123">
      <c r="D123" s="1420"/>
      <c r="K123" s="1533"/>
      <c r="M123" s="1819"/>
    </row>
    <row r="124">
      <c r="D124" s="1420"/>
      <c r="K124" s="1533"/>
      <c r="M124" s="1819"/>
    </row>
    <row r="125">
      <c r="D125" s="1420"/>
      <c r="K125" s="1533"/>
      <c r="M125" s="1819"/>
    </row>
    <row r="126">
      <c r="D126" s="1420"/>
      <c r="K126" s="1533"/>
      <c r="M126" s="1819"/>
    </row>
    <row r="127">
      <c r="D127" s="1420"/>
      <c r="K127" s="1533"/>
      <c r="M127" s="1819"/>
    </row>
    <row r="128">
      <c r="D128" s="1420"/>
      <c r="K128" s="1533"/>
      <c r="M128" s="1819"/>
    </row>
    <row r="129">
      <c r="D129" s="1420"/>
      <c r="K129" s="1533"/>
      <c r="M129" s="1819"/>
    </row>
    <row r="130">
      <c r="D130" s="1420"/>
      <c r="K130" s="1533"/>
      <c r="M130" s="1819"/>
    </row>
    <row r="131">
      <c r="D131" s="1420"/>
      <c r="K131" s="1533"/>
      <c r="M131" s="1819"/>
    </row>
    <row r="132">
      <c r="D132" s="1420"/>
      <c r="K132" s="1533"/>
      <c r="M132" s="1819"/>
    </row>
    <row r="133">
      <c r="D133" s="1420"/>
      <c r="K133" s="1533"/>
      <c r="M133" s="1819"/>
    </row>
    <row r="134">
      <c r="D134" s="1420"/>
      <c r="K134" s="1533"/>
      <c r="M134" s="1819"/>
    </row>
    <row r="135">
      <c r="D135" s="1420"/>
      <c r="K135" s="1533"/>
      <c r="M135" s="1819"/>
    </row>
    <row r="136">
      <c r="D136" s="1420"/>
      <c r="K136" s="1533"/>
      <c r="M136" s="1819"/>
    </row>
    <row r="137">
      <c r="D137" s="1420"/>
      <c r="K137" s="1533"/>
      <c r="M137" s="1819"/>
    </row>
    <row r="138">
      <c r="D138" s="1420"/>
      <c r="K138" s="1533"/>
      <c r="M138" s="1819"/>
    </row>
    <row r="139">
      <c r="D139" s="1420"/>
      <c r="K139" s="1533"/>
      <c r="M139" s="1819"/>
    </row>
    <row r="140">
      <c r="D140" s="1420"/>
      <c r="K140" s="1533"/>
      <c r="M140" s="1819"/>
    </row>
    <row r="141">
      <c r="D141" s="1420"/>
      <c r="K141" s="1533"/>
      <c r="M141" s="1819"/>
    </row>
    <row r="142">
      <c r="D142" s="1420"/>
      <c r="K142" s="1533"/>
      <c r="M142" s="1819"/>
    </row>
    <row r="143">
      <c r="D143" s="1420"/>
      <c r="K143" s="1533"/>
      <c r="M143" s="1819"/>
    </row>
    <row r="144">
      <c r="D144" s="1420"/>
      <c r="K144" s="1533"/>
      <c r="M144" s="1819"/>
    </row>
    <row r="145">
      <c r="D145" s="1420"/>
      <c r="K145" s="1533"/>
      <c r="M145" s="1819"/>
    </row>
    <row r="146">
      <c r="D146" s="1420"/>
      <c r="K146" s="1533"/>
      <c r="M146" s="1819"/>
    </row>
    <row r="147">
      <c r="D147" s="1420"/>
      <c r="K147" s="1533"/>
      <c r="M147" s="1819"/>
    </row>
    <row r="148">
      <c r="D148" s="1420"/>
      <c r="K148" s="1533"/>
      <c r="M148" s="1819"/>
    </row>
    <row r="149">
      <c r="D149" s="1420"/>
      <c r="K149" s="1533"/>
      <c r="M149" s="1819"/>
    </row>
    <row r="150">
      <c r="D150" s="1420"/>
      <c r="K150" s="1533"/>
      <c r="M150" s="1819"/>
    </row>
    <row r="151">
      <c r="D151" s="1420"/>
      <c r="K151" s="1533"/>
      <c r="M151" s="1819"/>
    </row>
    <row r="152">
      <c r="D152" s="1420"/>
      <c r="K152" s="1533"/>
      <c r="M152" s="1819"/>
    </row>
    <row r="153">
      <c r="D153" s="1420"/>
      <c r="K153" s="1533"/>
      <c r="M153" s="1819"/>
    </row>
    <row r="154">
      <c r="D154" s="1420"/>
      <c r="K154" s="1533"/>
      <c r="M154" s="1819"/>
    </row>
    <row r="155">
      <c r="D155" s="1420"/>
      <c r="K155" s="1533"/>
      <c r="M155" s="1819"/>
    </row>
    <row r="156">
      <c r="D156" s="1420"/>
      <c r="K156" s="1533"/>
      <c r="M156" s="1819"/>
    </row>
    <row r="157">
      <c r="D157" s="1420"/>
      <c r="K157" s="1533"/>
      <c r="M157" s="1819"/>
    </row>
    <row r="158">
      <c r="D158" s="1420"/>
      <c r="K158" s="1533"/>
      <c r="M158" s="1819"/>
    </row>
    <row r="159">
      <c r="D159" s="1420"/>
      <c r="K159" s="1533"/>
      <c r="M159" s="1819"/>
    </row>
    <row r="160">
      <c r="D160" s="1420"/>
      <c r="K160" s="1533"/>
      <c r="M160" s="1819"/>
    </row>
    <row r="161">
      <c r="D161" s="1420"/>
      <c r="K161" s="1533"/>
      <c r="M161" s="1819"/>
    </row>
    <row r="162">
      <c r="D162" s="1420"/>
      <c r="K162" s="1533"/>
      <c r="M162" s="1819"/>
    </row>
    <row r="163">
      <c r="D163" s="1420"/>
      <c r="K163" s="1533"/>
      <c r="M163" s="1819"/>
    </row>
    <row r="164">
      <c r="D164" s="1420"/>
      <c r="K164" s="1533"/>
      <c r="M164" s="1819"/>
    </row>
    <row r="165">
      <c r="D165" s="1420"/>
      <c r="K165" s="1533"/>
      <c r="M165" s="1819"/>
    </row>
    <row r="166">
      <c r="D166" s="1420"/>
      <c r="K166" s="1533"/>
      <c r="M166" s="1819"/>
    </row>
    <row r="167">
      <c r="D167" s="1420"/>
      <c r="K167" s="1533"/>
      <c r="M167" s="1819"/>
    </row>
    <row r="168">
      <c r="D168" s="1420"/>
      <c r="K168" s="1533"/>
      <c r="M168" s="1819"/>
    </row>
    <row r="169">
      <c r="D169" s="1420"/>
      <c r="K169" s="1533"/>
      <c r="M169" s="1819"/>
    </row>
    <row r="170">
      <c r="D170" s="1420"/>
      <c r="K170" s="1533"/>
      <c r="M170" s="1819"/>
    </row>
    <row r="171">
      <c r="D171" s="1420"/>
      <c r="K171" s="1533"/>
      <c r="M171" s="1819"/>
    </row>
    <row r="172">
      <c r="D172" s="1420"/>
      <c r="K172" s="1533"/>
      <c r="M172" s="1819"/>
    </row>
    <row r="173">
      <c r="D173" s="1420"/>
      <c r="K173" s="1533"/>
      <c r="M173" s="1819"/>
    </row>
    <row r="174">
      <c r="D174" s="1420"/>
      <c r="K174" s="1533"/>
      <c r="M174" s="1819"/>
    </row>
    <row r="175">
      <c r="D175" s="1420"/>
      <c r="K175" s="1533"/>
      <c r="M175" s="1819"/>
    </row>
    <row r="176">
      <c r="D176" s="1420"/>
      <c r="K176" s="1533"/>
      <c r="M176" s="1819"/>
    </row>
    <row r="177">
      <c r="D177" s="1420"/>
      <c r="K177" s="1533"/>
      <c r="M177" s="1819"/>
    </row>
    <row r="178">
      <c r="D178" s="1420"/>
      <c r="K178" s="1533"/>
      <c r="M178" s="1819"/>
    </row>
    <row r="179">
      <c r="D179" s="1420"/>
      <c r="K179" s="1533"/>
      <c r="M179" s="1819"/>
    </row>
    <row r="180">
      <c r="D180" s="1420"/>
      <c r="K180" s="1533"/>
      <c r="M180" s="1819"/>
    </row>
    <row r="181">
      <c r="D181" s="1420"/>
      <c r="K181" s="1533"/>
      <c r="M181" s="1819"/>
    </row>
    <row r="182">
      <c r="D182" s="1420"/>
      <c r="K182" s="1533"/>
      <c r="M182" s="1819"/>
    </row>
    <row r="183">
      <c r="D183" s="1420"/>
      <c r="K183" s="1533"/>
      <c r="M183" s="1819"/>
    </row>
    <row r="184">
      <c r="D184" s="1420"/>
      <c r="K184" s="1533"/>
      <c r="M184" s="1819"/>
    </row>
    <row r="185">
      <c r="D185" s="1420"/>
      <c r="K185" s="1533"/>
      <c r="M185" s="1819"/>
    </row>
    <row r="186">
      <c r="D186" s="1420"/>
      <c r="K186" s="1533"/>
      <c r="M186" s="1819"/>
    </row>
    <row r="187">
      <c r="D187" s="1420"/>
      <c r="K187" s="1533"/>
      <c r="M187" s="1819"/>
    </row>
    <row r="188">
      <c r="D188" s="1420"/>
      <c r="K188" s="1533"/>
      <c r="M188" s="1819"/>
    </row>
    <row r="189">
      <c r="D189" s="1420"/>
      <c r="K189" s="1533"/>
      <c r="M189" s="1819"/>
    </row>
    <row r="190">
      <c r="D190" s="1420"/>
      <c r="K190" s="1533"/>
      <c r="M190" s="1819"/>
    </row>
    <row r="191">
      <c r="D191" s="1420"/>
      <c r="K191" s="1533"/>
      <c r="M191" s="1819"/>
    </row>
    <row r="192">
      <c r="D192" s="1420"/>
      <c r="K192" s="1533"/>
      <c r="M192" s="1819"/>
    </row>
    <row r="193">
      <c r="D193" s="1420"/>
      <c r="K193" s="1533"/>
      <c r="M193" s="1819"/>
    </row>
    <row r="194">
      <c r="D194" s="1420"/>
      <c r="K194" s="1533"/>
      <c r="M194" s="1819"/>
    </row>
    <row r="195">
      <c r="D195" s="1420"/>
      <c r="K195" s="1533"/>
      <c r="M195" s="1819"/>
    </row>
    <row r="196">
      <c r="D196" s="1420"/>
      <c r="K196" s="1533"/>
      <c r="M196" s="1819"/>
    </row>
    <row r="197">
      <c r="D197" s="1420"/>
      <c r="K197" s="1533"/>
      <c r="M197" s="1819"/>
    </row>
    <row r="198">
      <c r="D198" s="1420"/>
      <c r="K198" s="1533"/>
      <c r="M198" s="1819"/>
    </row>
    <row r="199">
      <c r="D199" s="1420"/>
      <c r="K199" s="1533"/>
      <c r="M199" s="1819"/>
    </row>
    <row r="200">
      <c r="D200" s="1420"/>
      <c r="K200" s="1533"/>
      <c r="M200" s="1819"/>
    </row>
    <row r="201">
      <c r="D201" s="1420"/>
      <c r="K201" s="1533"/>
      <c r="M201" s="1819"/>
    </row>
    <row r="202">
      <c r="D202" s="1420"/>
      <c r="K202" s="1533"/>
      <c r="M202" s="1819"/>
    </row>
    <row r="203">
      <c r="D203" s="1420"/>
      <c r="K203" s="1533"/>
      <c r="M203" s="1819"/>
    </row>
    <row r="204">
      <c r="D204" s="1420"/>
      <c r="K204" s="1533"/>
      <c r="M204" s="1819"/>
    </row>
    <row r="205">
      <c r="D205" s="1420"/>
      <c r="K205" s="1533"/>
      <c r="M205" s="1819"/>
    </row>
    <row r="206">
      <c r="D206" s="1420"/>
      <c r="K206" s="1533"/>
      <c r="M206" s="1819"/>
    </row>
    <row r="207">
      <c r="D207" s="1420"/>
      <c r="K207" s="1533"/>
      <c r="M207" s="1819"/>
    </row>
    <row r="208">
      <c r="D208" s="1420"/>
      <c r="K208" s="1533"/>
      <c r="M208" s="1819"/>
    </row>
    <row r="209">
      <c r="D209" s="1420"/>
      <c r="K209" s="1533"/>
      <c r="M209" s="1819"/>
    </row>
    <row r="210">
      <c r="D210" s="1420"/>
      <c r="K210" s="1533"/>
      <c r="M210" s="1819"/>
    </row>
    <row r="211">
      <c r="D211" s="1420"/>
      <c r="K211" s="1533"/>
      <c r="M211" s="1819"/>
    </row>
    <row r="212">
      <c r="D212" s="1420"/>
      <c r="K212" s="1533"/>
      <c r="M212" s="1819"/>
    </row>
    <row r="213">
      <c r="D213" s="1420"/>
      <c r="K213" s="1533"/>
      <c r="M213" s="1819"/>
    </row>
    <row r="214">
      <c r="D214" s="1420"/>
      <c r="K214" s="1533"/>
      <c r="M214" s="1819"/>
    </row>
    <row r="215">
      <c r="D215" s="1420"/>
      <c r="K215" s="1533"/>
      <c r="M215" s="1819"/>
    </row>
    <row r="216">
      <c r="D216" s="1420"/>
      <c r="K216" s="1533"/>
      <c r="M216" s="1819"/>
    </row>
    <row r="217">
      <c r="D217" s="1420"/>
      <c r="K217" s="1533"/>
      <c r="M217" s="1819"/>
    </row>
    <row r="218">
      <c r="D218" s="1420"/>
      <c r="K218" s="1533"/>
      <c r="M218" s="1819"/>
    </row>
    <row r="219">
      <c r="D219" s="1420"/>
      <c r="K219" s="1533"/>
      <c r="M219" s="1819"/>
    </row>
    <row r="220">
      <c r="D220" s="1420"/>
      <c r="K220" s="1533"/>
      <c r="M220" s="1819"/>
    </row>
    <row r="221">
      <c r="D221" s="1420"/>
      <c r="K221" s="1533"/>
      <c r="M221" s="1819"/>
    </row>
    <row r="222">
      <c r="D222" s="1420"/>
      <c r="K222" s="1533"/>
      <c r="M222" s="1819"/>
    </row>
    <row r="223">
      <c r="D223" s="1420"/>
      <c r="K223" s="1533"/>
      <c r="M223" s="1819"/>
    </row>
    <row r="224">
      <c r="D224" s="1420"/>
      <c r="K224" s="1533"/>
      <c r="M224" s="1819"/>
    </row>
    <row r="225">
      <c r="D225" s="1420"/>
      <c r="K225" s="1533"/>
      <c r="M225" s="1819"/>
    </row>
    <row r="226">
      <c r="D226" s="1420"/>
      <c r="K226" s="1533"/>
      <c r="M226" s="1819"/>
    </row>
    <row r="227">
      <c r="D227" s="1420"/>
      <c r="K227" s="1533"/>
      <c r="M227" s="1819"/>
    </row>
    <row r="228">
      <c r="D228" s="1420"/>
      <c r="K228" s="1533"/>
      <c r="M228" s="1819"/>
    </row>
    <row r="229">
      <c r="D229" s="1420"/>
      <c r="K229" s="1533"/>
      <c r="M229" s="1819"/>
    </row>
    <row r="230">
      <c r="D230" s="1420"/>
      <c r="K230" s="1533"/>
      <c r="M230" s="1819"/>
    </row>
    <row r="231">
      <c r="D231" s="1420"/>
      <c r="K231" s="1533"/>
      <c r="M231" s="1819"/>
    </row>
    <row r="232">
      <c r="D232" s="1420"/>
      <c r="K232" s="1533"/>
      <c r="M232" s="1819"/>
    </row>
    <row r="233">
      <c r="D233" s="1420"/>
      <c r="K233" s="1533"/>
      <c r="M233" s="1819"/>
    </row>
    <row r="234">
      <c r="D234" s="1420"/>
      <c r="K234" s="1533"/>
      <c r="M234" s="1819"/>
    </row>
    <row r="235">
      <c r="D235" s="1420"/>
      <c r="K235" s="1533"/>
      <c r="M235" s="1819"/>
    </row>
    <row r="236">
      <c r="D236" s="1420"/>
      <c r="K236" s="1533"/>
      <c r="M236" s="1819"/>
    </row>
    <row r="237">
      <c r="D237" s="1420"/>
      <c r="K237" s="1533"/>
      <c r="M237" s="1819"/>
    </row>
    <row r="238">
      <c r="D238" s="1420"/>
      <c r="K238" s="1533"/>
      <c r="M238" s="1819"/>
    </row>
    <row r="239">
      <c r="D239" s="1420"/>
      <c r="K239" s="1533"/>
      <c r="M239" s="1819"/>
    </row>
    <row r="240">
      <c r="D240" s="1420"/>
      <c r="K240" s="1533"/>
      <c r="M240" s="1819"/>
    </row>
    <row r="241">
      <c r="D241" s="1420"/>
      <c r="K241" s="1533"/>
      <c r="M241" s="1819"/>
    </row>
    <row r="242">
      <c r="D242" s="1420"/>
      <c r="K242" s="1533"/>
      <c r="M242" s="1819"/>
    </row>
    <row r="243">
      <c r="D243" s="1420"/>
      <c r="K243" s="1533"/>
      <c r="M243" s="1819"/>
    </row>
    <row r="244">
      <c r="D244" s="1420"/>
      <c r="K244" s="1533"/>
      <c r="M244" s="1819"/>
    </row>
    <row r="245">
      <c r="D245" s="1420"/>
      <c r="K245" s="1533"/>
      <c r="M245" s="1819"/>
    </row>
    <row r="246">
      <c r="D246" s="1420"/>
      <c r="K246" s="1533"/>
      <c r="M246" s="1819"/>
    </row>
    <row r="247">
      <c r="D247" s="1420"/>
      <c r="K247" s="1533"/>
      <c r="M247" s="1819"/>
    </row>
    <row r="248">
      <c r="D248" s="1420"/>
      <c r="K248" s="1533"/>
      <c r="M248" s="1819"/>
    </row>
    <row r="249">
      <c r="D249" s="1420"/>
      <c r="K249" s="1533"/>
      <c r="M249" s="1819"/>
    </row>
    <row r="250">
      <c r="D250" s="1420"/>
      <c r="K250" s="1533"/>
      <c r="M250" s="1819"/>
    </row>
    <row r="251">
      <c r="D251" s="1420"/>
      <c r="K251" s="1533"/>
      <c r="M251" s="1819"/>
    </row>
    <row r="252">
      <c r="D252" s="1420"/>
      <c r="K252" s="1533"/>
      <c r="M252" s="1819"/>
    </row>
    <row r="253">
      <c r="D253" s="1420"/>
      <c r="K253" s="1533"/>
      <c r="M253" s="1819"/>
    </row>
    <row r="254">
      <c r="D254" s="1420"/>
      <c r="K254" s="1533"/>
      <c r="M254" s="1819"/>
    </row>
    <row r="255">
      <c r="D255" s="1420"/>
      <c r="K255" s="1533"/>
      <c r="M255" s="1819"/>
    </row>
    <row r="256">
      <c r="D256" s="1420"/>
      <c r="K256" s="1533"/>
      <c r="M256" s="1819"/>
    </row>
    <row r="257">
      <c r="D257" s="1420"/>
      <c r="K257" s="1533"/>
      <c r="M257" s="1819"/>
    </row>
    <row r="258">
      <c r="D258" s="1420"/>
      <c r="K258" s="1533"/>
      <c r="M258" s="1819"/>
    </row>
    <row r="259">
      <c r="D259" s="1420"/>
      <c r="K259" s="1533"/>
      <c r="M259" s="1819"/>
    </row>
    <row r="260">
      <c r="D260" s="1420"/>
      <c r="K260" s="1533"/>
      <c r="M260" s="1819"/>
    </row>
    <row r="261">
      <c r="D261" s="1420"/>
      <c r="K261" s="1533"/>
      <c r="M261" s="1819"/>
    </row>
    <row r="262">
      <c r="D262" s="1420"/>
      <c r="K262" s="1533"/>
      <c r="M262" s="1819"/>
    </row>
    <row r="263">
      <c r="D263" s="1420"/>
      <c r="K263" s="1533"/>
      <c r="M263" s="1819"/>
    </row>
    <row r="264">
      <c r="D264" s="1420"/>
      <c r="K264" s="1533"/>
      <c r="M264" s="1819"/>
    </row>
    <row r="265">
      <c r="D265" s="1420"/>
      <c r="K265" s="1533"/>
      <c r="M265" s="1819"/>
    </row>
    <row r="266">
      <c r="D266" s="1420"/>
      <c r="K266" s="1533"/>
      <c r="M266" s="1819"/>
    </row>
    <row r="267">
      <c r="D267" s="1420"/>
      <c r="K267" s="1533"/>
      <c r="M267" s="1819"/>
    </row>
    <row r="268">
      <c r="D268" s="1420"/>
      <c r="K268" s="1533"/>
      <c r="M268" s="1819"/>
    </row>
    <row r="269">
      <c r="D269" s="1420"/>
      <c r="K269" s="1533"/>
      <c r="M269" s="1819"/>
    </row>
    <row r="270">
      <c r="D270" s="1420"/>
      <c r="K270" s="1533"/>
      <c r="M270" s="1819"/>
    </row>
    <row r="271">
      <c r="D271" s="1420"/>
      <c r="K271" s="1533"/>
      <c r="M271" s="1819"/>
    </row>
    <row r="272">
      <c r="D272" s="1420"/>
      <c r="K272" s="1533"/>
      <c r="M272" s="1819"/>
    </row>
    <row r="273">
      <c r="D273" s="1420"/>
      <c r="K273" s="1533"/>
      <c r="M273" s="1819"/>
    </row>
    <row r="274">
      <c r="D274" s="1420"/>
      <c r="K274" s="1533"/>
      <c r="M274" s="1819"/>
    </row>
    <row r="275">
      <c r="D275" s="1420"/>
      <c r="K275" s="1533"/>
      <c r="M275" s="1819"/>
    </row>
    <row r="276">
      <c r="D276" s="1420"/>
      <c r="K276" s="1533"/>
      <c r="M276" s="1819"/>
    </row>
    <row r="277">
      <c r="D277" s="1420"/>
      <c r="K277" s="1533"/>
      <c r="M277" s="1819"/>
    </row>
    <row r="278">
      <c r="D278" s="1420"/>
      <c r="K278" s="1533"/>
      <c r="M278" s="1819"/>
    </row>
    <row r="279">
      <c r="D279" s="1420"/>
      <c r="K279" s="1533"/>
      <c r="M279" s="1819"/>
    </row>
    <row r="280">
      <c r="D280" s="1420"/>
      <c r="K280" s="1533"/>
      <c r="M280" s="1819"/>
    </row>
    <row r="281">
      <c r="D281" s="1420"/>
      <c r="K281" s="1533"/>
      <c r="M281" s="1819"/>
    </row>
    <row r="282">
      <c r="D282" s="1420"/>
      <c r="K282" s="1533"/>
      <c r="M282" s="1819"/>
    </row>
    <row r="283">
      <c r="D283" s="1420"/>
      <c r="K283" s="1533"/>
      <c r="M283" s="1819"/>
    </row>
    <row r="284">
      <c r="D284" s="1420"/>
      <c r="K284" s="1533"/>
      <c r="M284" s="1819"/>
    </row>
    <row r="285">
      <c r="D285" s="1420"/>
      <c r="K285" s="1533"/>
      <c r="M285" s="1819"/>
    </row>
    <row r="286">
      <c r="D286" s="1420"/>
      <c r="K286" s="1533"/>
      <c r="M286" s="1819"/>
    </row>
    <row r="287">
      <c r="D287" s="1420"/>
      <c r="K287" s="1533"/>
      <c r="M287" s="1819"/>
    </row>
    <row r="288">
      <c r="D288" s="1420"/>
      <c r="K288" s="1533"/>
      <c r="M288" s="1819"/>
    </row>
    <row r="289">
      <c r="D289" s="1420"/>
      <c r="K289" s="1533"/>
      <c r="M289" s="1819"/>
    </row>
    <row r="290">
      <c r="D290" s="1420"/>
      <c r="K290" s="1533"/>
      <c r="M290" s="1819"/>
    </row>
    <row r="291">
      <c r="D291" s="1420"/>
      <c r="K291" s="1533"/>
      <c r="M291" s="1819"/>
    </row>
    <row r="292">
      <c r="D292" s="1420"/>
      <c r="K292" s="1533"/>
      <c r="M292" s="1819"/>
    </row>
    <row r="293">
      <c r="D293" s="1420"/>
      <c r="K293" s="1533"/>
      <c r="M293" s="1819"/>
    </row>
    <row r="294">
      <c r="D294" s="1420"/>
      <c r="K294" s="1533"/>
      <c r="M294" s="1819"/>
    </row>
    <row r="295">
      <c r="D295" s="1420"/>
      <c r="K295" s="1533"/>
      <c r="M295" s="1819"/>
    </row>
    <row r="296">
      <c r="D296" s="1420"/>
      <c r="K296" s="1533"/>
      <c r="M296" s="1819"/>
    </row>
    <row r="297">
      <c r="D297" s="1420"/>
      <c r="K297" s="1533"/>
      <c r="M297" s="1819"/>
    </row>
    <row r="298">
      <c r="D298" s="1420"/>
      <c r="K298" s="1533"/>
      <c r="M298" s="1819"/>
    </row>
    <row r="299">
      <c r="D299" s="1420"/>
      <c r="K299" s="1533"/>
      <c r="M299" s="1819"/>
    </row>
    <row r="300">
      <c r="D300" s="1420"/>
      <c r="K300" s="1533"/>
      <c r="M300" s="1819"/>
    </row>
    <row r="301">
      <c r="D301" s="1420"/>
      <c r="K301" s="1533"/>
      <c r="M301" s="1819"/>
    </row>
    <row r="302">
      <c r="D302" s="1420"/>
      <c r="K302" s="1533"/>
      <c r="M302" s="1819"/>
    </row>
    <row r="303">
      <c r="D303" s="1420"/>
      <c r="K303" s="1533"/>
      <c r="M303" s="1819"/>
    </row>
    <row r="304">
      <c r="D304" s="1420"/>
      <c r="K304" s="1533"/>
      <c r="M304" s="1819"/>
    </row>
    <row r="305">
      <c r="D305" s="1420"/>
      <c r="K305" s="1533"/>
      <c r="M305" s="1819"/>
    </row>
    <row r="306">
      <c r="D306" s="1420"/>
      <c r="K306" s="1533"/>
      <c r="M306" s="1819"/>
    </row>
    <row r="307">
      <c r="D307" s="1420"/>
      <c r="K307" s="1533"/>
      <c r="M307" s="1819"/>
    </row>
    <row r="308">
      <c r="D308" s="1420"/>
      <c r="K308" s="1533"/>
      <c r="M308" s="1819"/>
    </row>
    <row r="309">
      <c r="D309" s="1420"/>
      <c r="K309" s="1533"/>
      <c r="M309" s="1819"/>
    </row>
    <row r="310">
      <c r="D310" s="1420"/>
      <c r="K310" s="1533"/>
      <c r="M310" s="1819"/>
    </row>
    <row r="311">
      <c r="D311" s="1420"/>
      <c r="K311" s="1533"/>
      <c r="M311" s="1819"/>
    </row>
    <row r="312">
      <c r="D312" s="1420"/>
      <c r="K312" s="1533"/>
      <c r="M312" s="1819"/>
    </row>
    <row r="313">
      <c r="D313" s="1420"/>
      <c r="K313" s="1533"/>
      <c r="M313" s="1819"/>
    </row>
    <row r="314">
      <c r="D314" s="1420"/>
      <c r="K314" s="1533"/>
      <c r="M314" s="1819"/>
    </row>
    <row r="315">
      <c r="D315" s="1420"/>
      <c r="K315" s="1533"/>
      <c r="M315" s="1819"/>
    </row>
    <row r="316">
      <c r="D316" s="1420"/>
      <c r="K316" s="1533"/>
      <c r="M316" s="1819"/>
    </row>
    <row r="317">
      <c r="D317" s="1420"/>
      <c r="K317" s="1533"/>
      <c r="M317" s="1819"/>
    </row>
    <row r="318">
      <c r="D318" s="1420"/>
      <c r="K318" s="1533"/>
      <c r="M318" s="1819"/>
    </row>
    <row r="319">
      <c r="D319" s="1420"/>
      <c r="K319" s="1533"/>
      <c r="M319" s="1819"/>
    </row>
    <row r="320">
      <c r="D320" s="1420"/>
      <c r="K320" s="1533"/>
      <c r="M320" s="1819"/>
    </row>
    <row r="321">
      <c r="D321" s="1420"/>
      <c r="K321" s="1533"/>
      <c r="M321" s="1819"/>
    </row>
    <row r="322">
      <c r="D322" s="1420"/>
      <c r="K322" s="1533"/>
      <c r="M322" s="1819"/>
    </row>
    <row r="323">
      <c r="D323" s="1420"/>
      <c r="K323" s="1533"/>
      <c r="M323" s="1819"/>
    </row>
    <row r="324">
      <c r="D324" s="1420"/>
      <c r="K324" s="1533"/>
      <c r="M324" s="1819"/>
    </row>
    <row r="325">
      <c r="D325" s="1420"/>
      <c r="K325" s="1533"/>
      <c r="M325" s="1819"/>
    </row>
    <row r="326">
      <c r="D326" s="1420"/>
      <c r="K326" s="1533"/>
      <c r="M326" s="1819"/>
    </row>
    <row r="327">
      <c r="D327" s="1420"/>
      <c r="K327" s="1533"/>
      <c r="M327" s="1819"/>
    </row>
    <row r="328">
      <c r="D328" s="1420"/>
      <c r="K328" s="1533"/>
      <c r="M328" s="1819"/>
    </row>
    <row r="329">
      <c r="D329" s="1420"/>
      <c r="K329" s="1533"/>
      <c r="M329" s="1819"/>
    </row>
    <row r="330">
      <c r="D330" s="1420"/>
      <c r="K330" s="1533"/>
      <c r="M330" s="1819"/>
    </row>
    <row r="331">
      <c r="D331" s="1420"/>
      <c r="K331" s="1533"/>
      <c r="M331" s="1819"/>
    </row>
    <row r="332">
      <c r="D332" s="1420"/>
      <c r="K332" s="1533"/>
      <c r="M332" s="1819"/>
    </row>
    <row r="333">
      <c r="D333" s="1420"/>
      <c r="K333" s="1533"/>
      <c r="M333" s="1819"/>
    </row>
    <row r="334">
      <c r="D334" s="1420"/>
      <c r="K334" s="1533"/>
      <c r="M334" s="1819"/>
    </row>
    <row r="335">
      <c r="D335" s="1420"/>
      <c r="K335" s="1533"/>
      <c r="M335" s="1819"/>
    </row>
    <row r="336">
      <c r="D336" s="1420"/>
      <c r="K336" s="1533"/>
      <c r="M336" s="1819"/>
    </row>
    <row r="337">
      <c r="D337" s="1420"/>
      <c r="K337" s="1533"/>
      <c r="M337" s="1819"/>
    </row>
    <row r="338">
      <c r="D338" s="1420"/>
      <c r="K338" s="1533"/>
      <c r="M338" s="1819"/>
    </row>
    <row r="339">
      <c r="D339" s="1420"/>
      <c r="K339" s="1533"/>
      <c r="M339" s="1819"/>
    </row>
    <row r="340">
      <c r="D340" s="1420"/>
      <c r="K340" s="1533"/>
      <c r="M340" s="1819"/>
    </row>
    <row r="341">
      <c r="D341" s="1420"/>
      <c r="K341" s="1533"/>
      <c r="M341" s="1819"/>
    </row>
    <row r="342">
      <c r="D342" s="1420"/>
      <c r="K342" s="1533"/>
      <c r="M342" s="1819"/>
    </row>
    <row r="343">
      <c r="D343" s="1420"/>
      <c r="K343" s="1533"/>
      <c r="M343" s="1819"/>
    </row>
    <row r="344">
      <c r="D344" s="1420"/>
      <c r="K344" s="1533"/>
      <c r="M344" s="1819"/>
    </row>
    <row r="345">
      <c r="D345" s="1420"/>
      <c r="K345" s="1533"/>
      <c r="M345" s="1819"/>
    </row>
    <row r="346">
      <c r="D346" s="1420"/>
      <c r="K346" s="1533"/>
      <c r="M346" s="1819"/>
    </row>
    <row r="347">
      <c r="D347" s="1420"/>
      <c r="K347" s="1533"/>
      <c r="M347" s="1819"/>
    </row>
    <row r="348">
      <c r="D348" s="1420"/>
      <c r="K348" s="1533"/>
      <c r="M348" s="1819"/>
    </row>
    <row r="349">
      <c r="D349" s="1420"/>
      <c r="K349" s="1533"/>
      <c r="M349" s="1819"/>
    </row>
    <row r="350">
      <c r="D350" s="1420"/>
      <c r="K350" s="1533"/>
      <c r="M350" s="1819"/>
    </row>
    <row r="351">
      <c r="D351" s="1420"/>
      <c r="K351" s="1533"/>
      <c r="M351" s="1819"/>
    </row>
    <row r="352">
      <c r="D352" s="1420"/>
      <c r="K352" s="1533"/>
      <c r="M352" s="1819"/>
    </row>
    <row r="353">
      <c r="D353" s="1420"/>
      <c r="K353" s="1533"/>
      <c r="M353" s="1819"/>
    </row>
    <row r="354">
      <c r="D354" s="1420"/>
      <c r="K354" s="1533"/>
      <c r="M354" s="1819"/>
    </row>
    <row r="355">
      <c r="D355" s="1420"/>
      <c r="K355" s="1533"/>
      <c r="M355" s="1819"/>
    </row>
    <row r="356">
      <c r="D356" s="1420"/>
      <c r="K356" s="1533"/>
      <c r="M356" s="1819"/>
    </row>
    <row r="357">
      <c r="D357" s="1420"/>
      <c r="K357" s="1533"/>
      <c r="M357" s="1819"/>
    </row>
    <row r="358">
      <c r="D358" s="1420"/>
      <c r="K358" s="1533"/>
      <c r="M358" s="1819"/>
    </row>
    <row r="359">
      <c r="D359" s="1420"/>
      <c r="K359" s="1533"/>
      <c r="M359" s="1819"/>
    </row>
    <row r="360">
      <c r="D360" s="1420"/>
      <c r="K360" s="1533"/>
      <c r="M360" s="1819"/>
    </row>
    <row r="361">
      <c r="D361" s="1420"/>
      <c r="K361" s="1533"/>
      <c r="M361" s="1819"/>
    </row>
    <row r="362">
      <c r="D362" s="1420"/>
      <c r="K362" s="1533"/>
      <c r="M362" s="1819"/>
    </row>
    <row r="363">
      <c r="D363" s="1420"/>
      <c r="K363" s="1533"/>
      <c r="M363" s="1819"/>
    </row>
    <row r="364">
      <c r="D364" s="1420"/>
      <c r="K364" s="1533"/>
      <c r="M364" s="1819"/>
    </row>
    <row r="365">
      <c r="D365" s="1420"/>
      <c r="K365" s="1533"/>
      <c r="M365" s="1819"/>
    </row>
    <row r="366">
      <c r="D366" s="1420"/>
      <c r="K366" s="1533"/>
      <c r="M366" s="1819"/>
    </row>
    <row r="367">
      <c r="D367" s="1420"/>
      <c r="K367" s="1533"/>
      <c r="M367" s="1819"/>
    </row>
    <row r="368">
      <c r="D368" s="1420"/>
      <c r="K368" s="1533"/>
      <c r="M368" s="1819"/>
    </row>
    <row r="369">
      <c r="D369" s="1420"/>
      <c r="K369" s="1533"/>
      <c r="M369" s="1819"/>
    </row>
    <row r="370">
      <c r="D370" s="1420"/>
      <c r="K370" s="1533"/>
      <c r="M370" s="1819"/>
    </row>
    <row r="371">
      <c r="D371" s="1420"/>
      <c r="K371" s="1533"/>
      <c r="M371" s="1819"/>
    </row>
    <row r="372">
      <c r="D372" s="1420"/>
      <c r="K372" s="1533"/>
      <c r="M372" s="1819"/>
    </row>
    <row r="373">
      <c r="D373" s="1420"/>
      <c r="K373" s="1533"/>
      <c r="M373" s="1819"/>
    </row>
    <row r="374">
      <c r="D374" s="1420"/>
      <c r="K374" s="1533"/>
      <c r="M374" s="1819"/>
    </row>
    <row r="375">
      <c r="D375" s="1420"/>
      <c r="K375" s="1533"/>
      <c r="M375" s="1819"/>
    </row>
    <row r="376">
      <c r="D376" s="1420"/>
      <c r="K376" s="1533"/>
      <c r="M376" s="1819"/>
    </row>
    <row r="377">
      <c r="D377" s="1420"/>
      <c r="K377" s="1533"/>
      <c r="M377" s="1819"/>
    </row>
    <row r="378">
      <c r="D378" s="1420"/>
      <c r="K378" s="1533"/>
      <c r="M378" s="1819"/>
    </row>
    <row r="379">
      <c r="D379" s="1420"/>
      <c r="K379" s="1533"/>
      <c r="M379" s="1819"/>
    </row>
    <row r="380">
      <c r="D380" s="1420"/>
      <c r="K380" s="1533"/>
      <c r="M380" s="1819"/>
    </row>
    <row r="381">
      <c r="D381" s="1420"/>
      <c r="K381" s="1533"/>
      <c r="M381" s="1819"/>
    </row>
    <row r="382">
      <c r="D382" s="1420"/>
      <c r="K382" s="1533"/>
      <c r="M382" s="1819"/>
    </row>
    <row r="383">
      <c r="D383" s="1420"/>
      <c r="K383" s="1533"/>
      <c r="M383" s="1819"/>
    </row>
    <row r="384">
      <c r="D384" s="1420"/>
      <c r="K384" s="1533"/>
      <c r="M384" s="1819"/>
    </row>
    <row r="385">
      <c r="D385" s="1420"/>
      <c r="K385" s="1533"/>
      <c r="M385" s="1819"/>
    </row>
    <row r="386">
      <c r="D386" s="1420"/>
      <c r="K386" s="1533"/>
      <c r="M386" s="1819"/>
    </row>
    <row r="387">
      <c r="D387" s="1420"/>
      <c r="K387" s="1533"/>
      <c r="M387" s="1819"/>
    </row>
    <row r="388">
      <c r="D388" s="1420"/>
      <c r="K388" s="1533"/>
      <c r="M388" s="1819"/>
    </row>
    <row r="389">
      <c r="D389" s="1420"/>
      <c r="K389" s="1533"/>
      <c r="M389" s="1819"/>
    </row>
    <row r="390">
      <c r="D390" s="1420"/>
      <c r="K390" s="1533"/>
      <c r="M390" s="1819"/>
    </row>
    <row r="391">
      <c r="D391" s="1420"/>
      <c r="K391" s="1533"/>
      <c r="M391" s="1819"/>
    </row>
    <row r="392">
      <c r="D392" s="1420"/>
      <c r="K392" s="1533"/>
      <c r="M392" s="1819"/>
    </row>
    <row r="393">
      <c r="D393" s="1420"/>
      <c r="K393" s="1533"/>
      <c r="M393" s="1819"/>
    </row>
    <row r="394">
      <c r="D394" s="1420"/>
      <c r="K394" s="1533"/>
      <c r="M394" s="1819"/>
    </row>
    <row r="395">
      <c r="D395" s="1420"/>
      <c r="K395" s="1533"/>
      <c r="M395" s="1819"/>
    </row>
    <row r="396">
      <c r="D396" s="1420"/>
      <c r="K396" s="1533"/>
      <c r="M396" s="1819"/>
    </row>
    <row r="397">
      <c r="D397" s="1420"/>
      <c r="K397" s="1533"/>
      <c r="M397" s="1819"/>
    </row>
    <row r="398">
      <c r="D398" s="1420"/>
      <c r="K398" s="1533"/>
      <c r="M398" s="1819"/>
    </row>
    <row r="399">
      <c r="D399" s="1420"/>
      <c r="K399" s="1533"/>
      <c r="M399" s="1819"/>
    </row>
    <row r="400">
      <c r="D400" s="1420"/>
      <c r="K400" s="1533"/>
      <c r="M400" s="1819"/>
    </row>
    <row r="401">
      <c r="D401" s="1420"/>
      <c r="K401" s="1533"/>
      <c r="M401" s="1819"/>
    </row>
    <row r="402">
      <c r="D402" s="1420"/>
      <c r="K402" s="1533"/>
      <c r="M402" s="1819"/>
    </row>
    <row r="403">
      <c r="D403" s="1420"/>
      <c r="K403" s="1533"/>
      <c r="M403" s="1819"/>
    </row>
    <row r="404">
      <c r="D404" s="1420"/>
      <c r="K404" s="1533"/>
      <c r="M404" s="1819"/>
    </row>
    <row r="405">
      <c r="D405" s="1420"/>
      <c r="K405" s="1533"/>
      <c r="M405" s="1819"/>
    </row>
    <row r="406">
      <c r="D406" s="1420"/>
      <c r="K406" s="1533"/>
      <c r="M406" s="1819"/>
    </row>
    <row r="407">
      <c r="D407" s="1420"/>
      <c r="K407" s="1533"/>
      <c r="M407" s="1819"/>
    </row>
    <row r="408">
      <c r="D408" s="1420"/>
      <c r="K408" s="1533"/>
      <c r="M408" s="1819"/>
    </row>
    <row r="409">
      <c r="D409" s="1420"/>
      <c r="K409" s="1533"/>
      <c r="M409" s="1819"/>
    </row>
    <row r="410">
      <c r="D410" s="1420"/>
      <c r="K410" s="1533"/>
      <c r="M410" s="1819"/>
    </row>
    <row r="411">
      <c r="D411" s="1420"/>
      <c r="K411" s="1533"/>
      <c r="M411" s="1819"/>
    </row>
    <row r="412">
      <c r="D412" s="1420"/>
      <c r="K412" s="1533"/>
      <c r="M412" s="1819"/>
    </row>
    <row r="413">
      <c r="D413" s="1420"/>
      <c r="K413" s="1533"/>
      <c r="M413" s="1819"/>
    </row>
    <row r="414">
      <c r="D414" s="1420"/>
      <c r="K414" s="1533"/>
      <c r="M414" s="1819"/>
    </row>
    <row r="415">
      <c r="D415" s="1420"/>
      <c r="K415" s="1533"/>
      <c r="M415" s="1819"/>
    </row>
    <row r="416">
      <c r="D416" s="1420"/>
      <c r="K416" s="1533"/>
      <c r="M416" s="1819"/>
    </row>
    <row r="417">
      <c r="D417" s="1420"/>
      <c r="K417" s="1533"/>
      <c r="M417" s="1819"/>
    </row>
    <row r="418">
      <c r="D418" s="1420"/>
      <c r="K418" s="1533"/>
      <c r="M418" s="1819"/>
    </row>
    <row r="419">
      <c r="D419" s="1420"/>
      <c r="K419" s="1533"/>
      <c r="M419" s="1819"/>
    </row>
    <row r="420">
      <c r="D420" s="1420"/>
      <c r="K420" s="1533"/>
      <c r="M420" s="1819"/>
    </row>
    <row r="421">
      <c r="D421" s="1420"/>
      <c r="K421" s="1533"/>
      <c r="M421" s="1819"/>
    </row>
    <row r="422">
      <c r="D422" s="1420"/>
      <c r="K422" s="1533"/>
      <c r="M422" s="1819"/>
    </row>
    <row r="423">
      <c r="D423" s="1420"/>
      <c r="K423" s="1533"/>
      <c r="M423" s="1819"/>
    </row>
    <row r="424">
      <c r="D424" s="1420"/>
      <c r="K424" s="1533"/>
      <c r="M424" s="1819"/>
    </row>
    <row r="425">
      <c r="D425" s="1420"/>
      <c r="K425" s="1533"/>
      <c r="M425" s="1819"/>
    </row>
    <row r="426">
      <c r="D426" s="1420"/>
      <c r="K426" s="1533"/>
      <c r="M426" s="1819"/>
    </row>
    <row r="427">
      <c r="D427" s="1420"/>
      <c r="K427" s="1533"/>
      <c r="M427" s="1819"/>
    </row>
    <row r="428">
      <c r="D428" s="1420"/>
      <c r="K428" s="1533"/>
      <c r="M428" s="1819"/>
    </row>
    <row r="429">
      <c r="D429" s="1420"/>
      <c r="K429" s="1533"/>
      <c r="M429" s="1819"/>
    </row>
    <row r="430">
      <c r="D430" s="1420"/>
      <c r="K430" s="1533"/>
      <c r="M430" s="1819"/>
    </row>
    <row r="431">
      <c r="D431" s="1420"/>
      <c r="K431" s="1533"/>
      <c r="M431" s="1819"/>
    </row>
    <row r="432">
      <c r="D432" s="1420"/>
      <c r="K432" s="1533"/>
      <c r="M432" s="1819"/>
    </row>
    <row r="433">
      <c r="D433" s="1420"/>
      <c r="K433" s="1533"/>
      <c r="M433" s="1819"/>
    </row>
    <row r="434">
      <c r="D434" s="1420"/>
      <c r="K434" s="1533"/>
      <c r="M434" s="1819"/>
    </row>
    <row r="435">
      <c r="D435" s="1420"/>
      <c r="K435" s="1533"/>
      <c r="M435" s="1819"/>
    </row>
    <row r="436">
      <c r="D436" s="1420"/>
      <c r="K436" s="1533"/>
      <c r="M436" s="1819"/>
    </row>
    <row r="437">
      <c r="D437" s="1420"/>
      <c r="K437" s="1533"/>
      <c r="M437" s="1819"/>
    </row>
    <row r="438">
      <c r="D438" s="1420"/>
      <c r="K438" s="1533"/>
      <c r="M438" s="1819"/>
    </row>
    <row r="439">
      <c r="D439" s="1420"/>
      <c r="K439" s="1533"/>
      <c r="M439" s="1819"/>
    </row>
    <row r="440">
      <c r="D440" s="1420"/>
      <c r="K440" s="1533"/>
      <c r="M440" s="1819"/>
    </row>
    <row r="441">
      <c r="D441" s="1420"/>
      <c r="K441" s="1533"/>
      <c r="M441" s="1819"/>
    </row>
    <row r="442">
      <c r="D442" s="1420"/>
      <c r="K442" s="1533"/>
      <c r="M442" s="1819"/>
    </row>
    <row r="443">
      <c r="D443" s="1420"/>
      <c r="K443" s="1533"/>
      <c r="M443" s="1819"/>
    </row>
    <row r="444">
      <c r="D444" s="1420"/>
      <c r="K444" s="1533"/>
      <c r="M444" s="1819"/>
    </row>
    <row r="445">
      <c r="D445" s="1420"/>
      <c r="K445" s="1533"/>
      <c r="M445" s="1819"/>
    </row>
    <row r="446">
      <c r="D446" s="1420"/>
      <c r="K446" s="1533"/>
      <c r="M446" s="1819"/>
    </row>
    <row r="447">
      <c r="D447" s="1420"/>
      <c r="K447" s="1533"/>
      <c r="M447" s="1819"/>
    </row>
    <row r="448">
      <c r="D448" s="1420"/>
      <c r="K448" s="1533"/>
      <c r="M448" s="1819"/>
    </row>
    <row r="449">
      <c r="D449" s="1420"/>
      <c r="K449" s="1533"/>
      <c r="M449" s="1819"/>
    </row>
    <row r="450">
      <c r="D450" s="1420"/>
      <c r="K450" s="1533"/>
      <c r="M450" s="1819"/>
    </row>
    <row r="451">
      <c r="D451" s="1420"/>
      <c r="K451" s="1533"/>
      <c r="M451" s="1819"/>
    </row>
    <row r="452">
      <c r="D452" s="1420"/>
      <c r="K452" s="1533"/>
      <c r="M452" s="1819"/>
    </row>
    <row r="453">
      <c r="D453" s="1420"/>
      <c r="K453" s="1533"/>
      <c r="M453" s="1819"/>
    </row>
    <row r="454">
      <c r="D454" s="1420"/>
      <c r="K454" s="1533"/>
      <c r="M454" s="1819"/>
    </row>
    <row r="455">
      <c r="D455" s="1420"/>
      <c r="K455" s="1533"/>
      <c r="M455" s="1819"/>
    </row>
    <row r="456">
      <c r="D456" s="1420"/>
      <c r="K456" s="1533"/>
      <c r="M456" s="1819"/>
    </row>
    <row r="457">
      <c r="D457" s="1420"/>
      <c r="K457" s="1533"/>
      <c r="M457" s="1819"/>
    </row>
    <row r="458">
      <c r="D458" s="1420"/>
      <c r="K458" s="1533"/>
      <c r="M458" s="1819"/>
    </row>
    <row r="459">
      <c r="D459" s="1420"/>
      <c r="K459" s="1533"/>
      <c r="M459" s="1819"/>
    </row>
    <row r="460">
      <c r="D460" s="1420"/>
      <c r="K460" s="1533"/>
      <c r="M460" s="1819"/>
    </row>
    <row r="461">
      <c r="D461" s="1420"/>
      <c r="K461" s="1533"/>
      <c r="M461" s="1819"/>
    </row>
    <row r="462">
      <c r="D462" s="1420"/>
      <c r="K462" s="1533"/>
      <c r="M462" s="1819"/>
    </row>
    <row r="463">
      <c r="D463" s="1420"/>
      <c r="K463" s="1533"/>
      <c r="M463" s="1819"/>
    </row>
    <row r="464">
      <c r="D464" s="1420"/>
      <c r="K464" s="1533"/>
      <c r="M464" s="1819"/>
    </row>
    <row r="465">
      <c r="D465" s="1420"/>
      <c r="K465" s="1533"/>
      <c r="M465" s="1819"/>
    </row>
    <row r="466">
      <c r="D466" s="1420"/>
      <c r="K466" s="1533"/>
      <c r="M466" s="1819"/>
    </row>
    <row r="467">
      <c r="D467" s="1420"/>
      <c r="K467" s="1533"/>
      <c r="M467" s="1819"/>
    </row>
    <row r="468">
      <c r="D468" s="1420"/>
      <c r="K468" s="1533"/>
      <c r="M468" s="1819"/>
    </row>
    <row r="469">
      <c r="D469" s="1420"/>
      <c r="K469" s="1533"/>
      <c r="M469" s="1819"/>
    </row>
    <row r="470">
      <c r="D470" s="1420"/>
      <c r="K470" s="1533"/>
      <c r="M470" s="1819"/>
    </row>
    <row r="471">
      <c r="D471" s="1420"/>
      <c r="K471" s="1533"/>
      <c r="M471" s="1819"/>
    </row>
    <row r="472">
      <c r="D472" s="1420"/>
      <c r="K472" s="1533"/>
      <c r="M472" s="1819"/>
    </row>
    <row r="473">
      <c r="D473" s="1420"/>
      <c r="K473" s="1533"/>
      <c r="M473" s="1819"/>
    </row>
    <row r="474">
      <c r="D474" s="1420"/>
      <c r="K474" s="1533"/>
      <c r="M474" s="1819"/>
    </row>
    <row r="475">
      <c r="D475" s="1420"/>
      <c r="K475" s="1533"/>
      <c r="M475" s="1819"/>
    </row>
    <row r="476">
      <c r="D476" s="1420"/>
      <c r="K476" s="1533"/>
      <c r="M476" s="1819"/>
    </row>
    <row r="477">
      <c r="D477" s="1420"/>
      <c r="K477" s="1533"/>
      <c r="M477" s="1819"/>
    </row>
    <row r="478">
      <c r="D478" s="1420"/>
      <c r="K478" s="1533"/>
      <c r="M478" s="1819"/>
    </row>
    <row r="479">
      <c r="D479" s="1420"/>
      <c r="K479" s="1533"/>
      <c r="M479" s="1819"/>
    </row>
    <row r="480">
      <c r="D480" s="1420"/>
      <c r="K480" s="1533"/>
      <c r="M480" s="1819"/>
    </row>
    <row r="481">
      <c r="D481" s="1420"/>
      <c r="K481" s="1533"/>
      <c r="M481" s="1819"/>
    </row>
    <row r="482">
      <c r="D482" s="1420"/>
      <c r="K482" s="1533"/>
      <c r="M482" s="1819"/>
    </row>
    <row r="483">
      <c r="D483" s="1420"/>
      <c r="K483" s="1533"/>
      <c r="M483" s="1819"/>
    </row>
    <row r="484">
      <c r="D484" s="1420"/>
      <c r="K484" s="1533"/>
      <c r="M484" s="1819"/>
    </row>
    <row r="485">
      <c r="D485" s="1420"/>
      <c r="K485" s="1533"/>
      <c r="M485" s="1819"/>
    </row>
    <row r="486">
      <c r="D486" s="1420"/>
      <c r="K486" s="1533"/>
      <c r="M486" s="1819"/>
    </row>
    <row r="487">
      <c r="D487" s="1420"/>
      <c r="K487" s="1533"/>
      <c r="M487" s="1819"/>
    </row>
    <row r="488">
      <c r="D488" s="1420"/>
      <c r="K488" s="1533"/>
      <c r="M488" s="1819"/>
    </row>
    <row r="489">
      <c r="D489" s="1420"/>
      <c r="K489" s="1533"/>
      <c r="M489" s="1819"/>
    </row>
    <row r="490">
      <c r="D490" s="1420"/>
      <c r="K490" s="1533"/>
      <c r="M490" s="1819"/>
    </row>
    <row r="491">
      <c r="D491" s="1420"/>
      <c r="K491" s="1533"/>
      <c r="M491" s="1819"/>
    </row>
    <row r="492">
      <c r="D492" s="1420"/>
      <c r="K492" s="1533"/>
      <c r="M492" s="1819"/>
    </row>
    <row r="493">
      <c r="D493" s="1420"/>
      <c r="K493" s="1533"/>
      <c r="M493" s="1819"/>
    </row>
    <row r="494">
      <c r="D494" s="1420"/>
      <c r="K494" s="1533"/>
      <c r="M494" s="1819"/>
    </row>
    <row r="495">
      <c r="D495" s="1420"/>
      <c r="K495" s="1533"/>
      <c r="M495" s="1819"/>
    </row>
    <row r="496">
      <c r="D496" s="1420"/>
      <c r="K496" s="1533"/>
      <c r="M496" s="1819"/>
    </row>
    <row r="497">
      <c r="D497" s="1420"/>
      <c r="K497" s="1533"/>
      <c r="M497" s="1819"/>
    </row>
    <row r="498">
      <c r="D498" s="1420"/>
      <c r="K498" s="1533"/>
      <c r="M498" s="1819"/>
    </row>
    <row r="499">
      <c r="D499" s="1420"/>
      <c r="K499" s="1533"/>
      <c r="M499" s="1819"/>
    </row>
    <row r="500">
      <c r="D500" s="1420"/>
      <c r="K500" s="1533"/>
      <c r="M500" s="1819"/>
    </row>
    <row r="501">
      <c r="D501" s="1420"/>
      <c r="K501" s="1533"/>
      <c r="M501" s="1819"/>
    </row>
    <row r="502">
      <c r="D502" s="1420"/>
      <c r="K502" s="1533"/>
      <c r="M502" s="1819"/>
    </row>
    <row r="503">
      <c r="D503" s="1420"/>
      <c r="K503" s="1533"/>
      <c r="M503" s="1819"/>
    </row>
    <row r="504">
      <c r="D504" s="1420"/>
      <c r="K504" s="1533"/>
      <c r="M504" s="1819"/>
    </row>
    <row r="505">
      <c r="D505" s="1420"/>
      <c r="K505" s="1533"/>
      <c r="M505" s="1819"/>
    </row>
    <row r="506">
      <c r="D506" s="1420"/>
      <c r="K506" s="1533"/>
      <c r="M506" s="1819"/>
    </row>
    <row r="507">
      <c r="D507" s="1420"/>
      <c r="K507" s="1533"/>
      <c r="M507" s="1819"/>
    </row>
    <row r="508">
      <c r="D508" s="1420"/>
      <c r="K508" s="1533"/>
      <c r="M508" s="1819"/>
    </row>
    <row r="509">
      <c r="D509" s="1420"/>
      <c r="K509" s="1533"/>
      <c r="M509" s="1819"/>
    </row>
    <row r="510">
      <c r="D510" s="1420"/>
      <c r="K510" s="1533"/>
      <c r="M510" s="1819"/>
    </row>
    <row r="511">
      <c r="D511" s="1420"/>
      <c r="K511" s="1533"/>
      <c r="M511" s="1819"/>
    </row>
    <row r="512">
      <c r="D512" s="1420"/>
      <c r="K512" s="1533"/>
      <c r="M512" s="1819"/>
    </row>
    <row r="513">
      <c r="D513" s="1420"/>
      <c r="K513" s="1533"/>
      <c r="M513" s="1819"/>
    </row>
    <row r="514">
      <c r="D514" s="1420"/>
      <c r="K514" s="1533"/>
      <c r="M514" s="1819"/>
    </row>
    <row r="515">
      <c r="D515" s="1420"/>
      <c r="K515" s="1533"/>
      <c r="M515" s="1819"/>
    </row>
    <row r="516">
      <c r="D516" s="1420"/>
      <c r="K516" s="1533"/>
      <c r="M516" s="1819"/>
    </row>
    <row r="517">
      <c r="D517" s="1420"/>
      <c r="K517" s="1533"/>
      <c r="M517" s="1819"/>
    </row>
    <row r="518">
      <c r="D518" s="1420"/>
      <c r="K518" s="1533"/>
      <c r="M518" s="1819"/>
    </row>
    <row r="519">
      <c r="D519" s="1420"/>
      <c r="K519" s="1533"/>
      <c r="M519" s="1819"/>
    </row>
    <row r="520">
      <c r="D520" s="1420"/>
      <c r="K520" s="1533"/>
      <c r="M520" s="1819"/>
    </row>
    <row r="521">
      <c r="D521" s="1420"/>
      <c r="K521" s="1533"/>
      <c r="M521" s="1819"/>
    </row>
    <row r="522">
      <c r="D522" s="1420"/>
      <c r="K522" s="1533"/>
      <c r="M522" s="1819"/>
    </row>
    <row r="523">
      <c r="D523" s="1420"/>
      <c r="K523" s="1533"/>
      <c r="M523" s="1819"/>
    </row>
    <row r="524">
      <c r="D524" s="1420"/>
      <c r="K524" s="1533"/>
      <c r="M524" s="1819"/>
    </row>
    <row r="525">
      <c r="D525" s="1420"/>
      <c r="K525" s="1533"/>
      <c r="M525" s="1819"/>
    </row>
    <row r="526">
      <c r="D526" s="1420"/>
      <c r="K526" s="1533"/>
      <c r="M526" s="1819"/>
    </row>
    <row r="527">
      <c r="D527" s="1420"/>
      <c r="K527" s="1533"/>
      <c r="M527" s="1819"/>
    </row>
    <row r="528">
      <c r="D528" s="1420"/>
      <c r="K528" s="1533"/>
      <c r="M528" s="1819"/>
    </row>
    <row r="529">
      <c r="D529" s="1420"/>
      <c r="K529" s="1533"/>
      <c r="M529" s="1819"/>
    </row>
    <row r="530">
      <c r="D530" s="1420"/>
      <c r="K530" s="1533"/>
      <c r="M530" s="1819"/>
    </row>
    <row r="531">
      <c r="D531" s="1420"/>
      <c r="K531" s="1533"/>
      <c r="M531" s="1819"/>
    </row>
    <row r="532">
      <c r="D532" s="1420"/>
      <c r="K532" s="1533"/>
      <c r="M532" s="1819"/>
    </row>
    <row r="533">
      <c r="D533" s="1420"/>
      <c r="K533" s="1533"/>
      <c r="M533" s="1819"/>
    </row>
    <row r="534">
      <c r="D534" s="1420"/>
      <c r="K534" s="1533"/>
      <c r="M534" s="1819"/>
    </row>
    <row r="535">
      <c r="D535" s="1420"/>
      <c r="K535" s="1533"/>
      <c r="M535" s="1819"/>
    </row>
    <row r="536">
      <c r="D536" s="1420"/>
      <c r="K536" s="1533"/>
      <c r="M536" s="1819"/>
    </row>
    <row r="537">
      <c r="D537" s="1420"/>
      <c r="K537" s="1533"/>
      <c r="M537" s="1819"/>
    </row>
    <row r="538">
      <c r="D538" s="1420"/>
      <c r="K538" s="1533"/>
      <c r="M538" s="1819"/>
    </row>
    <row r="539">
      <c r="D539" s="1420"/>
      <c r="K539" s="1533"/>
      <c r="M539" s="1819"/>
    </row>
    <row r="540">
      <c r="D540" s="1420"/>
      <c r="K540" s="1533"/>
      <c r="M540" s="1819"/>
    </row>
    <row r="541">
      <c r="D541" s="1420"/>
      <c r="K541" s="1533"/>
      <c r="M541" s="1819"/>
    </row>
    <row r="542">
      <c r="D542" s="1420"/>
      <c r="K542" s="1533"/>
      <c r="M542" s="1819"/>
    </row>
    <row r="543">
      <c r="D543" s="1420"/>
      <c r="K543" s="1533"/>
      <c r="M543" s="1819"/>
    </row>
    <row r="544">
      <c r="D544" s="1420"/>
      <c r="K544" s="1533"/>
      <c r="M544" s="1819"/>
    </row>
    <row r="545">
      <c r="D545" s="1420"/>
      <c r="K545" s="1533"/>
      <c r="M545" s="1819"/>
    </row>
    <row r="546">
      <c r="D546" s="1420"/>
      <c r="K546" s="1533"/>
      <c r="M546" s="1819"/>
    </row>
    <row r="547">
      <c r="D547" s="1420"/>
      <c r="K547" s="1533"/>
      <c r="M547" s="1819"/>
    </row>
    <row r="548">
      <c r="D548" s="1420"/>
      <c r="K548" s="1533"/>
      <c r="M548" s="1819"/>
    </row>
    <row r="549">
      <c r="D549" s="1420"/>
      <c r="K549" s="1533"/>
      <c r="M549" s="1819"/>
    </row>
    <row r="550">
      <c r="D550" s="1420"/>
      <c r="K550" s="1533"/>
      <c r="M550" s="1819"/>
    </row>
    <row r="551">
      <c r="D551" s="1420"/>
      <c r="K551" s="1533"/>
      <c r="M551" s="1819"/>
    </row>
    <row r="552">
      <c r="D552" s="1420"/>
      <c r="K552" s="1533"/>
      <c r="M552" s="1819"/>
    </row>
    <row r="553">
      <c r="D553" s="1420"/>
      <c r="K553" s="1533"/>
      <c r="M553" s="1819"/>
    </row>
    <row r="554">
      <c r="D554" s="1420"/>
      <c r="K554" s="1533"/>
      <c r="M554" s="1819"/>
    </row>
    <row r="555">
      <c r="D555" s="1420"/>
      <c r="K555" s="1533"/>
      <c r="M555" s="1819"/>
    </row>
    <row r="556">
      <c r="D556" s="1420"/>
      <c r="K556" s="1533"/>
      <c r="M556" s="1819"/>
    </row>
    <row r="557">
      <c r="D557" s="1420"/>
      <c r="K557" s="1533"/>
      <c r="M557" s="1819"/>
    </row>
    <row r="558">
      <c r="D558" s="1420"/>
      <c r="K558" s="1533"/>
      <c r="M558" s="1819"/>
    </row>
    <row r="559">
      <c r="D559" s="1420"/>
      <c r="K559" s="1533"/>
      <c r="M559" s="1819"/>
    </row>
    <row r="560">
      <c r="D560" s="1420"/>
      <c r="K560" s="1533"/>
      <c r="M560" s="1819"/>
    </row>
    <row r="561">
      <c r="D561" s="1420"/>
      <c r="K561" s="1533"/>
      <c r="M561" s="1819"/>
    </row>
    <row r="562">
      <c r="D562" s="1420"/>
      <c r="K562" s="1533"/>
      <c r="M562" s="1819"/>
    </row>
    <row r="563">
      <c r="D563" s="1420"/>
      <c r="K563" s="1533"/>
      <c r="M563" s="1819"/>
    </row>
    <row r="564">
      <c r="D564" s="1420"/>
      <c r="K564" s="1533"/>
      <c r="M564" s="1819"/>
    </row>
    <row r="565">
      <c r="D565" s="1420"/>
      <c r="K565" s="1533"/>
      <c r="M565" s="1819"/>
    </row>
    <row r="566">
      <c r="D566" s="1420"/>
      <c r="K566" s="1533"/>
      <c r="M566" s="1819"/>
    </row>
    <row r="567">
      <c r="D567" s="1420"/>
      <c r="K567" s="1533"/>
      <c r="M567" s="1819"/>
    </row>
    <row r="568">
      <c r="D568" s="1420"/>
      <c r="K568" s="1533"/>
      <c r="M568" s="1819"/>
    </row>
    <row r="569">
      <c r="D569" s="1420"/>
      <c r="K569" s="1533"/>
      <c r="M569" s="1819"/>
    </row>
    <row r="570">
      <c r="D570" s="1420"/>
      <c r="K570" s="1533"/>
      <c r="M570" s="1819"/>
    </row>
    <row r="571">
      <c r="D571" s="1420"/>
      <c r="K571" s="1533"/>
      <c r="M571" s="1819"/>
    </row>
    <row r="572">
      <c r="D572" s="1420"/>
      <c r="K572" s="1533"/>
      <c r="M572" s="1819"/>
    </row>
    <row r="573">
      <c r="D573" s="1420"/>
      <c r="K573" s="1533"/>
      <c r="M573" s="1819"/>
    </row>
    <row r="574">
      <c r="D574" s="1420"/>
      <c r="K574" s="1533"/>
      <c r="M574" s="1819"/>
    </row>
    <row r="575">
      <c r="D575" s="1420"/>
      <c r="K575" s="1533"/>
      <c r="M575" s="1819"/>
    </row>
    <row r="576">
      <c r="D576" s="1420"/>
      <c r="K576" s="1533"/>
      <c r="M576" s="1819"/>
    </row>
    <row r="577">
      <c r="D577" s="1420"/>
      <c r="K577" s="1533"/>
      <c r="M577" s="1819"/>
    </row>
    <row r="578">
      <c r="D578" s="1420"/>
      <c r="K578" s="1533"/>
      <c r="M578" s="1819"/>
    </row>
    <row r="579">
      <c r="D579" s="1420"/>
      <c r="K579" s="1533"/>
      <c r="M579" s="1819"/>
    </row>
    <row r="580">
      <c r="D580" s="1420"/>
      <c r="K580" s="1533"/>
      <c r="M580" s="1819"/>
    </row>
    <row r="581">
      <c r="D581" s="1420"/>
      <c r="K581" s="1533"/>
      <c r="M581" s="1819"/>
    </row>
    <row r="582">
      <c r="D582" s="1420"/>
      <c r="K582" s="1533"/>
      <c r="M582" s="1819"/>
    </row>
    <row r="583">
      <c r="D583" s="1420"/>
      <c r="K583" s="1533"/>
      <c r="M583" s="1819"/>
    </row>
    <row r="584">
      <c r="D584" s="1420"/>
      <c r="K584" s="1533"/>
      <c r="M584" s="1819"/>
    </row>
    <row r="585">
      <c r="D585" s="1420"/>
      <c r="K585" s="1533"/>
      <c r="M585" s="1819"/>
    </row>
    <row r="586">
      <c r="D586" s="1420"/>
      <c r="K586" s="1533"/>
      <c r="M586" s="1819"/>
    </row>
    <row r="587">
      <c r="D587" s="1420"/>
      <c r="K587" s="1533"/>
      <c r="M587" s="1819"/>
    </row>
    <row r="588">
      <c r="D588" s="1420"/>
      <c r="K588" s="1533"/>
      <c r="M588" s="1819"/>
    </row>
    <row r="589">
      <c r="D589" s="1420"/>
      <c r="K589" s="1533"/>
      <c r="M589" s="1819"/>
    </row>
    <row r="590">
      <c r="D590" s="1420"/>
      <c r="K590" s="1533"/>
      <c r="M590" s="1819"/>
    </row>
    <row r="591">
      <c r="D591" s="1420"/>
      <c r="K591" s="1533"/>
      <c r="M591" s="1819"/>
    </row>
    <row r="592">
      <c r="D592" s="1420"/>
      <c r="K592" s="1533"/>
      <c r="M592" s="1819"/>
    </row>
    <row r="593">
      <c r="D593" s="1420"/>
      <c r="K593" s="1533"/>
      <c r="M593" s="1819"/>
    </row>
    <row r="594">
      <c r="D594" s="1420"/>
      <c r="K594" s="1533"/>
      <c r="M594" s="1819"/>
    </row>
    <row r="595">
      <c r="D595" s="1420"/>
      <c r="K595" s="1533"/>
      <c r="M595" s="1819"/>
    </row>
    <row r="596">
      <c r="D596" s="1420"/>
      <c r="K596" s="1533"/>
      <c r="M596" s="1819"/>
    </row>
    <row r="597">
      <c r="D597" s="1420"/>
      <c r="K597" s="1533"/>
      <c r="M597" s="1819"/>
    </row>
    <row r="598">
      <c r="D598" s="1420"/>
      <c r="K598" s="1533"/>
      <c r="M598" s="1819"/>
    </row>
    <row r="599">
      <c r="D599" s="1420"/>
      <c r="K599" s="1533"/>
      <c r="M599" s="1819"/>
    </row>
    <row r="600">
      <c r="D600" s="1420"/>
      <c r="K600" s="1533"/>
      <c r="M600" s="1819"/>
    </row>
    <row r="601">
      <c r="D601" s="1420"/>
      <c r="K601" s="1533"/>
      <c r="M601" s="1819"/>
    </row>
    <row r="602">
      <c r="D602" s="1420"/>
      <c r="K602" s="1533"/>
      <c r="M602" s="1819"/>
    </row>
    <row r="603">
      <c r="D603" s="1420"/>
      <c r="K603" s="1533"/>
      <c r="M603" s="1819"/>
    </row>
    <row r="604">
      <c r="D604" s="1420"/>
      <c r="K604" s="1533"/>
      <c r="M604" s="1819"/>
    </row>
    <row r="605">
      <c r="D605" s="1420"/>
      <c r="K605" s="1533"/>
      <c r="M605" s="1819"/>
    </row>
    <row r="606">
      <c r="D606" s="1420"/>
      <c r="K606" s="1533"/>
      <c r="M606" s="1819"/>
    </row>
    <row r="607">
      <c r="D607" s="1420"/>
      <c r="K607" s="1533"/>
      <c r="M607" s="1819"/>
    </row>
    <row r="608">
      <c r="D608" s="1420"/>
      <c r="K608" s="1533"/>
      <c r="M608" s="1819"/>
    </row>
    <row r="609">
      <c r="D609" s="1420"/>
      <c r="K609" s="1533"/>
      <c r="M609" s="1819"/>
    </row>
    <row r="610">
      <c r="D610" s="1420"/>
      <c r="K610" s="1533"/>
      <c r="M610" s="1819"/>
    </row>
    <row r="611">
      <c r="D611" s="1420"/>
      <c r="K611" s="1533"/>
      <c r="M611" s="1819"/>
    </row>
    <row r="612">
      <c r="D612" s="1420"/>
      <c r="K612" s="1533"/>
      <c r="M612" s="1819"/>
    </row>
    <row r="613">
      <c r="D613" s="1420"/>
      <c r="K613" s="1533"/>
      <c r="M613" s="1819"/>
    </row>
    <row r="614">
      <c r="D614" s="1420"/>
      <c r="K614" s="1533"/>
      <c r="M614" s="1819"/>
    </row>
    <row r="615">
      <c r="D615" s="1420"/>
      <c r="K615" s="1533"/>
      <c r="M615" s="1819"/>
    </row>
    <row r="616">
      <c r="D616" s="1420"/>
      <c r="K616" s="1533"/>
      <c r="M616" s="1819"/>
    </row>
    <row r="617">
      <c r="D617" s="1420"/>
      <c r="K617" s="1533"/>
      <c r="M617" s="1819"/>
    </row>
    <row r="618">
      <c r="D618" s="1420"/>
      <c r="K618" s="1533"/>
      <c r="M618" s="1819"/>
    </row>
    <row r="619">
      <c r="D619" s="1420"/>
      <c r="K619" s="1533"/>
      <c r="M619" s="1819"/>
    </row>
    <row r="620">
      <c r="D620" s="1420"/>
      <c r="K620" s="1533"/>
      <c r="M620" s="1819"/>
    </row>
    <row r="621">
      <c r="D621" s="1420"/>
      <c r="K621" s="1533"/>
      <c r="M621" s="1819"/>
    </row>
    <row r="622">
      <c r="D622" s="1420"/>
      <c r="K622" s="1533"/>
      <c r="M622" s="1819"/>
    </row>
    <row r="623">
      <c r="D623" s="1420"/>
      <c r="K623" s="1533"/>
      <c r="M623" s="1819"/>
    </row>
    <row r="624">
      <c r="D624" s="1420"/>
      <c r="K624" s="1533"/>
      <c r="M624" s="1819"/>
    </row>
    <row r="625">
      <c r="D625" s="1420"/>
      <c r="K625" s="1533"/>
      <c r="M625" s="1819"/>
    </row>
    <row r="626">
      <c r="D626" s="1420"/>
      <c r="K626" s="1533"/>
      <c r="M626" s="1819"/>
    </row>
    <row r="627">
      <c r="D627" s="1420"/>
      <c r="K627" s="1533"/>
      <c r="M627" s="1819"/>
    </row>
    <row r="628">
      <c r="D628" s="1420"/>
      <c r="K628" s="1533"/>
      <c r="M628" s="1819"/>
    </row>
    <row r="629">
      <c r="D629" s="1420"/>
      <c r="K629" s="1533"/>
      <c r="M629" s="1819"/>
    </row>
    <row r="630">
      <c r="D630" s="1420"/>
      <c r="K630" s="1533"/>
      <c r="M630" s="1819"/>
    </row>
    <row r="631">
      <c r="D631" s="1420"/>
      <c r="K631" s="1533"/>
      <c r="M631" s="1819"/>
    </row>
    <row r="632">
      <c r="D632" s="1420"/>
      <c r="K632" s="1533"/>
      <c r="M632" s="1819"/>
    </row>
    <row r="633">
      <c r="D633" s="1420"/>
      <c r="K633" s="1533"/>
      <c r="M633" s="1819"/>
    </row>
    <row r="634">
      <c r="D634" s="1420"/>
      <c r="K634" s="1533"/>
      <c r="M634" s="1819"/>
    </row>
    <row r="635">
      <c r="D635" s="1420"/>
      <c r="K635" s="1533"/>
      <c r="M635" s="1819"/>
    </row>
    <row r="636">
      <c r="D636" s="1420"/>
      <c r="K636" s="1533"/>
      <c r="M636" s="1819"/>
    </row>
    <row r="637">
      <c r="D637" s="1420"/>
      <c r="K637" s="1533"/>
      <c r="M637" s="1819"/>
    </row>
    <row r="638">
      <c r="D638" s="1420"/>
      <c r="K638" s="1533"/>
      <c r="M638" s="1819"/>
    </row>
    <row r="639">
      <c r="D639" s="1420"/>
      <c r="K639" s="1533"/>
      <c r="M639" s="1819"/>
    </row>
    <row r="640">
      <c r="D640" s="1420"/>
      <c r="K640" s="1533"/>
      <c r="M640" s="1819"/>
    </row>
    <row r="641">
      <c r="D641" s="1420"/>
      <c r="K641" s="1533"/>
      <c r="M641" s="1819"/>
    </row>
    <row r="642">
      <c r="D642" s="1420"/>
      <c r="K642" s="1533"/>
      <c r="M642" s="1819"/>
    </row>
    <row r="643">
      <c r="D643" s="1420"/>
      <c r="K643" s="1533"/>
      <c r="M643" s="1819"/>
    </row>
    <row r="644">
      <c r="D644" s="1420"/>
      <c r="K644" s="1533"/>
      <c r="M644" s="1819"/>
    </row>
    <row r="645">
      <c r="D645" s="1420"/>
      <c r="K645" s="1533"/>
      <c r="M645" s="1819"/>
    </row>
    <row r="646">
      <c r="D646" s="1420"/>
      <c r="K646" s="1533"/>
      <c r="M646" s="1819"/>
    </row>
    <row r="647">
      <c r="D647" s="1420"/>
      <c r="K647" s="1533"/>
      <c r="M647" s="1819"/>
    </row>
    <row r="648">
      <c r="D648" s="1420"/>
      <c r="K648" s="1533"/>
      <c r="M648" s="1819"/>
    </row>
    <row r="649">
      <c r="D649" s="1420"/>
      <c r="K649" s="1533"/>
      <c r="M649" s="1819"/>
    </row>
    <row r="650">
      <c r="D650" s="1420"/>
      <c r="K650" s="1533"/>
      <c r="M650" s="1819"/>
    </row>
    <row r="651">
      <c r="D651" s="1420"/>
      <c r="K651" s="1533"/>
      <c r="M651" s="1819"/>
    </row>
    <row r="652">
      <c r="D652" s="1420"/>
      <c r="K652" s="1533"/>
      <c r="M652" s="1819"/>
    </row>
    <row r="653">
      <c r="D653" s="1420"/>
      <c r="K653" s="1533"/>
      <c r="M653" s="1819"/>
    </row>
    <row r="654">
      <c r="D654" s="1420"/>
      <c r="K654" s="1533"/>
      <c r="M654" s="1819"/>
    </row>
    <row r="655">
      <c r="D655" s="1420"/>
      <c r="K655" s="1533"/>
      <c r="M655" s="1819"/>
    </row>
    <row r="656">
      <c r="D656" s="1420"/>
      <c r="K656" s="1533"/>
      <c r="M656" s="1819"/>
    </row>
    <row r="657">
      <c r="D657" s="1420"/>
      <c r="K657" s="1533"/>
      <c r="M657" s="1819"/>
    </row>
    <row r="658">
      <c r="D658" s="1420"/>
      <c r="K658" s="1533"/>
      <c r="M658" s="1819"/>
    </row>
    <row r="659">
      <c r="D659" s="1420"/>
      <c r="K659" s="1533"/>
      <c r="M659" s="1819"/>
    </row>
    <row r="660">
      <c r="D660" s="1420"/>
      <c r="K660" s="1533"/>
      <c r="M660" s="1819"/>
    </row>
    <row r="661">
      <c r="D661" s="1420"/>
      <c r="K661" s="1533"/>
      <c r="M661" s="1819"/>
    </row>
    <row r="662">
      <c r="D662" s="1420"/>
      <c r="K662" s="1533"/>
      <c r="M662" s="1819"/>
    </row>
    <row r="663">
      <c r="D663" s="1420"/>
      <c r="K663" s="1533"/>
      <c r="M663" s="1819"/>
    </row>
    <row r="664">
      <c r="D664" s="1420"/>
      <c r="K664" s="1533"/>
      <c r="M664" s="1819"/>
    </row>
    <row r="665">
      <c r="D665" s="1420"/>
      <c r="K665" s="1533"/>
      <c r="M665" s="1819"/>
    </row>
    <row r="666">
      <c r="D666" s="1420"/>
      <c r="K666" s="1533"/>
      <c r="M666" s="1819"/>
    </row>
    <row r="667">
      <c r="D667" s="1420"/>
      <c r="K667" s="1533"/>
      <c r="M667" s="1819"/>
    </row>
    <row r="668">
      <c r="D668" s="1420"/>
      <c r="K668" s="1533"/>
      <c r="M668" s="1819"/>
    </row>
    <row r="669">
      <c r="D669" s="1420"/>
      <c r="K669" s="1533"/>
      <c r="M669" s="1819"/>
    </row>
    <row r="670">
      <c r="D670" s="1420"/>
      <c r="K670" s="1533"/>
      <c r="M670" s="1819"/>
    </row>
    <row r="671">
      <c r="D671" s="1420"/>
      <c r="K671" s="1533"/>
      <c r="M671" s="1819"/>
    </row>
    <row r="672">
      <c r="D672" s="1420"/>
      <c r="K672" s="1533"/>
      <c r="M672" s="1819"/>
    </row>
    <row r="673">
      <c r="D673" s="1420"/>
      <c r="K673" s="1533"/>
      <c r="M673" s="1819"/>
    </row>
    <row r="674">
      <c r="D674" s="1420"/>
      <c r="K674" s="1533"/>
      <c r="M674" s="1819"/>
    </row>
    <row r="675">
      <c r="D675" s="1420"/>
      <c r="K675" s="1533"/>
      <c r="M675" s="1819"/>
    </row>
    <row r="676">
      <c r="D676" s="1420"/>
      <c r="K676" s="1533"/>
      <c r="M676" s="1819"/>
    </row>
    <row r="677">
      <c r="D677" s="1420"/>
      <c r="K677" s="1533"/>
      <c r="M677" s="1819"/>
    </row>
    <row r="678">
      <c r="D678" s="1420"/>
      <c r="K678" s="1533"/>
      <c r="M678" s="1819"/>
    </row>
    <row r="679">
      <c r="D679" s="1420"/>
      <c r="K679" s="1533"/>
      <c r="M679" s="1819"/>
    </row>
    <row r="680">
      <c r="D680" s="1420"/>
      <c r="K680" s="1533"/>
      <c r="M680" s="1819"/>
    </row>
    <row r="681">
      <c r="D681" s="1420"/>
      <c r="K681" s="1533"/>
      <c r="M681" s="1819"/>
    </row>
    <row r="682">
      <c r="D682" s="1420"/>
      <c r="K682" s="1533"/>
      <c r="M682" s="1819"/>
    </row>
    <row r="683">
      <c r="D683" s="1420"/>
      <c r="K683" s="1533"/>
      <c r="M683" s="1819"/>
    </row>
    <row r="684">
      <c r="D684" s="1420"/>
      <c r="K684" s="1533"/>
      <c r="M684" s="1819"/>
    </row>
    <row r="685">
      <c r="D685" s="1420"/>
      <c r="K685" s="1533"/>
      <c r="M685" s="1819"/>
    </row>
    <row r="686">
      <c r="D686" s="1420"/>
      <c r="K686" s="1533"/>
      <c r="M686" s="1819"/>
    </row>
    <row r="687">
      <c r="D687" s="1420"/>
      <c r="K687" s="1533"/>
      <c r="M687" s="1819"/>
    </row>
    <row r="688">
      <c r="D688" s="1420"/>
      <c r="K688" s="1533"/>
      <c r="M688" s="1819"/>
    </row>
    <row r="689">
      <c r="D689" s="1420"/>
      <c r="K689" s="1533"/>
      <c r="M689" s="1819"/>
    </row>
    <row r="690">
      <c r="D690" s="1420"/>
      <c r="K690" s="1533"/>
      <c r="M690" s="1819"/>
    </row>
    <row r="691">
      <c r="D691" s="1420"/>
      <c r="K691" s="1533"/>
      <c r="M691" s="1819"/>
    </row>
    <row r="692">
      <c r="D692" s="1420"/>
      <c r="K692" s="1533"/>
      <c r="M692" s="1819"/>
    </row>
    <row r="693">
      <c r="D693" s="1420"/>
      <c r="K693" s="1533"/>
      <c r="M693" s="1819"/>
    </row>
    <row r="694">
      <c r="D694" s="1420"/>
      <c r="K694" s="1533"/>
      <c r="M694" s="1819"/>
    </row>
    <row r="695">
      <c r="D695" s="1420"/>
      <c r="K695" s="1533"/>
      <c r="M695" s="1819"/>
    </row>
    <row r="696">
      <c r="D696" s="1420"/>
      <c r="K696" s="1533"/>
      <c r="M696" s="1819"/>
    </row>
    <row r="697">
      <c r="D697" s="1420"/>
      <c r="K697" s="1533"/>
      <c r="M697" s="1819"/>
    </row>
    <row r="698">
      <c r="D698" s="1420"/>
      <c r="K698" s="1533"/>
      <c r="M698" s="1819"/>
    </row>
    <row r="699">
      <c r="D699" s="1420"/>
      <c r="K699" s="1533"/>
      <c r="M699" s="1819"/>
    </row>
    <row r="700">
      <c r="D700" s="1420"/>
      <c r="K700" s="1533"/>
      <c r="M700" s="1819"/>
    </row>
    <row r="701">
      <c r="D701" s="1420"/>
      <c r="K701" s="1533"/>
      <c r="M701" s="1819"/>
    </row>
    <row r="702">
      <c r="D702" s="1420"/>
      <c r="K702" s="1533"/>
      <c r="M702" s="1819"/>
    </row>
    <row r="703">
      <c r="D703" s="1420"/>
      <c r="K703" s="1533"/>
      <c r="M703" s="1819"/>
    </row>
    <row r="704">
      <c r="D704" s="1420"/>
      <c r="K704" s="1533"/>
      <c r="M704" s="1819"/>
    </row>
    <row r="705">
      <c r="D705" s="1420"/>
      <c r="K705" s="1533"/>
      <c r="M705" s="1819"/>
    </row>
    <row r="706">
      <c r="D706" s="1420"/>
      <c r="K706" s="1533"/>
      <c r="M706" s="1819"/>
    </row>
    <row r="707">
      <c r="D707" s="1420"/>
      <c r="K707" s="1533"/>
      <c r="M707" s="1819"/>
    </row>
    <row r="708">
      <c r="D708" s="1420"/>
      <c r="K708" s="1533"/>
      <c r="M708" s="1819"/>
    </row>
    <row r="709">
      <c r="D709" s="1420"/>
      <c r="K709" s="1533"/>
      <c r="M709" s="1819"/>
    </row>
    <row r="710">
      <c r="D710" s="1420"/>
      <c r="K710" s="1533"/>
      <c r="M710" s="1819"/>
    </row>
    <row r="711">
      <c r="D711" s="1420"/>
      <c r="K711" s="1533"/>
      <c r="M711" s="1819"/>
    </row>
    <row r="712">
      <c r="D712" s="1420"/>
      <c r="K712" s="1533"/>
      <c r="M712" s="1819"/>
    </row>
    <row r="713">
      <c r="D713" s="1420"/>
      <c r="K713" s="1533"/>
      <c r="M713" s="1819"/>
    </row>
    <row r="714">
      <c r="D714" s="1420"/>
      <c r="K714" s="1533"/>
      <c r="M714" s="1819"/>
    </row>
    <row r="715">
      <c r="D715" s="1420"/>
      <c r="K715" s="1533"/>
      <c r="M715" s="1819"/>
    </row>
    <row r="716">
      <c r="D716" s="1420"/>
      <c r="K716" s="1533"/>
      <c r="M716" s="1819"/>
    </row>
    <row r="717">
      <c r="D717" s="1420"/>
      <c r="K717" s="1533"/>
      <c r="M717" s="1819"/>
    </row>
    <row r="718">
      <c r="D718" s="1420"/>
      <c r="K718" s="1533"/>
      <c r="M718" s="1819"/>
    </row>
    <row r="719">
      <c r="D719" s="1420"/>
      <c r="K719" s="1533"/>
      <c r="M719" s="1819"/>
    </row>
    <row r="720">
      <c r="D720" s="1420"/>
      <c r="K720" s="1533"/>
      <c r="M720" s="1819"/>
    </row>
    <row r="721">
      <c r="D721" s="1420"/>
      <c r="K721" s="1533"/>
      <c r="M721" s="1819"/>
    </row>
    <row r="722">
      <c r="D722" s="1420"/>
      <c r="K722" s="1533"/>
      <c r="M722" s="1819"/>
    </row>
    <row r="723">
      <c r="D723" s="1420"/>
      <c r="K723" s="1533"/>
      <c r="M723" s="1819"/>
    </row>
    <row r="724">
      <c r="D724" s="1420"/>
      <c r="K724" s="1533"/>
      <c r="M724" s="1819"/>
    </row>
    <row r="725">
      <c r="D725" s="1420"/>
      <c r="K725" s="1533"/>
      <c r="M725" s="1819"/>
    </row>
    <row r="726">
      <c r="D726" s="1420"/>
      <c r="K726" s="1533"/>
      <c r="M726" s="1819"/>
    </row>
    <row r="727">
      <c r="D727" s="1420"/>
      <c r="K727" s="1533"/>
      <c r="M727" s="1819"/>
    </row>
    <row r="728">
      <c r="D728" s="1420"/>
      <c r="K728" s="1533"/>
      <c r="M728" s="1819"/>
    </row>
    <row r="729">
      <c r="D729" s="1420"/>
      <c r="K729" s="1533"/>
      <c r="M729" s="1819"/>
    </row>
    <row r="730">
      <c r="D730" s="1420"/>
      <c r="K730" s="1533"/>
      <c r="M730" s="1819"/>
    </row>
    <row r="731">
      <c r="D731" s="1420"/>
      <c r="K731" s="1533"/>
      <c r="M731" s="1819"/>
    </row>
    <row r="732">
      <c r="D732" s="1420"/>
      <c r="K732" s="1533"/>
      <c r="M732" s="1819"/>
    </row>
    <row r="733">
      <c r="D733" s="1420"/>
      <c r="K733" s="1533"/>
      <c r="M733" s="1819"/>
    </row>
    <row r="734">
      <c r="D734" s="1420"/>
      <c r="K734" s="1533"/>
      <c r="M734" s="1819"/>
    </row>
    <row r="735">
      <c r="D735" s="1420"/>
      <c r="K735" s="1533"/>
      <c r="M735" s="1819"/>
    </row>
    <row r="736">
      <c r="D736" s="1420"/>
      <c r="K736" s="1533"/>
      <c r="M736" s="1819"/>
    </row>
    <row r="737">
      <c r="D737" s="1420"/>
      <c r="K737" s="1533"/>
      <c r="M737" s="1819"/>
    </row>
    <row r="738">
      <c r="D738" s="1420"/>
      <c r="K738" s="1533"/>
      <c r="M738" s="1819"/>
    </row>
    <row r="739">
      <c r="D739" s="1420"/>
      <c r="K739" s="1533"/>
      <c r="M739" s="1819"/>
    </row>
    <row r="740">
      <c r="D740" s="1420"/>
      <c r="K740" s="1533"/>
      <c r="M740" s="1819"/>
    </row>
    <row r="741">
      <c r="D741" s="1420"/>
      <c r="K741" s="1533"/>
      <c r="M741" s="1819"/>
    </row>
    <row r="742">
      <c r="D742" s="1420"/>
      <c r="K742" s="1533"/>
      <c r="M742" s="1819"/>
    </row>
    <row r="743">
      <c r="D743" s="1420"/>
      <c r="K743" s="1533"/>
      <c r="M743" s="1819"/>
    </row>
    <row r="744">
      <c r="D744" s="1420"/>
      <c r="K744" s="1533"/>
      <c r="M744" s="1819"/>
    </row>
    <row r="745">
      <c r="D745" s="1420"/>
      <c r="K745" s="1533"/>
      <c r="M745" s="1819"/>
    </row>
    <row r="746">
      <c r="D746" s="1420"/>
      <c r="K746" s="1533"/>
      <c r="M746" s="1819"/>
    </row>
    <row r="747">
      <c r="D747" s="1420"/>
      <c r="K747" s="1533"/>
      <c r="M747" s="1819"/>
    </row>
    <row r="748">
      <c r="D748" s="1420"/>
      <c r="K748" s="1533"/>
      <c r="M748" s="1819"/>
    </row>
    <row r="749">
      <c r="D749" s="1420"/>
      <c r="K749" s="1533"/>
      <c r="M749" s="1819"/>
    </row>
    <row r="750">
      <c r="D750" s="1420"/>
      <c r="K750" s="1533"/>
      <c r="M750" s="1819"/>
    </row>
    <row r="751">
      <c r="D751" s="1420"/>
      <c r="K751" s="1533"/>
      <c r="M751" s="1819"/>
    </row>
    <row r="752">
      <c r="D752" s="1420"/>
      <c r="K752" s="1533"/>
      <c r="M752" s="1819"/>
    </row>
    <row r="753">
      <c r="D753" s="1420"/>
      <c r="K753" s="1533"/>
      <c r="M753" s="1819"/>
    </row>
    <row r="754">
      <c r="D754" s="1420"/>
      <c r="K754" s="1533"/>
      <c r="M754" s="1819"/>
    </row>
    <row r="755">
      <c r="D755" s="1420"/>
      <c r="K755" s="1533"/>
      <c r="M755" s="1819"/>
    </row>
    <row r="756">
      <c r="D756" s="1420"/>
      <c r="K756" s="1533"/>
      <c r="M756" s="1819"/>
    </row>
    <row r="757">
      <c r="D757" s="1420"/>
      <c r="K757" s="1533"/>
      <c r="M757" s="1819"/>
    </row>
    <row r="758">
      <c r="D758" s="1420"/>
      <c r="K758" s="1533"/>
      <c r="M758" s="1819"/>
    </row>
    <row r="759">
      <c r="D759" s="1420"/>
      <c r="K759" s="1533"/>
      <c r="M759" s="1819"/>
    </row>
    <row r="760">
      <c r="D760" s="1420"/>
      <c r="K760" s="1533"/>
      <c r="M760" s="1819"/>
    </row>
    <row r="761">
      <c r="D761" s="1420"/>
      <c r="K761" s="1533"/>
      <c r="M761" s="1819"/>
    </row>
    <row r="762">
      <c r="D762" s="1420"/>
      <c r="K762" s="1533"/>
      <c r="M762" s="1819"/>
    </row>
    <row r="763">
      <c r="D763" s="1420"/>
      <c r="K763" s="1533"/>
      <c r="M763" s="1819"/>
    </row>
    <row r="764">
      <c r="D764" s="1420"/>
      <c r="K764" s="1533"/>
      <c r="M764" s="1819"/>
    </row>
    <row r="765">
      <c r="D765" s="1420"/>
      <c r="K765" s="1533"/>
      <c r="M765" s="1819"/>
    </row>
    <row r="766">
      <c r="D766" s="1420"/>
      <c r="K766" s="1533"/>
      <c r="M766" s="1819"/>
    </row>
    <row r="767">
      <c r="D767" s="1420"/>
      <c r="K767" s="1533"/>
      <c r="M767" s="1819"/>
    </row>
    <row r="768">
      <c r="D768" s="1420"/>
      <c r="K768" s="1533"/>
      <c r="M768" s="1819"/>
    </row>
    <row r="769">
      <c r="D769" s="1420"/>
      <c r="K769" s="1533"/>
      <c r="M769" s="1819"/>
    </row>
    <row r="770">
      <c r="D770" s="1420"/>
      <c r="K770" s="1533"/>
      <c r="M770" s="1819"/>
    </row>
    <row r="771">
      <c r="D771" s="1420"/>
      <c r="K771" s="1533"/>
      <c r="M771" s="1819"/>
    </row>
    <row r="772">
      <c r="D772" s="1420"/>
      <c r="K772" s="1533"/>
      <c r="M772" s="1819"/>
    </row>
    <row r="773">
      <c r="D773" s="1420"/>
      <c r="K773" s="1533"/>
      <c r="M773" s="1819"/>
    </row>
    <row r="774">
      <c r="D774" s="1420"/>
      <c r="K774" s="1533"/>
      <c r="M774" s="1819"/>
    </row>
    <row r="775">
      <c r="D775" s="1420"/>
      <c r="K775" s="1533"/>
      <c r="M775" s="1819"/>
    </row>
    <row r="776">
      <c r="D776" s="1420"/>
      <c r="K776" s="1533"/>
      <c r="M776" s="1819"/>
    </row>
    <row r="777">
      <c r="D777" s="1420"/>
      <c r="K777" s="1533"/>
      <c r="M777" s="1819"/>
    </row>
    <row r="778">
      <c r="D778" s="1420"/>
      <c r="K778" s="1533"/>
      <c r="M778" s="1819"/>
    </row>
    <row r="779">
      <c r="D779" s="1420"/>
      <c r="K779" s="1533"/>
      <c r="M779" s="1819"/>
    </row>
    <row r="780">
      <c r="D780" s="1420"/>
      <c r="K780" s="1533"/>
      <c r="M780" s="1819"/>
    </row>
    <row r="781">
      <c r="D781" s="1420"/>
      <c r="K781" s="1533"/>
      <c r="M781" s="1819"/>
    </row>
    <row r="782">
      <c r="D782" s="1420"/>
      <c r="K782" s="1533"/>
      <c r="M782" s="1819"/>
    </row>
    <row r="783">
      <c r="D783" s="1420"/>
      <c r="K783" s="1533"/>
      <c r="M783" s="1819"/>
    </row>
    <row r="784">
      <c r="D784" s="1420"/>
      <c r="K784" s="1533"/>
      <c r="M784" s="1819"/>
    </row>
    <row r="785">
      <c r="D785" s="1420"/>
      <c r="K785" s="1533"/>
      <c r="M785" s="1819"/>
    </row>
    <row r="786">
      <c r="D786" s="1420"/>
      <c r="K786" s="1533"/>
      <c r="M786" s="1819"/>
    </row>
    <row r="787">
      <c r="D787" s="1420"/>
      <c r="K787" s="1533"/>
      <c r="M787" s="1819"/>
    </row>
    <row r="788">
      <c r="D788" s="1420"/>
      <c r="K788" s="1533"/>
      <c r="M788" s="1819"/>
    </row>
    <row r="789">
      <c r="D789" s="1420"/>
      <c r="K789" s="1533"/>
      <c r="M789" s="1819"/>
    </row>
    <row r="790">
      <c r="D790" s="1420"/>
      <c r="K790" s="1533"/>
      <c r="M790" s="1819"/>
    </row>
    <row r="791">
      <c r="D791" s="1420"/>
      <c r="K791" s="1533"/>
      <c r="M791" s="1819"/>
    </row>
    <row r="792">
      <c r="D792" s="1420"/>
      <c r="K792" s="1533"/>
      <c r="M792" s="1819"/>
    </row>
    <row r="793">
      <c r="D793" s="1420"/>
      <c r="K793" s="1533"/>
      <c r="M793" s="1819"/>
    </row>
    <row r="794">
      <c r="D794" s="1420"/>
      <c r="K794" s="1533"/>
      <c r="M794" s="1819"/>
    </row>
    <row r="795">
      <c r="D795" s="1420"/>
      <c r="K795" s="1533"/>
      <c r="M795" s="1819"/>
    </row>
    <row r="796">
      <c r="D796" s="1420"/>
      <c r="K796" s="1533"/>
      <c r="M796" s="1819"/>
    </row>
    <row r="797">
      <c r="D797" s="1420"/>
      <c r="K797" s="1533"/>
      <c r="M797" s="1819"/>
    </row>
    <row r="798">
      <c r="D798" s="1420"/>
      <c r="K798" s="1533"/>
      <c r="M798" s="1819"/>
    </row>
    <row r="799">
      <c r="D799" s="1420"/>
      <c r="K799" s="1533"/>
      <c r="M799" s="1819"/>
    </row>
    <row r="800">
      <c r="D800" s="1420"/>
      <c r="K800" s="1533"/>
      <c r="M800" s="1819"/>
    </row>
    <row r="801">
      <c r="D801" s="1420"/>
      <c r="K801" s="1533"/>
      <c r="M801" s="1819"/>
    </row>
    <row r="802">
      <c r="D802" s="1420"/>
      <c r="K802" s="1533"/>
      <c r="M802" s="1819"/>
    </row>
    <row r="803">
      <c r="D803" s="1420"/>
      <c r="K803" s="1533"/>
      <c r="M803" s="1819"/>
    </row>
    <row r="804">
      <c r="D804" s="1420"/>
      <c r="K804" s="1533"/>
      <c r="M804" s="1819"/>
    </row>
    <row r="805">
      <c r="D805" s="1420"/>
      <c r="K805" s="1533"/>
      <c r="M805" s="1819"/>
    </row>
    <row r="806">
      <c r="D806" s="1420"/>
      <c r="K806" s="1533"/>
      <c r="M806" s="1819"/>
    </row>
    <row r="807">
      <c r="D807" s="1420"/>
      <c r="K807" s="1533"/>
      <c r="M807" s="1819"/>
    </row>
    <row r="808">
      <c r="D808" s="1420"/>
      <c r="K808" s="1533"/>
      <c r="M808" s="1819"/>
    </row>
    <row r="809">
      <c r="D809" s="1420"/>
      <c r="K809" s="1533"/>
      <c r="M809" s="1819"/>
    </row>
    <row r="810">
      <c r="D810" s="1420"/>
      <c r="K810" s="1533"/>
      <c r="M810" s="1819"/>
    </row>
    <row r="811">
      <c r="D811" s="1420"/>
      <c r="K811" s="1533"/>
      <c r="M811" s="1819"/>
    </row>
    <row r="812">
      <c r="D812" s="1420"/>
      <c r="K812" s="1533"/>
      <c r="M812" s="1819"/>
    </row>
    <row r="813">
      <c r="D813" s="1420"/>
      <c r="K813" s="1533"/>
      <c r="M813" s="1819"/>
    </row>
    <row r="814">
      <c r="D814" s="1420"/>
      <c r="K814" s="1533"/>
      <c r="M814" s="1819"/>
    </row>
    <row r="815">
      <c r="D815" s="1420"/>
      <c r="K815" s="1533"/>
      <c r="M815" s="1819"/>
    </row>
    <row r="816">
      <c r="D816" s="1420"/>
      <c r="K816" s="1533"/>
      <c r="M816" s="1819"/>
    </row>
    <row r="817">
      <c r="D817" s="1420"/>
      <c r="K817" s="1533"/>
      <c r="M817" s="1819"/>
    </row>
    <row r="818">
      <c r="D818" s="1420"/>
      <c r="K818" s="1533"/>
      <c r="M818" s="1819"/>
    </row>
    <row r="819">
      <c r="D819" s="1420"/>
      <c r="K819" s="1533"/>
      <c r="M819" s="1819"/>
    </row>
    <row r="820">
      <c r="D820" s="1420"/>
      <c r="K820" s="1533"/>
      <c r="M820" s="1819"/>
    </row>
    <row r="821">
      <c r="D821" s="1420"/>
      <c r="K821" s="1533"/>
      <c r="M821" s="1819"/>
    </row>
    <row r="822">
      <c r="D822" s="1420"/>
      <c r="K822" s="1533"/>
      <c r="M822" s="1819"/>
    </row>
    <row r="823">
      <c r="D823" s="1420"/>
      <c r="K823" s="1533"/>
      <c r="M823" s="1819"/>
    </row>
    <row r="824">
      <c r="D824" s="1420"/>
      <c r="K824" s="1533"/>
      <c r="M824" s="1819"/>
    </row>
    <row r="825">
      <c r="D825" s="1420"/>
      <c r="K825" s="1533"/>
      <c r="M825" s="1819"/>
    </row>
    <row r="826">
      <c r="D826" s="1420"/>
      <c r="K826" s="1533"/>
      <c r="M826" s="1819"/>
    </row>
    <row r="827">
      <c r="D827" s="1420"/>
      <c r="K827" s="1533"/>
      <c r="M827" s="1819"/>
    </row>
    <row r="828">
      <c r="D828" s="1420"/>
      <c r="K828" s="1533"/>
      <c r="M828" s="1819"/>
    </row>
    <row r="829">
      <c r="D829" s="1420"/>
      <c r="K829" s="1533"/>
      <c r="M829" s="1819"/>
    </row>
    <row r="830">
      <c r="D830" s="1420"/>
      <c r="K830" s="1533"/>
      <c r="M830" s="1819"/>
    </row>
    <row r="831">
      <c r="D831" s="1420"/>
      <c r="K831" s="1533"/>
      <c r="M831" s="1819"/>
    </row>
    <row r="832">
      <c r="D832" s="1420"/>
      <c r="K832" s="1533"/>
      <c r="M832" s="1819"/>
    </row>
    <row r="833">
      <c r="D833" s="1420"/>
      <c r="K833" s="1533"/>
      <c r="M833" s="1819"/>
    </row>
    <row r="834">
      <c r="D834" s="1420"/>
      <c r="K834" s="1533"/>
      <c r="M834" s="1819"/>
    </row>
    <row r="835">
      <c r="D835" s="1420"/>
      <c r="K835" s="1533"/>
      <c r="M835" s="1819"/>
    </row>
    <row r="836">
      <c r="D836" s="1420"/>
      <c r="K836" s="1533"/>
      <c r="M836" s="1819"/>
    </row>
    <row r="837">
      <c r="D837" s="1420"/>
      <c r="K837" s="1533"/>
      <c r="M837" s="1819"/>
    </row>
    <row r="838">
      <c r="D838" s="1420"/>
      <c r="K838" s="1533"/>
      <c r="M838" s="1819"/>
    </row>
    <row r="839">
      <c r="D839" s="1420"/>
      <c r="K839" s="1533"/>
      <c r="M839" s="1819"/>
    </row>
    <row r="840">
      <c r="D840" s="1420"/>
      <c r="K840" s="1533"/>
      <c r="M840" s="1819"/>
    </row>
    <row r="841">
      <c r="D841" s="1420"/>
      <c r="K841" s="1533"/>
      <c r="M841" s="1819"/>
    </row>
    <row r="842">
      <c r="D842" s="1420"/>
      <c r="K842" s="1533"/>
      <c r="M842" s="1819"/>
    </row>
    <row r="843">
      <c r="D843" s="1420"/>
      <c r="K843" s="1533"/>
      <c r="M843" s="1819"/>
    </row>
    <row r="844">
      <c r="D844" s="1420"/>
      <c r="K844" s="1533"/>
      <c r="M844" s="1819"/>
    </row>
    <row r="845">
      <c r="D845" s="1420"/>
      <c r="K845" s="1533"/>
      <c r="M845" s="1819"/>
    </row>
    <row r="846">
      <c r="D846" s="1420"/>
      <c r="K846" s="1533"/>
      <c r="M846" s="1819"/>
    </row>
    <row r="847">
      <c r="D847" s="1420"/>
      <c r="K847" s="1533"/>
      <c r="M847" s="1819"/>
    </row>
    <row r="848">
      <c r="D848" s="1420"/>
      <c r="K848" s="1533"/>
      <c r="M848" s="1819"/>
    </row>
    <row r="849">
      <c r="D849" s="1420"/>
      <c r="K849" s="1533"/>
      <c r="M849" s="1819"/>
    </row>
    <row r="850">
      <c r="D850" s="1420"/>
      <c r="K850" s="1533"/>
      <c r="M850" s="1819"/>
    </row>
    <row r="851">
      <c r="D851" s="1420"/>
      <c r="K851" s="1533"/>
      <c r="M851" s="1819"/>
    </row>
    <row r="852">
      <c r="D852" s="1420"/>
      <c r="K852" s="1533"/>
      <c r="M852" s="1819"/>
    </row>
    <row r="853">
      <c r="D853" s="1420"/>
      <c r="K853" s="1533"/>
      <c r="M853" s="1819"/>
    </row>
    <row r="854">
      <c r="D854" s="1420"/>
      <c r="K854" s="1533"/>
      <c r="M854" s="1819"/>
    </row>
    <row r="855">
      <c r="D855" s="1420"/>
      <c r="K855" s="1533"/>
      <c r="M855" s="1819"/>
    </row>
    <row r="856">
      <c r="D856" s="1420"/>
      <c r="K856" s="1533"/>
      <c r="M856" s="1819"/>
    </row>
    <row r="857">
      <c r="D857" s="1420"/>
      <c r="K857" s="1533"/>
      <c r="M857" s="1819"/>
    </row>
    <row r="858">
      <c r="D858" s="1420"/>
      <c r="K858" s="1533"/>
      <c r="M858" s="1819"/>
    </row>
    <row r="859">
      <c r="D859" s="1420"/>
      <c r="K859" s="1533"/>
      <c r="M859" s="1819"/>
    </row>
    <row r="860">
      <c r="D860" s="1420"/>
      <c r="K860" s="1533"/>
      <c r="M860" s="1819"/>
    </row>
    <row r="861">
      <c r="D861" s="1420"/>
      <c r="K861" s="1533"/>
      <c r="M861" s="1819"/>
    </row>
    <row r="862">
      <c r="D862" s="1420"/>
      <c r="K862" s="1533"/>
      <c r="M862" s="1819"/>
    </row>
    <row r="863">
      <c r="D863" s="1420"/>
      <c r="K863" s="1533"/>
      <c r="M863" s="1819"/>
    </row>
    <row r="864">
      <c r="D864" s="1420"/>
      <c r="K864" s="1533"/>
      <c r="M864" s="1819"/>
    </row>
    <row r="865">
      <c r="D865" s="1420"/>
      <c r="K865" s="1533"/>
      <c r="M865" s="1819"/>
    </row>
    <row r="866">
      <c r="D866" s="1420"/>
      <c r="K866" s="1533"/>
      <c r="M866" s="1819"/>
    </row>
    <row r="867">
      <c r="D867" s="1420"/>
      <c r="K867" s="1533"/>
      <c r="M867" s="1819"/>
    </row>
    <row r="868">
      <c r="D868" s="1420"/>
      <c r="K868" s="1533"/>
      <c r="M868" s="1819"/>
    </row>
    <row r="869">
      <c r="D869" s="1420"/>
      <c r="K869" s="1533"/>
      <c r="M869" s="1819"/>
    </row>
    <row r="870">
      <c r="D870" s="1420"/>
      <c r="K870" s="1533"/>
      <c r="M870" s="1819"/>
    </row>
    <row r="871">
      <c r="D871" s="1420"/>
      <c r="K871" s="1533"/>
      <c r="M871" s="1819"/>
    </row>
    <row r="872">
      <c r="D872" s="1420"/>
      <c r="K872" s="1533"/>
      <c r="M872" s="1819"/>
    </row>
    <row r="873">
      <c r="D873" s="1420"/>
      <c r="K873" s="1533"/>
      <c r="M873" s="1819"/>
    </row>
    <row r="874">
      <c r="D874" s="1420"/>
      <c r="K874" s="1533"/>
      <c r="M874" s="1819"/>
    </row>
    <row r="875">
      <c r="D875" s="1420"/>
      <c r="K875" s="1533"/>
      <c r="M875" s="1819"/>
    </row>
    <row r="876">
      <c r="D876" s="1420"/>
      <c r="K876" s="1533"/>
      <c r="M876" s="1819"/>
    </row>
    <row r="877">
      <c r="D877" s="1420"/>
      <c r="K877" s="1533"/>
      <c r="M877" s="1819"/>
    </row>
    <row r="878">
      <c r="D878" s="1420"/>
      <c r="K878" s="1533"/>
      <c r="M878" s="1819"/>
    </row>
    <row r="879">
      <c r="D879" s="1420"/>
      <c r="K879" s="1533"/>
      <c r="M879" s="1819"/>
    </row>
    <row r="880">
      <c r="D880" s="1420"/>
      <c r="K880" s="1533"/>
      <c r="M880" s="1819"/>
    </row>
    <row r="881">
      <c r="D881" s="1420"/>
      <c r="K881" s="1533"/>
      <c r="M881" s="1819"/>
    </row>
    <row r="882">
      <c r="D882" s="1420"/>
      <c r="K882" s="1533"/>
      <c r="M882" s="1819"/>
    </row>
    <row r="883">
      <c r="D883" s="1420"/>
      <c r="K883" s="1533"/>
      <c r="M883" s="1819"/>
    </row>
    <row r="884">
      <c r="D884" s="1420"/>
      <c r="K884" s="1533"/>
      <c r="M884" s="1819"/>
    </row>
    <row r="885">
      <c r="D885" s="1420"/>
      <c r="K885" s="1533"/>
      <c r="M885" s="1819"/>
    </row>
    <row r="886">
      <c r="D886" s="1420"/>
      <c r="K886" s="1533"/>
      <c r="M886" s="1819"/>
    </row>
    <row r="887">
      <c r="D887" s="1420"/>
      <c r="K887" s="1533"/>
      <c r="M887" s="1819"/>
    </row>
    <row r="888">
      <c r="D888" s="1420"/>
      <c r="K888" s="1533"/>
      <c r="M888" s="1819"/>
    </row>
    <row r="889">
      <c r="D889" s="1420"/>
      <c r="K889" s="1533"/>
      <c r="M889" s="1819"/>
    </row>
    <row r="890">
      <c r="D890" s="1420"/>
      <c r="K890" s="1533"/>
      <c r="M890" s="1819"/>
    </row>
    <row r="891">
      <c r="D891" s="1420"/>
      <c r="K891" s="1533"/>
      <c r="M891" s="1819"/>
    </row>
    <row r="892">
      <c r="D892" s="1420"/>
      <c r="K892" s="1533"/>
      <c r="M892" s="1819"/>
    </row>
    <row r="893">
      <c r="D893" s="1420"/>
      <c r="K893" s="1533"/>
      <c r="M893" s="1819"/>
    </row>
    <row r="894">
      <c r="D894" s="1420"/>
      <c r="K894" s="1533"/>
      <c r="M894" s="1819"/>
    </row>
    <row r="895">
      <c r="D895" s="1420"/>
      <c r="K895" s="1533"/>
      <c r="M895" s="1819"/>
    </row>
    <row r="896">
      <c r="D896" s="1420"/>
      <c r="K896" s="1533"/>
      <c r="M896" s="1819"/>
    </row>
    <row r="897">
      <c r="D897" s="1420"/>
      <c r="K897" s="1533"/>
      <c r="M897" s="1819"/>
    </row>
    <row r="898">
      <c r="D898" s="1420"/>
      <c r="K898" s="1533"/>
      <c r="M898" s="1819"/>
    </row>
    <row r="899">
      <c r="D899" s="1420"/>
      <c r="K899" s="1533"/>
      <c r="M899" s="1819"/>
    </row>
    <row r="900">
      <c r="D900" s="1420"/>
      <c r="K900" s="1533"/>
      <c r="M900" s="1819"/>
    </row>
    <row r="901">
      <c r="D901" s="1420"/>
      <c r="K901" s="1533"/>
      <c r="M901" s="1819"/>
    </row>
    <row r="902">
      <c r="D902" s="1420"/>
      <c r="K902" s="1533"/>
      <c r="M902" s="1819"/>
    </row>
    <row r="903">
      <c r="D903" s="1420"/>
      <c r="K903" s="1533"/>
      <c r="M903" s="1819"/>
    </row>
    <row r="904">
      <c r="D904" s="1420"/>
      <c r="K904" s="1533"/>
      <c r="M904" s="1819"/>
    </row>
    <row r="905">
      <c r="D905" s="1420"/>
      <c r="K905" s="1533"/>
      <c r="M905" s="1819"/>
    </row>
    <row r="906">
      <c r="D906" s="1420"/>
      <c r="K906" s="1533"/>
      <c r="M906" s="1819"/>
    </row>
    <row r="907">
      <c r="D907" s="1420"/>
      <c r="K907" s="1533"/>
      <c r="M907" s="1819"/>
    </row>
    <row r="908">
      <c r="D908" s="1420"/>
      <c r="K908" s="1533"/>
      <c r="M908" s="1819"/>
    </row>
    <row r="909">
      <c r="D909" s="1420"/>
      <c r="K909" s="1533"/>
      <c r="M909" s="1819"/>
    </row>
    <row r="910">
      <c r="D910" s="1420"/>
      <c r="K910" s="1533"/>
      <c r="M910" s="1819"/>
    </row>
    <row r="911">
      <c r="D911" s="1420"/>
      <c r="K911" s="1533"/>
      <c r="M911" s="1819"/>
    </row>
    <row r="912">
      <c r="D912" s="1420"/>
      <c r="K912" s="1533"/>
      <c r="M912" s="1819"/>
    </row>
    <row r="913">
      <c r="D913" s="1420"/>
      <c r="K913" s="1533"/>
      <c r="M913" s="1819"/>
    </row>
    <row r="914">
      <c r="D914" s="1420"/>
      <c r="K914" s="1533"/>
      <c r="M914" s="1819"/>
    </row>
    <row r="915">
      <c r="D915" s="1420"/>
      <c r="K915" s="1533"/>
      <c r="M915" s="1819"/>
    </row>
    <row r="916">
      <c r="D916" s="1420"/>
      <c r="K916" s="1533"/>
      <c r="M916" s="1819"/>
    </row>
    <row r="917">
      <c r="D917" s="1420"/>
      <c r="K917" s="1533"/>
      <c r="M917" s="1819"/>
    </row>
    <row r="918">
      <c r="D918" s="1420"/>
      <c r="K918" s="1533"/>
      <c r="M918" s="1819"/>
    </row>
    <row r="919">
      <c r="D919" s="1420"/>
      <c r="K919" s="1533"/>
      <c r="M919" s="1819"/>
    </row>
    <row r="920">
      <c r="D920" s="1420"/>
      <c r="K920" s="1533"/>
      <c r="M920" s="1819"/>
    </row>
    <row r="921">
      <c r="D921" s="1420"/>
      <c r="K921" s="1533"/>
      <c r="M921" s="1819"/>
    </row>
    <row r="922">
      <c r="D922" s="1420"/>
      <c r="K922" s="1533"/>
      <c r="M922" s="1819"/>
    </row>
    <row r="923">
      <c r="D923" s="1420"/>
      <c r="K923" s="1533"/>
      <c r="M923" s="1819"/>
    </row>
    <row r="924">
      <c r="D924" s="1420"/>
      <c r="K924" s="1533"/>
      <c r="M924" s="1819"/>
    </row>
    <row r="925">
      <c r="D925" s="1420"/>
      <c r="K925" s="1533"/>
      <c r="M925" s="1819"/>
    </row>
    <row r="926">
      <c r="D926" s="1420"/>
      <c r="K926" s="1533"/>
      <c r="M926" s="1819"/>
    </row>
    <row r="927">
      <c r="D927" s="1420"/>
      <c r="K927" s="1533"/>
      <c r="M927" s="1819"/>
    </row>
    <row r="928">
      <c r="D928" s="1420"/>
      <c r="K928" s="1533"/>
      <c r="M928" s="1819"/>
    </row>
    <row r="929">
      <c r="D929" s="1420"/>
      <c r="K929" s="1533"/>
      <c r="M929" s="1819"/>
    </row>
    <row r="930">
      <c r="D930" s="1420"/>
      <c r="K930" s="1533"/>
      <c r="M930" s="1819"/>
    </row>
    <row r="931">
      <c r="D931" s="1420"/>
      <c r="K931" s="1533"/>
      <c r="M931" s="1819"/>
    </row>
    <row r="932">
      <c r="D932" s="1420"/>
      <c r="K932" s="1533"/>
      <c r="M932" s="1819"/>
    </row>
    <row r="933">
      <c r="D933" s="1420"/>
      <c r="K933" s="1533"/>
      <c r="M933" s="1819"/>
    </row>
    <row r="934">
      <c r="D934" s="1420"/>
      <c r="K934" s="1533"/>
      <c r="M934" s="1819"/>
    </row>
    <row r="935">
      <c r="D935" s="1420"/>
      <c r="K935" s="1533"/>
      <c r="M935" s="1819"/>
    </row>
    <row r="936">
      <c r="D936" s="1420"/>
      <c r="K936" s="1533"/>
      <c r="M936" s="1819"/>
    </row>
    <row r="937">
      <c r="D937" s="1420"/>
      <c r="K937" s="1533"/>
      <c r="M937" s="1819"/>
    </row>
    <row r="938">
      <c r="D938" s="1420"/>
      <c r="K938" s="1533"/>
      <c r="M938" s="1819"/>
    </row>
    <row r="939">
      <c r="D939" s="1420"/>
      <c r="K939" s="1533"/>
      <c r="M939" s="1819"/>
    </row>
    <row r="940">
      <c r="D940" s="1420"/>
      <c r="K940" s="1533"/>
      <c r="M940" s="1819"/>
    </row>
    <row r="941">
      <c r="D941" s="1420"/>
      <c r="K941" s="1533"/>
      <c r="M941" s="1819"/>
    </row>
    <row r="942">
      <c r="D942" s="1420"/>
      <c r="K942" s="1533"/>
      <c r="M942" s="1819"/>
    </row>
    <row r="943">
      <c r="D943" s="1420"/>
      <c r="K943" s="1533"/>
      <c r="M943" s="1819"/>
    </row>
    <row r="944">
      <c r="D944" s="1420"/>
      <c r="K944" s="1533"/>
      <c r="M944" s="1819"/>
    </row>
    <row r="945">
      <c r="D945" s="1420"/>
      <c r="K945" s="1533"/>
      <c r="M945" s="1819"/>
    </row>
    <row r="946">
      <c r="D946" s="1420"/>
      <c r="K946" s="1533"/>
      <c r="M946" s="1819"/>
    </row>
    <row r="947">
      <c r="D947" s="1420"/>
      <c r="K947" s="1533"/>
      <c r="M947" s="1819"/>
    </row>
    <row r="948">
      <c r="D948" s="1420"/>
      <c r="K948" s="1533"/>
      <c r="M948" s="1819"/>
    </row>
    <row r="949">
      <c r="D949" s="1420"/>
      <c r="K949" s="1533"/>
      <c r="M949" s="1819"/>
    </row>
    <row r="950">
      <c r="D950" s="1420"/>
      <c r="K950" s="1533"/>
      <c r="M950" s="1819"/>
    </row>
    <row r="951">
      <c r="D951" s="1420"/>
      <c r="K951" s="1533"/>
      <c r="M951" s="1819"/>
    </row>
    <row r="952">
      <c r="D952" s="1420"/>
      <c r="K952" s="1533"/>
      <c r="M952" s="1819"/>
    </row>
    <row r="953">
      <c r="D953" s="1420"/>
      <c r="K953" s="1533"/>
      <c r="M953" s="1819"/>
    </row>
    <row r="954">
      <c r="D954" s="1420"/>
      <c r="K954" s="1533"/>
      <c r="M954" s="1819"/>
    </row>
    <row r="955">
      <c r="D955" s="1420"/>
      <c r="K955" s="1533"/>
      <c r="M955" s="1819"/>
    </row>
    <row r="956">
      <c r="D956" s="1420"/>
      <c r="K956" s="1533"/>
      <c r="M956" s="1819"/>
    </row>
    <row r="957">
      <c r="D957" s="1420"/>
      <c r="K957" s="1533"/>
      <c r="M957" s="1819"/>
    </row>
    <row r="958">
      <c r="D958" s="1420"/>
      <c r="K958" s="1533"/>
      <c r="M958" s="1819"/>
    </row>
    <row r="959">
      <c r="D959" s="1420"/>
      <c r="K959" s="1533"/>
      <c r="M959" s="1819"/>
    </row>
    <row r="960">
      <c r="D960" s="1420"/>
      <c r="K960" s="1533"/>
      <c r="M960" s="1819"/>
    </row>
    <row r="961">
      <c r="D961" s="1420"/>
      <c r="K961" s="1533"/>
      <c r="M961" s="1819"/>
    </row>
    <row r="962">
      <c r="D962" s="1420"/>
      <c r="K962" s="1533"/>
      <c r="M962" s="1819"/>
    </row>
    <row r="963">
      <c r="D963" s="1420"/>
      <c r="K963" s="1533"/>
      <c r="M963" s="1819"/>
    </row>
    <row r="964">
      <c r="D964" s="1420"/>
      <c r="K964" s="1533"/>
      <c r="M964" s="1819"/>
    </row>
    <row r="965">
      <c r="D965" s="1420"/>
      <c r="K965" s="1533"/>
      <c r="M965" s="1819"/>
    </row>
    <row r="966">
      <c r="D966" s="1420"/>
      <c r="K966" s="1533"/>
      <c r="M966" s="1819"/>
    </row>
    <row r="967">
      <c r="D967" s="1420"/>
      <c r="K967" s="1533"/>
      <c r="M967" s="1819"/>
    </row>
    <row r="968">
      <c r="D968" s="1420"/>
      <c r="K968" s="1533"/>
      <c r="M968" s="1819"/>
    </row>
    <row r="969">
      <c r="D969" s="1420"/>
      <c r="K969" s="1533"/>
      <c r="M969" s="1819"/>
    </row>
    <row r="970">
      <c r="D970" s="1420"/>
      <c r="K970" s="1533"/>
      <c r="M970" s="1819"/>
    </row>
    <row r="971">
      <c r="D971" s="1420"/>
      <c r="K971" s="1533"/>
      <c r="M971" s="1819"/>
    </row>
    <row r="972">
      <c r="D972" s="1420"/>
      <c r="K972" s="1533"/>
      <c r="M972" s="1819"/>
    </row>
    <row r="973">
      <c r="D973" s="1420"/>
      <c r="K973" s="1533"/>
      <c r="M973" s="1819"/>
    </row>
    <row r="974">
      <c r="D974" s="1420"/>
      <c r="K974" s="1533"/>
      <c r="M974" s="1819"/>
    </row>
    <row r="975">
      <c r="D975" s="1420"/>
      <c r="K975" s="1533"/>
      <c r="M975" s="1819"/>
    </row>
    <row r="976">
      <c r="D976" s="1420"/>
      <c r="K976" s="1533"/>
      <c r="M976" s="1819"/>
    </row>
    <row r="977">
      <c r="D977" s="1420"/>
      <c r="K977" s="1533"/>
      <c r="M977" s="1819"/>
    </row>
    <row r="978">
      <c r="D978" s="1420"/>
      <c r="K978" s="1533"/>
      <c r="M978" s="1819"/>
    </row>
    <row r="979">
      <c r="D979" s="1420"/>
      <c r="K979" s="1533"/>
      <c r="M979" s="1819"/>
    </row>
    <row r="980">
      <c r="D980" s="1420"/>
      <c r="K980" s="1533"/>
      <c r="M980" s="1819"/>
    </row>
    <row r="981">
      <c r="D981" s="1420"/>
      <c r="K981" s="1533"/>
      <c r="M981" s="1819"/>
    </row>
    <row r="982">
      <c r="D982" s="1420"/>
      <c r="K982" s="1533"/>
      <c r="M982" s="1819"/>
    </row>
    <row r="983">
      <c r="D983" s="1420"/>
      <c r="K983" s="1533"/>
      <c r="M983" s="1819"/>
    </row>
    <row r="984">
      <c r="D984" s="1420"/>
      <c r="K984" s="1533"/>
      <c r="M984" s="1819"/>
    </row>
    <row r="985">
      <c r="D985" s="1420"/>
      <c r="K985" s="1533"/>
      <c r="M985" s="1819"/>
    </row>
    <row r="986">
      <c r="D986" s="1420"/>
      <c r="K986" s="1533"/>
      <c r="M986" s="1819"/>
    </row>
    <row r="987">
      <c r="D987" s="1420"/>
      <c r="K987" s="1533"/>
      <c r="M987" s="1819"/>
    </row>
    <row r="988">
      <c r="D988" s="1420"/>
      <c r="K988" s="1533"/>
      <c r="M988" s="1819"/>
    </row>
    <row r="989">
      <c r="D989" s="1420"/>
      <c r="K989" s="1533"/>
      <c r="M989" s="1819"/>
    </row>
    <row r="990">
      <c r="D990" s="1420"/>
      <c r="K990" s="1533"/>
      <c r="M990" s="1819"/>
    </row>
    <row r="991">
      <c r="D991" s="1420"/>
      <c r="K991" s="1533"/>
      <c r="M991" s="1819"/>
    </row>
    <row r="992">
      <c r="D992" s="1420"/>
      <c r="K992" s="1533"/>
      <c r="M992" s="1819"/>
    </row>
    <row r="993">
      <c r="D993" s="1420"/>
      <c r="K993" s="1533"/>
      <c r="M993" s="1819"/>
    </row>
    <row r="994">
      <c r="D994" s="1420"/>
      <c r="K994" s="1533"/>
      <c r="M994" s="1819"/>
    </row>
    <row r="995">
      <c r="D995" s="1420"/>
      <c r="K995" s="1533"/>
      <c r="M995" s="1819"/>
    </row>
    <row r="996">
      <c r="D996" s="1420"/>
      <c r="K996" s="1533"/>
      <c r="M996" s="1819"/>
    </row>
    <row r="997">
      <c r="D997" s="1420"/>
      <c r="K997" s="1533"/>
      <c r="M997" s="1819"/>
    </row>
    <row r="998">
      <c r="D998" s="1420"/>
      <c r="K998" s="1533"/>
      <c r="M998" s="1819"/>
    </row>
    <row r="999">
      <c r="D999" s="1420"/>
      <c r="K999" s="1533"/>
      <c r="M999" s="1819"/>
    </row>
    <row r="1000">
      <c r="D1000" s="1420"/>
      <c r="K1000" s="1533"/>
      <c r="M1000" s="1819"/>
    </row>
    <row r="1001">
      <c r="D1001" s="1420"/>
      <c r="K1001" s="1533"/>
      <c r="M1001" s="1819"/>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0"/>
    <col customWidth="1" min="2" max="2" width="46.38"/>
    <col customWidth="1" min="3" max="3" width="5.25"/>
    <col customWidth="1" min="5" max="5" width="20.0"/>
  </cols>
  <sheetData>
    <row r="1">
      <c r="A1" s="1830" t="s">
        <v>15723</v>
      </c>
      <c r="B1" s="1831"/>
      <c r="C1" s="1832"/>
      <c r="D1" s="1832"/>
      <c r="E1" s="1832"/>
      <c r="F1" s="1833"/>
      <c r="G1" s="1833"/>
      <c r="H1" s="1833"/>
      <c r="I1" s="1833"/>
      <c r="J1" s="1833"/>
      <c r="K1" s="1833"/>
      <c r="L1" s="1833"/>
      <c r="M1" s="1833"/>
      <c r="N1" s="1833"/>
      <c r="O1" s="1833"/>
      <c r="P1" s="1833"/>
      <c r="Q1" s="1833"/>
      <c r="R1" s="1833"/>
      <c r="S1" s="1833"/>
      <c r="T1" s="1833"/>
      <c r="U1" s="1833"/>
      <c r="V1" s="1833"/>
      <c r="W1" s="1833"/>
      <c r="X1" s="1833"/>
    </row>
    <row r="2">
      <c r="A2" s="1834" t="s">
        <v>15724</v>
      </c>
      <c r="B2" s="1831"/>
      <c r="C2" s="1078"/>
      <c r="D2" s="1078"/>
      <c r="E2" s="1835"/>
      <c r="F2" s="1833"/>
      <c r="G2" s="1833"/>
      <c r="H2" s="1833"/>
      <c r="I2" s="1833"/>
      <c r="J2" s="1833"/>
      <c r="K2" s="1833"/>
      <c r="L2" s="1833"/>
      <c r="M2" s="1833"/>
      <c r="N2" s="1833"/>
      <c r="O2" s="1833"/>
      <c r="P2" s="1833"/>
      <c r="Q2" s="1833"/>
      <c r="R2" s="1833"/>
      <c r="S2" s="1833"/>
      <c r="T2" s="1833"/>
      <c r="U2" s="1833"/>
      <c r="V2" s="1833"/>
      <c r="W2" s="1833"/>
      <c r="X2" s="1833"/>
    </row>
    <row r="3">
      <c r="A3" s="1834" t="s">
        <v>15725</v>
      </c>
      <c r="B3" s="1831"/>
      <c r="C3" s="1078"/>
      <c r="D3" s="1078"/>
      <c r="E3" s="1835"/>
      <c r="F3" s="1833"/>
      <c r="G3" s="1833"/>
      <c r="H3" s="1833"/>
      <c r="I3" s="1833"/>
      <c r="J3" s="1833"/>
      <c r="K3" s="1833"/>
      <c r="L3" s="1833"/>
      <c r="M3" s="1833"/>
      <c r="N3" s="1833"/>
      <c r="O3" s="1833"/>
      <c r="P3" s="1833"/>
      <c r="Q3" s="1833"/>
      <c r="R3" s="1833"/>
      <c r="S3" s="1833"/>
      <c r="T3" s="1833"/>
      <c r="U3" s="1833"/>
      <c r="V3" s="1833"/>
      <c r="W3" s="1833"/>
      <c r="X3" s="1833"/>
    </row>
    <row r="4">
      <c r="A4" s="1836" t="s">
        <v>15726</v>
      </c>
      <c r="B4" s="1831" t="s">
        <v>15727</v>
      </c>
      <c r="C4" s="1159">
        <v>7.0</v>
      </c>
      <c r="D4" s="1078"/>
      <c r="E4" s="1835"/>
      <c r="F4" s="1833"/>
      <c r="G4" s="1833"/>
      <c r="H4" s="1833"/>
      <c r="I4" s="1833"/>
      <c r="J4" s="1833"/>
      <c r="K4" s="1833"/>
      <c r="L4" s="1833"/>
      <c r="M4" s="1833"/>
      <c r="N4" s="1833"/>
      <c r="O4" s="1833"/>
      <c r="P4" s="1833"/>
      <c r="Q4" s="1833"/>
      <c r="R4" s="1833"/>
      <c r="S4" s="1833"/>
      <c r="T4" s="1833"/>
      <c r="U4" s="1833"/>
      <c r="V4" s="1833"/>
      <c r="W4" s="1833"/>
      <c r="X4" s="1833"/>
    </row>
    <row r="5">
      <c r="A5" s="1836" t="s">
        <v>15728</v>
      </c>
      <c r="B5" s="1836" t="s">
        <v>15729</v>
      </c>
      <c r="C5" s="1159">
        <v>12.0</v>
      </c>
      <c r="D5" s="1078"/>
      <c r="E5" s="1835"/>
      <c r="F5" s="1833"/>
      <c r="G5" s="1833"/>
      <c r="H5" s="1833"/>
      <c r="I5" s="1833"/>
      <c r="J5" s="1833"/>
      <c r="K5" s="1833"/>
      <c r="L5" s="1833"/>
      <c r="M5" s="1833"/>
      <c r="N5" s="1833"/>
      <c r="O5" s="1833"/>
      <c r="P5" s="1833"/>
      <c r="Q5" s="1833"/>
      <c r="R5" s="1833"/>
      <c r="S5" s="1833"/>
      <c r="T5" s="1833"/>
      <c r="U5" s="1833"/>
      <c r="V5" s="1833"/>
      <c r="W5" s="1833"/>
      <c r="X5" s="1833"/>
    </row>
    <row r="6">
      <c r="A6" s="1836" t="s">
        <v>15730</v>
      </c>
      <c r="B6" s="1831" t="s">
        <v>15731</v>
      </c>
      <c r="C6" s="1159">
        <v>6.0</v>
      </c>
      <c r="D6" s="1078"/>
      <c r="E6" s="1835"/>
      <c r="F6" s="1833"/>
      <c r="G6" s="1833"/>
      <c r="H6" s="1833"/>
      <c r="I6" s="1833"/>
      <c r="J6" s="1833"/>
      <c r="K6" s="1833"/>
      <c r="L6" s="1833"/>
      <c r="M6" s="1833"/>
      <c r="N6" s="1833"/>
      <c r="O6" s="1833"/>
      <c r="P6" s="1833"/>
      <c r="Q6" s="1833"/>
      <c r="R6" s="1833"/>
      <c r="S6" s="1833"/>
      <c r="T6" s="1833"/>
      <c r="U6" s="1833"/>
      <c r="V6" s="1833"/>
      <c r="W6" s="1833"/>
      <c r="X6" s="1833"/>
    </row>
    <row r="7">
      <c r="A7" s="1836" t="s">
        <v>15732</v>
      </c>
      <c r="B7" s="1831" t="s">
        <v>15733</v>
      </c>
      <c r="C7" s="1159">
        <v>5.0</v>
      </c>
      <c r="D7" s="1837"/>
      <c r="E7" s="1835"/>
      <c r="F7" s="1833"/>
      <c r="G7" s="1833"/>
      <c r="H7" s="1833"/>
      <c r="I7" s="1833"/>
      <c r="J7" s="1833"/>
      <c r="K7" s="1833"/>
      <c r="L7" s="1833"/>
      <c r="M7" s="1833"/>
      <c r="N7" s="1833"/>
      <c r="O7" s="1833"/>
      <c r="P7" s="1833"/>
      <c r="Q7" s="1833"/>
      <c r="R7" s="1833"/>
      <c r="S7" s="1833"/>
      <c r="T7" s="1833"/>
      <c r="U7" s="1833"/>
      <c r="V7" s="1833"/>
      <c r="W7" s="1833"/>
      <c r="X7" s="1833"/>
    </row>
    <row r="8">
      <c r="A8" s="1836" t="s">
        <v>15734</v>
      </c>
      <c r="B8" s="1836" t="s">
        <v>15735</v>
      </c>
      <c r="C8" s="1159">
        <v>5.0</v>
      </c>
      <c r="D8" s="1078"/>
      <c r="E8" s="1835"/>
      <c r="F8" s="1833"/>
      <c r="G8" s="1833"/>
      <c r="H8" s="1833"/>
      <c r="I8" s="1833"/>
      <c r="J8" s="1833"/>
      <c r="K8" s="1833"/>
      <c r="L8" s="1833"/>
      <c r="M8" s="1833"/>
      <c r="N8" s="1833"/>
      <c r="O8" s="1833"/>
      <c r="P8" s="1833"/>
      <c r="Q8" s="1833"/>
      <c r="R8" s="1833"/>
      <c r="S8" s="1833"/>
      <c r="T8" s="1833"/>
      <c r="U8" s="1833"/>
      <c r="V8" s="1833"/>
      <c r="W8" s="1833"/>
      <c r="X8" s="1833"/>
    </row>
    <row r="9">
      <c r="A9" s="1836" t="s">
        <v>15736</v>
      </c>
      <c r="B9" s="1831" t="s">
        <v>15737</v>
      </c>
      <c r="C9" s="1159">
        <v>11.0</v>
      </c>
      <c r="D9" s="1078"/>
      <c r="E9" s="1835"/>
      <c r="F9" s="1833"/>
      <c r="G9" s="1833"/>
      <c r="H9" s="1833"/>
      <c r="I9" s="1833"/>
      <c r="J9" s="1833"/>
      <c r="K9" s="1833"/>
      <c r="L9" s="1833"/>
      <c r="M9" s="1833"/>
      <c r="N9" s="1833"/>
      <c r="O9" s="1833"/>
      <c r="P9" s="1833"/>
      <c r="Q9" s="1833"/>
      <c r="R9" s="1833"/>
      <c r="S9" s="1833"/>
      <c r="T9" s="1833"/>
      <c r="U9" s="1833"/>
      <c r="V9" s="1833"/>
      <c r="W9" s="1833"/>
      <c r="X9" s="1833"/>
    </row>
    <row r="10">
      <c r="A10" s="1836" t="s">
        <v>15738</v>
      </c>
      <c r="B10" s="1831" t="s">
        <v>15739</v>
      </c>
      <c r="C10" s="1159">
        <v>10.0</v>
      </c>
      <c r="D10" s="1078"/>
      <c r="E10" s="1835"/>
      <c r="F10" s="1833"/>
      <c r="G10" s="1833"/>
      <c r="H10" s="1833"/>
      <c r="I10" s="1833"/>
      <c r="J10" s="1833"/>
      <c r="K10" s="1833"/>
      <c r="L10" s="1833"/>
      <c r="M10" s="1833"/>
      <c r="N10" s="1833"/>
      <c r="O10" s="1833"/>
      <c r="P10" s="1833"/>
      <c r="Q10" s="1833"/>
      <c r="R10" s="1833"/>
      <c r="S10" s="1833"/>
      <c r="T10" s="1833"/>
      <c r="U10" s="1833"/>
      <c r="V10" s="1833"/>
      <c r="W10" s="1833"/>
      <c r="X10" s="1833"/>
    </row>
    <row r="11">
      <c r="A11" s="1836" t="s">
        <v>15740</v>
      </c>
      <c r="B11" s="1831" t="s">
        <v>15741</v>
      </c>
      <c r="C11" s="1159">
        <v>5.0</v>
      </c>
      <c r="D11" s="1078"/>
      <c r="E11" s="1835"/>
      <c r="F11" s="1833"/>
      <c r="G11" s="1833"/>
      <c r="H11" s="1833"/>
      <c r="I11" s="1833"/>
      <c r="J11" s="1833"/>
      <c r="K11" s="1833"/>
      <c r="L11" s="1833"/>
      <c r="M11" s="1833"/>
      <c r="N11" s="1833"/>
      <c r="O11" s="1833"/>
      <c r="P11" s="1833"/>
      <c r="Q11" s="1833"/>
      <c r="R11" s="1833"/>
      <c r="S11" s="1833"/>
      <c r="T11" s="1833"/>
      <c r="U11" s="1833"/>
      <c r="V11" s="1833"/>
      <c r="W11" s="1833"/>
      <c r="X11" s="1833"/>
    </row>
    <row r="12">
      <c r="A12" s="1831" t="s">
        <v>15742</v>
      </c>
      <c r="B12" s="1831" t="s">
        <v>15743</v>
      </c>
      <c r="C12" s="1159">
        <v>5.0</v>
      </c>
      <c r="D12" s="1078"/>
      <c r="E12" s="1835"/>
      <c r="F12" s="1833"/>
      <c r="G12" s="1833"/>
      <c r="H12" s="1833"/>
      <c r="I12" s="1833"/>
      <c r="J12" s="1833"/>
      <c r="K12" s="1833"/>
      <c r="L12" s="1833"/>
      <c r="M12" s="1833"/>
      <c r="N12" s="1833"/>
      <c r="O12" s="1833"/>
      <c r="P12" s="1833"/>
      <c r="Q12" s="1833"/>
      <c r="R12" s="1833"/>
      <c r="S12" s="1833"/>
      <c r="T12" s="1833"/>
      <c r="U12" s="1833"/>
      <c r="V12" s="1833"/>
      <c r="W12" s="1833"/>
      <c r="X12" s="1833"/>
    </row>
    <row r="13">
      <c r="A13" s="1836" t="s">
        <v>15744</v>
      </c>
      <c r="B13" s="1831" t="s">
        <v>15745</v>
      </c>
      <c r="C13" s="1159">
        <v>5.0</v>
      </c>
      <c r="D13" s="1078"/>
      <c r="E13" s="1835"/>
      <c r="F13" s="1833"/>
      <c r="G13" s="1833"/>
      <c r="H13" s="1833"/>
      <c r="I13" s="1833"/>
      <c r="J13" s="1833"/>
      <c r="K13" s="1833"/>
      <c r="L13" s="1833"/>
      <c r="M13" s="1833"/>
      <c r="N13" s="1833"/>
      <c r="O13" s="1833"/>
      <c r="P13" s="1833"/>
      <c r="Q13" s="1833"/>
      <c r="R13" s="1833"/>
      <c r="S13" s="1833"/>
      <c r="T13" s="1833"/>
      <c r="U13" s="1833"/>
      <c r="V13" s="1833"/>
      <c r="W13" s="1833"/>
      <c r="X13" s="1833"/>
    </row>
    <row r="14">
      <c r="A14" s="1831" t="s">
        <v>15719</v>
      </c>
      <c r="B14" s="1831" t="s">
        <v>15746</v>
      </c>
      <c r="C14" s="1159">
        <v>3.0</v>
      </c>
      <c r="D14" s="1078"/>
      <c r="E14" s="1835"/>
      <c r="F14" s="1833"/>
      <c r="G14" s="1833"/>
      <c r="H14" s="1833"/>
      <c r="I14" s="1833"/>
      <c r="J14" s="1833"/>
      <c r="K14" s="1833"/>
      <c r="L14" s="1833"/>
      <c r="M14" s="1833"/>
      <c r="N14" s="1833"/>
      <c r="O14" s="1833"/>
      <c r="P14" s="1833"/>
      <c r="Q14" s="1833"/>
      <c r="R14" s="1833"/>
      <c r="S14" s="1833"/>
      <c r="T14" s="1833"/>
      <c r="U14" s="1833"/>
      <c r="V14" s="1833"/>
      <c r="W14" s="1833"/>
      <c r="X14" s="1833"/>
    </row>
    <row r="15">
      <c r="A15" s="1831" t="s">
        <v>15747</v>
      </c>
      <c r="B15" s="1831" t="s">
        <v>15748</v>
      </c>
      <c r="C15" s="1159">
        <v>7.0</v>
      </c>
      <c r="D15" s="1078"/>
      <c r="E15" s="1835"/>
      <c r="F15" s="1833"/>
      <c r="G15" s="1833"/>
      <c r="H15" s="1833"/>
      <c r="I15" s="1833"/>
      <c r="J15" s="1833"/>
      <c r="K15" s="1833"/>
      <c r="L15" s="1833"/>
      <c r="M15" s="1833"/>
      <c r="N15" s="1833"/>
      <c r="O15" s="1833"/>
      <c r="P15" s="1833"/>
      <c r="Q15" s="1833"/>
      <c r="R15" s="1833"/>
      <c r="S15" s="1833"/>
      <c r="T15" s="1833"/>
      <c r="U15" s="1833"/>
      <c r="V15" s="1833"/>
      <c r="W15" s="1833"/>
      <c r="X15" s="1833"/>
    </row>
    <row r="16">
      <c r="A16" s="1836" t="s">
        <v>15749</v>
      </c>
      <c r="B16" s="1831" t="s">
        <v>15750</v>
      </c>
      <c r="C16" s="1159">
        <v>7.0</v>
      </c>
      <c r="D16" s="1078"/>
      <c r="E16" s="1835"/>
      <c r="F16" s="1833"/>
      <c r="G16" s="1833"/>
      <c r="H16" s="1833"/>
      <c r="I16" s="1833"/>
      <c r="J16" s="1833"/>
      <c r="K16" s="1833"/>
      <c r="L16" s="1833"/>
      <c r="M16" s="1833"/>
      <c r="N16" s="1833"/>
      <c r="O16" s="1833"/>
      <c r="P16" s="1833"/>
      <c r="Q16" s="1833"/>
      <c r="R16" s="1833"/>
      <c r="S16" s="1833"/>
      <c r="T16" s="1833"/>
      <c r="U16" s="1833"/>
      <c r="V16" s="1833"/>
      <c r="W16" s="1833"/>
      <c r="X16" s="1833"/>
    </row>
    <row r="17">
      <c r="A17" s="1836" t="s">
        <v>15751</v>
      </c>
      <c r="B17" s="1831" t="s">
        <v>15752</v>
      </c>
      <c r="C17" s="1159">
        <v>5.0</v>
      </c>
      <c r="D17" s="1078"/>
      <c r="E17" s="1835"/>
      <c r="F17" s="1833"/>
      <c r="G17" s="1833"/>
      <c r="H17" s="1833"/>
      <c r="I17" s="1833"/>
      <c r="J17" s="1833"/>
      <c r="K17" s="1833"/>
      <c r="L17" s="1833"/>
      <c r="M17" s="1833"/>
      <c r="N17" s="1833"/>
      <c r="O17" s="1833"/>
      <c r="P17" s="1833"/>
      <c r="Q17" s="1833"/>
      <c r="R17" s="1833"/>
      <c r="S17" s="1833"/>
      <c r="T17" s="1833"/>
      <c r="U17" s="1833"/>
      <c r="V17" s="1833"/>
      <c r="W17" s="1833"/>
      <c r="X17" s="1833"/>
    </row>
    <row r="18">
      <c r="A18" s="1836" t="s">
        <v>15573</v>
      </c>
      <c r="B18" s="1836" t="s">
        <v>15753</v>
      </c>
      <c r="C18" s="1159">
        <v>5.0</v>
      </c>
      <c r="D18" s="1078"/>
      <c r="E18" s="1835"/>
      <c r="F18" s="1833"/>
      <c r="G18" s="1833"/>
      <c r="H18" s="1833"/>
      <c r="I18" s="1833"/>
      <c r="J18" s="1833"/>
      <c r="K18" s="1833"/>
      <c r="L18" s="1833"/>
      <c r="M18" s="1833"/>
      <c r="N18" s="1833"/>
      <c r="O18" s="1833"/>
      <c r="P18" s="1833"/>
      <c r="Q18" s="1833"/>
      <c r="R18" s="1833"/>
      <c r="S18" s="1833"/>
      <c r="T18" s="1833"/>
      <c r="U18" s="1833"/>
      <c r="V18" s="1833"/>
      <c r="W18" s="1833"/>
      <c r="X18" s="1833"/>
    </row>
    <row r="19">
      <c r="A19" s="1836" t="s">
        <v>15754</v>
      </c>
      <c r="B19" s="1831" t="s">
        <v>15755</v>
      </c>
      <c r="C19" s="1159">
        <v>4.0</v>
      </c>
      <c r="D19" s="1078"/>
      <c r="E19" s="1835"/>
      <c r="F19" s="1833"/>
      <c r="G19" s="1833"/>
      <c r="H19" s="1833"/>
      <c r="I19" s="1833"/>
      <c r="J19" s="1833"/>
      <c r="K19" s="1833"/>
      <c r="L19" s="1833"/>
      <c r="M19" s="1833"/>
      <c r="N19" s="1833"/>
      <c r="O19" s="1833"/>
      <c r="P19" s="1833"/>
      <c r="Q19" s="1833"/>
      <c r="R19" s="1833"/>
      <c r="S19" s="1833"/>
      <c r="T19" s="1833"/>
      <c r="U19" s="1833"/>
      <c r="V19" s="1833"/>
      <c r="W19" s="1833"/>
      <c r="X19" s="1833"/>
    </row>
    <row r="20">
      <c r="A20" s="1836" t="s">
        <v>15756</v>
      </c>
      <c r="B20" s="1836" t="s">
        <v>15481</v>
      </c>
      <c r="C20" s="1159"/>
      <c r="D20" s="1078"/>
      <c r="E20" s="1835"/>
      <c r="F20" s="1833"/>
      <c r="G20" s="1833"/>
      <c r="H20" s="1833"/>
      <c r="I20" s="1833"/>
      <c r="J20" s="1833"/>
      <c r="K20" s="1833"/>
      <c r="L20" s="1833"/>
      <c r="M20" s="1833"/>
      <c r="N20" s="1833"/>
      <c r="O20" s="1833"/>
      <c r="P20" s="1833"/>
      <c r="Q20" s="1833"/>
      <c r="R20" s="1833"/>
      <c r="S20" s="1833"/>
      <c r="T20" s="1833"/>
      <c r="U20" s="1833"/>
      <c r="V20" s="1833"/>
      <c r="W20" s="1833"/>
      <c r="X20" s="1833"/>
    </row>
    <row r="21">
      <c r="A21" s="1836" t="s">
        <v>15757</v>
      </c>
      <c r="B21" s="1831" t="s">
        <v>15758</v>
      </c>
      <c r="C21" s="1159">
        <v>5.0</v>
      </c>
      <c r="D21" s="1078"/>
      <c r="E21" s="1835"/>
      <c r="F21" s="1833"/>
      <c r="G21" s="1833"/>
      <c r="H21" s="1833"/>
      <c r="I21" s="1833"/>
      <c r="J21" s="1833"/>
      <c r="K21" s="1833"/>
      <c r="L21" s="1833"/>
      <c r="M21" s="1833"/>
      <c r="N21" s="1833"/>
      <c r="O21" s="1833"/>
      <c r="P21" s="1833"/>
      <c r="Q21" s="1833"/>
      <c r="R21" s="1833"/>
      <c r="S21" s="1833"/>
      <c r="T21" s="1833"/>
      <c r="U21" s="1833"/>
      <c r="V21" s="1833"/>
      <c r="W21" s="1833"/>
      <c r="X21" s="1833"/>
    </row>
    <row r="22">
      <c r="A22" s="1831" t="s">
        <v>15759</v>
      </c>
      <c r="B22" s="1831" t="s">
        <v>15760</v>
      </c>
      <c r="C22" s="1159">
        <v>7.0</v>
      </c>
      <c r="D22" s="1078"/>
      <c r="E22" s="1835"/>
      <c r="F22" s="1833"/>
      <c r="G22" s="1833"/>
      <c r="H22" s="1833"/>
      <c r="I22" s="1833"/>
      <c r="J22" s="1833"/>
      <c r="K22" s="1833"/>
      <c r="L22" s="1833"/>
      <c r="M22" s="1833"/>
      <c r="N22" s="1833"/>
      <c r="O22" s="1833"/>
      <c r="P22" s="1833"/>
      <c r="Q22" s="1833"/>
      <c r="R22" s="1833"/>
      <c r="S22" s="1833"/>
      <c r="T22" s="1833"/>
      <c r="U22" s="1833"/>
      <c r="V22" s="1833"/>
      <c r="W22" s="1833"/>
      <c r="X22" s="1833"/>
    </row>
    <row r="23">
      <c r="A23" s="1831" t="s">
        <v>15761</v>
      </c>
      <c r="B23" s="1831" t="s">
        <v>15762</v>
      </c>
      <c r="C23" s="1159">
        <v>5.0</v>
      </c>
      <c r="D23" s="1078"/>
      <c r="E23" s="1835"/>
      <c r="F23" s="1833"/>
      <c r="G23" s="1833"/>
      <c r="H23" s="1833"/>
      <c r="I23" s="1833"/>
      <c r="J23" s="1833"/>
      <c r="K23" s="1833"/>
      <c r="L23" s="1833"/>
      <c r="M23" s="1833"/>
      <c r="N23" s="1833"/>
      <c r="O23" s="1833"/>
      <c r="P23" s="1833"/>
      <c r="Q23" s="1833"/>
      <c r="R23" s="1833"/>
      <c r="S23" s="1833"/>
      <c r="T23" s="1833"/>
      <c r="U23" s="1833"/>
      <c r="V23" s="1833"/>
      <c r="W23" s="1833"/>
      <c r="X23" s="1833"/>
    </row>
    <row r="24">
      <c r="A24" s="1831" t="s">
        <v>15763</v>
      </c>
      <c r="B24" s="1831" t="s">
        <v>15764</v>
      </c>
      <c r="C24" s="1159">
        <v>4.0</v>
      </c>
      <c r="D24" s="1078"/>
      <c r="E24" s="1835"/>
      <c r="F24" s="1833"/>
      <c r="G24" s="1833"/>
      <c r="H24" s="1833"/>
      <c r="I24" s="1833"/>
      <c r="J24" s="1833"/>
      <c r="K24" s="1833"/>
      <c r="L24" s="1833"/>
      <c r="M24" s="1833"/>
      <c r="N24" s="1833"/>
      <c r="O24" s="1833"/>
      <c r="P24" s="1833"/>
      <c r="Q24" s="1833"/>
      <c r="R24" s="1833"/>
      <c r="S24" s="1833"/>
      <c r="T24" s="1833"/>
      <c r="U24" s="1833"/>
      <c r="V24" s="1833"/>
      <c r="W24" s="1833"/>
      <c r="X24" s="1833"/>
    </row>
    <row r="25">
      <c r="A25" s="1831"/>
      <c r="B25" s="1831"/>
      <c r="C25" s="1078"/>
      <c r="D25" s="1078"/>
      <c r="E25" s="1835"/>
      <c r="F25" s="1833"/>
      <c r="G25" s="1833"/>
      <c r="H25" s="1833"/>
      <c r="I25" s="1833"/>
      <c r="J25" s="1833"/>
      <c r="K25" s="1833"/>
      <c r="L25" s="1833"/>
      <c r="M25" s="1833"/>
      <c r="N25" s="1833"/>
      <c r="O25" s="1833"/>
      <c r="P25" s="1833"/>
      <c r="Q25" s="1833"/>
      <c r="R25" s="1833"/>
      <c r="S25" s="1833"/>
      <c r="T25" s="1833"/>
      <c r="U25" s="1833"/>
      <c r="V25" s="1833"/>
      <c r="W25" s="1833"/>
      <c r="X25" s="1833"/>
    </row>
    <row r="26">
      <c r="A26" s="1838"/>
      <c r="B26" s="1838"/>
      <c r="C26" s="1078"/>
      <c r="D26" s="1078"/>
      <c r="E26" s="1835"/>
      <c r="F26" s="1833"/>
      <c r="G26" s="1833"/>
      <c r="H26" s="1833"/>
      <c r="I26" s="1833"/>
      <c r="J26" s="1833"/>
      <c r="K26" s="1833"/>
      <c r="L26" s="1833"/>
      <c r="M26" s="1833"/>
      <c r="N26" s="1833"/>
      <c r="O26" s="1833"/>
      <c r="P26" s="1833"/>
      <c r="Q26" s="1833"/>
      <c r="R26" s="1833"/>
      <c r="S26" s="1833"/>
      <c r="T26" s="1833"/>
      <c r="U26" s="1833"/>
      <c r="V26" s="1833"/>
      <c r="W26" s="1833"/>
      <c r="X26" s="1833"/>
    </row>
    <row r="27">
      <c r="A27" s="1839" t="s">
        <v>15765</v>
      </c>
      <c r="B27" s="1838"/>
      <c r="C27" s="1078"/>
      <c r="D27" s="1078"/>
      <c r="E27" s="1835"/>
      <c r="F27" s="1833"/>
      <c r="G27" s="1833"/>
      <c r="H27" s="1833"/>
      <c r="I27" s="1833"/>
      <c r="J27" s="1833"/>
      <c r="K27" s="1833"/>
      <c r="L27" s="1833"/>
      <c r="M27" s="1833"/>
      <c r="N27" s="1833"/>
      <c r="O27" s="1833"/>
      <c r="P27" s="1833"/>
      <c r="Q27" s="1833"/>
      <c r="R27" s="1833"/>
      <c r="S27" s="1833"/>
      <c r="T27" s="1833"/>
      <c r="U27" s="1833"/>
      <c r="V27" s="1833"/>
      <c r="W27" s="1833"/>
      <c r="X27" s="1833"/>
    </row>
    <row r="28">
      <c r="A28" s="1840" t="s">
        <v>15766</v>
      </c>
      <c r="B28" s="1838"/>
      <c r="C28" s="1078"/>
      <c r="D28" s="1078"/>
      <c r="E28" s="1835"/>
      <c r="F28" s="1833"/>
      <c r="G28" s="1833"/>
      <c r="H28" s="1833"/>
      <c r="I28" s="1833"/>
      <c r="J28" s="1833"/>
      <c r="K28" s="1833"/>
      <c r="L28" s="1833"/>
      <c r="M28" s="1833"/>
      <c r="N28" s="1833"/>
      <c r="O28" s="1833"/>
      <c r="P28" s="1833"/>
      <c r="Q28" s="1833"/>
      <c r="R28" s="1833"/>
      <c r="S28" s="1833"/>
      <c r="T28" s="1833"/>
      <c r="U28" s="1833"/>
      <c r="V28" s="1833"/>
      <c r="W28" s="1833"/>
      <c r="X28" s="1833"/>
    </row>
    <row r="29">
      <c r="A29" s="1841" t="s">
        <v>15767</v>
      </c>
      <c r="B29" s="1838"/>
      <c r="C29" s="1078"/>
      <c r="D29" s="1837"/>
      <c r="E29" s="1835"/>
      <c r="F29" s="1833"/>
      <c r="G29" s="1833"/>
      <c r="H29" s="1833"/>
      <c r="I29" s="1833"/>
      <c r="J29" s="1833"/>
      <c r="K29" s="1833"/>
      <c r="L29" s="1833"/>
      <c r="M29" s="1833"/>
      <c r="N29" s="1833"/>
      <c r="O29" s="1833"/>
      <c r="P29" s="1833"/>
      <c r="Q29" s="1833"/>
      <c r="R29" s="1833"/>
      <c r="S29" s="1833"/>
      <c r="T29" s="1833"/>
      <c r="U29" s="1833"/>
      <c r="V29" s="1833"/>
      <c r="W29" s="1833"/>
      <c r="X29" s="1833"/>
    </row>
    <row r="30">
      <c r="A30" s="1838" t="s">
        <v>15768</v>
      </c>
      <c r="B30" s="1838" t="s">
        <v>15769</v>
      </c>
      <c r="C30" s="1842">
        <v>4.0</v>
      </c>
      <c r="D30" s="1835"/>
      <c r="E30" s="1835"/>
      <c r="F30" s="1833"/>
      <c r="G30" s="1833"/>
      <c r="H30" s="1833"/>
      <c r="I30" s="1833"/>
      <c r="J30" s="1833"/>
      <c r="K30" s="1833"/>
      <c r="L30" s="1833"/>
      <c r="M30" s="1833"/>
      <c r="N30" s="1833"/>
      <c r="O30" s="1833"/>
      <c r="P30" s="1833"/>
      <c r="Q30" s="1833"/>
      <c r="R30" s="1833"/>
      <c r="S30" s="1833"/>
      <c r="T30" s="1833"/>
      <c r="U30" s="1833"/>
      <c r="V30" s="1833"/>
      <c r="W30" s="1833"/>
      <c r="X30" s="1833"/>
    </row>
    <row r="31">
      <c r="A31" s="1838" t="s">
        <v>15770</v>
      </c>
      <c r="B31" s="1838" t="s">
        <v>15771</v>
      </c>
      <c r="C31" s="1159">
        <v>10.0</v>
      </c>
      <c r="D31" s="1078"/>
      <c r="E31" s="1835"/>
      <c r="F31" s="1833"/>
      <c r="G31" s="1833"/>
      <c r="H31" s="1833"/>
      <c r="I31" s="1833"/>
      <c r="J31" s="1833"/>
      <c r="K31" s="1833"/>
      <c r="L31" s="1833"/>
      <c r="M31" s="1833"/>
      <c r="N31" s="1833"/>
      <c r="O31" s="1833"/>
      <c r="P31" s="1833"/>
      <c r="Q31" s="1833"/>
      <c r="R31" s="1833"/>
      <c r="S31" s="1833"/>
      <c r="T31" s="1833"/>
      <c r="U31" s="1833"/>
      <c r="V31" s="1833"/>
      <c r="W31" s="1833"/>
      <c r="X31" s="1833"/>
    </row>
    <row r="32">
      <c r="A32" s="1843" t="s">
        <v>15772</v>
      </c>
      <c r="B32" s="1838" t="s">
        <v>15773</v>
      </c>
      <c r="C32" s="1159">
        <v>7.0</v>
      </c>
      <c r="D32" s="1837"/>
      <c r="E32" s="1835"/>
      <c r="F32" s="1833"/>
      <c r="G32" s="1833"/>
      <c r="H32" s="1833"/>
      <c r="I32" s="1833"/>
      <c r="J32" s="1833"/>
      <c r="K32" s="1833"/>
      <c r="L32" s="1833"/>
      <c r="M32" s="1833"/>
      <c r="N32" s="1833"/>
      <c r="O32" s="1833"/>
      <c r="P32" s="1833"/>
      <c r="Q32" s="1833"/>
      <c r="R32" s="1833"/>
      <c r="S32" s="1833"/>
      <c r="T32" s="1833"/>
      <c r="U32" s="1833"/>
      <c r="V32" s="1833"/>
      <c r="W32" s="1833"/>
      <c r="X32" s="1833"/>
    </row>
    <row r="33">
      <c r="A33" s="1843" t="s">
        <v>15774</v>
      </c>
      <c r="B33" s="1838" t="s">
        <v>15775</v>
      </c>
      <c r="C33" s="1159">
        <v>4.0</v>
      </c>
      <c r="D33" s="1078"/>
      <c r="E33" s="1835"/>
      <c r="F33" s="1833"/>
      <c r="G33" s="1833"/>
      <c r="H33" s="1833"/>
      <c r="I33" s="1833"/>
      <c r="J33" s="1833"/>
      <c r="K33" s="1833"/>
      <c r="L33" s="1833"/>
      <c r="M33" s="1833"/>
      <c r="N33" s="1833"/>
      <c r="O33" s="1833"/>
      <c r="P33" s="1833"/>
      <c r="Q33" s="1833"/>
      <c r="R33" s="1833"/>
      <c r="S33" s="1833"/>
      <c r="T33" s="1833"/>
      <c r="U33" s="1833"/>
      <c r="V33" s="1833"/>
      <c r="W33" s="1833"/>
      <c r="X33" s="1833"/>
    </row>
    <row r="34">
      <c r="A34" s="1838" t="s">
        <v>15776</v>
      </c>
      <c r="B34" s="1838" t="s">
        <v>15777</v>
      </c>
      <c r="C34" s="1159">
        <v>10.0</v>
      </c>
      <c r="D34" s="1837"/>
      <c r="E34" s="1835"/>
      <c r="F34" s="1833"/>
      <c r="G34" s="1833"/>
      <c r="H34" s="1833"/>
      <c r="I34" s="1833"/>
      <c r="J34" s="1833"/>
      <c r="K34" s="1833"/>
      <c r="L34" s="1833"/>
      <c r="M34" s="1833"/>
      <c r="N34" s="1833"/>
      <c r="O34" s="1833"/>
      <c r="P34" s="1833"/>
      <c r="Q34" s="1833"/>
      <c r="R34" s="1833"/>
      <c r="S34" s="1833"/>
      <c r="T34" s="1833"/>
      <c r="U34" s="1833"/>
      <c r="V34" s="1833"/>
      <c r="W34" s="1833"/>
      <c r="X34" s="1833"/>
    </row>
    <row r="35">
      <c r="A35" s="1838" t="s">
        <v>15778</v>
      </c>
      <c r="B35" s="1838" t="s">
        <v>15779</v>
      </c>
      <c r="C35" s="1842">
        <v>10.0</v>
      </c>
      <c r="D35" s="1835"/>
      <c r="E35" s="1835"/>
      <c r="F35" s="1833"/>
      <c r="G35" s="1833"/>
      <c r="H35" s="1833"/>
      <c r="I35" s="1833"/>
      <c r="J35" s="1833"/>
      <c r="K35" s="1833"/>
      <c r="L35" s="1833"/>
      <c r="M35" s="1833"/>
      <c r="N35" s="1833"/>
      <c r="O35" s="1833"/>
      <c r="P35" s="1833"/>
      <c r="Q35" s="1833"/>
      <c r="R35" s="1833"/>
      <c r="S35" s="1833"/>
      <c r="T35" s="1833"/>
      <c r="U35" s="1833"/>
      <c r="V35" s="1833"/>
      <c r="W35" s="1833"/>
      <c r="X35" s="1833"/>
    </row>
    <row r="36">
      <c r="A36" s="1838" t="s">
        <v>15780</v>
      </c>
      <c r="B36" s="1838" t="s">
        <v>15781</v>
      </c>
      <c r="C36" s="1159">
        <v>5.0</v>
      </c>
      <c r="D36" s="1078"/>
      <c r="E36" s="1835"/>
      <c r="F36" s="1833"/>
      <c r="G36" s="1833"/>
      <c r="H36" s="1833"/>
      <c r="I36" s="1833"/>
      <c r="J36" s="1833"/>
      <c r="K36" s="1833"/>
      <c r="L36" s="1833"/>
      <c r="M36" s="1833"/>
      <c r="N36" s="1833"/>
      <c r="O36" s="1833"/>
      <c r="P36" s="1833"/>
      <c r="Q36" s="1833"/>
      <c r="R36" s="1833"/>
      <c r="S36" s="1833"/>
      <c r="T36" s="1833"/>
      <c r="U36" s="1833"/>
      <c r="V36" s="1833"/>
      <c r="W36" s="1833"/>
      <c r="X36" s="1833"/>
    </row>
    <row r="37">
      <c r="A37" s="1838" t="s">
        <v>15782</v>
      </c>
      <c r="B37" s="1838" t="s">
        <v>15783</v>
      </c>
      <c r="C37" s="1159">
        <v>5.0</v>
      </c>
      <c r="D37" s="1078"/>
      <c r="E37" s="1835"/>
      <c r="F37" s="1833"/>
      <c r="G37" s="1833"/>
      <c r="H37" s="1833"/>
      <c r="I37" s="1833"/>
      <c r="J37" s="1833"/>
      <c r="K37" s="1833"/>
      <c r="L37" s="1833"/>
      <c r="M37" s="1833"/>
      <c r="N37" s="1833"/>
      <c r="O37" s="1833"/>
      <c r="P37" s="1833"/>
      <c r="Q37" s="1833"/>
      <c r="R37" s="1833"/>
      <c r="S37" s="1833"/>
      <c r="T37" s="1833"/>
      <c r="U37" s="1833"/>
      <c r="V37" s="1833"/>
      <c r="W37" s="1833"/>
      <c r="X37" s="1833"/>
    </row>
    <row r="38">
      <c r="A38" s="1838" t="s">
        <v>15784</v>
      </c>
      <c r="B38" s="1843" t="s">
        <v>15785</v>
      </c>
      <c r="C38" s="1159">
        <v>9.0</v>
      </c>
      <c r="D38" s="1078"/>
      <c r="E38" s="1835"/>
      <c r="F38" s="1833"/>
      <c r="G38" s="1833"/>
      <c r="H38" s="1833"/>
      <c r="I38" s="1833"/>
      <c r="J38" s="1833"/>
      <c r="K38" s="1833"/>
      <c r="L38" s="1833"/>
      <c r="M38" s="1833"/>
      <c r="N38" s="1833"/>
      <c r="O38" s="1833"/>
      <c r="P38" s="1833"/>
      <c r="Q38" s="1833"/>
      <c r="R38" s="1833"/>
      <c r="S38" s="1833"/>
      <c r="T38" s="1833"/>
      <c r="U38" s="1833"/>
      <c r="V38" s="1833"/>
      <c r="W38" s="1833"/>
      <c r="X38" s="1833"/>
    </row>
    <row r="39">
      <c r="A39" s="1838" t="s">
        <v>15786</v>
      </c>
      <c r="B39" s="1838" t="s">
        <v>15787</v>
      </c>
      <c r="C39" s="1159">
        <v>7.0</v>
      </c>
      <c r="D39" s="1078"/>
      <c r="E39" s="1835"/>
      <c r="F39" s="1833"/>
      <c r="G39" s="1833"/>
      <c r="H39" s="1833"/>
      <c r="I39" s="1833"/>
      <c r="J39" s="1833"/>
      <c r="K39" s="1833"/>
      <c r="L39" s="1833"/>
      <c r="M39" s="1833"/>
      <c r="N39" s="1833"/>
      <c r="O39" s="1833"/>
      <c r="P39" s="1833"/>
      <c r="Q39" s="1833"/>
      <c r="R39" s="1833"/>
      <c r="S39" s="1833"/>
      <c r="T39" s="1833"/>
      <c r="U39" s="1833"/>
      <c r="V39" s="1833"/>
      <c r="W39" s="1833"/>
      <c r="X39" s="1833"/>
    </row>
    <row r="40">
      <c r="A40" s="1838" t="s">
        <v>15788</v>
      </c>
      <c r="B40" s="1838" t="s">
        <v>15789</v>
      </c>
      <c r="C40" s="1159">
        <v>7.0</v>
      </c>
      <c r="D40" s="1078"/>
      <c r="E40" s="1835"/>
      <c r="F40" s="1833"/>
      <c r="G40" s="1833"/>
      <c r="H40" s="1833"/>
      <c r="I40" s="1833"/>
      <c r="J40" s="1833"/>
      <c r="K40" s="1833"/>
      <c r="L40" s="1833"/>
      <c r="M40" s="1833"/>
      <c r="N40" s="1833"/>
      <c r="O40" s="1833"/>
      <c r="P40" s="1833"/>
      <c r="Q40" s="1833"/>
      <c r="R40" s="1833"/>
      <c r="S40" s="1833"/>
      <c r="T40" s="1833"/>
      <c r="U40" s="1833"/>
      <c r="V40" s="1833"/>
      <c r="W40" s="1833"/>
      <c r="X40" s="1833"/>
    </row>
    <row r="41">
      <c r="A41" s="1843" t="s">
        <v>15790</v>
      </c>
      <c r="B41" s="1838" t="s">
        <v>15791</v>
      </c>
      <c r="C41" s="1159">
        <v>5.0</v>
      </c>
      <c r="D41" s="1078"/>
      <c r="E41" s="1835"/>
      <c r="F41" s="1833"/>
      <c r="G41" s="1833"/>
      <c r="H41" s="1833"/>
      <c r="I41" s="1833"/>
      <c r="J41" s="1833"/>
      <c r="K41" s="1833"/>
      <c r="L41" s="1833"/>
      <c r="M41" s="1833"/>
      <c r="N41" s="1833"/>
      <c r="O41" s="1833"/>
      <c r="P41" s="1833"/>
      <c r="Q41" s="1833"/>
      <c r="R41" s="1833"/>
      <c r="S41" s="1833"/>
      <c r="T41" s="1833"/>
      <c r="U41" s="1833"/>
      <c r="V41" s="1833"/>
      <c r="W41" s="1833"/>
      <c r="X41" s="1833"/>
    </row>
    <row r="42">
      <c r="A42" s="1838" t="s">
        <v>15792</v>
      </c>
      <c r="B42" s="1838" t="s">
        <v>15793</v>
      </c>
      <c r="C42" s="1842">
        <v>4.0</v>
      </c>
      <c r="D42" s="1078"/>
      <c r="E42" s="1835"/>
      <c r="F42" s="1833"/>
      <c r="G42" s="1833"/>
      <c r="H42" s="1833"/>
      <c r="I42" s="1833"/>
      <c r="J42" s="1833"/>
      <c r="K42" s="1833"/>
      <c r="L42" s="1833"/>
      <c r="M42" s="1833"/>
      <c r="N42" s="1833"/>
      <c r="O42" s="1833"/>
      <c r="P42" s="1833"/>
      <c r="Q42" s="1833"/>
      <c r="R42" s="1833"/>
      <c r="S42" s="1833"/>
      <c r="T42" s="1833"/>
      <c r="U42" s="1833"/>
      <c r="V42" s="1833"/>
      <c r="W42" s="1833"/>
      <c r="X42" s="1833"/>
    </row>
    <row r="43">
      <c r="A43" s="1838" t="s">
        <v>15794</v>
      </c>
      <c r="B43" s="1838" t="s">
        <v>15795</v>
      </c>
      <c r="C43" s="1159">
        <v>12.0</v>
      </c>
      <c r="D43" s="1837"/>
      <c r="E43" s="1835"/>
      <c r="F43" s="1833"/>
      <c r="G43" s="1833"/>
      <c r="H43" s="1833"/>
      <c r="I43" s="1833"/>
      <c r="J43" s="1833"/>
      <c r="K43" s="1833"/>
      <c r="L43" s="1833"/>
      <c r="M43" s="1833"/>
      <c r="N43" s="1833"/>
      <c r="O43" s="1833"/>
      <c r="P43" s="1833"/>
      <c r="Q43" s="1833"/>
      <c r="R43" s="1833"/>
      <c r="S43" s="1833"/>
      <c r="T43" s="1833"/>
      <c r="U43" s="1833"/>
      <c r="V43" s="1833"/>
      <c r="W43" s="1833"/>
      <c r="X43" s="1833"/>
    </row>
    <row r="44">
      <c r="A44" s="1838" t="s">
        <v>15796</v>
      </c>
      <c r="B44" s="1838" t="s">
        <v>15797</v>
      </c>
      <c r="C44" s="1844">
        <v>4.0</v>
      </c>
      <c r="D44" s="1488"/>
      <c r="E44" s="1845"/>
      <c r="F44" s="1846"/>
      <c r="G44" s="1846"/>
      <c r="H44" s="1846"/>
      <c r="I44" s="1846"/>
      <c r="J44" s="1846"/>
      <c r="K44" s="1846"/>
      <c r="L44" s="1846"/>
      <c r="M44" s="1846"/>
      <c r="N44" s="1846"/>
      <c r="O44" s="1846"/>
      <c r="P44" s="1846"/>
      <c r="Q44" s="1846"/>
      <c r="R44" s="1846"/>
      <c r="S44" s="1846"/>
      <c r="T44" s="1846"/>
      <c r="U44" s="1846"/>
      <c r="V44" s="1846"/>
      <c r="W44" s="1846"/>
      <c r="X44" s="1846"/>
      <c r="Y44" s="489"/>
    </row>
    <row r="45">
      <c r="A45" s="1838" t="s">
        <v>15798</v>
      </c>
      <c r="B45" s="1838" t="s">
        <v>15799</v>
      </c>
      <c r="C45" s="1159">
        <v>5.0</v>
      </c>
      <c r="D45" s="1837"/>
      <c r="E45" s="1835"/>
      <c r="F45" s="1833"/>
      <c r="G45" s="1833"/>
      <c r="H45" s="1833"/>
      <c r="I45" s="1833"/>
      <c r="J45" s="1833"/>
      <c r="K45" s="1833"/>
      <c r="L45" s="1833"/>
      <c r="M45" s="1833"/>
      <c r="N45" s="1833"/>
      <c r="O45" s="1833"/>
      <c r="P45" s="1833"/>
      <c r="Q45" s="1833"/>
      <c r="R45" s="1833"/>
      <c r="S45" s="1833"/>
      <c r="T45" s="1833"/>
      <c r="U45" s="1833"/>
      <c r="V45" s="1833"/>
      <c r="W45" s="1833"/>
      <c r="X45" s="1833"/>
    </row>
    <row r="46">
      <c r="A46" s="1838" t="s">
        <v>15800</v>
      </c>
      <c r="B46" s="1838" t="s">
        <v>15801</v>
      </c>
      <c r="C46" s="1159">
        <v>5.0</v>
      </c>
      <c r="D46" s="1078"/>
      <c r="E46" s="1835"/>
      <c r="F46" s="1833"/>
      <c r="G46" s="1833"/>
      <c r="H46" s="1833"/>
      <c r="I46" s="1833"/>
      <c r="J46" s="1833"/>
      <c r="K46" s="1833"/>
      <c r="L46" s="1833"/>
      <c r="M46" s="1833"/>
      <c r="N46" s="1833"/>
      <c r="O46" s="1833"/>
      <c r="P46" s="1833"/>
      <c r="Q46" s="1833"/>
      <c r="R46" s="1833"/>
      <c r="S46" s="1833"/>
      <c r="T46" s="1833"/>
      <c r="U46" s="1833"/>
      <c r="V46" s="1833"/>
      <c r="W46" s="1833"/>
      <c r="X46" s="1833"/>
    </row>
    <row r="47">
      <c r="A47" s="1843" t="s">
        <v>15802</v>
      </c>
      <c r="B47" s="1843" t="s">
        <v>15803</v>
      </c>
      <c r="C47" s="1159">
        <v>5.0</v>
      </c>
      <c r="D47" s="1078"/>
      <c r="E47" s="1835"/>
      <c r="F47" s="1833"/>
      <c r="G47" s="1833"/>
      <c r="H47" s="1833"/>
      <c r="I47" s="1833"/>
      <c r="J47" s="1833"/>
      <c r="K47" s="1833"/>
      <c r="L47" s="1833"/>
      <c r="M47" s="1833"/>
      <c r="N47" s="1833"/>
      <c r="O47" s="1833"/>
      <c r="P47" s="1833"/>
      <c r="Q47" s="1833"/>
      <c r="R47" s="1833"/>
      <c r="S47" s="1833"/>
      <c r="T47" s="1833"/>
      <c r="U47" s="1833"/>
      <c r="V47" s="1833"/>
      <c r="W47" s="1833"/>
      <c r="X47" s="1833"/>
    </row>
    <row r="48">
      <c r="A48" s="1838" t="s">
        <v>15804</v>
      </c>
      <c r="B48" s="1838" t="s">
        <v>15805</v>
      </c>
      <c r="C48" s="1159">
        <v>5.0</v>
      </c>
      <c r="D48" s="1078"/>
      <c r="E48" s="1835"/>
      <c r="F48" s="1833"/>
      <c r="G48" s="1833"/>
      <c r="H48" s="1833"/>
      <c r="I48" s="1833"/>
      <c r="J48" s="1833"/>
      <c r="K48" s="1833"/>
      <c r="L48" s="1833"/>
      <c r="M48" s="1833"/>
      <c r="N48" s="1833"/>
      <c r="O48" s="1833"/>
      <c r="P48" s="1833"/>
      <c r="Q48" s="1833"/>
      <c r="R48" s="1833"/>
      <c r="S48" s="1833"/>
      <c r="T48" s="1833"/>
      <c r="U48" s="1833"/>
      <c r="V48" s="1833"/>
      <c r="W48" s="1833"/>
      <c r="X48" s="1833"/>
    </row>
    <row r="49">
      <c r="A49" s="1838"/>
      <c r="B49" s="1838"/>
      <c r="C49" s="1078"/>
      <c r="D49" s="1837"/>
      <c r="E49" s="1835"/>
      <c r="F49" s="1833"/>
      <c r="G49" s="1833"/>
      <c r="H49" s="1833"/>
      <c r="I49" s="1833"/>
      <c r="J49" s="1833"/>
      <c r="K49" s="1833"/>
      <c r="L49" s="1833"/>
      <c r="M49" s="1833"/>
      <c r="N49" s="1833"/>
      <c r="O49" s="1833"/>
      <c r="P49" s="1833"/>
      <c r="Q49" s="1833"/>
      <c r="R49" s="1833"/>
      <c r="S49" s="1833"/>
      <c r="T49" s="1833"/>
      <c r="U49" s="1833"/>
      <c r="V49" s="1833"/>
      <c r="W49" s="1833"/>
      <c r="X49" s="1833"/>
    </row>
    <row r="50" ht="24.75" customHeight="1">
      <c r="A50" s="1847"/>
      <c r="B50" s="1847"/>
      <c r="C50" s="1078"/>
      <c r="D50" s="1078"/>
      <c r="E50" s="1835"/>
      <c r="F50" s="1833"/>
      <c r="G50" s="1833"/>
      <c r="H50" s="1833"/>
      <c r="I50" s="1833"/>
      <c r="J50" s="1833"/>
      <c r="K50" s="1833"/>
      <c r="L50" s="1833"/>
      <c r="M50" s="1833"/>
      <c r="N50" s="1833"/>
      <c r="O50" s="1833"/>
      <c r="P50" s="1833"/>
      <c r="Q50" s="1833"/>
      <c r="R50" s="1833"/>
      <c r="S50" s="1833"/>
      <c r="T50" s="1833"/>
      <c r="U50" s="1833"/>
      <c r="V50" s="1833"/>
      <c r="W50" s="1833"/>
      <c r="X50" s="1833"/>
    </row>
    <row r="51" ht="24.75" customHeight="1">
      <c r="A51" s="1848">
        <v>406.0</v>
      </c>
      <c r="B51" s="1847"/>
      <c r="C51" s="1078"/>
      <c r="D51" s="1078"/>
      <c r="E51" s="1835"/>
      <c r="F51" s="1833"/>
      <c r="G51" s="1833"/>
      <c r="H51" s="1833"/>
      <c r="I51" s="1833"/>
      <c r="J51" s="1833"/>
      <c r="K51" s="1833"/>
      <c r="L51" s="1833"/>
      <c r="M51" s="1833"/>
      <c r="N51" s="1833"/>
      <c r="O51" s="1833"/>
      <c r="P51" s="1833"/>
      <c r="Q51" s="1833"/>
      <c r="R51" s="1833"/>
      <c r="S51" s="1833"/>
      <c r="T51" s="1833"/>
      <c r="U51" s="1833"/>
      <c r="V51" s="1833"/>
      <c r="W51" s="1833"/>
      <c r="X51" s="1833"/>
    </row>
    <row r="52" ht="15.75" customHeight="1">
      <c r="A52" s="1849" t="s">
        <v>15806</v>
      </c>
      <c r="B52" s="1847"/>
      <c r="C52" s="1835"/>
      <c r="D52" s="1835"/>
      <c r="E52" s="1835"/>
      <c r="F52" s="1833"/>
      <c r="G52" s="1833"/>
      <c r="H52" s="1833"/>
      <c r="I52" s="1833"/>
      <c r="J52" s="1833"/>
      <c r="K52" s="1833"/>
      <c r="L52" s="1833"/>
      <c r="M52" s="1833"/>
      <c r="N52" s="1833"/>
      <c r="O52" s="1833"/>
      <c r="P52" s="1833"/>
      <c r="Q52" s="1833"/>
      <c r="R52" s="1833"/>
      <c r="S52" s="1833"/>
      <c r="T52" s="1833"/>
      <c r="U52" s="1833"/>
      <c r="V52" s="1833"/>
      <c r="W52" s="1833"/>
      <c r="X52" s="1833"/>
    </row>
    <row r="53" ht="15.75" customHeight="1">
      <c r="A53" s="1849" t="s">
        <v>15807</v>
      </c>
      <c r="B53" s="1847"/>
      <c r="C53" s="1078"/>
      <c r="D53" s="1078"/>
      <c r="E53" s="1835"/>
      <c r="F53" s="1833"/>
      <c r="G53" s="1833"/>
      <c r="H53" s="1833"/>
      <c r="I53" s="1833"/>
      <c r="J53" s="1833"/>
      <c r="K53" s="1833"/>
      <c r="L53" s="1833"/>
      <c r="M53" s="1833"/>
      <c r="N53" s="1833"/>
      <c r="O53" s="1833"/>
      <c r="P53" s="1833"/>
      <c r="Q53" s="1833"/>
      <c r="R53" s="1833"/>
      <c r="S53" s="1833"/>
      <c r="T53" s="1833"/>
      <c r="U53" s="1833"/>
      <c r="V53" s="1833"/>
      <c r="W53" s="1833"/>
      <c r="X53" s="1833"/>
    </row>
    <row r="54" ht="15.75" customHeight="1">
      <c r="A54" s="1847" t="s">
        <v>15808</v>
      </c>
      <c r="B54" s="1847" t="s">
        <v>15809</v>
      </c>
      <c r="C54" s="1159">
        <v>10.0</v>
      </c>
      <c r="D54" s="1078"/>
      <c r="E54" s="1835"/>
      <c r="F54" s="1833"/>
      <c r="G54" s="1833"/>
      <c r="H54" s="1833"/>
      <c r="I54" s="1833"/>
      <c r="J54" s="1833"/>
      <c r="K54" s="1833"/>
      <c r="L54" s="1833"/>
      <c r="M54" s="1833"/>
      <c r="N54" s="1833"/>
      <c r="O54" s="1833"/>
      <c r="P54" s="1833"/>
      <c r="Q54" s="1833"/>
      <c r="R54" s="1833"/>
      <c r="S54" s="1833"/>
      <c r="T54" s="1833"/>
      <c r="U54" s="1833"/>
      <c r="V54" s="1833"/>
      <c r="W54" s="1833"/>
      <c r="X54" s="1833"/>
    </row>
    <row r="55" customHeight="1">
      <c r="A55" s="1850" t="s">
        <v>15810</v>
      </c>
      <c r="B55" s="1847" t="s">
        <v>15811</v>
      </c>
      <c r="C55" s="1159">
        <v>5.0</v>
      </c>
      <c r="D55" s="1078"/>
      <c r="E55" s="1835"/>
      <c r="F55" s="1833"/>
      <c r="G55" s="1833"/>
      <c r="H55" s="1833"/>
      <c r="I55" s="1833"/>
      <c r="J55" s="1833"/>
      <c r="K55" s="1833"/>
      <c r="L55" s="1833"/>
      <c r="M55" s="1833"/>
      <c r="N55" s="1833"/>
      <c r="O55" s="1833"/>
      <c r="P55" s="1833"/>
      <c r="Q55" s="1833"/>
      <c r="R55" s="1833"/>
      <c r="S55" s="1833"/>
      <c r="T55" s="1833"/>
      <c r="U55" s="1833"/>
      <c r="V55" s="1833"/>
      <c r="W55" s="1833"/>
      <c r="X55" s="1833"/>
    </row>
    <row r="56" customHeight="1">
      <c r="A56" s="1850" t="s">
        <v>15812</v>
      </c>
      <c r="B56" s="1850" t="s">
        <v>15813</v>
      </c>
      <c r="C56" s="1159">
        <v>5.0</v>
      </c>
      <c r="D56" s="1078"/>
      <c r="E56" s="1835"/>
      <c r="F56" s="1833"/>
      <c r="G56" s="1833"/>
      <c r="H56" s="1833"/>
      <c r="I56" s="1833"/>
      <c r="J56" s="1833"/>
      <c r="K56" s="1833"/>
      <c r="L56" s="1833"/>
      <c r="M56" s="1833"/>
      <c r="N56" s="1833"/>
      <c r="O56" s="1833"/>
      <c r="P56" s="1833"/>
      <c r="Q56" s="1833"/>
      <c r="R56" s="1833"/>
      <c r="S56" s="1833"/>
      <c r="T56" s="1833"/>
      <c r="U56" s="1833"/>
      <c r="V56" s="1833"/>
      <c r="W56" s="1833"/>
      <c r="X56" s="1833"/>
    </row>
    <row r="57" customHeight="1">
      <c r="A57" s="1850" t="s">
        <v>15814</v>
      </c>
      <c r="B57" s="1847" t="s">
        <v>15815</v>
      </c>
      <c r="C57" s="1159">
        <v>7.0</v>
      </c>
      <c r="D57" s="1078"/>
      <c r="E57" s="1835"/>
      <c r="F57" s="1833"/>
      <c r="G57" s="1833"/>
      <c r="H57" s="1833"/>
      <c r="I57" s="1833"/>
      <c r="J57" s="1833"/>
      <c r="K57" s="1833"/>
      <c r="L57" s="1833"/>
      <c r="M57" s="1833"/>
      <c r="N57" s="1833"/>
      <c r="O57" s="1833"/>
      <c r="P57" s="1833"/>
      <c r="Q57" s="1833"/>
      <c r="R57" s="1833"/>
      <c r="S57" s="1833"/>
      <c r="T57" s="1833"/>
      <c r="U57" s="1833"/>
      <c r="V57" s="1833"/>
      <c r="W57" s="1833"/>
      <c r="X57" s="1833"/>
    </row>
    <row r="58" customHeight="1">
      <c r="A58" s="1850" t="s">
        <v>15816</v>
      </c>
      <c r="B58" s="1847" t="s">
        <v>15817</v>
      </c>
      <c r="C58" s="1159">
        <v>12.0</v>
      </c>
      <c r="D58" s="1078"/>
      <c r="E58" s="1835"/>
      <c r="F58" s="1833"/>
      <c r="G58" s="1833"/>
      <c r="H58" s="1833"/>
      <c r="I58" s="1833"/>
      <c r="J58" s="1833"/>
      <c r="K58" s="1833"/>
      <c r="L58" s="1833"/>
      <c r="M58" s="1833"/>
      <c r="N58" s="1833"/>
      <c r="O58" s="1833"/>
      <c r="P58" s="1833"/>
      <c r="Q58" s="1833"/>
      <c r="R58" s="1833"/>
      <c r="S58" s="1833"/>
      <c r="T58" s="1833"/>
      <c r="U58" s="1833"/>
      <c r="V58" s="1833"/>
      <c r="W58" s="1833"/>
      <c r="X58" s="1833"/>
    </row>
    <row r="59">
      <c r="A59" s="1850" t="s">
        <v>15818</v>
      </c>
      <c r="B59" s="1847" t="s">
        <v>15819</v>
      </c>
      <c r="C59" s="1159">
        <v>5.0</v>
      </c>
      <c r="D59" s="1078"/>
      <c r="E59" s="1835"/>
      <c r="F59" s="1833"/>
      <c r="G59" s="1833"/>
      <c r="H59" s="1833"/>
      <c r="I59" s="1833"/>
      <c r="J59" s="1833"/>
      <c r="K59" s="1833"/>
      <c r="L59" s="1833"/>
      <c r="M59" s="1833"/>
      <c r="N59" s="1833"/>
      <c r="O59" s="1833"/>
      <c r="P59" s="1833"/>
      <c r="Q59" s="1833"/>
      <c r="R59" s="1833"/>
      <c r="S59" s="1833"/>
      <c r="T59" s="1833"/>
      <c r="U59" s="1833"/>
      <c r="V59" s="1833"/>
      <c r="W59" s="1833"/>
      <c r="X59" s="1833"/>
    </row>
    <row r="60">
      <c r="A60" s="1850" t="s">
        <v>15820</v>
      </c>
      <c r="B60" s="1847" t="s">
        <v>15821</v>
      </c>
      <c r="C60" s="1842">
        <v>5.0</v>
      </c>
      <c r="D60" s="1078"/>
      <c r="E60" s="1835"/>
      <c r="F60" s="1833"/>
      <c r="G60" s="1833"/>
      <c r="H60" s="1833"/>
      <c r="I60" s="1833"/>
      <c r="J60" s="1833"/>
      <c r="K60" s="1833"/>
      <c r="L60" s="1833"/>
      <c r="M60" s="1833"/>
      <c r="N60" s="1833"/>
      <c r="O60" s="1833"/>
      <c r="P60" s="1833"/>
      <c r="Q60" s="1833"/>
      <c r="R60" s="1833"/>
      <c r="S60" s="1833"/>
      <c r="T60" s="1833"/>
      <c r="U60" s="1833"/>
      <c r="V60" s="1833"/>
      <c r="W60" s="1833"/>
      <c r="X60" s="1833"/>
    </row>
    <row r="61">
      <c r="A61" s="1850" t="s">
        <v>15822</v>
      </c>
      <c r="B61" s="1847" t="s">
        <v>15823</v>
      </c>
      <c r="C61" s="1159">
        <v>5.0</v>
      </c>
      <c r="D61" s="1078"/>
      <c r="E61" s="1835"/>
      <c r="F61" s="1833"/>
      <c r="G61" s="1833"/>
      <c r="H61" s="1833"/>
      <c r="I61" s="1833"/>
      <c r="J61" s="1833"/>
      <c r="K61" s="1833"/>
      <c r="L61" s="1833"/>
      <c r="M61" s="1833"/>
      <c r="N61" s="1833"/>
      <c r="O61" s="1833"/>
      <c r="P61" s="1833"/>
      <c r="Q61" s="1833"/>
      <c r="R61" s="1833"/>
      <c r="S61" s="1833"/>
      <c r="T61" s="1833"/>
      <c r="U61" s="1833"/>
      <c r="V61" s="1833"/>
      <c r="W61" s="1833"/>
      <c r="X61" s="1833"/>
    </row>
    <row r="62">
      <c r="A62" s="1850" t="s">
        <v>15824</v>
      </c>
      <c r="B62" s="1847" t="s">
        <v>15825</v>
      </c>
      <c r="C62" s="1159">
        <v>10.0</v>
      </c>
      <c r="D62" s="1078"/>
      <c r="E62" s="1835"/>
      <c r="F62" s="1833"/>
      <c r="G62" s="1833"/>
      <c r="H62" s="1833"/>
      <c r="I62" s="1833"/>
      <c r="J62" s="1833"/>
      <c r="K62" s="1833"/>
      <c r="L62" s="1833"/>
      <c r="M62" s="1833"/>
      <c r="N62" s="1833"/>
      <c r="O62" s="1833"/>
      <c r="P62" s="1833"/>
      <c r="Q62" s="1833"/>
      <c r="R62" s="1833"/>
      <c r="S62" s="1833"/>
      <c r="T62" s="1833"/>
      <c r="U62" s="1833"/>
      <c r="V62" s="1833"/>
      <c r="W62" s="1833"/>
      <c r="X62" s="1833"/>
    </row>
    <row r="63">
      <c r="A63" s="1850" t="s">
        <v>15826</v>
      </c>
      <c r="B63" s="1847" t="s">
        <v>15827</v>
      </c>
      <c r="C63" s="1159">
        <v>7.0</v>
      </c>
      <c r="D63" s="1078"/>
      <c r="E63" s="1835"/>
      <c r="F63" s="1833"/>
      <c r="G63" s="1833"/>
      <c r="H63" s="1833"/>
      <c r="I63" s="1833"/>
      <c r="J63" s="1833"/>
      <c r="K63" s="1833"/>
      <c r="L63" s="1833"/>
      <c r="M63" s="1833"/>
      <c r="N63" s="1833"/>
      <c r="O63" s="1833"/>
      <c r="P63" s="1833"/>
      <c r="Q63" s="1833"/>
      <c r="R63" s="1833"/>
      <c r="S63" s="1833"/>
      <c r="T63" s="1833"/>
      <c r="U63" s="1833"/>
      <c r="V63" s="1833"/>
      <c r="W63" s="1833"/>
      <c r="X63" s="1833"/>
    </row>
    <row r="64">
      <c r="A64" s="1850" t="s">
        <v>15828</v>
      </c>
      <c r="B64" s="1847" t="s">
        <v>15829</v>
      </c>
      <c r="C64" s="1159">
        <v>5.0</v>
      </c>
      <c r="D64" s="1837"/>
      <c r="E64" s="1835"/>
      <c r="F64" s="1833"/>
      <c r="G64" s="1833"/>
      <c r="H64" s="1833"/>
      <c r="I64" s="1833"/>
      <c r="J64" s="1833"/>
      <c r="K64" s="1833"/>
      <c r="L64" s="1833"/>
      <c r="M64" s="1833"/>
      <c r="N64" s="1833"/>
      <c r="O64" s="1833"/>
      <c r="P64" s="1833"/>
      <c r="Q64" s="1833"/>
      <c r="R64" s="1833"/>
      <c r="S64" s="1833"/>
      <c r="T64" s="1833"/>
      <c r="U64" s="1833"/>
      <c r="V64" s="1833"/>
      <c r="W64" s="1833"/>
      <c r="X64" s="1833"/>
    </row>
    <row r="65">
      <c r="A65" s="1847" t="s">
        <v>15830</v>
      </c>
      <c r="B65" s="1850" t="s">
        <v>15831</v>
      </c>
      <c r="C65" s="1842">
        <v>10.0</v>
      </c>
      <c r="D65" s="1835"/>
      <c r="E65" s="1835"/>
      <c r="F65" s="1833"/>
      <c r="G65" s="1833"/>
      <c r="H65" s="1833"/>
      <c r="I65" s="1833"/>
      <c r="J65" s="1833"/>
      <c r="K65" s="1833"/>
      <c r="L65" s="1833"/>
      <c r="M65" s="1833"/>
      <c r="N65" s="1833"/>
      <c r="O65" s="1833"/>
      <c r="P65" s="1833"/>
      <c r="Q65" s="1833"/>
      <c r="R65" s="1833"/>
      <c r="S65" s="1833"/>
      <c r="T65" s="1833"/>
      <c r="U65" s="1833"/>
      <c r="V65" s="1833"/>
      <c r="W65" s="1833"/>
      <c r="X65" s="1833"/>
    </row>
    <row r="66">
      <c r="A66" s="1847" t="s">
        <v>15832</v>
      </c>
      <c r="B66" s="1847" t="s">
        <v>15833</v>
      </c>
      <c r="C66" s="1159">
        <v>7.0</v>
      </c>
      <c r="D66" s="1078"/>
      <c r="E66" s="1835"/>
      <c r="F66" s="1833"/>
      <c r="G66" s="1833"/>
      <c r="H66" s="1833"/>
      <c r="I66" s="1833"/>
      <c r="J66" s="1833"/>
      <c r="K66" s="1833"/>
      <c r="L66" s="1833"/>
      <c r="M66" s="1833"/>
      <c r="N66" s="1833"/>
      <c r="O66" s="1833"/>
      <c r="P66" s="1833"/>
      <c r="Q66" s="1833"/>
      <c r="R66" s="1833"/>
      <c r="S66" s="1833"/>
      <c r="T66" s="1833"/>
      <c r="U66" s="1833"/>
      <c r="V66" s="1833"/>
      <c r="W66" s="1833"/>
      <c r="X66" s="1833"/>
    </row>
    <row r="67">
      <c r="A67" s="1847" t="s">
        <v>15834</v>
      </c>
      <c r="B67" s="1847" t="s">
        <v>15835</v>
      </c>
      <c r="C67" s="1844">
        <v>6.0</v>
      </c>
      <c r="D67" s="1488"/>
      <c r="E67" s="1845"/>
      <c r="F67" s="1846"/>
      <c r="G67" s="1846"/>
      <c r="H67" s="1846"/>
      <c r="I67" s="1846"/>
      <c r="J67" s="1846"/>
      <c r="K67" s="1846"/>
      <c r="L67" s="1846"/>
      <c r="M67" s="1846"/>
      <c r="N67" s="1846"/>
      <c r="O67" s="1846"/>
      <c r="P67" s="1846"/>
      <c r="Q67" s="1846"/>
      <c r="R67" s="1846"/>
      <c r="S67" s="1846"/>
      <c r="T67" s="1846"/>
      <c r="U67" s="1846"/>
      <c r="V67" s="1846"/>
      <c r="W67" s="1846"/>
      <c r="X67" s="1846"/>
      <c r="Y67" s="489"/>
    </row>
    <row r="68">
      <c r="A68" s="1847" t="s">
        <v>15836</v>
      </c>
      <c r="B68" s="1847" t="s">
        <v>15837</v>
      </c>
      <c r="C68" s="1844">
        <v>5.0</v>
      </c>
      <c r="D68" s="1488"/>
      <c r="E68" s="1845"/>
      <c r="F68" s="1846"/>
      <c r="G68" s="1846"/>
      <c r="H68" s="1846"/>
      <c r="I68" s="1846"/>
      <c r="J68" s="1846"/>
      <c r="K68" s="1846"/>
      <c r="L68" s="1846"/>
      <c r="M68" s="1846"/>
      <c r="N68" s="1846"/>
      <c r="O68" s="1846"/>
      <c r="P68" s="1846"/>
      <c r="Q68" s="1846"/>
      <c r="R68" s="1846"/>
      <c r="S68" s="1846"/>
      <c r="T68" s="1846"/>
      <c r="U68" s="1846"/>
      <c r="V68" s="1846"/>
      <c r="W68" s="1846"/>
      <c r="X68" s="1846"/>
      <c r="Y68" s="489"/>
    </row>
    <row r="69">
      <c r="A69" s="1850" t="s">
        <v>15838</v>
      </c>
      <c r="B69" s="1850" t="s">
        <v>15839</v>
      </c>
      <c r="C69" s="1844">
        <v>3.0</v>
      </c>
      <c r="D69" s="1488"/>
      <c r="E69" s="1845"/>
      <c r="F69" s="1846"/>
      <c r="G69" s="1846"/>
      <c r="H69" s="1846"/>
      <c r="I69" s="1846"/>
      <c r="J69" s="1846"/>
      <c r="K69" s="1846"/>
      <c r="L69" s="1846"/>
      <c r="M69" s="1846"/>
      <c r="N69" s="1846"/>
      <c r="O69" s="1846"/>
      <c r="P69" s="1846"/>
      <c r="Q69" s="1846"/>
      <c r="R69" s="1846"/>
      <c r="S69" s="1846"/>
      <c r="T69" s="1846"/>
      <c r="U69" s="1846"/>
      <c r="V69" s="1846"/>
      <c r="W69" s="1846"/>
      <c r="X69" s="1846"/>
      <c r="Y69" s="489"/>
    </row>
    <row r="70">
      <c r="A70" s="1847" t="s">
        <v>15840</v>
      </c>
      <c r="B70" s="1850" t="s">
        <v>15841</v>
      </c>
      <c r="C70" s="1844">
        <v>7.0</v>
      </c>
      <c r="D70" s="1488"/>
      <c r="E70" s="1845"/>
      <c r="F70" s="1846"/>
      <c r="G70" s="1846"/>
      <c r="H70" s="1846"/>
      <c r="I70" s="1846"/>
      <c r="J70" s="1846"/>
      <c r="K70" s="1846"/>
      <c r="L70" s="1846"/>
      <c r="M70" s="1846"/>
      <c r="N70" s="1846"/>
      <c r="O70" s="1846"/>
      <c r="P70" s="1846"/>
      <c r="Q70" s="1846"/>
      <c r="R70" s="1846"/>
      <c r="S70" s="1846"/>
      <c r="T70" s="1846"/>
      <c r="U70" s="1846"/>
      <c r="V70" s="1846"/>
      <c r="W70" s="1846"/>
      <c r="X70" s="1846"/>
      <c r="Y70" s="489"/>
    </row>
    <row r="71">
      <c r="A71" s="1847" t="s">
        <v>12975</v>
      </c>
      <c r="B71" s="1850" t="s">
        <v>15842</v>
      </c>
      <c r="C71" s="1844">
        <v>3.0</v>
      </c>
      <c r="D71" s="1488"/>
      <c r="E71" s="1845"/>
      <c r="F71" s="1846"/>
      <c r="G71" s="1846"/>
      <c r="H71" s="1846"/>
      <c r="I71" s="1846"/>
      <c r="J71" s="1846"/>
      <c r="K71" s="1846"/>
      <c r="L71" s="1846"/>
      <c r="M71" s="1846"/>
      <c r="N71" s="1846"/>
      <c r="O71" s="1846"/>
      <c r="P71" s="1846"/>
      <c r="Q71" s="1846"/>
      <c r="R71" s="1846"/>
      <c r="S71" s="1846"/>
      <c r="T71" s="1846"/>
      <c r="U71" s="1846"/>
      <c r="V71" s="1846"/>
      <c r="W71" s="1846"/>
      <c r="X71" s="1846"/>
      <c r="Y71" s="489"/>
    </row>
    <row r="72">
      <c r="A72" s="1850" t="s">
        <v>15843</v>
      </c>
      <c r="B72" s="1851" t="s">
        <v>15844</v>
      </c>
      <c r="C72" s="1844">
        <v>5.0</v>
      </c>
      <c r="D72" s="1488"/>
      <c r="E72" s="1845"/>
      <c r="F72" s="1846"/>
      <c r="G72" s="1846"/>
      <c r="H72" s="1846"/>
      <c r="I72" s="1846"/>
      <c r="J72" s="1846"/>
      <c r="K72" s="1846"/>
      <c r="L72" s="1846"/>
      <c r="M72" s="1846"/>
      <c r="N72" s="1846"/>
      <c r="O72" s="1846"/>
      <c r="P72" s="1846"/>
      <c r="Q72" s="1846"/>
      <c r="R72" s="1846"/>
      <c r="S72" s="1846"/>
      <c r="T72" s="1846"/>
      <c r="U72" s="1846"/>
      <c r="V72" s="1846"/>
      <c r="W72" s="1846"/>
      <c r="X72" s="1846"/>
      <c r="Y72" s="489"/>
    </row>
    <row r="73">
      <c r="A73" s="1850" t="s">
        <v>15845</v>
      </c>
      <c r="B73" s="1850" t="s">
        <v>15846</v>
      </c>
      <c r="C73" s="1844">
        <v>5.0</v>
      </c>
      <c r="D73" s="1488"/>
      <c r="E73" s="1845"/>
      <c r="F73" s="1846"/>
      <c r="G73" s="1846"/>
      <c r="H73" s="1846"/>
      <c r="I73" s="1846"/>
      <c r="J73" s="1846"/>
      <c r="K73" s="1846"/>
      <c r="L73" s="1846"/>
      <c r="M73" s="1846"/>
      <c r="N73" s="1846"/>
      <c r="O73" s="1846"/>
      <c r="P73" s="1846"/>
      <c r="Q73" s="1846"/>
      <c r="R73" s="1846"/>
      <c r="S73" s="1846"/>
      <c r="T73" s="1846"/>
      <c r="U73" s="1846"/>
      <c r="V73" s="1846"/>
      <c r="W73" s="1846"/>
      <c r="X73" s="1846"/>
      <c r="Y73" s="489"/>
    </row>
    <row r="74">
      <c r="A74" s="1850" t="s">
        <v>15847</v>
      </c>
      <c r="B74" s="1850" t="s">
        <v>15848</v>
      </c>
      <c r="C74" s="1159">
        <v>13.0</v>
      </c>
      <c r="D74" s="1078"/>
      <c r="E74" s="1835"/>
      <c r="F74" s="1833"/>
      <c r="G74" s="1833"/>
      <c r="H74" s="1833"/>
      <c r="I74" s="1833"/>
      <c r="J74" s="1833"/>
      <c r="K74" s="1833"/>
      <c r="L74" s="1833"/>
      <c r="M74" s="1833"/>
      <c r="N74" s="1833"/>
      <c r="O74" s="1833"/>
      <c r="P74" s="1833"/>
      <c r="Q74" s="1833"/>
      <c r="R74" s="1833"/>
      <c r="S74" s="1833"/>
      <c r="T74" s="1833"/>
      <c r="U74" s="1833"/>
      <c r="V74" s="1833"/>
      <c r="W74" s="1833"/>
      <c r="X74" s="1833"/>
    </row>
    <row r="75">
      <c r="A75" s="1852"/>
      <c r="B75" s="1852"/>
      <c r="C75" s="1078"/>
      <c r="D75" s="1078"/>
      <c r="E75" s="1835"/>
      <c r="F75" s="1833"/>
      <c r="G75" s="1833"/>
      <c r="H75" s="1833"/>
      <c r="I75" s="1833"/>
      <c r="J75" s="1833"/>
      <c r="K75" s="1833"/>
      <c r="L75" s="1833"/>
      <c r="M75" s="1833"/>
      <c r="N75" s="1833"/>
      <c r="O75" s="1833"/>
      <c r="P75" s="1833"/>
      <c r="Q75" s="1833"/>
      <c r="R75" s="1833"/>
      <c r="S75" s="1833"/>
      <c r="T75" s="1833"/>
      <c r="U75" s="1833"/>
      <c r="V75" s="1833"/>
      <c r="W75" s="1833"/>
      <c r="X75" s="1833"/>
    </row>
    <row r="76">
      <c r="A76" s="1078"/>
      <c r="B76" s="1078"/>
      <c r="C76" s="1078"/>
      <c r="D76" s="1078"/>
      <c r="E76" s="1835"/>
      <c r="F76" s="1833"/>
      <c r="G76" s="1833"/>
      <c r="H76" s="1833"/>
      <c r="I76" s="1833"/>
      <c r="J76" s="1833"/>
      <c r="K76" s="1833"/>
      <c r="L76" s="1833"/>
      <c r="M76" s="1833"/>
      <c r="N76" s="1833"/>
      <c r="O76" s="1833"/>
      <c r="P76" s="1833"/>
      <c r="Q76" s="1833"/>
      <c r="R76" s="1833"/>
      <c r="S76" s="1833"/>
      <c r="T76" s="1833"/>
      <c r="U76" s="1833"/>
      <c r="V76" s="1833"/>
      <c r="W76" s="1833"/>
      <c r="X76" s="1833"/>
    </row>
    <row r="77">
      <c r="A77" s="1078"/>
      <c r="B77" s="1078"/>
      <c r="C77" s="1078"/>
      <c r="D77" s="1078"/>
      <c r="E77" s="1835"/>
      <c r="F77" s="1833"/>
      <c r="G77" s="1833"/>
      <c r="H77" s="1833"/>
      <c r="I77" s="1833"/>
      <c r="J77" s="1833"/>
      <c r="K77" s="1833"/>
      <c r="L77" s="1833"/>
      <c r="M77" s="1833"/>
      <c r="N77" s="1833"/>
      <c r="O77" s="1833"/>
      <c r="P77" s="1833"/>
      <c r="Q77" s="1833"/>
      <c r="R77" s="1833"/>
      <c r="S77" s="1833"/>
      <c r="T77" s="1833"/>
      <c r="U77" s="1833"/>
      <c r="V77" s="1833"/>
      <c r="W77" s="1833"/>
      <c r="X77" s="1833"/>
    </row>
    <row r="78">
      <c r="A78" s="1078"/>
      <c r="B78" s="1078"/>
      <c r="C78" s="1835"/>
      <c r="D78" s="1835"/>
      <c r="E78" s="1835"/>
      <c r="F78" s="1833"/>
      <c r="G78" s="1833"/>
      <c r="H78" s="1833"/>
      <c r="I78" s="1833"/>
      <c r="J78" s="1833"/>
      <c r="K78" s="1833"/>
      <c r="L78" s="1833"/>
      <c r="M78" s="1833"/>
      <c r="N78" s="1833"/>
      <c r="O78" s="1833"/>
      <c r="P78" s="1833"/>
      <c r="Q78" s="1833"/>
      <c r="R78" s="1833"/>
      <c r="S78" s="1833"/>
      <c r="T78" s="1833"/>
      <c r="U78" s="1833"/>
      <c r="V78" s="1833"/>
      <c r="W78" s="1833"/>
      <c r="X78" s="1833"/>
    </row>
    <row r="79">
      <c r="A79" s="1078"/>
      <c r="B79" s="1078"/>
      <c r="C79" s="1078"/>
      <c r="D79" s="1078"/>
      <c r="E79" s="1835"/>
      <c r="F79" s="1833"/>
      <c r="G79" s="1833"/>
      <c r="H79" s="1833"/>
      <c r="I79" s="1833"/>
      <c r="J79" s="1833"/>
      <c r="K79" s="1833"/>
      <c r="L79" s="1833"/>
      <c r="M79" s="1833"/>
      <c r="N79" s="1833"/>
      <c r="O79" s="1833"/>
      <c r="P79" s="1833"/>
      <c r="Q79" s="1833"/>
      <c r="R79" s="1833"/>
      <c r="S79" s="1833"/>
      <c r="T79" s="1833"/>
      <c r="U79" s="1833"/>
      <c r="V79" s="1833"/>
      <c r="W79" s="1833"/>
      <c r="X79" s="1833"/>
    </row>
    <row r="80">
      <c r="A80" s="1078"/>
      <c r="B80" s="1078"/>
      <c r="C80" s="1078"/>
      <c r="D80" s="1078"/>
      <c r="E80" s="1835"/>
      <c r="F80" s="1833"/>
      <c r="G80" s="1833"/>
      <c r="H80" s="1833"/>
      <c r="I80" s="1833"/>
      <c r="J80" s="1833"/>
      <c r="K80" s="1833"/>
      <c r="L80" s="1833"/>
      <c r="M80" s="1833"/>
      <c r="N80" s="1833"/>
      <c r="O80" s="1833"/>
      <c r="P80" s="1833"/>
      <c r="Q80" s="1833"/>
      <c r="R80" s="1833"/>
      <c r="S80" s="1833"/>
      <c r="T80" s="1833"/>
      <c r="U80" s="1833"/>
      <c r="V80" s="1833"/>
      <c r="W80" s="1833"/>
      <c r="X80" s="1833"/>
    </row>
    <row r="81">
      <c r="A81" s="1078"/>
      <c r="B81" s="1078"/>
      <c r="C81" s="1078"/>
      <c r="D81" s="1078"/>
      <c r="E81" s="1835"/>
      <c r="F81" s="1833"/>
      <c r="G81" s="1833"/>
      <c r="H81" s="1833"/>
      <c r="I81" s="1833"/>
      <c r="J81" s="1833"/>
      <c r="K81" s="1833"/>
      <c r="L81" s="1833"/>
      <c r="M81" s="1833"/>
      <c r="N81" s="1833"/>
      <c r="O81" s="1833"/>
      <c r="P81" s="1833"/>
      <c r="Q81" s="1833"/>
      <c r="R81" s="1833"/>
      <c r="S81" s="1833"/>
      <c r="T81" s="1833"/>
      <c r="U81" s="1833"/>
      <c r="V81" s="1833"/>
      <c r="W81" s="1833"/>
      <c r="X81" s="1833"/>
    </row>
    <row r="82">
      <c r="A82" s="1078"/>
      <c r="B82" s="1078"/>
      <c r="C82" s="1078"/>
      <c r="D82" s="1078"/>
      <c r="E82" s="1835"/>
      <c r="F82" s="1833"/>
      <c r="G82" s="1833"/>
      <c r="H82" s="1833"/>
      <c r="I82" s="1833"/>
      <c r="J82" s="1833"/>
      <c r="K82" s="1833"/>
      <c r="L82" s="1833"/>
      <c r="M82" s="1833"/>
      <c r="N82" s="1833"/>
      <c r="O82" s="1833"/>
      <c r="P82" s="1833"/>
      <c r="Q82" s="1833"/>
      <c r="R82" s="1833"/>
      <c r="S82" s="1833"/>
      <c r="T82" s="1833"/>
      <c r="U82" s="1833"/>
      <c r="V82" s="1833"/>
      <c r="W82" s="1833"/>
      <c r="X82" s="1833"/>
    </row>
    <row r="83">
      <c r="A83" s="1078"/>
      <c r="B83" s="1078"/>
      <c r="C83" s="1078"/>
      <c r="D83" s="1078"/>
      <c r="E83" s="1835"/>
      <c r="F83" s="1833"/>
      <c r="G83" s="1833"/>
      <c r="H83" s="1833"/>
      <c r="I83" s="1833"/>
      <c r="J83" s="1833"/>
      <c r="K83" s="1833"/>
      <c r="L83" s="1833"/>
      <c r="M83" s="1833"/>
      <c r="N83" s="1833"/>
      <c r="O83" s="1833"/>
      <c r="P83" s="1833"/>
      <c r="Q83" s="1833"/>
      <c r="R83" s="1833"/>
      <c r="S83" s="1833"/>
      <c r="T83" s="1833"/>
      <c r="U83" s="1833"/>
      <c r="V83" s="1833"/>
      <c r="W83" s="1833"/>
      <c r="X83" s="1833"/>
    </row>
    <row r="84">
      <c r="A84" s="1078"/>
      <c r="B84" s="1078"/>
      <c r="C84" s="1078"/>
      <c r="D84" s="1078"/>
      <c r="E84" s="1835"/>
      <c r="F84" s="1833"/>
      <c r="G84" s="1833"/>
      <c r="H84" s="1833"/>
      <c r="I84" s="1833"/>
      <c r="J84" s="1833"/>
      <c r="K84" s="1833"/>
      <c r="L84" s="1833"/>
      <c r="M84" s="1833"/>
      <c r="N84" s="1833"/>
      <c r="O84" s="1833"/>
      <c r="P84" s="1833"/>
      <c r="Q84" s="1833"/>
      <c r="R84" s="1833"/>
      <c r="S84" s="1833"/>
      <c r="T84" s="1833"/>
      <c r="U84" s="1833"/>
      <c r="V84" s="1833"/>
      <c r="W84" s="1833"/>
      <c r="X84" s="1833"/>
    </row>
    <row r="85">
      <c r="A85" s="1078"/>
      <c r="B85" s="1078"/>
      <c r="C85" s="1078"/>
      <c r="D85" s="1078"/>
      <c r="E85" s="1835"/>
      <c r="F85" s="1833"/>
      <c r="G85" s="1833"/>
      <c r="H85" s="1833"/>
      <c r="I85" s="1833"/>
      <c r="J85" s="1833"/>
      <c r="K85" s="1833"/>
      <c r="L85" s="1833"/>
      <c r="M85" s="1833"/>
      <c r="N85" s="1833"/>
      <c r="O85" s="1833"/>
      <c r="P85" s="1833"/>
      <c r="Q85" s="1833"/>
      <c r="R85" s="1833"/>
      <c r="S85" s="1833"/>
      <c r="T85" s="1833"/>
      <c r="U85" s="1833"/>
      <c r="V85" s="1833"/>
      <c r="W85" s="1833"/>
      <c r="X85" s="1833"/>
    </row>
    <row r="86">
      <c r="A86" s="1078"/>
      <c r="B86" s="1078"/>
      <c r="C86" s="1078"/>
      <c r="D86" s="1078"/>
      <c r="E86" s="1835"/>
      <c r="F86" s="1833"/>
      <c r="G86" s="1833"/>
      <c r="H86" s="1833"/>
      <c r="I86" s="1833"/>
      <c r="J86" s="1833"/>
      <c r="K86" s="1833"/>
      <c r="L86" s="1833"/>
      <c r="M86" s="1833"/>
      <c r="N86" s="1833"/>
      <c r="O86" s="1833"/>
      <c r="P86" s="1833"/>
      <c r="Q86" s="1833"/>
      <c r="R86" s="1833"/>
      <c r="S86" s="1833"/>
      <c r="T86" s="1833"/>
      <c r="U86" s="1833"/>
      <c r="V86" s="1833"/>
      <c r="W86" s="1833"/>
      <c r="X86" s="1833"/>
    </row>
    <row r="87">
      <c r="A87" s="1852"/>
      <c r="B87" s="1852"/>
      <c r="C87" s="1078"/>
      <c r="D87" s="1078"/>
      <c r="E87" s="1835"/>
      <c r="F87" s="1833"/>
      <c r="G87" s="1833"/>
      <c r="H87" s="1833"/>
      <c r="I87" s="1833"/>
      <c r="J87" s="1833"/>
      <c r="K87" s="1833"/>
      <c r="L87" s="1833"/>
      <c r="M87" s="1833"/>
      <c r="N87" s="1833"/>
      <c r="O87" s="1833"/>
      <c r="P87" s="1833"/>
      <c r="Q87" s="1833"/>
      <c r="R87" s="1833"/>
      <c r="S87" s="1833"/>
      <c r="T87" s="1833"/>
      <c r="U87" s="1833"/>
      <c r="V87" s="1833"/>
      <c r="W87" s="1833"/>
      <c r="X87" s="1833"/>
    </row>
    <row r="88">
      <c r="A88" s="1078"/>
      <c r="B88" s="1078"/>
      <c r="C88" s="1078"/>
      <c r="D88" s="1078"/>
      <c r="E88" s="1835"/>
      <c r="F88" s="1833"/>
      <c r="G88" s="1833"/>
      <c r="H88" s="1833"/>
      <c r="I88" s="1833"/>
      <c r="J88" s="1833"/>
      <c r="K88" s="1833"/>
      <c r="L88" s="1833"/>
      <c r="M88" s="1833"/>
      <c r="N88" s="1833"/>
      <c r="O88" s="1833"/>
      <c r="P88" s="1833"/>
      <c r="Q88" s="1833"/>
      <c r="R88" s="1833"/>
      <c r="S88" s="1833"/>
      <c r="T88" s="1833"/>
      <c r="U88" s="1833"/>
      <c r="V88" s="1833"/>
      <c r="W88" s="1833"/>
      <c r="X88" s="1833"/>
    </row>
    <row r="89">
      <c r="A89" s="1078"/>
      <c r="B89" s="1078"/>
      <c r="C89" s="1078"/>
      <c r="D89" s="1078"/>
      <c r="E89" s="1835"/>
      <c r="F89" s="1833"/>
      <c r="G89" s="1833"/>
      <c r="H89" s="1833"/>
      <c r="I89" s="1833"/>
      <c r="J89" s="1833"/>
      <c r="K89" s="1833"/>
      <c r="L89" s="1833"/>
      <c r="M89" s="1833"/>
      <c r="N89" s="1833"/>
      <c r="O89" s="1833"/>
      <c r="P89" s="1833"/>
      <c r="Q89" s="1833"/>
      <c r="R89" s="1833"/>
      <c r="S89" s="1833"/>
      <c r="T89" s="1833"/>
      <c r="U89" s="1833"/>
      <c r="V89" s="1833"/>
      <c r="W89" s="1833"/>
      <c r="X89" s="1833"/>
    </row>
    <row r="90">
      <c r="A90" s="1078"/>
      <c r="B90" s="1078"/>
      <c r="C90" s="1078"/>
      <c r="D90" s="1078"/>
      <c r="E90" s="1835"/>
      <c r="F90" s="1833"/>
      <c r="G90" s="1833"/>
      <c r="H90" s="1833"/>
      <c r="I90" s="1833"/>
      <c r="J90" s="1833"/>
      <c r="K90" s="1833"/>
      <c r="L90" s="1833"/>
      <c r="M90" s="1833"/>
      <c r="N90" s="1833"/>
      <c r="O90" s="1833"/>
      <c r="P90" s="1833"/>
      <c r="Q90" s="1833"/>
      <c r="R90" s="1833"/>
      <c r="S90" s="1833"/>
      <c r="T90" s="1833"/>
      <c r="U90" s="1833"/>
      <c r="V90" s="1833"/>
      <c r="W90" s="1833"/>
      <c r="X90" s="1833"/>
    </row>
    <row r="91">
      <c r="A91" s="1852"/>
      <c r="B91" s="1852"/>
      <c r="C91" s="1078"/>
      <c r="D91" s="1837"/>
      <c r="E91" s="1835"/>
      <c r="F91" s="1833"/>
      <c r="G91" s="1833"/>
      <c r="H91" s="1833"/>
      <c r="I91" s="1833"/>
      <c r="J91" s="1833"/>
      <c r="K91" s="1833"/>
      <c r="L91" s="1833"/>
      <c r="M91" s="1833"/>
      <c r="N91" s="1833"/>
      <c r="O91" s="1833"/>
      <c r="P91" s="1833"/>
      <c r="Q91" s="1833"/>
      <c r="R91" s="1833"/>
      <c r="S91" s="1833"/>
      <c r="T91" s="1833"/>
      <c r="U91" s="1833"/>
      <c r="V91" s="1833"/>
      <c r="W91" s="1833"/>
      <c r="X91" s="1833"/>
    </row>
    <row r="92">
      <c r="A92" s="1078"/>
      <c r="B92" s="1078"/>
      <c r="C92" s="1078"/>
      <c r="D92" s="1078"/>
      <c r="E92" s="1835"/>
      <c r="F92" s="1833"/>
      <c r="G92" s="1833"/>
      <c r="H92" s="1833"/>
      <c r="I92" s="1833"/>
      <c r="J92" s="1833"/>
      <c r="K92" s="1833"/>
      <c r="L92" s="1833"/>
      <c r="M92" s="1833"/>
      <c r="N92" s="1833"/>
      <c r="O92" s="1833"/>
      <c r="P92" s="1833"/>
      <c r="Q92" s="1833"/>
      <c r="R92" s="1833"/>
      <c r="S92" s="1833"/>
      <c r="T92" s="1833"/>
      <c r="U92" s="1833"/>
      <c r="V92" s="1833"/>
      <c r="W92" s="1833"/>
      <c r="X92" s="1833"/>
    </row>
    <row r="93">
      <c r="A93" s="1078"/>
      <c r="B93" s="1078"/>
      <c r="C93" s="1078"/>
      <c r="D93" s="1078"/>
      <c r="E93" s="1835"/>
      <c r="F93" s="1833"/>
      <c r="G93" s="1833"/>
      <c r="H93" s="1833"/>
      <c r="I93" s="1833"/>
      <c r="J93" s="1833"/>
      <c r="K93" s="1833"/>
      <c r="L93" s="1833"/>
      <c r="M93" s="1833"/>
      <c r="N93" s="1833"/>
      <c r="O93" s="1833"/>
      <c r="P93" s="1833"/>
      <c r="Q93" s="1833"/>
      <c r="R93" s="1833"/>
      <c r="S93" s="1833"/>
      <c r="T93" s="1833"/>
      <c r="U93" s="1833"/>
      <c r="V93" s="1833"/>
      <c r="W93" s="1833"/>
      <c r="X93" s="1833"/>
    </row>
    <row r="94">
      <c r="A94" s="1078"/>
      <c r="B94" s="1078"/>
      <c r="C94" s="1078"/>
      <c r="D94" s="1078"/>
      <c r="E94" s="1835"/>
      <c r="F94" s="1833"/>
      <c r="G94" s="1833"/>
      <c r="H94" s="1833"/>
      <c r="I94" s="1833"/>
      <c r="J94" s="1833"/>
      <c r="K94" s="1833"/>
      <c r="L94" s="1833"/>
      <c r="M94" s="1833"/>
      <c r="N94" s="1833"/>
      <c r="O94" s="1833"/>
      <c r="P94" s="1833"/>
      <c r="Q94" s="1833"/>
      <c r="R94" s="1833"/>
      <c r="S94" s="1833"/>
      <c r="T94" s="1833"/>
      <c r="U94" s="1833"/>
      <c r="V94" s="1833"/>
      <c r="W94" s="1833"/>
      <c r="X94" s="1833"/>
    </row>
    <row r="95">
      <c r="A95" s="1852"/>
      <c r="B95" s="1852"/>
      <c r="C95" s="1835"/>
      <c r="D95" s="1835"/>
      <c r="E95" s="1835"/>
      <c r="F95" s="1833"/>
      <c r="G95" s="1833"/>
      <c r="H95" s="1833"/>
      <c r="I95" s="1833"/>
      <c r="J95" s="1833"/>
      <c r="K95" s="1833"/>
      <c r="L95" s="1833"/>
      <c r="M95" s="1833"/>
      <c r="N95" s="1833"/>
      <c r="O95" s="1833"/>
      <c r="P95" s="1833"/>
      <c r="Q95" s="1833"/>
      <c r="R95" s="1833"/>
      <c r="S95" s="1833"/>
      <c r="T95" s="1833"/>
      <c r="U95" s="1833"/>
      <c r="V95" s="1833"/>
      <c r="W95" s="1833"/>
      <c r="X95" s="1833"/>
    </row>
    <row r="96">
      <c r="A96" s="1078"/>
      <c r="B96" s="1078"/>
      <c r="C96" s="1078"/>
      <c r="D96" s="1837"/>
      <c r="E96" s="1835"/>
      <c r="F96" s="1833"/>
      <c r="G96" s="1833"/>
      <c r="H96" s="1833"/>
      <c r="I96" s="1833"/>
      <c r="J96" s="1833"/>
      <c r="K96" s="1833"/>
      <c r="L96" s="1833"/>
      <c r="M96" s="1833"/>
      <c r="N96" s="1833"/>
      <c r="O96" s="1833"/>
      <c r="P96" s="1833"/>
      <c r="Q96" s="1833"/>
      <c r="R96" s="1833"/>
      <c r="S96" s="1833"/>
      <c r="T96" s="1833"/>
      <c r="U96" s="1833"/>
      <c r="V96" s="1833"/>
      <c r="W96" s="1833"/>
      <c r="X96" s="1833"/>
    </row>
    <row r="97">
      <c r="A97" s="1078"/>
      <c r="B97" s="1078"/>
      <c r="C97" s="1853"/>
      <c r="D97" s="1854"/>
      <c r="E97" s="1835"/>
      <c r="F97" s="1833"/>
      <c r="G97" s="1833"/>
      <c r="H97" s="1833"/>
      <c r="I97" s="1833"/>
      <c r="J97" s="1833"/>
      <c r="K97" s="1833"/>
      <c r="L97" s="1833"/>
      <c r="M97" s="1833"/>
      <c r="N97" s="1833"/>
      <c r="O97" s="1833"/>
      <c r="P97" s="1833"/>
      <c r="Q97" s="1833"/>
      <c r="R97" s="1833"/>
      <c r="S97" s="1833"/>
      <c r="T97" s="1833"/>
      <c r="U97" s="1833"/>
      <c r="V97" s="1833"/>
      <c r="W97" s="1833"/>
      <c r="X97" s="1833"/>
    </row>
    <row r="98">
      <c r="A98" s="1852"/>
      <c r="B98" s="1852"/>
      <c r="C98" s="1078"/>
      <c r="D98" s="1837"/>
      <c r="E98" s="1835"/>
      <c r="F98" s="1833"/>
      <c r="G98" s="1833"/>
      <c r="H98" s="1833"/>
      <c r="I98" s="1833"/>
      <c r="J98" s="1833"/>
      <c r="K98" s="1833"/>
      <c r="L98" s="1833"/>
      <c r="M98" s="1833"/>
      <c r="N98" s="1833"/>
      <c r="O98" s="1833"/>
      <c r="P98" s="1833"/>
      <c r="Q98" s="1833"/>
      <c r="R98" s="1833"/>
      <c r="S98" s="1833"/>
      <c r="T98" s="1833"/>
      <c r="U98" s="1833"/>
      <c r="V98" s="1833"/>
      <c r="W98" s="1833"/>
      <c r="X98" s="1833"/>
    </row>
    <row r="99">
      <c r="A99" s="1078"/>
      <c r="B99" s="1078"/>
      <c r="C99" s="1078"/>
      <c r="D99" s="1078"/>
      <c r="E99" s="1835"/>
      <c r="F99" s="1833"/>
      <c r="G99" s="1833"/>
      <c r="H99" s="1833"/>
      <c r="I99" s="1833"/>
      <c r="J99" s="1833"/>
      <c r="K99" s="1833"/>
      <c r="L99" s="1833"/>
      <c r="M99" s="1833"/>
      <c r="N99" s="1833"/>
      <c r="O99" s="1833"/>
      <c r="P99" s="1833"/>
      <c r="Q99" s="1833"/>
      <c r="R99" s="1833"/>
      <c r="S99" s="1833"/>
      <c r="T99" s="1833"/>
      <c r="U99" s="1833"/>
      <c r="V99" s="1833"/>
      <c r="W99" s="1833"/>
      <c r="X99" s="1833"/>
    </row>
    <row r="100">
      <c r="A100" s="1078"/>
      <c r="B100" s="1078"/>
      <c r="C100" s="1078"/>
      <c r="D100" s="1078"/>
      <c r="E100" s="1835"/>
      <c r="F100" s="1833"/>
      <c r="G100" s="1833"/>
      <c r="H100" s="1833"/>
      <c r="I100" s="1833"/>
      <c r="J100" s="1833"/>
      <c r="K100" s="1833"/>
      <c r="L100" s="1833"/>
      <c r="M100" s="1833"/>
      <c r="N100" s="1833"/>
      <c r="O100" s="1833"/>
      <c r="P100" s="1833"/>
      <c r="Q100" s="1833"/>
      <c r="R100" s="1833"/>
      <c r="S100" s="1833"/>
      <c r="T100" s="1833"/>
      <c r="U100" s="1833"/>
      <c r="V100" s="1833"/>
      <c r="W100" s="1833"/>
      <c r="X100" s="1833"/>
    </row>
    <row r="101">
      <c r="A101" s="1078"/>
      <c r="B101" s="1078"/>
      <c r="C101" s="1078"/>
      <c r="D101" s="1078"/>
      <c r="E101" s="1835"/>
      <c r="F101" s="1833"/>
      <c r="G101" s="1833"/>
      <c r="H101" s="1833"/>
      <c r="I101" s="1833"/>
      <c r="J101" s="1833"/>
      <c r="K101" s="1833"/>
      <c r="L101" s="1833"/>
      <c r="M101" s="1833"/>
      <c r="N101" s="1833"/>
      <c r="O101" s="1833"/>
      <c r="P101" s="1833"/>
      <c r="Q101" s="1833"/>
      <c r="R101" s="1833"/>
      <c r="S101" s="1833"/>
      <c r="T101" s="1833"/>
      <c r="U101" s="1833"/>
      <c r="V101" s="1833"/>
      <c r="W101" s="1833"/>
      <c r="X101" s="1833"/>
    </row>
    <row r="102">
      <c r="A102" s="1852"/>
      <c r="B102" s="1852"/>
      <c r="C102" s="1078"/>
      <c r="D102" s="1078"/>
      <c r="E102" s="1835"/>
      <c r="F102" s="1833"/>
      <c r="G102" s="1833"/>
      <c r="H102" s="1833"/>
      <c r="I102" s="1833"/>
      <c r="J102" s="1833"/>
      <c r="K102" s="1833"/>
      <c r="L102" s="1833"/>
      <c r="M102" s="1833"/>
      <c r="N102" s="1833"/>
      <c r="O102" s="1833"/>
      <c r="P102" s="1833"/>
      <c r="Q102" s="1833"/>
      <c r="R102" s="1833"/>
      <c r="S102" s="1833"/>
      <c r="T102" s="1833"/>
      <c r="U102" s="1833"/>
      <c r="V102" s="1833"/>
      <c r="W102" s="1833"/>
      <c r="X102" s="1833"/>
    </row>
    <row r="103">
      <c r="A103" s="1078"/>
      <c r="B103" s="1078"/>
      <c r="C103" s="1078"/>
      <c r="D103" s="1078"/>
      <c r="E103" s="1835"/>
      <c r="F103" s="1833"/>
      <c r="G103" s="1833"/>
      <c r="H103" s="1833"/>
      <c r="I103" s="1833"/>
      <c r="J103" s="1833"/>
      <c r="K103" s="1833"/>
      <c r="L103" s="1833"/>
      <c r="M103" s="1833"/>
      <c r="N103" s="1833"/>
      <c r="O103" s="1833"/>
      <c r="P103" s="1833"/>
      <c r="Q103" s="1833"/>
      <c r="R103" s="1833"/>
      <c r="S103" s="1833"/>
      <c r="T103" s="1833"/>
      <c r="U103" s="1833"/>
      <c r="V103" s="1833"/>
      <c r="W103" s="1833"/>
      <c r="X103" s="1833"/>
    </row>
    <row r="104">
      <c r="A104" s="1852"/>
      <c r="B104" s="1852"/>
      <c r="C104" s="1078"/>
      <c r="D104" s="1078"/>
      <c r="E104" s="1835"/>
      <c r="F104" s="1833"/>
      <c r="G104" s="1833"/>
      <c r="H104" s="1833"/>
      <c r="I104" s="1833"/>
      <c r="J104" s="1833"/>
      <c r="K104" s="1833"/>
      <c r="L104" s="1833"/>
      <c r="M104" s="1833"/>
      <c r="N104" s="1833"/>
      <c r="O104" s="1833"/>
      <c r="P104" s="1833"/>
      <c r="Q104" s="1833"/>
      <c r="R104" s="1833"/>
      <c r="S104" s="1833"/>
      <c r="T104" s="1833"/>
      <c r="U104" s="1833"/>
      <c r="V104" s="1833"/>
      <c r="W104" s="1833"/>
      <c r="X104" s="1833"/>
    </row>
    <row r="105">
      <c r="A105" s="1078"/>
      <c r="B105" s="1078"/>
      <c r="C105" s="1835"/>
      <c r="D105" s="1835"/>
      <c r="E105" s="1835"/>
      <c r="F105" s="1833"/>
      <c r="G105" s="1833"/>
      <c r="H105" s="1833"/>
      <c r="I105" s="1833"/>
      <c r="J105" s="1833"/>
      <c r="K105" s="1833"/>
      <c r="L105" s="1833"/>
      <c r="M105" s="1833"/>
      <c r="N105" s="1833"/>
      <c r="O105" s="1833"/>
      <c r="P105" s="1833"/>
      <c r="Q105" s="1833"/>
      <c r="R105" s="1833"/>
      <c r="S105" s="1833"/>
      <c r="T105" s="1833"/>
      <c r="U105" s="1833"/>
      <c r="V105" s="1833"/>
      <c r="W105" s="1833"/>
      <c r="X105" s="1833"/>
    </row>
    <row r="106">
      <c r="A106" s="1078"/>
      <c r="B106" s="1078"/>
      <c r="C106" s="1855"/>
      <c r="D106" s="1855"/>
      <c r="E106" s="1835"/>
      <c r="F106" s="1833"/>
      <c r="G106" s="1833"/>
      <c r="H106" s="1833"/>
      <c r="I106" s="1833"/>
      <c r="J106" s="1833"/>
      <c r="K106" s="1833"/>
      <c r="L106" s="1833"/>
      <c r="M106" s="1833"/>
      <c r="N106" s="1833"/>
      <c r="O106" s="1833"/>
      <c r="P106" s="1833"/>
      <c r="Q106" s="1833"/>
      <c r="R106" s="1833"/>
      <c r="S106" s="1833"/>
      <c r="T106" s="1833"/>
      <c r="U106" s="1833"/>
      <c r="V106" s="1833"/>
      <c r="W106" s="1833"/>
      <c r="X106" s="1833"/>
    </row>
    <row r="107">
      <c r="A107" s="1078"/>
      <c r="B107" s="1078"/>
      <c r="C107" s="1078"/>
      <c r="D107" s="1078"/>
      <c r="E107" s="1835"/>
      <c r="F107" s="1833"/>
      <c r="G107" s="1833"/>
      <c r="H107" s="1833"/>
      <c r="I107" s="1833"/>
      <c r="J107" s="1833"/>
      <c r="K107" s="1833"/>
      <c r="L107" s="1833"/>
      <c r="M107" s="1833"/>
      <c r="N107" s="1833"/>
      <c r="O107" s="1833"/>
      <c r="P107" s="1833"/>
      <c r="Q107" s="1833"/>
      <c r="R107" s="1833"/>
      <c r="S107" s="1833"/>
      <c r="T107" s="1833"/>
      <c r="U107" s="1833"/>
      <c r="V107" s="1833"/>
      <c r="W107" s="1833"/>
      <c r="X107" s="1833"/>
    </row>
    <row r="108">
      <c r="A108" s="1078"/>
      <c r="B108" s="1078"/>
      <c r="C108" s="1078"/>
      <c r="D108" s="1078"/>
      <c r="E108" s="1835"/>
      <c r="F108" s="1833"/>
      <c r="G108" s="1833"/>
      <c r="H108" s="1833"/>
      <c r="I108" s="1833"/>
      <c r="J108" s="1833"/>
      <c r="K108" s="1833"/>
      <c r="L108" s="1833"/>
      <c r="M108" s="1833"/>
      <c r="N108" s="1833"/>
      <c r="O108" s="1833"/>
      <c r="P108" s="1833"/>
      <c r="Q108" s="1833"/>
      <c r="R108" s="1833"/>
      <c r="S108" s="1833"/>
      <c r="T108" s="1833"/>
      <c r="U108" s="1833"/>
      <c r="V108" s="1833"/>
      <c r="W108" s="1833"/>
      <c r="X108" s="1833"/>
    </row>
    <row r="109">
      <c r="A109" s="1078"/>
      <c r="B109" s="1078"/>
      <c r="C109" s="1156"/>
      <c r="D109" s="1854"/>
      <c r="E109" s="1835"/>
      <c r="F109" s="1833"/>
      <c r="G109" s="1833"/>
      <c r="H109" s="1833"/>
      <c r="I109" s="1833"/>
      <c r="J109" s="1833"/>
      <c r="K109" s="1833"/>
      <c r="L109" s="1833"/>
      <c r="M109" s="1833"/>
      <c r="N109" s="1833"/>
      <c r="O109" s="1833"/>
      <c r="P109" s="1833"/>
      <c r="Q109" s="1833"/>
      <c r="R109" s="1833"/>
      <c r="S109" s="1833"/>
      <c r="T109" s="1833"/>
      <c r="U109" s="1833"/>
      <c r="V109" s="1833"/>
      <c r="W109" s="1833"/>
      <c r="X109" s="1833"/>
    </row>
    <row r="110">
      <c r="A110" s="1078"/>
      <c r="B110" s="1078"/>
      <c r="C110" s="1078"/>
      <c r="D110" s="1078"/>
      <c r="E110" s="1835"/>
      <c r="F110" s="1833"/>
      <c r="G110" s="1833"/>
      <c r="H110" s="1833"/>
      <c r="I110" s="1833"/>
      <c r="J110" s="1833"/>
      <c r="K110" s="1833"/>
      <c r="L110" s="1833"/>
      <c r="M110" s="1833"/>
      <c r="N110" s="1833"/>
      <c r="O110" s="1833"/>
      <c r="P110" s="1833"/>
      <c r="Q110" s="1833"/>
      <c r="R110" s="1833"/>
      <c r="S110" s="1833"/>
      <c r="T110" s="1833"/>
      <c r="U110" s="1833"/>
      <c r="V110" s="1833"/>
      <c r="W110" s="1833"/>
      <c r="X110" s="1833"/>
    </row>
    <row r="111">
      <c r="A111" s="1078"/>
      <c r="B111" s="1078"/>
      <c r="C111" s="1078"/>
      <c r="D111" s="1078"/>
      <c r="E111" s="1835"/>
      <c r="F111" s="1833"/>
      <c r="G111" s="1833"/>
      <c r="H111" s="1833"/>
      <c r="I111" s="1833"/>
      <c r="J111" s="1833"/>
      <c r="K111" s="1833"/>
      <c r="L111" s="1833"/>
      <c r="M111" s="1833"/>
      <c r="N111" s="1833"/>
      <c r="O111" s="1833"/>
      <c r="P111" s="1833"/>
      <c r="Q111" s="1833"/>
      <c r="R111" s="1833"/>
      <c r="S111" s="1833"/>
      <c r="T111" s="1833"/>
      <c r="U111" s="1833"/>
      <c r="V111" s="1833"/>
      <c r="W111" s="1833"/>
      <c r="X111" s="1833"/>
    </row>
    <row r="112">
      <c r="A112" s="1078"/>
      <c r="B112" s="1078"/>
      <c r="C112" s="1078"/>
      <c r="D112" s="1837"/>
      <c r="E112" s="1835"/>
      <c r="F112" s="1833"/>
      <c r="G112" s="1833"/>
      <c r="H112" s="1833"/>
      <c r="I112" s="1833"/>
      <c r="J112" s="1833"/>
      <c r="K112" s="1833"/>
      <c r="L112" s="1833"/>
      <c r="M112" s="1833"/>
      <c r="N112" s="1833"/>
      <c r="O112" s="1833"/>
      <c r="P112" s="1833"/>
      <c r="Q112" s="1833"/>
      <c r="R112" s="1833"/>
      <c r="S112" s="1833"/>
      <c r="T112" s="1833"/>
      <c r="U112" s="1833"/>
      <c r="V112" s="1833"/>
      <c r="W112" s="1833"/>
      <c r="X112" s="1833"/>
    </row>
    <row r="113">
      <c r="A113" s="1078"/>
      <c r="B113" s="1078"/>
      <c r="C113" s="1078"/>
      <c r="D113" s="1078"/>
      <c r="E113" s="1835"/>
      <c r="F113" s="1833"/>
      <c r="G113" s="1833"/>
      <c r="H113" s="1833"/>
      <c r="I113" s="1833"/>
      <c r="J113" s="1833"/>
      <c r="K113" s="1833"/>
      <c r="L113" s="1833"/>
      <c r="M113" s="1833"/>
      <c r="N113" s="1833"/>
      <c r="O113" s="1833"/>
      <c r="P113" s="1833"/>
      <c r="Q113" s="1833"/>
      <c r="R113" s="1833"/>
      <c r="S113" s="1833"/>
      <c r="T113" s="1833"/>
      <c r="U113" s="1833"/>
      <c r="V113" s="1833"/>
      <c r="W113" s="1833"/>
      <c r="X113" s="1833"/>
    </row>
    <row r="114">
      <c r="A114" s="1078"/>
      <c r="B114" s="1078"/>
      <c r="C114" s="1156"/>
      <c r="D114" s="1856"/>
      <c r="E114" s="1835"/>
      <c r="F114" s="1833"/>
      <c r="G114" s="1833"/>
      <c r="H114" s="1833"/>
      <c r="I114" s="1833"/>
      <c r="J114" s="1833"/>
      <c r="K114" s="1833"/>
      <c r="L114" s="1833"/>
      <c r="M114" s="1833"/>
      <c r="N114" s="1833"/>
      <c r="O114" s="1833"/>
      <c r="P114" s="1833"/>
      <c r="Q114" s="1833"/>
      <c r="R114" s="1833"/>
      <c r="S114" s="1833"/>
      <c r="T114" s="1833"/>
      <c r="U114" s="1833"/>
      <c r="V114" s="1833"/>
      <c r="W114" s="1833"/>
      <c r="X114" s="1833"/>
    </row>
    <row r="115">
      <c r="A115" s="1078"/>
      <c r="B115" s="1078"/>
      <c r="C115" s="1078"/>
      <c r="D115" s="1078"/>
      <c r="E115" s="1835"/>
      <c r="F115" s="1833"/>
      <c r="G115" s="1833"/>
      <c r="H115" s="1833"/>
      <c r="I115" s="1833"/>
      <c r="J115" s="1833"/>
      <c r="K115" s="1833"/>
      <c r="L115" s="1833"/>
      <c r="M115" s="1833"/>
      <c r="N115" s="1833"/>
      <c r="O115" s="1833"/>
      <c r="P115" s="1833"/>
      <c r="Q115" s="1833"/>
      <c r="R115" s="1833"/>
      <c r="S115" s="1833"/>
      <c r="T115" s="1833"/>
      <c r="U115" s="1833"/>
      <c r="V115" s="1833"/>
      <c r="W115" s="1833"/>
      <c r="X115" s="1833"/>
    </row>
    <row r="116">
      <c r="A116" s="1078"/>
      <c r="B116" s="1078"/>
      <c r="C116" s="1835"/>
      <c r="D116" s="1835"/>
      <c r="E116" s="1835"/>
      <c r="F116" s="1833"/>
      <c r="G116" s="1833"/>
      <c r="H116" s="1833"/>
      <c r="I116" s="1833"/>
      <c r="J116" s="1833"/>
      <c r="K116" s="1833"/>
      <c r="L116" s="1833"/>
      <c r="M116" s="1833"/>
      <c r="N116" s="1833"/>
      <c r="O116" s="1833"/>
      <c r="P116" s="1833"/>
      <c r="Q116" s="1833"/>
      <c r="R116" s="1833"/>
      <c r="S116" s="1833"/>
      <c r="T116" s="1833"/>
      <c r="U116" s="1833"/>
      <c r="V116" s="1833"/>
      <c r="W116" s="1833"/>
      <c r="X116" s="1833"/>
    </row>
    <row r="117">
      <c r="A117" s="1078"/>
      <c r="B117" s="1078"/>
      <c r="C117" s="1078"/>
      <c r="D117" s="1835"/>
      <c r="E117" s="1835"/>
      <c r="F117" s="1833"/>
      <c r="G117" s="1833"/>
      <c r="H117" s="1833"/>
      <c r="I117" s="1833"/>
      <c r="J117" s="1833"/>
      <c r="K117" s="1833"/>
      <c r="L117" s="1833"/>
      <c r="M117" s="1833"/>
      <c r="N117" s="1833"/>
      <c r="O117" s="1833"/>
      <c r="P117" s="1833"/>
      <c r="Q117" s="1833"/>
      <c r="R117" s="1833"/>
      <c r="S117" s="1833"/>
      <c r="T117" s="1833"/>
      <c r="U117" s="1833"/>
      <c r="V117" s="1833"/>
      <c r="W117" s="1833"/>
      <c r="X117" s="1833"/>
    </row>
    <row r="118">
      <c r="A118" s="1078"/>
      <c r="B118" s="1078"/>
      <c r="C118" s="1078"/>
      <c r="D118" s="1078"/>
      <c r="E118" s="1835"/>
      <c r="F118" s="1833"/>
      <c r="G118" s="1833"/>
      <c r="H118" s="1833"/>
      <c r="I118" s="1833"/>
      <c r="J118" s="1833"/>
      <c r="K118" s="1833"/>
      <c r="L118" s="1833"/>
      <c r="M118" s="1833"/>
      <c r="N118" s="1833"/>
      <c r="O118" s="1833"/>
      <c r="P118" s="1833"/>
      <c r="Q118" s="1833"/>
      <c r="R118" s="1833"/>
      <c r="S118" s="1833"/>
      <c r="T118" s="1833"/>
      <c r="U118" s="1833"/>
      <c r="V118" s="1833"/>
      <c r="W118" s="1833"/>
      <c r="X118" s="1833"/>
    </row>
    <row r="119">
      <c r="A119" s="1078"/>
      <c r="B119" s="1078"/>
      <c r="C119" s="1078"/>
      <c r="D119" s="1078"/>
      <c r="E119" s="1835"/>
      <c r="F119" s="1833"/>
      <c r="G119" s="1833"/>
      <c r="H119" s="1833"/>
      <c r="I119" s="1833"/>
      <c r="J119" s="1833"/>
      <c r="K119" s="1833"/>
      <c r="L119" s="1833"/>
      <c r="M119" s="1833"/>
      <c r="N119" s="1833"/>
      <c r="O119" s="1833"/>
      <c r="P119" s="1833"/>
      <c r="Q119" s="1833"/>
      <c r="R119" s="1833"/>
      <c r="S119" s="1833"/>
      <c r="T119" s="1833"/>
      <c r="U119" s="1833"/>
      <c r="V119" s="1833"/>
      <c r="W119" s="1833"/>
      <c r="X119" s="1833"/>
    </row>
    <row r="120">
      <c r="A120" s="1078"/>
      <c r="B120" s="1078"/>
      <c r="C120" s="920"/>
      <c r="D120" s="1156"/>
      <c r="E120" s="1835"/>
      <c r="F120" s="1833"/>
      <c r="G120" s="1833"/>
      <c r="H120" s="1833"/>
      <c r="I120" s="1833"/>
      <c r="J120" s="1833"/>
      <c r="K120" s="1833"/>
      <c r="L120" s="1833"/>
      <c r="M120" s="1833"/>
      <c r="N120" s="1833"/>
      <c r="O120" s="1833"/>
      <c r="P120" s="1833"/>
      <c r="Q120" s="1833"/>
      <c r="R120" s="1833"/>
      <c r="S120" s="1833"/>
      <c r="T120" s="1833"/>
      <c r="U120" s="1833"/>
      <c r="V120" s="1833"/>
      <c r="W120" s="1833"/>
      <c r="X120" s="1833"/>
    </row>
    <row r="121">
      <c r="A121" s="1078"/>
      <c r="B121" s="1078"/>
      <c r="C121" s="1078"/>
      <c r="D121" s="1078"/>
      <c r="E121" s="1835"/>
      <c r="F121" s="1833"/>
      <c r="G121" s="1833"/>
      <c r="H121" s="1833"/>
      <c r="I121" s="1833"/>
      <c r="J121" s="1833"/>
      <c r="K121" s="1833"/>
      <c r="L121" s="1833"/>
      <c r="M121" s="1833"/>
      <c r="N121" s="1833"/>
      <c r="O121" s="1833"/>
      <c r="P121" s="1833"/>
      <c r="Q121" s="1833"/>
      <c r="R121" s="1833"/>
      <c r="S121" s="1833"/>
      <c r="T121" s="1833"/>
      <c r="U121" s="1833"/>
      <c r="V121" s="1833"/>
      <c r="W121" s="1833"/>
      <c r="X121" s="1833"/>
    </row>
    <row r="122">
      <c r="A122" s="1078"/>
      <c r="B122" s="1078"/>
      <c r="C122" s="1835"/>
      <c r="D122" s="1078"/>
      <c r="E122" s="1835"/>
      <c r="F122" s="1833"/>
      <c r="G122" s="1833"/>
      <c r="H122" s="1833"/>
      <c r="I122" s="1833"/>
      <c r="J122" s="1833"/>
      <c r="K122" s="1833"/>
      <c r="L122" s="1833"/>
      <c r="M122" s="1833"/>
      <c r="N122" s="1833"/>
      <c r="O122" s="1833"/>
      <c r="P122" s="1833"/>
      <c r="Q122" s="1833"/>
      <c r="R122" s="1833"/>
      <c r="S122" s="1833"/>
      <c r="T122" s="1833"/>
      <c r="U122" s="1833"/>
      <c r="V122" s="1833"/>
      <c r="W122" s="1833"/>
      <c r="X122" s="1833"/>
    </row>
    <row r="123">
      <c r="A123" s="1078"/>
      <c r="B123" s="1078"/>
      <c r="C123" s="1078"/>
      <c r="D123" s="1078"/>
      <c r="E123" s="1835"/>
      <c r="F123" s="1833"/>
      <c r="G123" s="1833"/>
      <c r="H123" s="1833"/>
      <c r="I123" s="1833"/>
      <c r="J123" s="1833"/>
      <c r="K123" s="1833"/>
      <c r="L123" s="1833"/>
      <c r="M123" s="1833"/>
      <c r="N123" s="1833"/>
      <c r="O123" s="1833"/>
      <c r="P123" s="1833"/>
      <c r="Q123" s="1833"/>
      <c r="R123" s="1833"/>
      <c r="S123" s="1833"/>
      <c r="T123" s="1833"/>
      <c r="U123" s="1833"/>
      <c r="V123" s="1833"/>
      <c r="W123" s="1833"/>
      <c r="X123" s="1833"/>
    </row>
    <row r="124">
      <c r="A124" s="1078"/>
      <c r="B124" s="1078"/>
      <c r="C124" s="1078"/>
      <c r="D124" s="1078"/>
      <c r="E124" s="1835"/>
      <c r="F124" s="1833"/>
      <c r="G124" s="1833"/>
      <c r="H124" s="1833"/>
      <c r="I124" s="1833"/>
      <c r="J124" s="1833"/>
      <c r="K124" s="1833"/>
      <c r="L124" s="1833"/>
      <c r="M124" s="1833"/>
      <c r="N124" s="1833"/>
      <c r="O124" s="1833"/>
      <c r="P124" s="1833"/>
      <c r="Q124" s="1833"/>
      <c r="R124" s="1833"/>
      <c r="S124" s="1833"/>
      <c r="T124" s="1833"/>
      <c r="U124" s="1833"/>
      <c r="V124" s="1833"/>
      <c r="W124" s="1833"/>
      <c r="X124" s="1833"/>
    </row>
    <row r="125">
      <c r="A125" s="1078"/>
      <c r="B125" s="1078"/>
      <c r="C125" s="1078"/>
      <c r="D125" s="1078"/>
      <c r="E125" s="1835"/>
      <c r="F125" s="1833"/>
      <c r="G125" s="1833"/>
      <c r="H125" s="1833"/>
      <c r="I125" s="1833"/>
      <c r="J125" s="1833"/>
      <c r="K125" s="1833"/>
      <c r="L125" s="1833"/>
      <c r="M125" s="1833"/>
      <c r="N125" s="1833"/>
      <c r="O125" s="1833"/>
      <c r="P125" s="1833"/>
      <c r="Q125" s="1833"/>
      <c r="R125" s="1833"/>
      <c r="S125" s="1833"/>
      <c r="T125" s="1833"/>
      <c r="U125" s="1833"/>
      <c r="V125" s="1833"/>
      <c r="W125" s="1833"/>
      <c r="X125" s="1833"/>
    </row>
    <row r="126">
      <c r="A126" s="1078"/>
      <c r="B126" s="1078"/>
      <c r="C126" s="1835"/>
      <c r="D126" s="1078"/>
      <c r="E126" s="1835"/>
      <c r="F126" s="1833"/>
      <c r="G126" s="1833"/>
      <c r="H126" s="1833"/>
      <c r="I126" s="1833"/>
      <c r="J126" s="1833"/>
      <c r="K126" s="1833"/>
      <c r="L126" s="1833"/>
      <c r="M126" s="1833"/>
      <c r="N126" s="1833"/>
      <c r="O126" s="1833"/>
      <c r="P126" s="1833"/>
      <c r="Q126" s="1833"/>
      <c r="R126" s="1833"/>
      <c r="S126" s="1833"/>
      <c r="T126" s="1833"/>
      <c r="U126" s="1833"/>
      <c r="V126" s="1833"/>
      <c r="W126" s="1833"/>
      <c r="X126" s="1833"/>
    </row>
    <row r="127">
      <c r="A127" s="1078"/>
      <c r="B127" s="1078"/>
      <c r="C127" s="1835"/>
      <c r="D127" s="1078"/>
      <c r="E127" s="1835"/>
      <c r="F127" s="1833"/>
      <c r="G127" s="1833"/>
      <c r="H127" s="1833"/>
      <c r="I127" s="1833"/>
      <c r="J127" s="1833"/>
      <c r="K127" s="1833"/>
      <c r="L127" s="1833"/>
      <c r="M127" s="1833"/>
      <c r="N127" s="1833"/>
      <c r="O127" s="1833"/>
      <c r="P127" s="1833"/>
      <c r="Q127" s="1833"/>
      <c r="R127" s="1833"/>
      <c r="S127" s="1833"/>
      <c r="T127" s="1833"/>
      <c r="U127" s="1833"/>
      <c r="V127" s="1833"/>
      <c r="W127" s="1833"/>
      <c r="X127" s="1833"/>
    </row>
    <row r="128">
      <c r="A128" s="1078"/>
      <c r="B128" s="1078"/>
      <c r="C128" s="1078"/>
      <c r="D128" s="1078"/>
      <c r="E128" s="1835"/>
      <c r="F128" s="1833"/>
      <c r="G128" s="1833"/>
      <c r="H128" s="1833"/>
      <c r="I128" s="1833"/>
      <c r="J128" s="1833"/>
      <c r="K128" s="1833"/>
      <c r="L128" s="1833"/>
      <c r="M128" s="1833"/>
      <c r="N128" s="1833"/>
      <c r="O128" s="1833"/>
      <c r="P128" s="1833"/>
      <c r="Q128" s="1833"/>
      <c r="R128" s="1833"/>
      <c r="S128" s="1833"/>
      <c r="T128" s="1833"/>
      <c r="U128" s="1833"/>
      <c r="V128" s="1833"/>
      <c r="W128" s="1833"/>
      <c r="X128" s="1833"/>
    </row>
    <row r="129">
      <c r="A129" s="1078"/>
      <c r="B129" s="1078"/>
      <c r="C129" s="1078"/>
      <c r="D129" s="1835"/>
      <c r="E129" s="1835"/>
      <c r="F129" s="1833"/>
      <c r="G129" s="1833"/>
      <c r="H129" s="1833"/>
      <c r="I129" s="1833"/>
      <c r="J129" s="1833"/>
      <c r="K129" s="1833"/>
      <c r="L129" s="1833"/>
      <c r="M129" s="1833"/>
      <c r="N129" s="1833"/>
      <c r="O129" s="1833"/>
      <c r="P129" s="1833"/>
      <c r="Q129" s="1833"/>
      <c r="R129" s="1833"/>
      <c r="S129" s="1833"/>
      <c r="T129" s="1833"/>
      <c r="U129" s="1833"/>
      <c r="V129" s="1833"/>
      <c r="W129" s="1833"/>
      <c r="X129" s="1833"/>
    </row>
    <row r="130">
      <c r="A130" s="1078"/>
      <c r="B130" s="1078"/>
      <c r="C130" s="920"/>
      <c r="D130" s="1156"/>
      <c r="E130" s="1835"/>
      <c r="F130" s="1833"/>
      <c r="G130" s="1833"/>
      <c r="H130" s="1833"/>
      <c r="I130" s="1833"/>
      <c r="J130" s="1833"/>
      <c r="K130" s="1833"/>
      <c r="L130" s="1833"/>
      <c r="M130" s="1833"/>
      <c r="N130" s="1833"/>
      <c r="O130" s="1833"/>
      <c r="P130" s="1833"/>
      <c r="Q130" s="1833"/>
      <c r="R130" s="1833"/>
      <c r="S130" s="1833"/>
      <c r="T130" s="1833"/>
      <c r="U130" s="1833"/>
      <c r="V130" s="1833"/>
      <c r="W130" s="1833"/>
      <c r="X130" s="1833"/>
    </row>
    <row r="131">
      <c r="A131" s="1078"/>
      <c r="B131" s="1078"/>
      <c r="C131" s="1078"/>
      <c r="D131" s="1078"/>
      <c r="E131" s="1835"/>
      <c r="F131" s="1833"/>
      <c r="G131" s="1833"/>
      <c r="H131" s="1833"/>
      <c r="I131" s="1833"/>
      <c r="J131" s="1833"/>
      <c r="K131" s="1833"/>
      <c r="L131" s="1833"/>
      <c r="M131" s="1833"/>
      <c r="N131" s="1833"/>
      <c r="O131" s="1833"/>
      <c r="P131" s="1833"/>
      <c r="Q131" s="1833"/>
      <c r="R131" s="1833"/>
      <c r="S131" s="1833"/>
      <c r="T131" s="1833"/>
      <c r="U131" s="1833"/>
      <c r="V131" s="1833"/>
      <c r="W131" s="1833"/>
      <c r="X131" s="1833"/>
    </row>
    <row r="132">
      <c r="A132" s="1078"/>
      <c r="B132" s="1078"/>
      <c r="C132" s="1078"/>
      <c r="D132" s="1078"/>
      <c r="E132" s="1835"/>
      <c r="F132" s="1833"/>
      <c r="G132" s="1833"/>
      <c r="H132" s="1833"/>
      <c r="I132" s="1833"/>
      <c r="J132" s="1833"/>
      <c r="K132" s="1833"/>
      <c r="L132" s="1833"/>
      <c r="M132" s="1833"/>
      <c r="N132" s="1833"/>
      <c r="O132" s="1833"/>
      <c r="P132" s="1833"/>
      <c r="Q132" s="1833"/>
      <c r="R132" s="1833"/>
      <c r="S132" s="1833"/>
      <c r="T132" s="1833"/>
      <c r="U132" s="1833"/>
      <c r="V132" s="1833"/>
      <c r="W132" s="1833"/>
      <c r="X132" s="1833"/>
    </row>
    <row r="133">
      <c r="A133" s="1078"/>
      <c r="B133" s="1078"/>
      <c r="C133" s="1835"/>
      <c r="D133" s="1078"/>
      <c r="E133" s="1835"/>
      <c r="F133" s="1833"/>
      <c r="G133" s="1833"/>
      <c r="H133" s="1833"/>
      <c r="I133" s="1833"/>
      <c r="J133" s="1833"/>
      <c r="K133" s="1833"/>
      <c r="L133" s="1833"/>
      <c r="M133" s="1833"/>
      <c r="N133" s="1833"/>
      <c r="O133" s="1833"/>
      <c r="P133" s="1833"/>
      <c r="Q133" s="1833"/>
      <c r="R133" s="1833"/>
      <c r="S133" s="1833"/>
      <c r="T133" s="1833"/>
      <c r="U133" s="1833"/>
      <c r="V133" s="1833"/>
      <c r="W133" s="1833"/>
      <c r="X133" s="1833"/>
    </row>
    <row r="134">
      <c r="A134" s="1078"/>
      <c r="B134" s="1078"/>
      <c r="C134" s="1835"/>
      <c r="D134" s="1835"/>
      <c r="E134" s="1835"/>
      <c r="F134" s="1833"/>
      <c r="G134" s="1833"/>
      <c r="H134" s="1833"/>
      <c r="I134" s="1833"/>
      <c r="J134" s="1833"/>
      <c r="K134" s="1833"/>
      <c r="L134" s="1833"/>
      <c r="M134" s="1833"/>
      <c r="N134" s="1833"/>
      <c r="O134" s="1833"/>
      <c r="P134" s="1833"/>
      <c r="Q134" s="1833"/>
      <c r="R134" s="1833"/>
      <c r="S134" s="1833"/>
      <c r="T134" s="1833"/>
      <c r="U134" s="1833"/>
      <c r="V134" s="1833"/>
      <c r="W134" s="1833"/>
      <c r="X134" s="1833"/>
    </row>
    <row r="135">
      <c r="A135" s="1078"/>
      <c r="B135" s="1078"/>
      <c r="C135" s="1078"/>
      <c r="D135" s="1837"/>
      <c r="E135" s="1835"/>
      <c r="F135" s="1833"/>
      <c r="G135" s="1833"/>
      <c r="H135" s="1833"/>
      <c r="I135" s="1833"/>
      <c r="J135" s="1833"/>
      <c r="K135" s="1833"/>
      <c r="L135" s="1833"/>
      <c r="M135" s="1833"/>
      <c r="N135" s="1833"/>
      <c r="O135" s="1833"/>
      <c r="P135" s="1833"/>
      <c r="Q135" s="1833"/>
      <c r="R135" s="1833"/>
      <c r="S135" s="1833"/>
      <c r="T135" s="1833"/>
      <c r="U135" s="1833"/>
      <c r="V135" s="1833"/>
      <c r="W135" s="1833"/>
      <c r="X135" s="1833"/>
    </row>
    <row r="136">
      <c r="A136" s="1078"/>
      <c r="B136" s="1078"/>
      <c r="C136" s="1835"/>
      <c r="D136" s="1835"/>
      <c r="E136" s="1835"/>
      <c r="F136" s="1833"/>
      <c r="G136" s="1833"/>
      <c r="H136" s="1833"/>
      <c r="I136" s="1833"/>
      <c r="J136" s="1833"/>
      <c r="K136" s="1833"/>
      <c r="L136" s="1833"/>
      <c r="M136" s="1833"/>
      <c r="N136" s="1833"/>
      <c r="O136" s="1833"/>
      <c r="P136" s="1833"/>
      <c r="Q136" s="1833"/>
      <c r="R136" s="1833"/>
      <c r="S136" s="1833"/>
      <c r="T136" s="1833"/>
      <c r="U136" s="1833"/>
      <c r="V136" s="1833"/>
      <c r="W136" s="1833"/>
      <c r="X136" s="1833"/>
    </row>
    <row r="137">
      <c r="A137" s="1078"/>
      <c r="B137" s="1078"/>
      <c r="C137" s="1078"/>
      <c r="D137" s="1078"/>
      <c r="E137" s="1835"/>
      <c r="F137" s="1833"/>
      <c r="G137" s="1833"/>
      <c r="H137" s="1833"/>
      <c r="I137" s="1833"/>
      <c r="J137" s="1833"/>
      <c r="K137" s="1833"/>
      <c r="L137" s="1833"/>
      <c r="M137" s="1833"/>
      <c r="N137" s="1833"/>
      <c r="O137" s="1833"/>
      <c r="P137" s="1833"/>
      <c r="Q137" s="1833"/>
      <c r="R137" s="1833"/>
      <c r="S137" s="1833"/>
      <c r="T137" s="1833"/>
      <c r="U137" s="1833"/>
      <c r="V137" s="1833"/>
      <c r="W137" s="1833"/>
      <c r="X137" s="1833"/>
    </row>
    <row r="138">
      <c r="A138" s="1078"/>
      <c r="B138" s="1078"/>
      <c r="C138" s="1835"/>
      <c r="D138" s="1835"/>
      <c r="E138" s="1835"/>
      <c r="F138" s="1833"/>
      <c r="G138" s="1833"/>
      <c r="H138" s="1833"/>
      <c r="I138" s="1833"/>
      <c r="J138" s="1833"/>
      <c r="K138" s="1833"/>
      <c r="L138" s="1833"/>
      <c r="M138" s="1833"/>
      <c r="N138" s="1833"/>
      <c r="O138" s="1833"/>
      <c r="P138" s="1833"/>
      <c r="Q138" s="1833"/>
      <c r="R138" s="1833"/>
      <c r="S138" s="1833"/>
      <c r="T138" s="1833"/>
      <c r="U138" s="1833"/>
      <c r="V138" s="1833"/>
      <c r="W138" s="1833"/>
      <c r="X138" s="1833"/>
    </row>
    <row r="139">
      <c r="A139" s="1078"/>
      <c r="B139" s="1078"/>
      <c r="C139" s="1078"/>
      <c r="D139" s="1078"/>
      <c r="E139" s="1835"/>
      <c r="F139" s="1833"/>
      <c r="G139" s="1833"/>
      <c r="H139" s="1833"/>
      <c r="I139" s="1833"/>
      <c r="J139" s="1833"/>
      <c r="K139" s="1833"/>
      <c r="L139" s="1833"/>
      <c r="M139" s="1833"/>
      <c r="N139" s="1833"/>
      <c r="O139" s="1833"/>
      <c r="P139" s="1833"/>
      <c r="Q139" s="1833"/>
      <c r="R139" s="1833"/>
      <c r="S139" s="1833"/>
      <c r="T139" s="1833"/>
      <c r="U139" s="1833"/>
      <c r="V139" s="1833"/>
      <c r="W139" s="1833"/>
      <c r="X139" s="1833"/>
    </row>
    <row r="140">
      <c r="A140" s="1078"/>
      <c r="B140" s="1078"/>
      <c r="C140" s="1835"/>
      <c r="D140" s="1835"/>
      <c r="E140" s="1835"/>
      <c r="F140" s="1833"/>
      <c r="G140" s="1833"/>
      <c r="H140" s="1833"/>
      <c r="I140" s="1833"/>
      <c r="J140" s="1833"/>
      <c r="K140" s="1833"/>
      <c r="L140" s="1833"/>
      <c r="M140" s="1833"/>
      <c r="N140" s="1833"/>
      <c r="O140" s="1833"/>
      <c r="P140" s="1833"/>
      <c r="Q140" s="1833"/>
      <c r="R140" s="1833"/>
      <c r="S140" s="1833"/>
      <c r="T140" s="1833"/>
      <c r="U140" s="1833"/>
      <c r="V140" s="1833"/>
      <c r="W140" s="1833"/>
      <c r="X140" s="1833"/>
    </row>
    <row r="141">
      <c r="A141" s="1078"/>
      <c r="B141" s="1078"/>
      <c r="C141" s="1835"/>
      <c r="D141" s="1078"/>
      <c r="E141" s="1835"/>
      <c r="F141" s="1833"/>
      <c r="G141" s="1833"/>
      <c r="H141" s="1833"/>
      <c r="I141" s="1833"/>
      <c r="J141" s="1833"/>
      <c r="K141" s="1833"/>
      <c r="L141" s="1833"/>
      <c r="M141" s="1833"/>
      <c r="N141" s="1833"/>
      <c r="O141" s="1833"/>
      <c r="P141" s="1833"/>
      <c r="Q141" s="1833"/>
      <c r="R141" s="1833"/>
      <c r="S141" s="1833"/>
      <c r="T141" s="1833"/>
      <c r="U141" s="1833"/>
      <c r="V141" s="1833"/>
      <c r="W141" s="1833"/>
      <c r="X141" s="1833"/>
    </row>
    <row r="142">
      <c r="A142" s="1078"/>
      <c r="B142" s="1078"/>
      <c r="C142" s="1078"/>
      <c r="D142" s="1078"/>
      <c r="E142" s="1835"/>
      <c r="F142" s="1833"/>
      <c r="G142" s="1833"/>
      <c r="H142" s="1833"/>
      <c r="I142" s="1833"/>
      <c r="J142" s="1833"/>
      <c r="K142" s="1833"/>
      <c r="L142" s="1833"/>
      <c r="M142" s="1833"/>
      <c r="N142" s="1833"/>
      <c r="O142" s="1833"/>
      <c r="P142" s="1833"/>
      <c r="Q142" s="1833"/>
      <c r="R142" s="1833"/>
      <c r="S142" s="1833"/>
      <c r="T142" s="1833"/>
      <c r="U142" s="1833"/>
      <c r="V142" s="1833"/>
      <c r="W142" s="1833"/>
      <c r="X142" s="1833"/>
    </row>
    <row r="143">
      <c r="A143" s="1078"/>
      <c r="B143" s="1078"/>
      <c r="C143" s="1078"/>
      <c r="D143" s="1078"/>
      <c r="E143" s="1835"/>
      <c r="F143" s="1833"/>
      <c r="G143" s="1833"/>
      <c r="H143" s="1833"/>
      <c r="I143" s="1833"/>
      <c r="J143" s="1833"/>
      <c r="K143" s="1833"/>
      <c r="L143" s="1833"/>
      <c r="M143" s="1833"/>
      <c r="N143" s="1833"/>
      <c r="O143" s="1833"/>
      <c r="P143" s="1833"/>
      <c r="Q143" s="1833"/>
      <c r="R143" s="1833"/>
      <c r="S143" s="1833"/>
      <c r="T143" s="1833"/>
      <c r="U143" s="1833"/>
      <c r="V143" s="1833"/>
      <c r="W143" s="1833"/>
      <c r="X143" s="1833"/>
    </row>
    <row r="144">
      <c r="A144" s="1078"/>
      <c r="B144" s="1078"/>
      <c r="C144" s="1078"/>
      <c r="D144" s="1078"/>
      <c r="E144" s="1835"/>
      <c r="F144" s="1833"/>
      <c r="G144" s="1833"/>
      <c r="H144" s="1833"/>
      <c r="I144" s="1833"/>
      <c r="J144" s="1833"/>
      <c r="K144" s="1833"/>
      <c r="L144" s="1833"/>
      <c r="M144" s="1833"/>
      <c r="N144" s="1833"/>
      <c r="O144" s="1833"/>
      <c r="P144" s="1833"/>
      <c r="Q144" s="1833"/>
      <c r="R144" s="1833"/>
      <c r="S144" s="1833"/>
      <c r="T144" s="1833"/>
      <c r="U144" s="1833"/>
      <c r="V144" s="1833"/>
      <c r="W144" s="1833"/>
      <c r="X144" s="1833"/>
    </row>
    <row r="145">
      <c r="A145" s="1078"/>
      <c r="B145" s="1078"/>
      <c r="C145" s="1078"/>
      <c r="D145" s="1078"/>
      <c r="E145" s="1835"/>
      <c r="F145" s="1833"/>
      <c r="G145" s="1833"/>
      <c r="H145" s="1833"/>
      <c r="I145" s="1833"/>
      <c r="J145" s="1833"/>
      <c r="K145" s="1833"/>
      <c r="L145" s="1833"/>
      <c r="M145" s="1833"/>
      <c r="N145" s="1833"/>
      <c r="O145" s="1833"/>
      <c r="P145" s="1833"/>
      <c r="Q145" s="1833"/>
      <c r="R145" s="1833"/>
      <c r="S145" s="1833"/>
      <c r="T145" s="1833"/>
      <c r="U145" s="1833"/>
      <c r="V145" s="1833"/>
      <c r="W145" s="1833"/>
      <c r="X145" s="1833"/>
    </row>
    <row r="146">
      <c r="A146" s="1078"/>
      <c r="B146" s="1078"/>
      <c r="C146" s="1078"/>
      <c r="D146" s="1078"/>
      <c r="E146" s="1078"/>
      <c r="F146" s="1833"/>
      <c r="G146" s="1833"/>
      <c r="H146" s="1833"/>
      <c r="I146" s="1833"/>
      <c r="J146" s="1833"/>
      <c r="K146" s="1833"/>
      <c r="L146" s="1833"/>
      <c r="M146" s="1833"/>
      <c r="N146" s="1833"/>
      <c r="O146" s="1833"/>
      <c r="P146" s="1833"/>
      <c r="Q146" s="1833"/>
      <c r="R146" s="1833"/>
      <c r="S146" s="1833"/>
      <c r="T146" s="1833"/>
      <c r="U146" s="1833"/>
      <c r="V146" s="1833"/>
      <c r="W146" s="1833"/>
      <c r="X146" s="1833"/>
    </row>
    <row r="147">
      <c r="A147" s="1078"/>
      <c r="B147" s="1078"/>
      <c r="C147" s="1078"/>
      <c r="D147" s="1078"/>
      <c r="E147" s="1835"/>
      <c r="F147" s="1833"/>
      <c r="G147" s="1833"/>
      <c r="H147" s="1833"/>
      <c r="I147" s="1833"/>
      <c r="J147" s="1833"/>
      <c r="K147" s="1833"/>
      <c r="L147" s="1833"/>
      <c r="M147" s="1833"/>
      <c r="N147" s="1833"/>
      <c r="O147" s="1833"/>
      <c r="P147" s="1833"/>
      <c r="Q147" s="1833"/>
      <c r="R147" s="1833"/>
      <c r="S147" s="1833"/>
      <c r="T147" s="1833"/>
      <c r="U147" s="1833"/>
      <c r="V147" s="1833"/>
      <c r="W147" s="1833"/>
      <c r="X147" s="1833"/>
    </row>
    <row r="148">
      <c r="A148" s="1078"/>
      <c r="B148" s="1078"/>
      <c r="C148" s="1078"/>
      <c r="D148" s="1835"/>
      <c r="E148" s="1835"/>
      <c r="F148" s="1833"/>
      <c r="G148" s="1833"/>
      <c r="H148" s="1833"/>
      <c r="I148" s="1833"/>
      <c r="J148" s="1833"/>
      <c r="K148" s="1833"/>
      <c r="L148" s="1833"/>
      <c r="M148" s="1833"/>
      <c r="N148" s="1833"/>
      <c r="O148" s="1833"/>
      <c r="P148" s="1833"/>
      <c r="Q148" s="1833"/>
      <c r="R148" s="1833"/>
      <c r="S148" s="1833"/>
      <c r="T148" s="1833"/>
      <c r="U148" s="1833"/>
      <c r="V148" s="1833"/>
      <c r="W148" s="1833"/>
      <c r="X148" s="1833"/>
    </row>
    <row r="149">
      <c r="A149" s="1078"/>
      <c r="B149" s="1078"/>
      <c r="C149" s="1078"/>
      <c r="D149" s="1078"/>
      <c r="E149" s="1835"/>
      <c r="F149" s="1833"/>
      <c r="G149" s="1833"/>
      <c r="H149" s="1833"/>
      <c r="I149" s="1833"/>
      <c r="J149" s="1833"/>
      <c r="K149" s="1833"/>
      <c r="L149" s="1833"/>
      <c r="M149" s="1833"/>
      <c r="N149" s="1833"/>
      <c r="O149" s="1833"/>
      <c r="P149" s="1833"/>
      <c r="Q149" s="1833"/>
      <c r="R149" s="1833"/>
      <c r="S149" s="1833"/>
      <c r="T149" s="1833"/>
      <c r="U149" s="1833"/>
      <c r="V149" s="1833"/>
      <c r="W149" s="1833"/>
      <c r="X149" s="1833"/>
    </row>
    <row r="150">
      <c r="A150" s="1078"/>
      <c r="B150" s="1078"/>
      <c r="C150" s="1078"/>
      <c r="D150" s="1078"/>
      <c r="E150" s="1078"/>
      <c r="F150" s="1833"/>
      <c r="G150" s="1833"/>
      <c r="H150" s="1833"/>
      <c r="I150" s="1833"/>
      <c r="J150" s="1833"/>
      <c r="K150" s="1833"/>
      <c r="L150" s="1833"/>
      <c r="M150" s="1833"/>
      <c r="N150" s="1833"/>
      <c r="O150" s="1833"/>
      <c r="P150" s="1833"/>
      <c r="Q150" s="1833"/>
      <c r="R150" s="1833"/>
      <c r="S150" s="1833"/>
      <c r="T150" s="1833"/>
      <c r="U150" s="1833"/>
      <c r="V150" s="1833"/>
      <c r="W150" s="1833"/>
      <c r="X150" s="1833"/>
    </row>
    <row r="151">
      <c r="A151" s="1078"/>
      <c r="B151" s="1078"/>
      <c r="C151" s="1078"/>
      <c r="D151" s="1835"/>
      <c r="E151" s="1835"/>
      <c r="F151" s="1833"/>
      <c r="G151" s="1833"/>
      <c r="H151" s="1833"/>
      <c r="I151" s="1833"/>
      <c r="J151" s="1833"/>
      <c r="K151" s="1833"/>
      <c r="L151" s="1833"/>
      <c r="M151" s="1833"/>
      <c r="N151" s="1833"/>
      <c r="O151" s="1833"/>
      <c r="P151" s="1833"/>
      <c r="Q151" s="1833"/>
      <c r="R151" s="1833"/>
      <c r="S151" s="1833"/>
      <c r="T151" s="1833"/>
      <c r="U151" s="1833"/>
      <c r="V151" s="1833"/>
      <c r="W151" s="1833"/>
      <c r="X151" s="1833"/>
    </row>
    <row r="152">
      <c r="A152" s="1078"/>
      <c r="B152" s="1078"/>
      <c r="C152" s="1078"/>
      <c r="D152" s="1078"/>
      <c r="E152" s="1835"/>
      <c r="F152" s="1833"/>
      <c r="G152" s="1833"/>
      <c r="H152" s="1833"/>
      <c r="I152" s="1833"/>
      <c r="J152" s="1833"/>
      <c r="K152" s="1833"/>
      <c r="L152" s="1833"/>
      <c r="M152" s="1833"/>
      <c r="N152" s="1833"/>
      <c r="O152" s="1833"/>
      <c r="P152" s="1833"/>
      <c r="Q152" s="1833"/>
      <c r="R152" s="1833"/>
      <c r="S152" s="1833"/>
      <c r="T152" s="1833"/>
      <c r="U152" s="1833"/>
      <c r="V152" s="1833"/>
      <c r="W152" s="1833"/>
      <c r="X152" s="1833"/>
    </row>
    <row r="153">
      <c r="A153" s="1078"/>
      <c r="B153" s="1078"/>
      <c r="C153" s="1078"/>
      <c r="D153" s="1078"/>
      <c r="E153" s="1835"/>
      <c r="F153" s="1833"/>
      <c r="G153" s="1833"/>
      <c r="H153" s="1833"/>
      <c r="I153" s="1833"/>
      <c r="J153" s="1833"/>
      <c r="K153" s="1833"/>
      <c r="L153" s="1833"/>
      <c r="M153" s="1833"/>
      <c r="N153" s="1833"/>
      <c r="O153" s="1833"/>
      <c r="P153" s="1833"/>
      <c r="Q153" s="1833"/>
      <c r="R153" s="1833"/>
      <c r="S153" s="1833"/>
      <c r="T153" s="1833"/>
      <c r="U153" s="1833"/>
      <c r="V153" s="1833"/>
      <c r="W153" s="1833"/>
      <c r="X153" s="1833"/>
    </row>
    <row r="154">
      <c r="A154" s="1078"/>
      <c r="B154" s="1078"/>
      <c r="C154" s="1078"/>
      <c r="D154" s="1837"/>
      <c r="E154" s="1835"/>
      <c r="F154" s="1833"/>
      <c r="G154" s="1833"/>
      <c r="H154" s="1833"/>
      <c r="I154" s="1833"/>
      <c r="J154" s="1833"/>
      <c r="K154" s="1833"/>
      <c r="L154" s="1833"/>
      <c r="M154" s="1833"/>
      <c r="N154" s="1833"/>
      <c r="O154" s="1833"/>
      <c r="P154" s="1833"/>
      <c r="Q154" s="1833"/>
      <c r="R154" s="1833"/>
      <c r="S154" s="1833"/>
      <c r="T154" s="1833"/>
      <c r="U154" s="1833"/>
      <c r="V154" s="1833"/>
      <c r="W154" s="1833"/>
      <c r="X154" s="1833"/>
    </row>
    <row r="155">
      <c r="A155" s="1078"/>
      <c r="B155" s="1078"/>
      <c r="C155" s="1855"/>
      <c r="D155" s="1835"/>
      <c r="E155" s="1835"/>
      <c r="F155" s="1833"/>
      <c r="G155" s="1833"/>
      <c r="H155" s="1833"/>
      <c r="I155" s="1833"/>
      <c r="J155" s="1833"/>
      <c r="K155" s="1833"/>
      <c r="L155" s="1833"/>
      <c r="M155" s="1833"/>
      <c r="N155" s="1833"/>
      <c r="O155" s="1833"/>
      <c r="P155" s="1833"/>
      <c r="Q155" s="1833"/>
      <c r="R155" s="1833"/>
      <c r="S155" s="1833"/>
      <c r="T155" s="1833"/>
      <c r="U155" s="1833"/>
      <c r="V155" s="1833"/>
      <c r="W155" s="1833"/>
      <c r="X155" s="1833"/>
    </row>
    <row r="156">
      <c r="A156" s="1078"/>
      <c r="B156" s="1078"/>
      <c r="C156" s="1078"/>
      <c r="D156" s="1078"/>
      <c r="E156" s="1835"/>
      <c r="F156" s="1833"/>
      <c r="G156" s="1833"/>
      <c r="H156" s="1833"/>
      <c r="I156" s="1833"/>
      <c r="J156" s="1833"/>
      <c r="K156" s="1833"/>
      <c r="L156" s="1833"/>
      <c r="M156" s="1833"/>
      <c r="N156" s="1833"/>
      <c r="O156" s="1833"/>
      <c r="P156" s="1833"/>
      <c r="Q156" s="1833"/>
      <c r="R156" s="1833"/>
      <c r="S156" s="1833"/>
      <c r="T156" s="1833"/>
      <c r="U156" s="1833"/>
      <c r="V156" s="1833"/>
      <c r="W156" s="1833"/>
      <c r="X156" s="1833"/>
    </row>
    <row r="157">
      <c r="A157" s="1078"/>
      <c r="B157" s="1078"/>
      <c r="C157" s="1078"/>
      <c r="D157" s="1078"/>
      <c r="E157" s="1835"/>
      <c r="F157" s="1833"/>
      <c r="G157" s="1833"/>
      <c r="H157" s="1833"/>
      <c r="I157" s="1833"/>
      <c r="J157" s="1833"/>
      <c r="K157" s="1833"/>
      <c r="L157" s="1833"/>
      <c r="M157" s="1833"/>
      <c r="N157" s="1833"/>
      <c r="O157" s="1833"/>
      <c r="P157" s="1833"/>
      <c r="Q157" s="1833"/>
      <c r="R157" s="1833"/>
      <c r="S157" s="1833"/>
      <c r="T157" s="1833"/>
      <c r="U157" s="1833"/>
      <c r="V157" s="1833"/>
      <c r="W157" s="1833"/>
      <c r="X157" s="1833"/>
    </row>
    <row r="158">
      <c r="A158" s="1078"/>
      <c r="B158" s="1078"/>
      <c r="C158" s="1078"/>
      <c r="D158" s="1078"/>
      <c r="E158" s="1835"/>
      <c r="F158" s="1833"/>
      <c r="G158" s="1833"/>
      <c r="H158" s="1833"/>
      <c r="I158" s="1833"/>
      <c r="J158" s="1833"/>
      <c r="K158" s="1833"/>
      <c r="L158" s="1833"/>
      <c r="M158" s="1833"/>
      <c r="N158" s="1833"/>
      <c r="O158" s="1833"/>
      <c r="P158" s="1833"/>
      <c r="Q158" s="1833"/>
      <c r="R158" s="1833"/>
      <c r="S158" s="1833"/>
      <c r="T158" s="1833"/>
      <c r="U158" s="1833"/>
      <c r="V158" s="1833"/>
      <c r="W158" s="1833"/>
      <c r="X158" s="1833"/>
    </row>
    <row r="159">
      <c r="A159" s="1078"/>
      <c r="B159" s="1078"/>
      <c r="C159" s="1078"/>
      <c r="D159" s="1078"/>
      <c r="E159" s="1835"/>
      <c r="F159" s="1833"/>
      <c r="G159" s="1833"/>
      <c r="H159" s="1833"/>
      <c r="I159" s="1833"/>
      <c r="J159" s="1833"/>
      <c r="K159" s="1833"/>
      <c r="L159" s="1833"/>
      <c r="M159" s="1833"/>
      <c r="N159" s="1833"/>
      <c r="O159" s="1833"/>
      <c r="P159" s="1833"/>
      <c r="Q159" s="1833"/>
      <c r="R159" s="1833"/>
      <c r="S159" s="1833"/>
      <c r="T159" s="1833"/>
      <c r="U159" s="1833"/>
      <c r="V159" s="1833"/>
      <c r="W159" s="1833"/>
      <c r="X159" s="1833"/>
    </row>
    <row r="160">
      <c r="A160" s="1078"/>
      <c r="B160" s="1078"/>
      <c r="C160" s="1078"/>
      <c r="D160" s="1835"/>
      <c r="E160" s="1835"/>
      <c r="F160" s="1833"/>
      <c r="G160" s="1833"/>
      <c r="H160" s="1833"/>
      <c r="I160" s="1833"/>
      <c r="J160" s="1833"/>
      <c r="K160" s="1833"/>
      <c r="L160" s="1833"/>
      <c r="M160" s="1833"/>
      <c r="N160" s="1833"/>
      <c r="O160" s="1833"/>
      <c r="P160" s="1833"/>
      <c r="Q160" s="1833"/>
      <c r="R160" s="1833"/>
      <c r="S160" s="1833"/>
      <c r="T160" s="1833"/>
      <c r="U160" s="1833"/>
      <c r="V160" s="1833"/>
      <c r="W160" s="1833"/>
      <c r="X160" s="1833"/>
    </row>
    <row r="161">
      <c r="A161" s="1078"/>
      <c r="B161" s="1078"/>
      <c r="C161" s="1078"/>
      <c r="D161" s="1078"/>
      <c r="E161" s="1835"/>
      <c r="F161" s="1833"/>
      <c r="G161" s="1833"/>
      <c r="H161" s="1833"/>
      <c r="I161" s="1833"/>
      <c r="J161" s="1833"/>
      <c r="K161" s="1833"/>
      <c r="L161" s="1833"/>
      <c r="M161" s="1833"/>
      <c r="N161" s="1833"/>
      <c r="O161" s="1833"/>
      <c r="P161" s="1833"/>
      <c r="Q161" s="1833"/>
      <c r="R161" s="1833"/>
      <c r="S161" s="1833"/>
      <c r="T161" s="1833"/>
      <c r="U161" s="1833"/>
      <c r="V161" s="1833"/>
      <c r="W161" s="1833"/>
      <c r="X161" s="1833"/>
    </row>
    <row r="162">
      <c r="A162" s="1078"/>
      <c r="B162" s="1078"/>
      <c r="C162" s="1078"/>
      <c r="D162" s="1078"/>
      <c r="E162" s="1835"/>
      <c r="F162" s="1833"/>
      <c r="G162" s="1833"/>
      <c r="H162" s="1833"/>
      <c r="I162" s="1833"/>
      <c r="J162" s="1833"/>
      <c r="K162" s="1833"/>
      <c r="L162" s="1833"/>
      <c r="M162" s="1833"/>
      <c r="N162" s="1833"/>
      <c r="O162" s="1833"/>
      <c r="P162" s="1833"/>
      <c r="Q162" s="1833"/>
      <c r="R162" s="1833"/>
      <c r="S162" s="1833"/>
      <c r="T162" s="1833"/>
      <c r="U162" s="1833"/>
      <c r="V162" s="1833"/>
      <c r="W162" s="1833"/>
      <c r="X162" s="1833"/>
    </row>
    <row r="163">
      <c r="A163" s="1078"/>
      <c r="B163" s="1078"/>
      <c r="C163" s="1078"/>
      <c r="D163" s="1078"/>
      <c r="E163" s="1835"/>
      <c r="F163" s="1833"/>
      <c r="G163" s="1833"/>
      <c r="H163" s="1833"/>
      <c r="I163" s="1833"/>
      <c r="J163" s="1833"/>
      <c r="K163" s="1833"/>
      <c r="L163" s="1833"/>
      <c r="M163" s="1833"/>
      <c r="N163" s="1833"/>
      <c r="O163" s="1833"/>
      <c r="P163" s="1833"/>
      <c r="Q163" s="1833"/>
      <c r="R163" s="1833"/>
      <c r="S163" s="1833"/>
      <c r="T163" s="1833"/>
      <c r="U163" s="1833"/>
      <c r="V163" s="1833"/>
      <c r="W163" s="1833"/>
      <c r="X163" s="1833"/>
    </row>
    <row r="164">
      <c r="A164" s="1078"/>
      <c r="B164" s="1078"/>
      <c r="C164" s="1078"/>
      <c r="D164" s="1078"/>
      <c r="E164" s="1835"/>
      <c r="F164" s="1833"/>
      <c r="G164" s="1833"/>
      <c r="H164" s="1833"/>
      <c r="I164" s="1833"/>
      <c r="J164" s="1833"/>
      <c r="K164" s="1833"/>
      <c r="L164" s="1833"/>
      <c r="M164" s="1833"/>
      <c r="N164" s="1833"/>
      <c r="O164" s="1833"/>
      <c r="P164" s="1833"/>
      <c r="Q164" s="1833"/>
      <c r="R164" s="1833"/>
      <c r="S164" s="1833"/>
      <c r="T164" s="1833"/>
      <c r="U164" s="1833"/>
      <c r="V164" s="1833"/>
      <c r="W164" s="1833"/>
      <c r="X164" s="1833"/>
    </row>
    <row r="165">
      <c r="A165" s="1078"/>
      <c r="B165" s="1078"/>
      <c r="C165" s="1855"/>
      <c r="D165" s="1078"/>
      <c r="E165" s="1835"/>
      <c r="F165" s="1833"/>
      <c r="G165" s="1833"/>
      <c r="H165" s="1833"/>
      <c r="I165" s="1833"/>
      <c r="J165" s="1833"/>
      <c r="K165" s="1833"/>
      <c r="L165" s="1833"/>
      <c r="M165" s="1833"/>
      <c r="N165" s="1833"/>
      <c r="O165" s="1833"/>
      <c r="P165" s="1833"/>
      <c r="Q165" s="1833"/>
      <c r="R165" s="1833"/>
      <c r="S165" s="1833"/>
      <c r="T165" s="1833"/>
      <c r="U165" s="1833"/>
      <c r="V165" s="1833"/>
      <c r="W165" s="1833"/>
      <c r="X165" s="1833"/>
    </row>
    <row r="166">
      <c r="A166" s="1078"/>
      <c r="B166" s="1078"/>
      <c r="C166" s="1078"/>
      <c r="D166" s="1078"/>
      <c r="E166" s="1835"/>
      <c r="F166" s="1833"/>
      <c r="G166" s="1833"/>
      <c r="H166" s="1833"/>
      <c r="I166" s="1833"/>
      <c r="J166" s="1833"/>
      <c r="K166" s="1833"/>
      <c r="L166" s="1833"/>
      <c r="M166" s="1833"/>
      <c r="N166" s="1833"/>
      <c r="O166" s="1833"/>
      <c r="P166" s="1833"/>
      <c r="Q166" s="1833"/>
      <c r="R166" s="1833"/>
      <c r="S166" s="1833"/>
      <c r="T166" s="1833"/>
      <c r="U166" s="1833"/>
      <c r="V166" s="1833"/>
      <c r="W166" s="1833"/>
      <c r="X166" s="1833"/>
    </row>
    <row r="167">
      <c r="A167" s="1078"/>
      <c r="B167" s="1078"/>
      <c r="C167" s="1855"/>
      <c r="D167" s="1837"/>
      <c r="E167" s="1835"/>
      <c r="F167" s="1833"/>
      <c r="G167" s="1833"/>
      <c r="H167" s="1833"/>
      <c r="I167" s="1833"/>
      <c r="J167" s="1833"/>
      <c r="K167" s="1833"/>
      <c r="L167" s="1833"/>
      <c r="M167" s="1833"/>
      <c r="N167" s="1833"/>
      <c r="O167" s="1833"/>
      <c r="P167" s="1833"/>
      <c r="Q167" s="1833"/>
      <c r="R167" s="1833"/>
      <c r="S167" s="1833"/>
      <c r="T167" s="1833"/>
      <c r="U167" s="1833"/>
      <c r="V167" s="1833"/>
      <c r="W167" s="1833"/>
      <c r="X167" s="1833"/>
    </row>
    <row r="168">
      <c r="A168" s="1078"/>
      <c r="B168" s="1078"/>
      <c r="C168" s="1078"/>
      <c r="D168" s="1837"/>
      <c r="E168" s="1835"/>
      <c r="F168" s="1833"/>
      <c r="G168" s="1833"/>
      <c r="H168" s="1833"/>
      <c r="I168" s="1833"/>
      <c r="J168" s="1833"/>
      <c r="K168" s="1833"/>
      <c r="L168" s="1833"/>
      <c r="M168" s="1833"/>
      <c r="N168" s="1833"/>
      <c r="O168" s="1833"/>
      <c r="P168" s="1833"/>
      <c r="Q168" s="1833"/>
      <c r="R168" s="1833"/>
      <c r="S168" s="1833"/>
      <c r="T168" s="1833"/>
      <c r="U168" s="1833"/>
      <c r="V168" s="1833"/>
      <c r="W168" s="1833"/>
      <c r="X168" s="1833"/>
    </row>
    <row r="169">
      <c r="A169" s="1078"/>
      <c r="B169" s="1078"/>
      <c r="C169" s="1855"/>
      <c r="D169" s="1078"/>
      <c r="E169" s="1835"/>
      <c r="F169" s="1833"/>
      <c r="G169" s="1833"/>
      <c r="H169" s="1833"/>
      <c r="I169" s="1833"/>
      <c r="J169" s="1833"/>
      <c r="K169" s="1833"/>
      <c r="L169" s="1833"/>
      <c r="M169" s="1833"/>
      <c r="N169" s="1833"/>
      <c r="O169" s="1833"/>
      <c r="P169" s="1833"/>
      <c r="Q169" s="1833"/>
      <c r="R169" s="1833"/>
      <c r="S169" s="1833"/>
      <c r="T169" s="1833"/>
      <c r="U169" s="1833"/>
      <c r="V169" s="1833"/>
      <c r="W169" s="1833"/>
      <c r="X169" s="1833"/>
    </row>
    <row r="170">
      <c r="A170" s="1078"/>
      <c r="B170" s="1078"/>
      <c r="C170" s="1855"/>
      <c r="D170" s="1837"/>
      <c r="E170" s="1835"/>
      <c r="F170" s="1833"/>
      <c r="G170" s="1833"/>
      <c r="H170" s="1833"/>
      <c r="I170" s="1833"/>
      <c r="J170" s="1833"/>
      <c r="K170" s="1833"/>
      <c r="L170" s="1833"/>
      <c r="M170" s="1833"/>
      <c r="N170" s="1833"/>
      <c r="O170" s="1833"/>
      <c r="P170" s="1833"/>
      <c r="Q170" s="1833"/>
      <c r="R170" s="1833"/>
      <c r="S170" s="1833"/>
      <c r="T170" s="1833"/>
      <c r="U170" s="1833"/>
      <c r="V170" s="1833"/>
      <c r="W170" s="1833"/>
      <c r="X170" s="1833"/>
    </row>
    <row r="171">
      <c r="A171" s="1078"/>
      <c r="B171" s="1078"/>
      <c r="C171" s="1855"/>
      <c r="D171" s="1078"/>
      <c r="E171" s="1835"/>
      <c r="F171" s="1833"/>
      <c r="G171" s="1833"/>
      <c r="H171" s="1833"/>
      <c r="I171" s="1833"/>
      <c r="J171" s="1833"/>
      <c r="K171" s="1833"/>
      <c r="L171" s="1833"/>
      <c r="M171" s="1833"/>
      <c r="N171" s="1833"/>
      <c r="O171" s="1833"/>
      <c r="P171" s="1833"/>
      <c r="Q171" s="1833"/>
      <c r="R171" s="1833"/>
      <c r="S171" s="1833"/>
      <c r="T171" s="1833"/>
      <c r="U171" s="1833"/>
      <c r="V171" s="1833"/>
      <c r="W171" s="1833"/>
      <c r="X171" s="1833"/>
    </row>
    <row r="172">
      <c r="A172" s="1078"/>
      <c r="B172" s="1078"/>
      <c r="C172" s="1855"/>
      <c r="D172" s="1078"/>
      <c r="E172" s="1835"/>
      <c r="F172" s="1833"/>
      <c r="G172" s="1833"/>
      <c r="H172" s="1833"/>
      <c r="I172" s="1833"/>
      <c r="J172" s="1833"/>
      <c r="K172" s="1833"/>
      <c r="L172" s="1833"/>
      <c r="M172" s="1833"/>
      <c r="N172" s="1833"/>
      <c r="O172" s="1833"/>
      <c r="P172" s="1833"/>
      <c r="Q172" s="1833"/>
      <c r="R172" s="1833"/>
      <c r="S172" s="1833"/>
      <c r="T172" s="1833"/>
      <c r="U172" s="1833"/>
      <c r="V172" s="1833"/>
      <c r="W172" s="1833"/>
      <c r="X172" s="1833"/>
    </row>
    <row r="173">
      <c r="A173" s="1078"/>
      <c r="B173" s="1078"/>
      <c r="C173" s="1855"/>
      <c r="D173" s="1837"/>
      <c r="E173" s="1835"/>
      <c r="F173" s="1833"/>
      <c r="G173" s="1833"/>
      <c r="H173" s="1833"/>
      <c r="I173" s="1833"/>
      <c r="J173" s="1833"/>
      <c r="K173" s="1833"/>
      <c r="L173" s="1833"/>
      <c r="M173" s="1833"/>
      <c r="N173" s="1833"/>
      <c r="O173" s="1833"/>
      <c r="P173" s="1833"/>
      <c r="Q173" s="1833"/>
      <c r="R173" s="1833"/>
      <c r="S173" s="1833"/>
      <c r="T173" s="1833"/>
      <c r="U173" s="1833"/>
      <c r="V173" s="1833"/>
      <c r="W173" s="1833"/>
      <c r="X173" s="1833"/>
    </row>
    <row r="174">
      <c r="A174" s="1078"/>
      <c r="B174" s="1078"/>
      <c r="C174" s="1078"/>
      <c r="D174" s="1837"/>
      <c r="E174" s="1835"/>
      <c r="F174" s="1833"/>
      <c r="G174" s="1833"/>
      <c r="H174" s="1833"/>
      <c r="I174" s="1833"/>
      <c r="J174" s="1833"/>
      <c r="K174" s="1833"/>
      <c r="L174" s="1833"/>
      <c r="M174" s="1833"/>
      <c r="N174" s="1833"/>
      <c r="O174" s="1833"/>
      <c r="P174" s="1833"/>
      <c r="Q174" s="1833"/>
      <c r="R174" s="1833"/>
      <c r="S174" s="1833"/>
      <c r="T174" s="1833"/>
      <c r="U174" s="1833"/>
      <c r="V174" s="1833"/>
      <c r="W174" s="1833"/>
      <c r="X174" s="1833"/>
    </row>
    <row r="175">
      <c r="A175" s="1078"/>
      <c r="B175" s="1078"/>
      <c r="C175" s="1855"/>
      <c r="D175" s="1078"/>
      <c r="E175" s="1835"/>
      <c r="F175" s="1833"/>
      <c r="G175" s="1833"/>
      <c r="H175" s="1833"/>
      <c r="I175" s="1833"/>
      <c r="J175" s="1833"/>
      <c r="K175" s="1833"/>
      <c r="L175" s="1833"/>
      <c r="M175" s="1833"/>
      <c r="N175" s="1833"/>
      <c r="O175" s="1833"/>
      <c r="P175" s="1833"/>
      <c r="Q175" s="1833"/>
      <c r="R175" s="1833"/>
      <c r="S175" s="1833"/>
      <c r="T175" s="1833"/>
      <c r="U175" s="1833"/>
      <c r="V175" s="1833"/>
      <c r="W175" s="1833"/>
      <c r="X175" s="1833"/>
    </row>
    <row r="176">
      <c r="A176" s="1078"/>
      <c r="B176" s="1078"/>
      <c r="C176" s="1855"/>
      <c r="D176" s="1835"/>
      <c r="E176" s="1835"/>
      <c r="F176" s="1833"/>
      <c r="G176" s="1833"/>
      <c r="H176" s="1833"/>
      <c r="I176" s="1833"/>
      <c r="J176" s="1833"/>
      <c r="K176" s="1833"/>
      <c r="L176" s="1833"/>
      <c r="M176" s="1833"/>
      <c r="N176" s="1833"/>
      <c r="O176" s="1833"/>
      <c r="P176" s="1833"/>
      <c r="Q176" s="1833"/>
      <c r="R176" s="1833"/>
      <c r="S176" s="1833"/>
      <c r="T176" s="1833"/>
      <c r="U176" s="1833"/>
      <c r="V176" s="1833"/>
      <c r="W176" s="1833"/>
      <c r="X176" s="1833"/>
    </row>
    <row r="177">
      <c r="A177" s="1078"/>
      <c r="B177" s="1078"/>
      <c r="C177" s="1078"/>
      <c r="D177" s="1837"/>
      <c r="E177" s="1835"/>
      <c r="F177" s="1833"/>
      <c r="G177" s="1833"/>
      <c r="H177" s="1833"/>
      <c r="I177" s="1833"/>
      <c r="J177" s="1833"/>
      <c r="K177" s="1833"/>
      <c r="L177" s="1833"/>
      <c r="M177" s="1833"/>
      <c r="N177" s="1833"/>
      <c r="O177" s="1833"/>
      <c r="P177" s="1833"/>
      <c r="Q177" s="1833"/>
      <c r="R177" s="1833"/>
      <c r="S177" s="1833"/>
      <c r="T177" s="1833"/>
      <c r="U177" s="1833"/>
      <c r="V177" s="1833"/>
      <c r="W177" s="1833"/>
      <c r="X177" s="1833"/>
    </row>
    <row r="178">
      <c r="A178" s="1078"/>
      <c r="B178" s="1078"/>
      <c r="C178" s="1078"/>
      <c r="D178" s="1078"/>
      <c r="E178" s="1835"/>
      <c r="F178" s="1833"/>
      <c r="G178" s="1833"/>
      <c r="H178" s="1833"/>
      <c r="I178" s="1833"/>
      <c r="J178" s="1833"/>
      <c r="K178" s="1833"/>
      <c r="L178" s="1833"/>
      <c r="M178" s="1833"/>
      <c r="N178" s="1833"/>
      <c r="O178" s="1833"/>
      <c r="P178" s="1833"/>
      <c r="Q178" s="1833"/>
      <c r="R178" s="1833"/>
      <c r="S178" s="1833"/>
      <c r="T178" s="1833"/>
      <c r="U178" s="1833"/>
      <c r="V178" s="1833"/>
      <c r="W178" s="1833"/>
      <c r="X178" s="1833"/>
    </row>
    <row r="179">
      <c r="A179" s="1078"/>
      <c r="B179" s="1078"/>
      <c r="C179" s="1855"/>
      <c r="D179" s="1078"/>
      <c r="E179" s="1835"/>
      <c r="F179" s="1833"/>
      <c r="G179" s="1833"/>
      <c r="H179" s="1833"/>
      <c r="I179" s="1833"/>
      <c r="J179" s="1833"/>
      <c r="K179" s="1833"/>
      <c r="L179" s="1833"/>
      <c r="M179" s="1833"/>
      <c r="N179" s="1833"/>
      <c r="O179" s="1833"/>
      <c r="P179" s="1833"/>
      <c r="Q179" s="1833"/>
      <c r="R179" s="1833"/>
      <c r="S179" s="1833"/>
      <c r="T179" s="1833"/>
      <c r="U179" s="1833"/>
      <c r="V179" s="1833"/>
      <c r="W179" s="1833"/>
      <c r="X179" s="1833"/>
    </row>
    <row r="180">
      <c r="A180" s="1078"/>
      <c r="B180" s="1078"/>
      <c r="C180" s="918"/>
      <c r="D180" s="1078"/>
      <c r="E180" s="1835"/>
      <c r="F180" s="1833"/>
      <c r="G180" s="1833"/>
      <c r="H180" s="1833"/>
      <c r="I180" s="1833"/>
      <c r="J180" s="1833"/>
      <c r="K180" s="1833"/>
      <c r="L180" s="1833"/>
      <c r="M180" s="1833"/>
      <c r="N180" s="1833"/>
      <c r="O180" s="1833"/>
      <c r="P180" s="1833"/>
      <c r="Q180" s="1833"/>
      <c r="R180" s="1833"/>
      <c r="S180" s="1833"/>
      <c r="T180" s="1833"/>
      <c r="U180" s="1833"/>
      <c r="V180" s="1833"/>
      <c r="W180" s="1833"/>
      <c r="X180" s="1833"/>
    </row>
    <row r="181">
      <c r="A181" s="1078"/>
      <c r="B181" s="1078"/>
      <c r="C181" s="1078"/>
      <c r="D181" s="1837"/>
      <c r="E181" s="1835"/>
      <c r="F181" s="1833"/>
      <c r="G181" s="1833"/>
      <c r="H181" s="1833"/>
      <c r="I181" s="1833"/>
      <c r="J181" s="1833"/>
      <c r="K181" s="1833"/>
      <c r="L181" s="1833"/>
      <c r="M181" s="1833"/>
      <c r="N181" s="1833"/>
      <c r="O181" s="1833"/>
      <c r="P181" s="1833"/>
      <c r="Q181" s="1833"/>
      <c r="R181" s="1833"/>
      <c r="S181" s="1833"/>
      <c r="T181" s="1833"/>
      <c r="U181" s="1833"/>
      <c r="V181" s="1833"/>
      <c r="W181" s="1833"/>
      <c r="X181" s="1833"/>
    </row>
    <row r="182">
      <c r="A182" s="1078"/>
      <c r="B182" s="1078"/>
      <c r="C182" s="1078"/>
      <c r="D182" s="1159"/>
      <c r="E182" s="1835"/>
      <c r="F182" s="1833"/>
      <c r="G182" s="1833"/>
      <c r="H182" s="1833"/>
      <c r="I182" s="1833"/>
      <c r="J182" s="1833"/>
      <c r="K182" s="1833"/>
      <c r="L182" s="1833"/>
      <c r="M182" s="1833"/>
      <c r="N182" s="1833"/>
      <c r="O182" s="1833"/>
      <c r="P182" s="1833"/>
      <c r="Q182" s="1833"/>
      <c r="R182" s="1833"/>
      <c r="S182" s="1833"/>
      <c r="T182" s="1833"/>
      <c r="U182" s="1833"/>
      <c r="V182" s="1833"/>
      <c r="W182" s="1833"/>
      <c r="X182" s="1833"/>
    </row>
    <row r="183">
      <c r="A183" s="1078"/>
      <c r="B183" s="1078"/>
      <c r="C183" s="1078"/>
      <c r="D183" s="1159"/>
      <c r="E183" s="1835"/>
      <c r="F183" s="1833"/>
      <c r="G183" s="1833"/>
      <c r="H183" s="1833"/>
      <c r="I183" s="1833"/>
      <c r="J183" s="1833"/>
      <c r="K183" s="1833"/>
      <c r="L183" s="1833"/>
      <c r="M183" s="1833"/>
      <c r="N183" s="1833"/>
      <c r="O183" s="1833"/>
      <c r="P183" s="1833"/>
      <c r="Q183" s="1833"/>
      <c r="R183" s="1833"/>
      <c r="S183" s="1833"/>
      <c r="T183" s="1833"/>
      <c r="U183" s="1833"/>
      <c r="V183" s="1833"/>
      <c r="W183" s="1833"/>
      <c r="X183" s="1833"/>
    </row>
    <row r="184">
      <c r="A184" s="1078"/>
      <c r="B184" s="1078"/>
      <c r="C184" s="1855"/>
      <c r="D184" s="1078"/>
      <c r="E184" s="1835"/>
      <c r="F184" s="1833"/>
      <c r="G184" s="1833"/>
      <c r="H184" s="1833"/>
      <c r="I184" s="1833"/>
      <c r="J184" s="1833"/>
      <c r="K184" s="1833"/>
      <c r="L184" s="1833"/>
      <c r="M184" s="1833"/>
      <c r="N184" s="1833"/>
      <c r="O184" s="1833"/>
      <c r="P184" s="1833"/>
      <c r="Q184" s="1833"/>
      <c r="R184" s="1833"/>
      <c r="S184" s="1833"/>
      <c r="T184" s="1833"/>
      <c r="U184" s="1833"/>
      <c r="V184" s="1833"/>
      <c r="W184" s="1833"/>
      <c r="X184" s="1833"/>
    </row>
    <row r="185">
      <c r="A185" s="1078"/>
      <c r="B185" s="1078"/>
      <c r="C185" s="1855"/>
      <c r="D185" s="1835"/>
      <c r="E185" s="1835"/>
      <c r="F185" s="1833"/>
      <c r="G185" s="1833"/>
      <c r="H185" s="1833"/>
      <c r="I185" s="1833"/>
      <c r="J185" s="1833"/>
      <c r="K185" s="1833"/>
      <c r="L185" s="1833"/>
      <c r="M185" s="1833"/>
      <c r="N185" s="1833"/>
      <c r="O185" s="1833"/>
      <c r="P185" s="1833"/>
      <c r="Q185" s="1833"/>
      <c r="R185" s="1833"/>
      <c r="S185" s="1833"/>
      <c r="T185" s="1833"/>
      <c r="U185" s="1833"/>
      <c r="V185" s="1833"/>
      <c r="W185" s="1833"/>
      <c r="X185" s="1833"/>
    </row>
    <row r="186">
      <c r="A186" s="1078"/>
      <c r="B186" s="1078"/>
      <c r="C186" s="1078"/>
      <c r="D186" s="1837"/>
      <c r="E186" s="1835"/>
      <c r="F186" s="1833"/>
      <c r="G186" s="1833"/>
      <c r="H186" s="1833"/>
      <c r="I186" s="1833"/>
      <c r="J186" s="1833"/>
      <c r="K186" s="1833"/>
      <c r="L186" s="1833"/>
      <c r="M186" s="1833"/>
      <c r="N186" s="1833"/>
      <c r="O186" s="1833"/>
      <c r="P186" s="1833"/>
      <c r="Q186" s="1833"/>
      <c r="R186" s="1833"/>
      <c r="S186" s="1833"/>
      <c r="T186" s="1833"/>
      <c r="U186" s="1833"/>
      <c r="V186" s="1833"/>
      <c r="W186" s="1833"/>
      <c r="X186" s="1833"/>
    </row>
    <row r="187">
      <c r="A187" s="1078"/>
      <c r="B187" s="1078"/>
      <c r="C187" s="1855"/>
      <c r="D187" s="1835"/>
      <c r="E187" s="1835"/>
      <c r="F187" s="1833"/>
      <c r="G187" s="1833"/>
      <c r="H187" s="1833"/>
      <c r="I187" s="1833"/>
      <c r="J187" s="1833"/>
      <c r="K187" s="1833"/>
      <c r="L187" s="1833"/>
      <c r="M187" s="1833"/>
      <c r="N187" s="1833"/>
      <c r="O187" s="1833"/>
      <c r="P187" s="1833"/>
      <c r="Q187" s="1833"/>
      <c r="R187" s="1833"/>
      <c r="S187" s="1833"/>
      <c r="T187" s="1833"/>
      <c r="U187" s="1833"/>
      <c r="V187" s="1833"/>
      <c r="W187" s="1833"/>
      <c r="X187" s="1833"/>
    </row>
    <row r="188">
      <c r="A188" s="1078"/>
      <c r="B188" s="1078"/>
      <c r="C188" s="1855"/>
      <c r="D188" s="1835"/>
      <c r="E188" s="1835"/>
      <c r="F188" s="1833"/>
      <c r="G188" s="1833"/>
      <c r="H188" s="1833"/>
      <c r="I188" s="1833"/>
      <c r="J188" s="1833"/>
      <c r="K188" s="1833"/>
      <c r="L188" s="1833"/>
      <c r="M188" s="1833"/>
      <c r="N188" s="1833" t="s">
        <v>15849</v>
      </c>
      <c r="O188" s="1833"/>
      <c r="P188" s="1833"/>
      <c r="Q188" s="1833"/>
      <c r="R188" s="1833"/>
      <c r="S188" s="1833"/>
      <c r="T188" s="1833"/>
      <c r="U188" s="1833"/>
      <c r="V188" s="1833"/>
      <c r="W188" s="1833"/>
      <c r="X188" s="1833"/>
    </row>
    <row r="189">
      <c r="A189" s="1078"/>
      <c r="B189" s="1078"/>
      <c r="C189" s="1855"/>
      <c r="D189" s="1835"/>
      <c r="E189" s="1835"/>
      <c r="F189" s="1833"/>
      <c r="G189" s="1833"/>
      <c r="H189" s="1833"/>
      <c r="I189" s="1833"/>
      <c r="J189" s="1833"/>
      <c r="K189" s="1833"/>
      <c r="L189" s="1833"/>
      <c r="M189" s="1833"/>
      <c r="N189" s="1833"/>
      <c r="O189" s="1833"/>
      <c r="P189" s="1833"/>
      <c r="Q189" s="1833"/>
      <c r="R189" s="1833"/>
      <c r="S189" s="1833"/>
      <c r="T189" s="1833"/>
      <c r="U189" s="1833"/>
      <c r="V189" s="1833"/>
      <c r="W189" s="1833"/>
      <c r="X189" s="1833"/>
    </row>
    <row r="190">
      <c r="A190" s="1078"/>
      <c r="B190" s="1078"/>
      <c r="C190" s="1835"/>
      <c r="D190" s="1835"/>
      <c r="E190" s="1835"/>
      <c r="F190" s="1833"/>
      <c r="G190" s="1833"/>
      <c r="H190" s="1833"/>
      <c r="I190" s="1833"/>
      <c r="J190" s="1833"/>
      <c r="K190" s="1833"/>
      <c r="L190" s="1833"/>
      <c r="M190" s="1833"/>
      <c r="N190" s="1833"/>
      <c r="O190" s="1833"/>
      <c r="P190" s="1833"/>
      <c r="Q190" s="1833"/>
      <c r="R190" s="1833"/>
      <c r="S190" s="1833"/>
      <c r="T190" s="1833"/>
      <c r="U190" s="1833"/>
      <c r="V190" s="1833"/>
      <c r="W190" s="1833"/>
      <c r="X190" s="1833"/>
    </row>
    <row r="191">
      <c r="A191" s="1078"/>
      <c r="B191" s="1078"/>
      <c r="C191" s="1855"/>
      <c r="D191" s="1835"/>
      <c r="E191" s="1835"/>
      <c r="F191" s="1833"/>
      <c r="G191" s="1833"/>
      <c r="H191" s="1833"/>
      <c r="I191" s="1833"/>
      <c r="J191" s="1833"/>
      <c r="K191" s="1833"/>
      <c r="L191" s="1833"/>
      <c r="M191" s="1833"/>
      <c r="N191" s="1833"/>
      <c r="O191" s="1833"/>
      <c r="P191" s="1833"/>
      <c r="Q191" s="1833"/>
      <c r="R191" s="1833"/>
      <c r="S191" s="1833"/>
      <c r="T191" s="1833"/>
      <c r="U191" s="1833"/>
      <c r="V191" s="1833"/>
      <c r="W191" s="1833"/>
      <c r="X191" s="1833"/>
    </row>
    <row r="192">
      <c r="A192" s="1078"/>
      <c r="B192" s="1078"/>
      <c r="C192" s="1855"/>
      <c r="D192" s="1078"/>
      <c r="E192" s="1835"/>
      <c r="F192" s="1833"/>
      <c r="G192" s="1833"/>
      <c r="H192" s="1833"/>
      <c r="I192" s="1833"/>
      <c r="J192" s="1833"/>
      <c r="K192" s="1833"/>
      <c r="L192" s="1833"/>
      <c r="M192" s="1833"/>
      <c r="N192" s="1833"/>
      <c r="O192" s="1833"/>
      <c r="P192" s="1833"/>
      <c r="Q192" s="1833"/>
      <c r="R192" s="1833"/>
      <c r="S192" s="1833"/>
      <c r="T192" s="1833"/>
      <c r="U192" s="1833"/>
      <c r="V192" s="1833"/>
      <c r="W192" s="1833"/>
      <c r="X192" s="1833"/>
    </row>
    <row r="193">
      <c r="A193" s="1078"/>
      <c r="B193" s="1078"/>
      <c r="C193" s="1855"/>
      <c r="D193" s="1835"/>
      <c r="E193" s="1835"/>
      <c r="F193" s="1833"/>
      <c r="G193" s="1833"/>
      <c r="H193" s="1833"/>
      <c r="I193" s="1833"/>
      <c r="J193" s="1833"/>
      <c r="K193" s="1833"/>
      <c r="L193" s="1833"/>
      <c r="M193" s="1833"/>
      <c r="N193" s="1833"/>
      <c r="O193" s="1833"/>
      <c r="P193" s="1833"/>
      <c r="Q193" s="1833"/>
      <c r="R193" s="1833"/>
      <c r="S193" s="1833"/>
      <c r="T193" s="1833"/>
      <c r="U193" s="1833"/>
      <c r="V193" s="1833"/>
      <c r="W193" s="1833"/>
      <c r="X193" s="1833"/>
    </row>
    <row r="194">
      <c r="A194" s="1078"/>
      <c r="B194" s="1078"/>
      <c r="C194" s="1855"/>
      <c r="D194" s="1078"/>
      <c r="E194" s="1835"/>
      <c r="F194" s="1833"/>
      <c r="G194" s="1833"/>
      <c r="H194" s="1833"/>
      <c r="I194" s="1833"/>
      <c r="J194" s="1833"/>
      <c r="K194" s="1833"/>
      <c r="L194" s="1833"/>
      <c r="M194" s="1833"/>
      <c r="N194" s="1833"/>
      <c r="O194" s="1833"/>
      <c r="P194" s="1833"/>
      <c r="Q194" s="1833"/>
      <c r="R194" s="1833"/>
      <c r="S194" s="1833"/>
      <c r="T194" s="1833"/>
      <c r="U194" s="1833"/>
      <c r="V194" s="1833"/>
      <c r="W194" s="1833"/>
      <c r="X194" s="1833"/>
    </row>
    <row r="195">
      <c r="A195" s="1078"/>
      <c r="B195" s="1078"/>
      <c r="C195" s="1855"/>
      <c r="D195" s="1835"/>
      <c r="E195" s="1835"/>
      <c r="F195" s="1833"/>
      <c r="G195" s="1833"/>
      <c r="H195" s="1833"/>
      <c r="I195" s="1833"/>
      <c r="J195" s="1833"/>
      <c r="K195" s="1833"/>
      <c r="L195" s="1833"/>
      <c r="M195" s="1833"/>
      <c r="N195" s="1833"/>
      <c r="O195" s="1833"/>
      <c r="P195" s="1833"/>
      <c r="Q195" s="1833"/>
      <c r="R195" s="1833"/>
      <c r="S195" s="1833"/>
      <c r="T195" s="1833"/>
      <c r="U195" s="1833"/>
      <c r="V195" s="1833"/>
      <c r="W195" s="1833"/>
      <c r="X195" s="1833"/>
    </row>
    <row r="196">
      <c r="A196" s="1078"/>
      <c r="B196" s="1078"/>
      <c r="C196" s="1855"/>
      <c r="D196" s="1078"/>
      <c r="E196" s="1835"/>
      <c r="F196" s="1833"/>
      <c r="G196" s="1833"/>
      <c r="H196" s="1833"/>
      <c r="I196" s="1833"/>
      <c r="J196" s="1833"/>
      <c r="K196" s="1833"/>
      <c r="L196" s="1833"/>
      <c r="M196" s="1833"/>
      <c r="N196" s="1833"/>
      <c r="O196" s="1833"/>
      <c r="P196" s="1833"/>
      <c r="Q196" s="1833"/>
      <c r="R196" s="1833"/>
      <c r="S196" s="1833"/>
      <c r="T196" s="1833"/>
      <c r="U196" s="1833"/>
      <c r="V196" s="1833"/>
      <c r="W196" s="1833"/>
      <c r="X196" s="1833"/>
    </row>
    <row r="197">
      <c r="A197" s="1078"/>
      <c r="B197" s="1078"/>
      <c r="C197" s="1078"/>
      <c r="D197" s="1837"/>
      <c r="E197" s="1835"/>
      <c r="F197" s="1833"/>
      <c r="G197" s="1833"/>
      <c r="H197" s="1833"/>
      <c r="I197" s="1833"/>
      <c r="J197" s="1833"/>
      <c r="K197" s="1833"/>
      <c r="L197" s="1833"/>
      <c r="M197" s="1833"/>
      <c r="N197" s="1833"/>
      <c r="O197" s="1833"/>
      <c r="P197" s="1833"/>
      <c r="Q197" s="1833"/>
      <c r="R197" s="1833"/>
      <c r="S197" s="1833"/>
      <c r="T197" s="1833"/>
      <c r="U197" s="1833"/>
      <c r="V197" s="1833"/>
      <c r="W197" s="1833"/>
      <c r="X197" s="1833"/>
    </row>
    <row r="198">
      <c r="A198" s="1078"/>
      <c r="B198" s="1078"/>
      <c r="C198" s="1855"/>
      <c r="D198" s="1835"/>
      <c r="E198" s="1835"/>
      <c r="F198" s="1833"/>
      <c r="G198" s="1833"/>
      <c r="H198" s="1833"/>
      <c r="I198" s="1833"/>
      <c r="J198" s="1833"/>
      <c r="K198" s="1833"/>
      <c r="L198" s="1833"/>
      <c r="M198" s="1833"/>
      <c r="N198" s="1833"/>
      <c r="O198" s="1833"/>
      <c r="P198" s="1833"/>
      <c r="Q198" s="1833"/>
      <c r="R198" s="1833"/>
      <c r="S198" s="1833"/>
      <c r="T198" s="1833"/>
      <c r="U198" s="1833"/>
      <c r="V198" s="1833"/>
      <c r="W198" s="1833"/>
      <c r="X198" s="1833"/>
    </row>
    <row r="199">
      <c r="A199" s="1078"/>
      <c r="B199" s="1078"/>
      <c r="C199" s="1835"/>
      <c r="D199" s="1835"/>
      <c r="E199" s="1835"/>
      <c r="F199" s="1833"/>
      <c r="G199" s="1833"/>
      <c r="H199" s="1833"/>
      <c r="I199" s="1833"/>
      <c r="J199" s="1833"/>
      <c r="K199" s="1833"/>
      <c r="L199" s="1833"/>
      <c r="M199" s="1833"/>
      <c r="N199" s="1833"/>
      <c r="O199" s="1833"/>
      <c r="P199" s="1833"/>
      <c r="Q199" s="1833"/>
      <c r="R199" s="1833"/>
      <c r="S199" s="1833"/>
      <c r="T199" s="1833"/>
      <c r="U199" s="1833"/>
      <c r="V199" s="1833"/>
      <c r="W199" s="1833"/>
      <c r="X199" s="1833"/>
    </row>
    <row r="200">
      <c r="A200" s="1078"/>
      <c r="B200" s="1078"/>
      <c r="C200" s="1855"/>
      <c r="D200" s="1078"/>
      <c r="E200" s="1835"/>
      <c r="F200" s="1833"/>
      <c r="G200" s="1833"/>
      <c r="H200" s="1833"/>
      <c r="I200" s="1833"/>
      <c r="J200" s="1833"/>
      <c r="K200" s="1833"/>
      <c r="L200" s="1833"/>
      <c r="M200" s="1833"/>
      <c r="N200" s="1833"/>
      <c r="O200" s="1833"/>
      <c r="P200" s="1833"/>
      <c r="Q200" s="1833"/>
      <c r="R200" s="1833"/>
      <c r="S200" s="1833"/>
      <c r="T200" s="1833"/>
      <c r="U200" s="1833"/>
      <c r="V200" s="1833"/>
      <c r="W200" s="1833"/>
      <c r="X200" s="1833"/>
    </row>
    <row r="201">
      <c r="A201" s="1078"/>
      <c r="B201" s="1078"/>
      <c r="C201" s="1078"/>
      <c r="D201" s="1837"/>
      <c r="E201" s="1835"/>
      <c r="F201" s="1833"/>
      <c r="G201" s="1833"/>
      <c r="H201" s="1833"/>
      <c r="I201" s="1833"/>
      <c r="J201" s="1833"/>
      <c r="K201" s="1833"/>
      <c r="L201" s="1833"/>
      <c r="M201" s="1833"/>
      <c r="N201" s="1833"/>
      <c r="O201" s="1833"/>
      <c r="P201" s="1833"/>
      <c r="Q201" s="1833"/>
      <c r="R201" s="1833"/>
      <c r="S201" s="1833"/>
      <c r="T201" s="1833"/>
      <c r="U201" s="1833"/>
      <c r="V201" s="1833"/>
      <c r="W201" s="1833"/>
      <c r="X201" s="1833"/>
    </row>
    <row r="202">
      <c r="A202" s="1078"/>
      <c r="B202" s="1078"/>
      <c r="C202" s="1855"/>
      <c r="D202" s="1835"/>
      <c r="E202" s="1835"/>
      <c r="F202" s="1833"/>
      <c r="G202" s="1833"/>
      <c r="H202" s="1833"/>
      <c r="I202" s="1833"/>
      <c r="J202" s="1833"/>
      <c r="K202" s="1833"/>
      <c r="L202" s="1833"/>
      <c r="M202" s="1833"/>
      <c r="N202" s="1833"/>
      <c r="O202" s="1833"/>
      <c r="P202" s="1833"/>
      <c r="Q202" s="1833"/>
      <c r="R202" s="1833"/>
      <c r="S202" s="1833"/>
      <c r="T202" s="1833"/>
      <c r="U202" s="1833"/>
      <c r="V202" s="1833"/>
      <c r="W202" s="1833"/>
      <c r="X202" s="1833"/>
    </row>
    <row r="203">
      <c r="A203" s="1078"/>
      <c r="B203" s="1078"/>
      <c r="C203" s="1855"/>
      <c r="D203" s="1835"/>
      <c r="E203" s="1835"/>
      <c r="F203" s="1833"/>
      <c r="G203" s="1833"/>
      <c r="H203" s="1833"/>
      <c r="I203" s="1833"/>
      <c r="J203" s="1833"/>
      <c r="K203" s="1833"/>
      <c r="L203" s="1833"/>
      <c r="M203" s="1833"/>
      <c r="N203" s="1833"/>
      <c r="O203" s="1833"/>
      <c r="P203" s="1833"/>
      <c r="Q203" s="1833"/>
      <c r="R203" s="1833"/>
      <c r="S203" s="1833"/>
      <c r="T203" s="1833"/>
      <c r="U203" s="1833"/>
      <c r="V203" s="1833"/>
      <c r="W203" s="1833"/>
      <c r="X203" s="1833"/>
    </row>
    <row r="204">
      <c r="A204" s="1078"/>
      <c r="B204" s="1078"/>
      <c r="C204" s="1855"/>
      <c r="D204" s="1078"/>
      <c r="E204" s="1835"/>
      <c r="F204" s="1833"/>
      <c r="G204" s="1833"/>
      <c r="H204" s="1833"/>
      <c r="I204" s="1833"/>
      <c r="J204" s="1833"/>
      <c r="K204" s="1833"/>
      <c r="L204" s="1833"/>
      <c r="M204" s="1833"/>
      <c r="N204" s="1833"/>
      <c r="O204" s="1833"/>
      <c r="P204" s="1833"/>
      <c r="Q204" s="1833"/>
      <c r="R204" s="1833"/>
      <c r="S204" s="1833"/>
      <c r="T204" s="1833"/>
      <c r="U204" s="1833"/>
      <c r="V204" s="1833"/>
      <c r="W204" s="1833"/>
      <c r="X204" s="1833"/>
    </row>
    <row r="205">
      <c r="A205" s="1078"/>
      <c r="B205" s="1078"/>
      <c r="C205" s="1855"/>
      <c r="D205" s="1835"/>
      <c r="E205" s="1835"/>
      <c r="F205" s="1833"/>
      <c r="G205" s="1833"/>
      <c r="H205" s="1833"/>
      <c r="I205" s="1833"/>
      <c r="J205" s="1833"/>
      <c r="K205" s="1833"/>
      <c r="L205" s="1833"/>
      <c r="M205" s="1833"/>
      <c r="N205" s="1833"/>
      <c r="O205" s="1833"/>
      <c r="P205" s="1833"/>
      <c r="Q205" s="1833"/>
      <c r="R205" s="1833"/>
      <c r="S205" s="1833"/>
      <c r="T205" s="1833"/>
      <c r="U205" s="1833"/>
      <c r="V205" s="1833"/>
      <c r="W205" s="1833"/>
      <c r="X205" s="1833"/>
    </row>
    <row r="206">
      <c r="A206" s="1078"/>
      <c r="B206" s="1078"/>
      <c r="C206" s="1855"/>
      <c r="D206" s="1835"/>
      <c r="E206" s="1835"/>
      <c r="F206" s="1833"/>
      <c r="G206" s="1833"/>
      <c r="H206" s="1833"/>
      <c r="I206" s="1833"/>
      <c r="J206" s="1833"/>
      <c r="K206" s="1833"/>
      <c r="L206" s="1833"/>
      <c r="M206" s="1833"/>
      <c r="N206" s="1833"/>
      <c r="O206" s="1833"/>
      <c r="P206" s="1833"/>
      <c r="Q206" s="1833"/>
      <c r="R206" s="1833"/>
      <c r="S206" s="1833"/>
      <c r="T206" s="1833"/>
      <c r="U206" s="1833"/>
      <c r="V206" s="1833"/>
      <c r="W206" s="1833"/>
      <c r="X206" s="1833"/>
    </row>
    <row r="207">
      <c r="A207" s="1078"/>
      <c r="B207" s="1078"/>
      <c r="C207" s="1855"/>
      <c r="D207" s="1835"/>
      <c r="E207" s="1835"/>
      <c r="F207" s="1833"/>
      <c r="G207" s="1833"/>
      <c r="H207" s="1833"/>
      <c r="I207" s="1833"/>
      <c r="J207" s="1833"/>
      <c r="K207" s="1833"/>
      <c r="L207" s="1833"/>
      <c r="M207" s="1833"/>
      <c r="N207" s="1833"/>
      <c r="O207" s="1833"/>
      <c r="P207" s="1833"/>
      <c r="Q207" s="1833"/>
      <c r="R207" s="1833"/>
      <c r="S207" s="1833"/>
      <c r="T207" s="1833"/>
      <c r="U207" s="1833"/>
      <c r="V207" s="1833"/>
      <c r="W207" s="1833"/>
      <c r="X207" s="1833"/>
    </row>
    <row r="208">
      <c r="A208" s="1078"/>
      <c r="B208" s="1078"/>
      <c r="C208" s="1078"/>
      <c r="D208" s="1837"/>
      <c r="E208" s="1835"/>
      <c r="F208" s="1833"/>
      <c r="G208" s="1833"/>
      <c r="H208" s="1833"/>
      <c r="I208" s="1833"/>
      <c r="J208" s="1833"/>
      <c r="K208" s="1833"/>
      <c r="L208" s="1833"/>
      <c r="M208" s="1833"/>
      <c r="N208" s="1833"/>
      <c r="O208" s="1833"/>
      <c r="P208" s="1833"/>
      <c r="Q208" s="1833"/>
      <c r="R208" s="1833"/>
      <c r="S208" s="1833"/>
      <c r="T208" s="1833"/>
      <c r="U208" s="1833"/>
      <c r="V208" s="1833"/>
      <c r="W208" s="1833"/>
      <c r="X208" s="1833"/>
    </row>
    <row r="209">
      <c r="A209" s="1078"/>
      <c r="B209" s="1857"/>
      <c r="C209" s="1078"/>
      <c r="D209" s="1837"/>
      <c r="E209" s="1835"/>
      <c r="F209" s="1833"/>
      <c r="G209" s="1833"/>
      <c r="H209" s="1833"/>
      <c r="I209" s="1833"/>
      <c r="J209" s="1833"/>
      <c r="K209" s="1833"/>
      <c r="L209" s="1833"/>
      <c r="M209" s="1833"/>
      <c r="N209" s="1833"/>
      <c r="O209" s="1833"/>
      <c r="P209" s="1833"/>
      <c r="Q209" s="1833"/>
      <c r="R209" s="1833"/>
      <c r="S209" s="1833"/>
      <c r="T209" s="1833"/>
      <c r="U209" s="1833"/>
      <c r="V209" s="1833"/>
      <c r="W209" s="1833"/>
      <c r="X209" s="1833"/>
    </row>
    <row r="210">
      <c r="A210" s="1078"/>
      <c r="B210" s="1078"/>
      <c r="C210" s="1855"/>
      <c r="D210" s="1835"/>
      <c r="E210" s="1835"/>
      <c r="F210" s="1833"/>
      <c r="G210" s="1833"/>
      <c r="H210" s="1833"/>
      <c r="I210" s="1833"/>
      <c r="J210" s="1833"/>
      <c r="K210" s="1833"/>
      <c r="L210" s="1833"/>
      <c r="M210" s="1833"/>
      <c r="N210" s="1833"/>
      <c r="O210" s="1833"/>
      <c r="P210" s="1833"/>
      <c r="Q210" s="1833"/>
      <c r="R210" s="1833"/>
      <c r="S210" s="1833"/>
      <c r="T210" s="1833"/>
      <c r="U210" s="1833"/>
      <c r="V210" s="1833"/>
      <c r="W210" s="1833"/>
      <c r="X210" s="1833"/>
    </row>
    <row r="211">
      <c r="A211" s="1078"/>
      <c r="B211" s="1078"/>
      <c r="C211" s="1078"/>
      <c r="D211" s="1837"/>
      <c r="E211" s="1835"/>
      <c r="F211" s="1833"/>
      <c r="G211" s="1833"/>
      <c r="H211" s="1833"/>
      <c r="I211" s="1833"/>
      <c r="J211" s="1833"/>
      <c r="K211" s="1833"/>
      <c r="L211" s="1833"/>
      <c r="M211" s="1833"/>
      <c r="N211" s="1833"/>
      <c r="O211" s="1833"/>
      <c r="P211" s="1833"/>
      <c r="Q211" s="1833"/>
      <c r="R211" s="1833"/>
      <c r="S211" s="1833"/>
      <c r="T211" s="1833"/>
      <c r="U211" s="1833"/>
      <c r="V211" s="1833"/>
      <c r="W211" s="1833"/>
      <c r="X211" s="1833"/>
    </row>
    <row r="212">
      <c r="A212" s="1835"/>
      <c r="B212" s="1835"/>
      <c r="C212" s="1835"/>
      <c r="D212" s="1835"/>
      <c r="E212" s="1835"/>
    </row>
    <row r="213">
      <c r="A213" s="1835"/>
      <c r="B213" s="1835"/>
      <c r="C213" s="1835"/>
      <c r="D213" s="1835"/>
      <c r="E213" s="1835"/>
    </row>
    <row r="214">
      <c r="A214" s="1835"/>
      <c r="B214" s="1835"/>
      <c r="C214" s="1835"/>
      <c r="D214" s="1835"/>
      <c r="E214" s="1835"/>
    </row>
    <row r="215">
      <c r="A215" s="1835"/>
      <c r="B215" s="1835"/>
      <c r="C215" s="1835"/>
      <c r="D215" s="1835"/>
      <c r="E215" s="1835"/>
    </row>
    <row r="216">
      <c r="A216" s="1835"/>
      <c r="B216" s="1835"/>
      <c r="C216" s="1835"/>
      <c r="D216" s="1835"/>
      <c r="E216" s="1835"/>
    </row>
    <row r="217">
      <c r="A217" s="1835"/>
      <c r="B217" s="1835"/>
      <c r="C217" s="1835"/>
      <c r="D217" s="1835"/>
      <c r="E217" s="1835"/>
    </row>
    <row r="218">
      <c r="A218" s="1835"/>
      <c r="B218" s="1835"/>
      <c r="C218" s="1835"/>
      <c r="D218" s="1835"/>
      <c r="E218" s="1835"/>
    </row>
    <row r="219">
      <c r="A219" s="1835"/>
      <c r="B219" s="1835"/>
      <c r="C219" s="1835"/>
      <c r="D219" s="1835"/>
      <c r="E219" s="1835"/>
    </row>
    <row r="220">
      <c r="A220" s="1835"/>
      <c r="B220" s="1835"/>
      <c r="C220" s="1835"/>
      <c r="D220" s="1835"/>
      <c r="E220" s="1835"/>
    </row>
  </sheetData>
  <drawing r:id="rId1"/>
</worksheet>
</file>